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J:\OdRF\Závěrečný účet\2017\ZOK 25.6.2018\"/>
    </mc:Choice>
  </mc:AlternateContent>
  <bookViews>
    <workbookView xWindow="-75" yWindow="300" windowWidth="12240" windowHeight="8865" firstSheet="17" activeTab="38"/>
  </bookViews>
  <sheets>
    <sheet name="Rekapitulace" sheetId="31" r:id="rId1"/>
    <sheet name="Odbor celkem" sheetId="20" r:id="rId2"/>
    <sheet name="01 " sheetId="52" r:id="rId3"/>
    <sheet name="03" sheetId="54" r:id="rId4"/>
    <sheet name="04" sheetId="5" r:id="rId5"/>
    <sheet name="05" sheetId="4" state="hidden" r:id="rId6"/>
    <sheet name="06" sheetId="11" state="hidden" r:id="rId7"/>
    <sheet name="07" sheetId="10" r:id="rId8"/>
    <sheet name="OPOK" sheetId="25" state="hidden" r:id="rId9"/>
    <sheet name="SROP" sheetId="27" state="hidden" r:id="rId10"/>
    <sheet name="List1" sheetId="28" state="hidden" r:id="rId11"/>
    <sheet name="08" sheetId="9" r:id="rId12"/>
    <sheet name="09" sheetId="8" r:id="rId13"/>
    <sheet name="10" sheetId="7" r:id="rId14"/>
    <sheet name="10 - PO" sheetId="17" r:id="rId15"/>
    <sheet name="11" sheetId="239" r:id="rId16"/>
    <sheet name="12" sheetId="240" r:id="rId17"/>
    <sheet name="13" sheetId="241" r:id="rId18"/>
    <sheet name="14" sheetId="242" r:id="rId19"/>
    <sheet name="16" sheetId="244" r:id="rId20"/>
    <sheet name="17" sheetId="245" r:id="rId21"/>
    <sheet name="18" sheetId="246" r:id="rId22"/>
    <sheet name="19" sheetId="247" r:id="rId23"/>
    <sheet name="19 - PO" sheetId="250" r:id="rId24"/>
    <sheet name="37 " sheetId="107" state="hidden" r:id="rId25"/>
    <sheet name="38" sheetId="108" state="hidden" r:id="rId26"/>
    <sheet name="39 " sheetId="109" state="hidden" r:id="rId27"/>
    <sheet name="41 " sheetId="111" state="hidden" r:id="rId28"/>
    <sheet name="42 " sheetId="112" state="hidden" r:id="rId29"/>
    <sheet name="47 " sheetId="113" state="hidden" r:id="rId30"/>
    <sheet name="48 " sheetId="114" state="hidden" r:id="rId31"/>
    <sheet name="49 " sheetId="115" state="hidden" r:id="rId32"/>
    <sheet name="36" sheetId="215" state="hidden" r:id="rId33"/>
    <sheet name="37" sheetId="193" state="hidden" r:id="rId34"/>
    <sheet name="46" sheetId="49" state="hidden" r:id="rId35"/>
    <sheet name="199" sheetId="29" state="hidden" r:id="rId36"/>
    <sheet name="99" sheetId="30" state="hidden" r:id="rId37"/>
    <sheet name="20" sheetId="294" r:id="rId38"/>
    <sheet name="30" sheetId="274" r:id="rId39"/>
    <sheet name="32" sheetId="275" r:id="rId40"/>
    <sheet name="50" sheetId="276" r:id="rId41"/>
    <sheet name="52" sheetId="277" r:id="rId42"/>
    <sheet name="59" sheetId="278" r:id="rId43"/>
    <sheet name="60" sheetId="279" r:id="rId44"/>
    <sheet name="63" sheetId="280" r:id="rId45"/>
    <sheet name="64" sheetId="281" r:id="rId46"/>
    <sheet name="66" sheetId="282" state="hidden" r:id="rId47"/>
    <sheet name="67" sheetId="283" state="hidden" r:id="rId48"/>
    <sheet name="68" sheetId="284" state="hidden" r:id="rId49"/>
    <sheet name="69" sheetId="285" state="hidden" r:id="rId50"/>
    <sheet name="71" sheetId="286" state="hidden" r:id="rId51"/>
    <sheet name="72" sheetId="287" state="hidden" r:id="rId52"/>
    <sheet name="73" sheetId="288" state="hidden" r:id="rId53"/>
    <sheet name="74" sheetId="289" r:id="rId54"/>
    <sheet name="75" sheetId="290" r:id="rId55"/>
    <sheet name="76" sheetId="291" r:id="rId56"/>
    <sheet name="77" sheetId="292" r:id="rId57"/>
    <sheet name="78" sheetId="293" r:id="rId58"/>
    <sheet name="F - 99" sheetId="248" r:id="rId59"/>
    <sheet name="F -199" sheetId="249" r:id="rId60"/>
  </sheets>
  <definedNames>
    <definedName name="_xlnm.Print_Titles" localSheetId="43">'60'!$70:$73</definedName>
    <definedName name="_xlnm.Print_Area" localSheetId="2">'01 '!$A$1:$H$67</definedName>
    <definedName name="_xlnm.Print_Area" localSheetId="3">'03'!$A$1:$H$298</definedName>
    <definedName name="_xlnm.Print_Area" localSheetId="4">'04'!$A$1:$H$63</definedName>
    <definedName name="_xlnm.Print_Area" localSheetId="5">'05'!$A$1:$H$23</definedName>
    <definedName name="_xlnm.Print_Area" localSheetId="6">'06'!$A$1:$H$42</definedName>
    <definedName name="_xlnm.Print_Area" localSheetId="7">'07'!$A$1:$H$63</definedName>
    <definedName name="_xlnm.Print_Area" localSheetId="11">'08'!$A$1:$H$223</definedName>
    <definedName name="_xlnm.Print_Area" localSheetId="12">'09'!$A$1:$H$180</definedName>
    <definedName name="_xlnm.Print_Area" localSheetId="13">'10'!$A$1:$H$494</definedName>
    <definedName name="_xlnm.Print_Area" localSheetId="14">'10 - PO'!$A$1:$I$2580</definedName>
    <definedName name="_xlnm.Print_Area" localSheetId="15">'11'!$A$1:$H$510</definedName>
    <definedName name="_xlnm.Print_Area" localSheetId="16">'12'!$A$1:$H$122</definedName>
    <definedName name="_xlnm.Print_Area" localSheetId="17">'13'!$A$1:$H$76</definedName>
    <definedName name="_xlnm.Print_Area" localSheetId="18">'14'!$A$1:$H$215</definedName>
    <definedName name="_xlnm.Print_Area" localSheetId="19">'16'!$A$1:$H$15</definedName>
    <definedName name="_xlnm.Print_Area" localSheetId="20">'17'!$A$1:$H$219</definedName>
    <definedName name="_xlnm.Print_Area" localSheetId="21">'18'!$A$1:$H$207</definedName>
    <definedName name="_xlnm.Print_Area" localSheetId="22">'19'!$A$1:$H$179</definedName>
    <definedName name="_xlnm.Print_Area" localSheetId="23">'19 - PO'!$A$1:$I$1914</definedName>
    <definedName name="_xlnm.Print_Area" localSheetId="35">'199'!$A$1:$H$67</definedName>
    <definedName name="_xlnm.Print_Area" localSheetId="37">'20'!$A$1:$H$16</definedName>
    <definedName name="_xlnm.Print_Area" localSheetId="38">'30'!$A$1:$H$49</definedName>
    <definedName name="_xlnm.Print_Area" localSheetId="39">'32'!$A$1:$H$54</definedName>
    <definedName name="_xlnm.Print_Area" localSheetId="32">'36'!$A$1:$H$22</definedName>
    <definedName name="_xlnm.Print_Area" localSheetId="33">'37'!$A$1:$H$21</definedName>
    <definedName name="_xlnm.Print_Area" localSheetId="24">'37 '!$A$1:$H$22</definedName>
    <definedName name="_xlnm.Print_Area" localSheetId="25">'38'!$A$1:$H$25</definedName>
    <definedName name="_xlnm.Print_Area" localSheetId="26">'39 '!$A$1:$H$25</definedName>
    <definedName name="_xlnm.Print_Area" localSheetId="27">'41 '!$A$1:$H$25</definedName>
    <definedName name="_xlnm.Print_Area" localSheetId="28">'42 '!$A$1:$H$25</definedName>
    <definedName name="_xlnm.Print_Area" localSheetId="29">'47 '!$A$1:$H$28</definedName>
    <definedName name="_xlnm.Print_Area" localSheetId="30">'48 '!$A$1:$H$25</definedName>
    <definedName name="_xlnm.Print_Area" localSheetId="31">'49 '!$A$1:$H$22</definedName>
    <definedName name="_xlnm.Print_Area" localSheetId="40">'50'!$A$1:$H$224</definedName>
    <definedName name="_xlnm.Print_Area" localSheetId="41">'52'!$A$1:$H$1046</definedName>
    <definedName name="_xlnm.Print_Area" localSheetId="42">'59'!$A$1:$H$619</definedName>
    <definedName name="_xlnm.Print_Area" localSheetId="43">'60'!$A$1:$H$151</definedName>
    <definedName name="_xlnm.Print_Area" localSheetId="44">'63'!$A$1:$H$61</definedName>
    <definedName name="_xlnm.Print_Area" localSheetId="45">'64'!$A$1:$H$126</definedName>
    <definedName name="_xlnm.Print_Area" localSheetId="46">'66'!$A$1:$H$65</definedName>
    <definedName name="_xlnm.Print_Area" localSheetId="47">'67'!$A$1:$H$71</definedName>
    <definedName name="_xlnm.Print_Area" localSheetId="48">'68'!$A$1:$H$45</definedName>
    <definedName name="_xlnm.Print_Area" localSheetId="49">'69'!$A$1:$H$46</definedName>
    <definedName name="_xlnm.Print_Area" localSheetId="50">'71'!$A$1:$H$41</definedName>
    <definedName name="_xlnm.Print_Area" localSheetId="51">'72'!$A$1:$H$92</definedName>
    <definedName name="_xlnm.Print_Area" localSheetId="52">'73'!$A$1:$H$67</definedName>
    <definedName name="_xlnm.Print_Area" localSheetId="53">'74'!$A$1:$H$289</definedName>
    <definedName name="_xlnm.Print_Area" localSheetId="54">'75'!$A$1:$H$31</definedName>
    <definedName name="_xlnm.Print_Area" localSheetId="55">'76'!$A$1:$H$158</definedName>
    <definedName name="_xlnm.Print_Area" localSheetId="56">'77'!$A$1:$H$47</definedName>
    <definedName name="_xlnm.Print_Area" localSheetId="57">'78'!$A$1:$H$47</definedName>
    <definedName name="_xlnm.Print_Area" localSheetId="36">'99'!$A$1:$H$54</definedName>
    <definedName name="_xlnm.Print_Area" localSheetId="58">'F - 99'!$A$1:$H$65</definedName>
    <definedName name="_xlnm.Print_Area" localSheetId="59">'F -199'!$A$1:$H$37</definedName>
    <definedName name="_xlnm.Print_Area" localSheetId="1">'Odbor celkem'!$A$1:$F$300</definedName>
    <definedName name="_xlnm.Print_Area" localSheetId="8">OPOK!$A$1:$I$45</definedName>
    <definedName name="_xlnm.Print_Area" localSheetId="0">Rekapitulace!$A$1:$F$39</definedName>
    <definedName name="_xlnm.Print_Area" localSheetId="9">SROP!$A$1:$H$47</definedName>
  </definedNames>
  <calcPr calcId="162913"/>
</workbook>
</file>

<file path=xl/calcChain.xml><?xml version="1.0" encoding="utf-8"?>
<calcChain xmlns="http://schemas.openxmlformats.org/spreadsheetml/2006/main">
  <c r="H276" i="289" l="1"/>
  <c r="H262" i="289"/>
  <c r="E172" i="289"/>
  <c r="H111" i="281"/>
  <c r="H108" i="281"/>
  <c r="H100" i="281"/>
  <c r="H97" i="281"/>
  <c r="H536" i="278"/>
  <c r="H413" i="278"/>
  <c r="H403" i="278"/>
  <c r="H152" i="278"/>
  <c r="H125" i="247"/>
  <c r="H126" i="247"/>
  <c r="H180" i="245"/>
  <c r="H179" i="245"/>
  <c r="H36" i="242"/>
  <c r="G438" i="239"/>
  <c r="F438" i="239"/>
  <c r="E438" i="239"/>
  <c r="H37" i="239"/>
  <c r="H35" i="239"/>
  <c r="H478" i="7"/>
  <c r="G446" i="7"/>
  <c r="H339" i="7"/>
  <c r="H105" i="7"/>
  <c r="H176" i="8"/>
  <c r="H114" i="8"/>
  <c r="H39" i="9"/>
  <c r="H38" i="9"/>
  <c r="F135" i="20" l="1"/>
  <c r="F105" i="20"/>
  <c r="F73" i="20"/>
  <c r="F56" i="20"/>
  <c r="R281" i="54" l="1"/>
  <c r="Q281" i="54"/>
  <c r="M281" i="54"/>
  <c r="N281" i="54"/>
  <c r="L281" i="54"/>
  <c r="F12" i="54"/>
  <c r="G12" i="54"/>
  <c r="E12" i="54"/>
  <c r="H13" i="54"/>
  <c r="H12" i="54" l="1"/>
  <c r="I308" i="20"/>
  <c r="H308" i="20"/>
  <c r="E308" i="20"/>
  <c r="D308" i="20"/>
  <c r="G308" i="20" l="1"/>
  <c r="C308" i="20"/>
  <c r="D14" i="31" l="1"/>
  <c r="E14" i="31"/>
  <c r="C14" i="31"/>
  <c r="E307" i="20"/>
  <c r="H265" i="54"/>
  <c r="F446" i="7"/>
  <c r="E446" i="7"/>
  <c r="E464" i="7" s="1"/>
  <c r="F14" i="31" l="1"/>
  <c r="G2429" i="17"/>
  <c r="H2429" i="17"/>
  <c r="F2429" i="17"/>
  <c r="G2574" i="17" l="1"/>
  <c r="H2574" i="17"/>
  <c r="F2574" i="17"/>
  <c r="G2576" i="17"/>
  <c r="H2576" i="17"/>
  <c r="F2576" i="17"/>
  <c r="G2571" i="17"/>
  <c r="H2571" i="17"/>
  <c r="F2571" i="17"/>
  <c r="G2569" i="17"/>
  <c r="H2569" i="17"/>
  <c r="F2569" i="17"/>
  <c r="G2567" i="17"/>
  <c r="H2567" i="17"/>
  <c r="F2567" i="17"/>
  <c r="I2570" i="17"/>
  <c r="I1156" i="17"/>
  <c r="H1155" i="17"/>
  <c r="G1155" i="17"/>
  <c r="F1155" i="17"/>
  <c r="I1087" i="17"/>
  <c r="H1086" i="17"/>
  <c r="G1086" i="17"/>
  <c r="F1086" i="17"/>
  <c r="I862" i="17"/>
  <c r="G861" i="17"/>
  <c r="H861" i="17"/>
  <c r="F861" i="17"/>
  <c r="I2506" i="17"/>
  <c r="H2505" i="17"/>
  <c r="G2505" i="17"/>
  <c r="F2505" i="17"/>
  <c r="F2487" i="17"/>
  <c r="G2350" i="17"/>
  <c r="H2350" i="17"/>
  <c r="F2350" i="17"/>
  <c r="F2328" i="17"/>
  <c r="G2320" i="17"/>
  <c r="H2320" i="17"/>
  <c r="F2320" i="17"/>
  <c r="G2270" i="17"/>
  <c r="H2270" i="17"/>
  <c r="F2270" i="17"/>
  <c r="I2230" i="17"/>
  <c r="G2229" i="17"/>
  <c r="H2229" i="17"/>
  <c r="F2229" i="17"/>
  <c r="I2209" i="17"/>
  <c r="H2208" i="17"/>
  <c r="G2208" i="17"/>
  <c r="F2208" i="17"/>
  <c r="F2073" i="17"/>
  <c r="G2047" i="17"/>
  <c r="H2047" i="17"/>
  <c r="F2047" i="17"/>
  <c r="G2030" i="17"/>
  <c r="H2030" i="17"/>
  <c r="F2030" i="17"/>
  <c r="I2020" i="17"/>
  <c r="H2019" i="17"/>
  <c r="G2019" i="17"/>
  <c r="F2019" i="17"/>
  <c r="G2001" i="17"/>
  <c r="H2001" i="17"/>
  <c r="F2001" i="17"/>
  <c r="I1983" i="17"/>
  <c r="H1982" i="17"/>
  <c r="G1982" i="17"/>
  <c r="F1982" i="17"/>
  <c r="G1967" i="17"/>
  <c r="H1967" i="17"/>
  <c r="F1967" i="17"/>
  <c r="I1955" i="17"/>
  <c r="H1954" i="17"/>
  <c r="G1954" i="17"/>
  <c r="F1954" i="17"/>
  <c r="G1942" i="17"/>
  <c r="H1942" i="17"/>
  <c r="F1942" i="17"/>
  <c r="I1935" i="17"/>
  <c r="H1934" i="17"/>
  <c r="G1934" i="17"/>
  <c r="F1934" i="17"/>
  <c r="I1919" i="17"/>
  <c r="H1918" i="17"/>
  <c r="G1918" i="17"/>
  <c r="F1918" i="17"/>
  <c r="I1900" i="17"/>
  <c r="H1899" i="17"/>
  <c r="G1899" i="17"/>
  <c r="F1899" i="17"/>
  <c r="G1887" i="17"/>
  <c r="H1887" i="17"/>
  <c r="F1887" i="17"/>
  <c r="I1876" i="17"/>
  <c r="H1875" i="17"/>
  <c r="G1875" i="17"/>
  <c r="F1875" i="17"/>
  <c r="G1863" i="17"/>
  <c r="H1863" i="17"/>
  <c r="F1863" i="17"/>
  <c r="F1851" i="17"/>
  <c r="G1835" i="17"/>
  <c r="H1835" i="17"/>
  <c r="F1835" i="17"/>
  <c r="G1817" i="17"/>
  <c r="I1818" i="17"/>
  <c r="H1817" i="17"/>
  <c r="F1817" i="17"/>
  <c r="G1799" i="17"/>
  <c r="H1799" i="17"/>
  <c r="F1799" i="17"/>
  <c r="I1788" i="17"/>
  <c r="G1787" i="17"/>
  <c r="H1787" i="17"/>
  <c r="F1787" i="17"/>
  <c r="G1773" i="17"/>
  <c r="H1773" i="17"/>
  <c r="F1773" i="17"/>
  <c r="G1751" i="17"/>
  <c r="H1751" i="17"/>
  <c r="F1751" i="17"/>
  <c r="G1737" i="17"/>
  <c r="H1737" i="17"/>
  <c r="F1737" i="17"/>
  <c r="I1738" i="17"/>
  <c r="G1717" i="17"/>
  <c r="H1717" i="17"/>
  <c r="F1717" i="17"/>
  <c r="I1712" i="17"/>
  <c r="G1711" i="17"/>
  <c r="H1711" i="17"/>
  <c r="F1711" i="17"/>
  <c r="G1685" i="17"/>
  <c r="H1685" i="17"/>
  <c r="F1685" i="17"/>
  <c r="H1667" i="17"/>
  <c r="G1667" i="17"/>
  <c r="F1667" i="17"/>
  <c r="I1668" i="17"/>
  <c r="G1650" i="17"/>
  <c r="H1650" i="17"/>
  <c r="F1650" i="17"/>
  <c r="G2578" i="17" l="1"/>
  <c r="S2578" i="17" s="1"/>
  <c r="I861" i="17"/>
  <c r="F2578" i="17"/>
  <c r="R2578" i="17" s="1"/>
  <c r="H2578" i="17"/>
  <c r="T2578" i="17" s="1"/>
  <c r="I1155" i="17"/>
  <c r="I1086" i="17"/>
  <c r="I2505" i="17"/>
  <c r="I2229" i="17"/>
  <c r="I2208" i="17"/>
  <c r="I2019" i="17"/>
  <c r="I1982" i="17"/>
  <c r="I1954" i="17"/>
  <c r="I1899" i="17"/>
  <c r="I1934" i="17"/>
  <c r="I1918" i="17"/>
  <c r="I1875" i="17"/>
  <c r="I1787" i="17"/>
  <c r="I1817" i="17"/>
  <c r="I1737" i="17"/>
  <c r="I1711" i="17"/>
  <c r="I1667" i="17"/>
  <c r="H35" i="276"/>
  <c r="H33" i="276"/>
  <c r="I1475" i="250"/>
  <c r="E153" i="239"/>
  <c r="E45" i="9"/>
  <c r="I1627" i="17" l="1"/>
  <c r="H1626" i="17"/>
  <c r="G1626" i="17"/>
  <c r="F1626" i="17"/>
  <c r="G1612" i="17"/>
  <c r="H1612" i="17"/>
  <c r="F1612" i="17"/>
  <c r="F1575" i="17"/>
  <c r="G1559" i="17"/>
  <c r="H1559" i="17"/>
  <c r="F1559" i="17"/>
  <c r="F1541" i="17"/>
  <c r="G1526" i="17"/>
  <c r="H1526" i="17"/>
  <c r="F1526" i="17"/>
  <c r="H1515" i="17"/>
  <c r="G1515" i="17"/>
  <c r="F1515" i="17"/>
  <c r="G1503" i="17"/>
  <c r="H1503" i="17"/>
  <c r="F1503" i="17"/>
  <c r="G1478" i="17"/>
  <c r="H1478" i="17"/>
  <c r="F1478" i="17"/>
  <c r="G1377" i="17"/>
  <c r="H1377" i="17"/>
  <c r="F1377" i="17"/>
  <c r="F1369" i="17"/>
  <c r="G1359" i="17"/>
  <c r="H1359" i="17"/>
  <c r="F1359" i="17"/>
  <c r="G1322" i="17"/>
  <c r="H1322" i="17"/>
  <c r="F1322" i="17"/>
  <c r="F1315" i="17"/>
  <c r="G1301" i="17"/>
  <c r="H1301" i="17"/>
  <c r="F1301" i="17"/>
  <c r="G1287" i="17"/>
  <c r="H1287" i="17"/>
  <c r="F1287" i="17"/>
  <c r="I1288" i="17"/>
  <c r="F1259" i="17"/>
  <c r="G1243" i="17"/>
  <c r="H1243" i="17"/>
  <c r="F1243" i="17"/>
  <c r="G1227" i="17"/>
  <c r="H1227" i="17"/>
  <c r="F1227" i="17"/>
  <c r="G1172" i="17"/>
  <c r="H1172" i="17"/>
  <c r="F1172" i="17"/>
  <c r="F1145" i="17"/>
  <c r="I1130" i="17"/>
  <c r="I1095" i="17"/>
  <c r="H1094" i="17"/>
  <c r="G1094" i="17"/>
  <c r="F1094" i="17"/>
  <c r="I1052" i="17"/>
  <c r="H1051" i="17"/>
  <c r="G1051" i="17"/>
  <c r="F1051" i="17"/>
  <c r="G1006" i="17"/>
  <c r="H1006" i="17"/>
  <c r="F1006" i="17"/>
  <c r="G985" i="17"/>
  <c r="H985" i="17"/>
  <c r="F985" i="17"/>
  <c r="I978" i="17"/>
  <c r="H977" i="17"/>
  <c r="G977" i="17"/>
  <c r="F977" i="17"/>
  <c r="G962" i="17"/>
  <c r="H962" i="17"/>
  <c r="F962" i="17"/>
  <c r="I950" i="17"/>
  <c r="H949" i="17"/>
  <c r="G949" i="17"/>
  <c r="F949" i="17"/>
  <c r="G934" i="17"/>
  <c r="H934" i="17"/>
  <c r="F934" i="17"/>
  <c r="F918" i="17"/>
  <c r="G908" i="17"/>
  <c r="H908" i="17"/>
  <c r="F908" i="17"/>
  <c r="I857" i="17"/>
  <c r="H856" i="17"/>
  <c r="G856" i="17"/>
  <c r="F856" i="17"/>
  <c r="G843" i="17"/>
  <c r="H843" i="17"/>
  <c r="F843" i="17"/>
  <c r="I830" i="17"/>
  <c r="H829" i="17"/>
  <c r="G829" i="17"/>
  <c r="F829" i="17"/>
  <c r="G816" i="17"/>
  <c r="H816" i="17"/>
  <c r="F816" i="17"/>
  <c r="F831" i="17" s="1"/>
  <c r="G783" i="17"/>
  <c r="H783" i="17"/>
  <c r="F783" i="17"/>
  <c r="F794" i="17" s="1"/>
  <c r="G763" i="17"/>
  <c r="H763" i="17"/>
  <c r="F763" i="17"/>
  <c r="G703" i="17"/>
  <c r="H703" i="17"/>
  <c r="F703" i="17"/>
  <c r="I704" i="17"/>
  <c r="I1626" i="17" l="1"/>
  <c r="I1287" i="17"/>
  <c r="I1094" i="17"/>
  <c r="I1051" i="17"/>
  <c r="I977" i="17"/>
  <c r="I949" i="17"/>
  <c r="I856" i="17"/>
  <c r="I703" i="17"/>
  <c r="I829" i="17"/>
  <c r="G652" i="17"/>
  <c r="H652" i="17"/>
  <c r="F652" i="17"/>
  <c r="F665" i="17" s="1"/>
  <c r="G610" i="17"/>
  <c r="H610" i="17"/>
  <c r="F610" i="17"/>
  <c r="F603" i="17"/>
  <c r="G593" i="17"/>
  <c r="H593" i="17"/>
  <c r="F593" i="17"/>
  <c r="G563" i="17"/>
  <c r="H563" i="17"/>
  <c r="F563" i="17"/>
  <c r="I564" i="17"/>
  <c r="G551" i="17"/>
  <c r="H551" i="17"/>
  <c r="F551" i="17"/>
  <c r="I541" i="17"/>
  <c r="H540" i="17"/>
  <c r="G540" i="17"/>
  <c r="F540" i="17"/>
  <c r="I539" i="17"/>
  <c r="G538" i="17"/>
  <c r="H538" i="17"/>
  <c r="F538" i="17"/>
  <c r="F534" i="17"/>
  <c r="F509" i="17"/>
  <c r="I538" i="17" l="1"/>
  <c r="I563" i="17"/>
  <c r="I540" i="17"/>
  <c r="F486" i="17"/>
  <c r="F349" i="17"/>
  <c r="G160" i="17"/>
  <c r="H160" i="17"/>
  <c r="F160" i="17"/>
  <c r="I161" i="17"/>
  <c r="I150" i="17"/>
  <c r="G149" i="17"/>
  <c r="H149" i="17"/>
  <c r="F149" i="17"/>
  <c r="F209" i="7"/>
  <c r="G209" i="7"/>
  <c r="E209" i="7"/>
  <c r="F207" i="7"/>
  <c r="G207" i="7"/>
  <c r="E207" i="7"/>
  <c r="M207" i="7"/>
  <c r="L207" i="7"/>
  <c r="E197" i="7"/>
  <c r="G2556" i="17"/>
  <c r="H2556" i="17"/>
  <c r="F2556" i="17"/>
  <c r="I2557" i="17"/>
  <c r="F2546" i="17"/>
  <c r="F2535" i="17"/>
  <c r="F2521" i="17"/>
  <c r="F2507" i="17"/>
  <c r="F2515" i="17" s="1"/>
  <c r="G2481" i="17"/>
  <c r="H2481" i="17"/>
  <c r="F2481" i="17"/>
  <c r="F2489" i="17"/>
  <c r="I2485" i="17"/>
  <c r="F2455" i="17"/>
  <c r="F2443" i="17"/>
  <c r="F2431" i="17"/>
  <c r="F2416" i="17"/>
  <c r="F2395" i="17"/>
  <c r="F2382" i="17"/>
  <c r="F2369" i="17"/>
  <c r="F2352" i="17"/>
  <c r="F2322" i="17"/>
  <c r="F2309" i="17"/>
  <c r="F2292" i="17"/>
  <c r="F2272" i="17"/>
  <c r="F2259" i="17"/>
  <c r="F2246" i="17"/>
  <c r="F2231" i="17"/>
  <c r="F2219" i="17"/>
  <c r="F2204" i="17"/>
  <c r="F2191" i="17"/>
  <c r="F2176" i="17"/>
  <c r="F2162" i="17"/>
  <c r="F2149" i="17"/>
  <c r="F2134" i="17"/>
  <c r="F2123" i="17"/>
  <c r="F2110" i="17"/>
  <c r="F2098" i="17"/>
  <c r="G2085" i="17"/>
  <c r="H2085" i="17"/>
  <c r="F2085" i="17"/>
  <c r="I2088" i="17"/>
  <c r="F2068" i="17"/>
  <c r="F2057" i="17"/>
  <c r="F2045" i="17"/>
  <c r="F2043" i="17"/>
  <c r="F2041" i="17"/>
  <c r="G2033" i="17"/>
  <c r="H2033" i="17"/>
  <c r="F2033" i="17"/>
  <c r="F2028" i="17"/>
  <c r="F2026" i="17"/>
  <c r="F2017" i="17"/>
  <c r="F2015" i="17"/>
  <c r="F2013" i="17"/>
  <c r="G2003" i="17"/>
  <c r="H2003" i="17"/>
  <c r="F2003" i="17"/>
  <c r="I2009" i="17"/>
  <c r="I2010" i="17"/>
  <c r="F1980" i="17"/>
  <c r="F1978" i="17"/>
  <c r="H1969" i="17"/>
  <c r="G1969" i="17"/>
  <c r="F1969" i="17"/>
  <c r="F1976" i="17"/>
  <c r="I1975" i="17"/>
  <c r="F1965" i="17"/>
  <c r="F1963" i="17"/>
  <c r="F1961" i="17"/>
  <c r="F1952" i="17"/>
  <c r="F1950" i="17"/>
  <c r="F1944" i="17"/>
  <c r="F1932" i="17"/>
  <c r="F1930" i="17"/>
  <c r="F1928" i="17"/>
  <c r="I1929" i="17"/>
  <c r="H1928" i="17"/>
  <c r="G1928" i="17"/>
  <c r="F1926" i="17"/>
  <c r="G1920" i="17"/>
  <c r="H1920" i="17"/>
  <c r="F1920" i="17"/>
  <c r="F1916" i="17"/>
  <c r="H1916" i="17"/>
  <c r="G1916" i="17"/>
  <c r="I1894" i="17"/>
  <c r="I1896" i="17"/>
  <c r="F1897" i="17"/>
  <c r="G1889" i="17"/>
  <c r="H1889" i="17"/>
  <c r="F1889" i="17"/>
  <c r="I1893" i="17"/>
  <c r="F1885" i="17"/>
  <c r="F1883" i="17"/>
  <c r="F1873" i="17"/>
  <c r="G1865" i="17"/>
  <c r="H1865" i="17"/>
  <c r="F1865" i="17"/>
  <c r="I1868" i="17"/>
  <c r="I1869" i="17"/>
  <c r="I1870" i="17"/>
  <c r="F1859" i="17"/>
  <c r="F1861" i="17"/>
  <c r="F1849" i="17"/>
  <c r="F1847" i="17"/>
  <c r="F1845" i="17"/>
  <c r="G1837" i="17"/>
  <c r="H1837" i="17"/>
  <c r="F1837" i="17"/>
  <c r="I1842" i="17"/>
  <c r="I1841" i="17"/>
  <c r="F1833" i="17"/>
  <c r="F1831" i="17"/>
  <c r="G1801" i="17"/>
  <c r="H1801" i="17"/>
  <c r="F1801" i="17"/>
  <c r="I1820" i="17"/>
  <c r="H1819" i="17"/>
  <c r="G1819" i="17"/>
  <c r="F1819" i="17"/>
  <c r="F1815" i="17"/>
  <c r="F1813" i="17"/>
  <c r="I1810" i="17"/>
  <c r="I1809" i="17"/>
  <c r="F1797" i="17"/>
  <c r="F1795" i="17"/>
  <c r="H207" i="7" l="1"/>
  <c r="I160" i="17"/>
  <c r="I149" i="17"/>
  <c r="I1928" i="17"/>
  <c r="I1819" i="17"/>
  <c r="F1785" i="17"/>
  <c r="F1783" i="17"/>
  <c r="G1775" i="17"/>
  <c r="H1775" i="17"/>
  <c r="F1775" i="17"/>
  <c r="I1779" i="17"/>
  <c r="I1780" i="17"/>
  <c r="F1771" i="17"/>
  <c r="F1769" i="17"/>
  <c r="F1761" i="17"/>
  <c r="G1753" i="17"/>
  <c r="H1753" i="17"/>
  <c r="F1753" i="17"/>
  <c r="I1755" i="17"/>
  <c r="F1749" i="17"/>
  <c r="F1747" i="17"/>
  <c r="I1736" i="17"/>
  <c r="H1735" i="17"/>
  <c r="G1735" i="17"/>
  <c r="F1735" i="17"/>
  <c r="F1733" i="17"/>
  <c r="F1731" i="17"/>
  <c r="G1719" i="17"/>
  <c r="H1719" i="17"/>
  <c r="F1719" i="17"/>
  <c r="I1727" i="17"/>
  <c r="I1728" i="17"/>
  <c r="G1729" i="17"/>
  <c r="H1729" i="17"/>
  <c r="I1730" i="17"/>
  <c r="F1709" i="17"/>
  <c r="F1713" i="17"/>
  <c r="F1715" i="17"/>
  <c r="F1699" i="17"/>
  <c r="F1697" i="17"/>
  <c r="G1687" i="17"/>
  <c r="H1687" i="17"/>
  <c r="F1687" i="17"/>
  <c r="I1694" i="17"/>
  <c r="I1693" i="17"/>
  <c r="F1678" i="17"/>
  <c r="F1683" i="17"/>
  <c r="I1729" i="17" l="1"/>
  <c r="I1735" i="17"/>
  <c r="F1665" i="17"/>
  <c r="G1661" i="17"/>
  <c r="H1661" i="17"/>
  <c r="F1661" i="17"/>
  <c r="I1662" i="17"/>
  <c r="I1663" i="17"/>
  <c r="I1664" i="17"/>
  <c r="F1653" i="17"/>
  <c r="F1648" i="17"/>
  <c r="F1624" i="17"/>
  <c r="F1622" i="17"/>
  <c r="G1614" i="17"/>
  <c r="H1614" i="17"/>
  <c r="F1614" i="17"/>
  <c r="I1617" i="17"/>
  <c r="I1618" i="17"/>
  <c r="I1619" i="17"/>
  <c r="F1610" i="17"/>
  <c r="F1608" i="17"/>
  <c r="F1588" i="17"/>
  <c r="F1597" i="17"/>
  <c r="I1661" i="17" l="1"/>
  <c r="F1571" i="17"/>
  <c r="G1562" i="17"/>
  <c r="H1562" i="17"/>
  <c r="F1562" i="17"/>
  <c r="I1567" i="17"/>
  <c r="I1566" i="17"/>
  <c r="G1554" i="17"/>
  <c r="H1554" i="17"/>
  <c r="F1554" i="17"/>
  <c r="I1555" i="17"/>
  <c r="F1550" i="17"/>
  <c r="F1539" i="17"/>
  <c r="F1537" i="17"/>
  <c r="F1535" i="17"/>
  <c r="G1528" i="17"/>
  <c r="H1528" i="17"/>
  <c r="F1528" i="17"/>
  <c r="I1532" i="17"/>
  <c r="F1524" i="17"/>
  <c r="F1522" i="17"/>
  <c r="F1513" i="17"/>
  <c r="F1511" i="17"/>
  <c r="G1505" i="17"/>
  <c r="H1505" i="17"/>
  <c r="F1505" i="17"/>
  <c r="F1501" i="17"/>
  <c r="F1499" i="17"/>
  <c r="G1490" i="17"/>
  <c r="H1490" i="17"/>
  <c r="F1490" i="17"/>
  <c r="I1491" i="17"/>
  <c r="F1488" i="17"/>
  <c r="F1486" i="17"/>
  <c r="F1480" i="17"/>
  <c r="G1467" i="17"/>
  <c r="H1467" i="17"/>
  <c r="F1467" i="17"/>
  <c r="G1471" i="17"/>
  <c r="H1471" i="17"/>
  <c r="F1471" i="17"/>
  <c r="F1462" i="17"/>
  <c r="F1460" i="17"/>
  <c r="F1440" i="17"/>
  <c r="F1427" i="17"/>
  <c r="F1425" i="17"/>
  <c r="F1423" i="17"/>
  <c r="F1417" i="17"/>
  <c r="G1401" i="17"/>
  <c r="H1401" i="17"/>
  <c r="F1401" i="17"/>
  <c r="I1406" i="17"/>
  <c r="I1407" i="17"/>
  <c r="F1391" i="17"/>
  <c r="F1389" i="17"/>
  <c r="G1379" i="17"/>
  <c r="H1379" i="17"/>
  <c r="F1379" i="17"/>
  <c r="I1385" i="17"/>
  <c r="I1386" i="17"/>
  <c r="I1380" i="17"/>
  <c r="H1361" i="17"/>
  <c r="G1361" i="17"/>
  <c r="F1361" i="17"/>
  <c r="F1344" i="17"/>
  <c r="F1334" i="17"/>
  <c r="G1324" i="17"/>
  <c r="H1324" i="17"/>
  <c r="F1324" i="17"/>
  <c r="F1313" i="17"/>
  <c r="F1311" i="17"/>
  <c r="G1303" i="17"/>
  <c r="H1303" i="17"/>
  <c r="F1303" i="17"/>
  <c r="I1308" i="17"/>
  <c r="I1307" i="17"/>
  <c r="F1299" i="17"/>
  <c r="F1297" i="17"/>
  <c r="F1295" i="17"/>
  <c r="G1276" i="17"/>
  <c r="H1276" i="17"/>
  <c r="F1276" i="17"/>
  <c r="F1285" i="17"/>
  <c r="I1281" i="17"/>
  <c r="I1280" i="17"/>
  <c r="F1271" i="17"/>
  <c r="F1269" i="17"/>
  <c r="F1257" i="17"/>
  <c r="F1255" i="17"/>
  <c r="G1245" i="17"/>
  <c r="H1245" i="17"/>
  <c r="F1245" i="17"/>
  <c r="I1251" i="17"/>
  <c r="F1229" i="17"/>
  <c r="F1217" i="17"/>
  <c r="F1215" i="17"/>
  <c r="F1213" i="17"/>
  <c r="F1207" i="17"/>
  <c r="G1201" i="17"/>
  <c r="H1201" i="17"/>
  <c r="F1201" i="17"/>
  <c r="I1205" i="17"/>
  <c r="I1206" i="17"/>
  <c r="I1203" i="17"/>
  <c r="F1199" i="17"/>
  <c r="F1175" i="17"/>
  <c r="F1191" i="17"/>
  <c r="F1189" i="17"/>
  <c r="F1187" i="17"/>
  <c r="I1182" i="17"/>
  <c r="F1143" i="17"/>
  <c r="F1141" i="17"/>
  <c r="F1139" i="17"/>
  <c r="F1153" i="17"/>
  <c r="F1157" i="17" s="1"/>
  <c r="G1131" i="17"/>
  <c r="H1131" i="17"/>
  <c r="F1131" i="17"/>
  <c r="I1134" i="17"/>
  <c r="I1135" i="17"/>
  <c r="I1136" i="17"/>
  <c r="F1126" i="17"/>
  <c r="F1124" i="17"/>
  <c r="F1117" i="17"/>
  <c r="H1111" i="17"/>
  <c r="G1111" i="17"/>
  <c r="F1111" i="17"/>
  <c r="G1096" i="17"/>
  <c r="H1096" i="17"/>
  <c r="F1096" i="17"/>
  <c r="I1097" i="17"/>
  <c r="F1053" i="17"/>
  <c r="H1053" i="17"/>
  <c r="G1053" i="17"/>
  <c r="F1073" i="17"/>
  <c r="F1071" i="17"/>
  <c r="F1084" i="17"/>
  <c r="F1088" i="17" s="1"/>
  <c r="I1064" i="17"/>
  <c r="I1063" i="17"/>
  <c r="I1061" i="17"/>
  <c r="I1054" i="17"/>
  <c r="F1042" i="17"/>
  <c r="F1040" i="17"/>
  <c r="F1034" i="17"/>
  <c r="F1029" i="17"/>
  <c r="F1025" i="17"/>
  <c r="G1008" i="17"/>
  <c r="H1008" i="17"/>
  <c r="F1008" i="17"/>
  <c r="I1015" i="17"/>
  <c r="I1014" i="17"/>
  <c r="F1492" i="17" l="1"/>
  <c r="I1490" i="17"/>
  <c r="F1517" i="17"/>
  <c r="F1473" i="17"/>
  <c r="F1221" i="17"/>
  <c r="I1000" i="17"/>
  <c r="G999" i="17"/>
  <c r="H999" i="17"/>
  <c r="F999" i="17"/>
  <c r="F997" i="17"/>
  <c r="F995" i="17"/>
  <c r="G987" i="17"/>
  <c r="H987" i="17"/>
  <c r="F987" i="17"/>
  <c r="I993" i="17"/>
  <c r="I994" i="17"/>
  <c r="F975" i="17"/>
  <c r="F973" i="17"/>
  <c r="G964" i="17"/>
  <c r="H964" i="17"/>
  <c r="F964" i="17"/>
  <c r="I970" i="17"/>
  <c r="I969" i="17"/>
  <c r="F960" i="17"/>
  <c r="G957" i="17"/>
  <c r="H957" i="17"/>
  <c r="F957" i="17"/>
  <c r="I958" i="17"/>
  <c r="I999" i="17" l="1"/>
  <c r="F1001" i="17"/>
  <c r="G936" i="17"/>
  <c r="H936" i="17"/>
  <c r="F936" i="17"/>
  <c r="I938" i="17"/>
  <c r="F947" i="17"/>
  <c r="F945" i="17"/>
  <c r="F932" i="17"/>
  <c r="F930" i="17"/>
  <c r="F926" i="17"/>
  <c r="G910" i="17"/>
  <c r="H910" i="17"/>
  <c r="F910" i="17"/>
  <c r="I917" i="17"/>
  <c r="I916" i="17"/>
  <c r="F906" i="17"/>
  <c r="G903" i="17"/>
  <c r="H903" i="17"/>
  <c r="F903" i="17"/>
  <c r="I904" i="17"/>
  <c r="F883" i="17"/>
  <c r="F881" i="17"/>
  <c r="G873" i="17"/>
  <c r="F873" i="17"/>
  <c r="F854" i="17"/>
  <c r="F852" i="17"/>
  <c r="F859" i="17"/>
  <c r="F863" i="17" s="1"/>
  <c r="G845" i="17"/>
  <c r="H845" i="17"/>
  <c r="F845" i="17"/>
  <c r="I851" i="17"/>
  <c r="I850" i="17"/>
  <c r="F839" i="17"/>
  <c r="F837" i="17"/>
  <c r="F827" i="17"/>
  <c r="F818" i="17"/>
  <c r="F814" i="17"/>
  <c r="F825" i="17"/>
  <c r="F812" i="17"/>
  <c r="H791" i="17"/>
  <c r="G791" i="17"/>
  <c r="F791" i="17"/>
  <c r="G786" i="17"/>
  <c r="H786" i="17"/>
  <c r="H794" i="17" s="1"/>
  <c r="F786" i="17"/>
  <c r="F774" i="17"/>
  <c r="F772" i="17"/>
  <c r="G765" i="17"/>
  <c r="H765" i="17"/>
  <c r="F765" i="17"/>
  <c r="F752" i="17"/>
  <c r="I751" i="17"/>
  <c r="G750" i="17"/>
  <c r="H750" i="17"/>
  <c r="F750" i="17"/>
  <c r="G740" i="17"/>
  <c r="H740" i="17"/>
  <c r="F740" i="17"/>
  <c r="I749" i="17"/>
  <c r="I748" i="17"/>
  <c r="I744" i="17"/>
  <c r="F726" i="17"/>
  <c r="G718" i="17"/>
  <c r="H718" i="17"/>
  <c r="F718" i="17"/>
  <c r="I722" i="17"/>
  <c r="I719" i="17"/>
  <c r="G794" i="17" l="1"/>
  <c r="F920" i="17"/>
  <c r="F776" i="17"/>
  <c r="I750" i="17"/>
  <c r="F730" i="17"/>
  <c r="F756" i="17"/>
  <c r="F705" i="17"/>
  <c r="F701" i="17"/>
  <c r="G691" i="17"/>
  <c r="H691" i="17"/>
  <c r="F691" i="17"/>
  <c r="I697" i="17"/>
  <c r="I698" i="17"/>
  <c r="I695" i="17"/>
  <c r="I682" i="17"/>
  <c r="G673" i="17"/>
  <c r="H673" i="17"/>
  <c r="F673" i="17"/>
  <c r="G681" i="17"/>
  <c r="H681" i="17"/>
  <c r="F681" i="17"/>
  <c r="I677" i="17"/>
  <c r="I678" i="17"/>
  <c r="I679" i="17"/>
  <c r="I680" i="17"/>
  <c r="G654" i="17"/>
  <c r="H654" i="17"/>
  <c r="F654" i="17"/>
  <c r="I662" i="17"/>
  <c r="I661" i="17"/>
  <c r="I659" i="17"/>
  <c r="G636" i="17"/>
  <c r="H636" i="17"/>
  <c r="F636" i="17"/>
  <c r="I641" i="17"/>
  <c r="F709" i="17" l="1"/>
  <c r="F683" i="17"/>
  <c r="I681" i="17"/>
  <c r="H683" i="17"/>
  <c r="G683" i="17"/>
  <c r="F612" i="17"/>
  <c r="H612" i="17"/>
  <c r="G612" i="17"/>
  <c r="F625" i="17"/>
  <c r="F623" i="17"/>
  <c r="F621" i="17"/>
  <c r="I619" i="17"/>
  <c r="I620" i="17"/>
  <c r="F629" i="17" l="1"/>
  <c r="I616" i="17"/>
  <c r="G595" i="17"/>
  <c r="H595" i="17"/>
  <c r="F595" i="17"/>
  <c r="F605" i="17" s="1"/>
  <c r="I601" i="17"/>
  <c r="I602" i="17"/>
  <c r="I599" i="17"/>
  <c r="F586" i="17"/>
  <c r="G580" i="17"/>
  <c r="H580" i="17"/>
  <c r="F580" i="17"/>
  <c r="I584" i="17"/>
  <c r="F565" i="17"/>
  <c r="F561" i="17"/>
  <c r="G569" i="17"/>
  <c r="G572" i="17" s="1"/>
  <c r="H569" i="17"/>
  <c r="F569" i="17"/>
  <c r="F572" i="17" s="1"/>
  <c r="I570" i="17"/>
  <c r="I571" i="17"/>
  <c r="H572" i="17"/>
  <c r="G553" i="17"/>
  <c r="H553" i="17"/>
  <c r="F553" i="17"/>
  <c r="I559" i="17"/>
  <c r="I560" i="17"/>
  <c r="F542" i="17"/>
  <c r="F536" i="17"/>
  <c r="G527" i="17"/>
  <c r="H527" i="17"/>
  <c r="F527" i="17"/>
  <c r="I532" i="17"/>
  <c r="F568" i="17" l="1"/>
  <c r="R572" i="17" s="1"/>
  <c r="I572" i="17"/>
  <c r="I569" i="17"/>
  <c r="G499" i="17"/>
  <c r="H499" i="17"/>
  <c r="F499" i="17"/>
  <c r="F511" i="17"/>
  <c r="I508" i="17"/>
  <c r="I507" i="17"/>
  <c r="I505" i="17"/>
  <c r="I501" i="17"/>
  <c r="G480" i="17"/>
  <c r="H480" i="17"/>
  <c r="F480" i="17"/>
  <c r="I484" i="17"/>
  <c r="I483" i="17"/>
  <c r="I482" i="17"/>
  <c r="I481" i="17"/>
  <c r="F468" i="17" l="1"/>
  <c r="F466" i="17"/>
  <c r="G456" i="17"/>
  <c r="H456" i="17"/>
  <c r="F456" i="17"/>
  <c r="G463" i="17"/>
  <c r="H463" i="17"/>
  <c r="F463" i="17"/>
  <c r="I463" i="17" l="1"/>
  <c r="F445" i="17"/>
  <c r="F443" i="17"/>
  <c r="F437" i="17"/>
  <c r="I436" i="17"/>
  <c r="I435" i="17"/>
  <c r="G434" i="17"/>
  <c r="H434" i="17"/>
  <c r="F434" i="17"/>
  <c r="F432" i="17"/>
  <c r="F430" i="17"/>
  <c r="F425" i="17"/>
  <c r="F447" i="17" l="1"/>
  <c r="I434" i="17"/>
  <c r="F402" i="17"/>
  <c r="F400" i="17"/>
  <c r="F398" i="17"/>
  <c r="F396" i="17"/>
  <c r="F394" i="17"/>
  <c r="H390" i="17"/>
  <c r="G390" i="17"/>
  <c r="F390" i="17"/>
  <c r="F385" i="17"/>
  <c r="G360" i="17"/>
  <c r="H360" i="17"/>
  <c r="F360" i="17"/>
  <c r="F375" i="17"/>
  <c r="F373" i="17"/>
  <c r="F371" i="17"/>
  <c r="G368" i="17"/>
  <c r="H368" i="17"/>
  <c r="F368" i="17"/>
  <c r="I364" i="17"/>
  <c r="F347" i="17"/>
  <c r="F345" i="17"/>
  <c r="I346" i="17"/>
  <c r="H345" i="17"/>
  <c r="G345" i="17"/>
  <c r="G347" i="17"/>
  <c r="H347" i="17"/>
  <c r="F333" i="17"/>
  <c r="F338" i="17"/>
  <c r="F325" i="17"/>
  <c r="F323" i="17"/>
  <c r="F316" i="17"/>
  <c r="G316" i="17"/>
  <c r="F311" i="17"/>
  <c r="F303" i="17"/>
  <c r="F296" i="17"/>
  <c r="F286" i="17"/>
  <c r="F282" i="17"/>
  <c r="G282" i="17"/>
  <c r="F277" i="17"/>
  <c r="F269" i="17"/>
  <c r="F267" i="17"/>
  <c r="H261" i="17"/>
  <c r="G261" i="17"/>
  <c r="F261" i="17"/>
  <c r="F250" i="17"/>
  <c r="F248" i="17"/>
  <c r="F244" i="17"/>
  <c r="I368" i="17" l="1"/>
  <c r="F404" i="17"/>
  <c r="I347" i="17"/>
  <c r="I345" i="17"/>
  <c r="F234" i="17"/>
  <c r="F232" i="17"/>
  <c r="F222" i="17"/>
  <c r="F220" i="17"/>
  <c r="F226" i="17" l="1"/>
  <c r="G207" i="17"/>
  <c r="H207" i="17"/>
  <c r="F207" i="17"/>
  <c r="F211" i="17"/>
  <c r="F209" i="17"/>
  <c r="I208" i="17"/>
  <c r="G203" i="17"/>
  <c r="H203" i="17"/>
  <c r="F203" i="17"/>
  <c r="I205" i="17"/>
  <c r="G200" i="17"/>
  <c r="H200" i="17"/>
  <c r="F200" i="17"/>
  <c r="I202" i="17"/>
  <c r="I201" i="17"/>
  <c r="F198" i="17"/>
  <c r="G189" i="17"/>
  <c r="H189" i="17"/>
  <c r="F189" i="17"/>
  <c r="I191" i="17"/>
  <c r="F187" i="17"/>
  <c r="H180" i="17"/>
  <c r="H182" i="17" s="1"/>
  <c r="G180" i="17"/>
  <c r="G182" i="17" s="1"/>
  <c r="F180" i="17"/>
  <c r="F182" i="17" s="1"/>
  <c r="F172" i="17"/>
  <c r="G172" i="17"/>
  <c r="G168" i="17"/>
  <c r="H168" i="17"/>
  <c r="F168" i="17"/>
  <c r="F174" i="17" s="1"/>
  <c r="I170" i="17"/>
  <c r="F158" i="17"/>
  <c r="F156" i="17"/>
  <c r="F154" i="17"/>
  <c r="F151" i="17"/>
  <c r="G145" i="17"/>
  <c r="H145" i="17"/>
  <c r="F145" i="17"/>
  <c r="I147" i="17"/>
  <c r="F143" i="17"/>
  <c r="F135" i="17"/>
  <c r="I134" i="17"/>
  <c r="H133" i="17"/>
  <c r="G133" i="17"/>
  <c r="F133" i="17"/>
  <c r="G131" i="17"/>
  <c r="H131" i="17"/>
  <c r="F131" i="17"/>
  <c r="F129" i="17"/>
  <c r="F127" i="17"/>
  <c r="F125" i="17"/>
  <c r="G118" i="17"/>
  <c r="H118" i="17"/>
  <c r="F118" i="17"/>
  <c r="I123" i="17"/>
  <c r="I124" i="17"/>
  <c r="I121" i="17"/>
  <c r="I117" i="17"/>
  <c r="H116" i="17"/>
  <c r="G116" i="17"/>
  <c r="F116" i="17"/>
  <c r="F114" i="17"/>
  <c r="F112" i="17"/>
  <c r="I105" i="17"/>
  <c r="G104" i="17"/>
  <c r="H104" i="17"/>
  <c r="F104" i="17"/>
  <c r="F102" i="17"/>
  <c r="F100" i="17"/>
  <c r="F98" i="17"/>
  <c r="I97" i="17"/>
  <c r="G94" i="17"/>
  <c r="H94" i="17"/>
  <c r="F94" i="17"/>
  <c r="I96" i="17"/>
  <c r="G88" i="17"/>
  <c r="H88" i="17"/>
  <c r="F88" i="17"/>
  <c r="I92" i="17"/>
  <c r="I93" i="17"/>
  <c r="I90" i="17"/>
  <c r="I81" i="17"/>
  <c r="G80" i="17"/>
  <c r="H80" i="17"/>
  <c r="F80" i="17"/>
  <c r="H77" i="17"/>
  <c r="F77" i="17"/>
  <c r="G77" i="17"/>
  <c r="F75" i="17"/>
  <c r="F73" i="17"/>
  <c r="F71" i="17"/>
  <c r="G65" i="17"/>
  <c r="H65" i="17"/>
  <c r="F65" i="17"/>
  <c r="I69" i="17"/>
  <c r="I70" i="17"/>
  <c r="I67" i="17"/>
  <c r="F162" i="17" l="1"/>
  <c r="I104" i="17"/>
  <c r="F215" i="17"/>
  <c r="I200" i="17"/>
  <c r="F137" i="17"/>
  <c r="I133" i="17"/>
  <c r="F82" i="17"/>
  <c r="F106" i="17"/>
  <c r="I80" i="17"/>
  <c r="I116" i="17"/>
  <c r="H42" i="20" l="1"/>
  <c r="I42" i="20"/>
  <c r="G42" i="20"/>
  <c r="D42" i="20"/>
  <c r="E42" i="20"/>
  <c r="C42" i="20"/>
  <c r="L54" i="10"/>
  <c r="L59" i="10"/>
  <c r="H57" i="10"/>
  <c r="F59" i="10"/>
  <c r="G59" i="10"/>
  <c r="E59" i="10"/>
  <c r="F41" i="10"/>
  <c r="G41" i="10"/>
  <c r="G55" i="10" s="1"/>
  <c r="G54" i="10" s="1"/>
  <c r="E41" i="10"/>
  <c r="H60" i="5" l="1"/>
  <c r="L58" i="5"/>
  <c r="K58" i="5"/>
  <c r="G60" i="5"/>
  <c r="F60" i="5"/>
  <c r="F57" i="5"/>
  <c r="G57" i="5"/>
  <c r="E476" i="7"/>
  <c r="F176" i="8"/>
  <c r="G176" i="8"/>
  <c r="E176" i="8"/>
  <c r="F175" i="8"/>
  <c r="L194" i="246" l="1"/>
  <c r="M194" i="246"/>
  <c r="K194" i="246"/>
  <c r="K193" i="246"/>
  <c r="O183" i="242"/>
  <c r="O182" i="242"/>
  <c r="P101" i="240"/>
  <c r="Q101" i="240"/>
  <c r="O101" i="240"/>
  <c r="O100" i="240"/>
  <c r="P488" i="239"/>
  <c r="Q488" i="239"/>
  <c r="O488" i="239"/>
  <c r="O487" i="239"/>
  <c r="S463" i="7"/>
  <c r="T463" i="7"/>
  <c r="R463" i="7"/>
  <c r="L167" i="8"/>
  <c r="M167" i="8"/>
  <c r="L166" i="8"/>
  <c r="M166" i="8"/>
  <c r="K167" i="8"/>
  <c r="K166" i="8"/>
  <c r="K209" i="9"/>
  <c r="K208" i="9"/>
  <c r="M282" i="54"/>
  <c r="N282" i="54"/>
  <c r="L282" i="54"/>
  <c r="F57" i="10" l="1"/>
  <c r="G496" i="239"/>
  <c r="F498" i="239"/>
  <c r="F1042" i="277"/>
  <c r="G284" i="289" l="1"/>
  <c r="L284" i="289"/>
  <c r="K55" i="10"/>
  <c r="G292" i="54"/>
  <c r="F292" i="54"/>
  <c r="H259" i="20"/>
  <c r="I259" i="20"/>
  <c r="H258" i="20"/>
  <c r="I258" i="20"/>
  <c r="H257" i="20"/>
  <c r="I257" i="20"/>
  <c r="G258" i="20"/>
  <c r="G259" i="20"/>
  <c r="G257" i="20"/>
  <c r="I256" i="20"/>
  <c r="D259" i="20"/>
  <c r="E259" i="20"/>
  <c r="C259" i="20"/>
  <c r="D258" i="20"/>
  <c r="E258" i="20"/>
  <c r="C258" i="20"/>
  <c r="D257" i="20"/>
  <c r="E257" i="20"/>
  <c r="C257" i="20"/>
  <c r="H127" i="20"/>
  <c r="L157" i="20" s="1"/>
  <c r="I127" i="20"/>
  <c r="M157" i="20" s="1"/>
  <c r="G127" i="20"/>
  <c r="K157" i="20" s="1"/>
  <c r="D127" i="20"/>
  <c r="E127" i="20"/>
  <c r="C127" i="20"/>
  <c r="H160" i="20"/>
  <c r="I160" i="20"/>
  <c r="G160" i="20"/>
  <c r="D160" i="20"/>
  <c r="E160" i="20"/>
  <c r="C160" i="20"/>
  <c r="H16" i="294"/>
  <c r="F12" i="294"/>
  <c r="F16" i="294" s="1"/>
  <c r="G12" i="294"/>
  <c r="E12" i="294"/>
  <c r="E16" i="294" s="1"/>
  <c r="H12" i="294"/>
  <c r="H11" i="294"/>
  <c r="G16" i="294"/>
  <c r="F258" i="20" l="1"/>
  <c r="D256" i="20"/>
  <c r="T158" i="20"/>
  <c r="T152" i="20"/>
  <c r="H256" i="20"/>
  <c r="R152" i="20"/>
  <c r="R158" i="20"/>
  <c r="S152" i="20"/>
  <c r="S158" i="20"/>
  <c r="G256" i="20"/>
  <c r="C256" i="20"/>
  <c r="E256" i="20"/>
  <c r="F256" i="20" s="1"/>
  <c r="F257" i="20"/>
  <c r="F160" i="20"/>
  <c r="H29" i="292"/>
  <c r="H28" i="292"/>
  <c r="H12" i="292"/>
  <c r="H97" i="289"/>
  <c r="H82" i="289"/>
  <c r="H83" i="289"/>
  <c r="H23" i="276" l="1"/>
  <c r="H18" i="274"/>
  <c r="F320" i="250"/>
  <c r="I24" i="250"/>
  <c r="G51" i="247" l="1"/>
  <c r="F51" i="247"/>
  <c r="E51" i="247"/>
  <c r="G49" i="247"/>
  <c r="F49" i="247"/>
  <c r="E49" i="247"/>
  <c r="F36" i="247"/>
  <c r="G36" i="247"/>
  <c r="E36" i="247"/>
  <c r="E108" i="246"/>
  <c r="E28" i="246" l="1"/>
  <c r="E18" i="246"/>
  <c r="E16" i="246"/>
  <c r="E10" i="246"/>
  <c r="E199" i="245"/>
  <c r="E191" i="245"/>
  <c r="E185" i="245"/>
  <c r="E171" i="245"/>
  <c r="E166" i="245"/>
  <c r="E146" i="245"/>
  <c r="E144" i="245"/>
  <c r="E140" i="245"/>
  <c r="E96" i="245"/>
  <c r="E94" i="245"/>
  <c r="E92" i="245"/>
  <c r="E84" i="245"/>
  <c r="E80" i="245"/>
  <c r="E78" i="245"/>
  <c r="E68" i="245"/>
  <c r="E66" i="245"/>
  <c r="E64" i="245"/>
  <c r="E51" i="245"/>
  <c r="E49" i="245"/>
  <c r="E47" i="245"/>
  <c r="E45" i="245"/>
  <c r="E35" i="245"/>
  <c r="E27" i="245"/>
  <c r="E23" i="245"/>
  <c r="E21" i="245"/>
  <c r="E11" i="245"/>
  <c r="H142" i="242"/>
  <c r="H135" i="242"/>
  <c r="H113" i="242"/>
  <c r="E80" i="242"/>
  <c r="E69" i="242"/>
  <c r="E16" i="242"/>
  <c r="L63" i="240"/>
  <c r="E60" i="240"/>
  <c r="H54" i="240"/>
  <c r="H115" i="240"/>
  <c r="L114" i="240"/>
  <c r="L120" i="240"/>
  <c r="K63" i="240"/>
  <c r="E406" i="239" l="1"/>
  <c r="E400" i="239"/>
  <c r="E389" i="239"/>
  <c r="E383" i="239"/>
  <c r="E372" i="239"/>
  <c r="E361" i="239" l="1"/>
  <c r="E350" i="239"/>
  <c r="E339" i="239"/>
  <c r="E328" i="239"/>
  <c r="E317" i="239"/>
  <c r="E306" i="239"/>
  <c r="E295" i="239"/>
  <c r="E284" i="239"/>
  <c r="E273" i="239"/>
  <c r="E262" i="239"/>
  <c r="E256" i="239"/>
  <c r="E245" i="239"/>
  <c r="E234" i="239"/>
  <c r="E228" i="239"/>
  <c r="E217" i="239"/>
  <c r="E214" i="239"/>
  <c r="E203" i="239"/>
  <c r="E192" i="239"/>
  <c r="E181" i="239"/>
  <c r="E170" i="239"/>
  <c r="E168" i="239"/>
  <c r="H156" i="239"/>
  <c r="H157" i="239"/>
  <c r="H158" i="239"/>
  <c r="H159" i="239"/>
  <c r="E154" i="239"/>
  <c r="E151" i="239"/>
  <c r="G147" i="239"/>
  <c r="F147" i="239"/>
  <c r="E147" i="239"/>
  <c r="E145" i="239"/>
  <c r="E134" i="239"/>
  <c r="E123" i="239"/>
  <c r="E112" i="239"/>
  <c r="E100" i="239"/>
  <c r="E89" i="239"/>
  <c r="E78" i="239"/>
  <c r="E64" i="239"/>
  <c r="E62" i="239"/>
  <c r="E60" i="239"/>
  <c r="E58" i="239"/>
  <c r="E56" i="239"/>
  <c r="E54" i="239"/>
  <c r="E51" i="239"/>
  <c r="E49" i="239"/>
  <c r="H48" i="239"/>
  <c r="E36" i="239"/>
  <c r="E32" i="239"/>
  <c r="E30" i="239"/>
  <c r="E20" i="239"/>
  <c r="E17" i="239"/>
  <c r="E12" i="239"/>
  <c r="H105" i="8"/>
  <c r="G78" i="8"/>
  <c r="F78" i="8"/>
  <c r="E78" i="8"/>
  <c r="E49" i="8"/>
  <c r="E34" i="8"/>
  <c r="E32" i="8"/>
  <c r="H126" i="9"/>
  <c r="E119" i="9"/>
  <c r="E40" i="9"/>
  <c r="E31" i="10"/>
  <c r="E11" i="10"/>
  <c r="F28" i="5"/>
  <c r="G28" i="5"/>
  <c r="E28" i="5"/>
  <c r="F14" i="5"/>
  <c r="G14" i="5"/>
  <c r="E14" i="5"/>
  <c r="E205" i="54"/>
  <c r="H168" i="54"/>
  <c r="E96" i="54" l="1"/>
  <c r="E94" i="54"/>
  <c r="E92" i="54"/>
  <c r="E90" i="54"/>
  <c r="E88" i="54"/>
  <c r="E86" i="54"/>
  <c r="E83" i="54"/>
  <c r="E80" i="54"/>
  <c r="E76" i="54"/>
  <c r="E65" i="54"/>
  <c r="E63" i="54"/>
  <c r="E61" i="54"/>
  <c r="E59" i="54"/>
  <c r="E57" i="54"/>
  <c r="E55" i="54"/>
  <c r="E53" i="54"/>
  <c r="E51" i="54"/>
  <c r="E40" i="54"/>
  <c r="E292" i="54"/>
  <c r="F192" i="54"/>
  <c r="G192" i="54"/>
  <c r="E192" i="54"/>
  <c r="F166" i="54"/>
  <c r="G166" i="54"/>
  <c r="E166" i="54"/>
  <c r="F161" i="54"/>
  <c r="G161" i="54"/>
  <c r="E161" i="54"/>
  <c r="F157" i="54"/>
  <c r="G157" i="54"/>
  <c r="E157" i="54"/>
  <c r="F149" i="54"/>
  <c r="G149" i="54"/>
  <c r="E149" i="54"/>
  <c r="F147" i="54"/>
  <c r="G147" i="54"/>
  <c r="E147" i="54"/>
  <c r="F144" i="54"/>
  <c r="G144" i="54"/>
  <c r="E144" i="54"/>
  <c r="G88" i="54"/>
  <c r="F88" i="54"/>
  <c r="G86" i="54"/>
  <c r="F86" i="54"/>
  <c r="G83" i="54"/>
  <c r="F83" i="54"/>
  <c r="G80" i="54"/>
  <c r="F80" i="54"/>
  <c r="G76" i="54"/>
  <c r="F76" i="54"/>
  <c r="G65" i="54"/>
  <c r="F65" i="54"/>
  <c r="F16" i="54"/>
  <c r="G16" i="54"/>
  <c r="H17" i="54"/>
  <c r="F26" i="54"/>
  <c r="G26" i="54"/>
  <c r="H27" i="54"/>
  <c r="G462" i="7"/>
  <c r="F462" i="7"/>
  <c r="E462" i="7"/>
  <c r="T464" i="7"/>
  <c r="S464" i="7"/>
  <c r="R464" i="7"/>
  <c r="F70" i="7"/>
  <c r="F477" i="7" s="1"/>
  <c r="G70" i="7"/>
  <c r="G477" i="7" s="1"/>
  <c r="E70" i="7"/>
  <c r="E477" i="7" s="1"/>
  <c r="H16" i="54" l="1"/>
  <c r="H26" i="54"/>
  <c r="G332" i="7"/>
  <c r="F332" i="7"/>
  <c r="E332" i="7"/>
  <c r="M177" i="7"/>
  <c r="L177" i="7"/>
  <c r="M125" i="7"/>
  <c r="L125" i="7"/>
  <c r="F186" i="7"/>
  <c r="G186" i="7"/>
  <c r="E186" i="7"/>
  <c r="G177" i="7"/>
  <c r="F177" i="7"/>
  <c r="E177" i="7"/>
  <c r="G159" i="7"/>
  <c r="F159" i="7"/>
  <c r="E159" i="7"/>
  <c r="G131" i="7"/>
  <c r="F131" i="7"/>
  <c r="E131" i="7"/>
  <c r="F125" i="7"/>
  <c r="G125" i="7"/>
  <c r="E125" i="7"/>
  <c r="G114" i="7"/>
  <c r="F114" i="7"/>
  <c r="E114" i="7"/>
  <c r="G63" i="7"/>
  <c r="F63" i="7"/>
  <c r="F105" i="7" s="1"/>
  <c r="E63" i="7"/>
  <c r="E105" i="7" s="1"/>
  <c r="H52" i="7"/>
  <c r="H31" i="7"/>
  <c r="M31" i="7"/>
  <c r="L42" i="7"/>
  <c r="M42" i="7"/>
  <c r="G42" i="7"/>
  <c r="F42" i="7"/>
  <c r="M21" i="7"/>
  <c r="L21" i="7"/>
  <c r="G21" i="7"/>
  <c r="F21" i="7"/>
  <c r="E21" i="7"/>
  <c r="H39" i="7"/>
  <c r="F38" i="7"/>
  <c r="G38" i="7"/>
  <c r="H38" i="7" s="1"/>
  <c r="E38" i="7"/>
  <c r="L38" i="7"/>
  <c r="M38" i="7"/>
  <c r="K38" i="7"/>
  <c r="L50" i="7"/>
  <c r="M50" i="7"/>
  <c r="K50" i="7"/>
  <c r="H51" i="7"/>
  <c r="F50" i="7"/>
  <c r="G50" i="7"/>
  <c r="E50" i="7"/>
  <c r="H53" i="7"/>
  <c r="L29" i="7"/>
  <c r="M29" i="7"/>
  <c r="K29" i="7"/>
  <c r="F29" i="7"/>
  <c r="G29" i="7"/>
  <c r="E29" i="7"/>
  <c r="H30" i="7"/>
  <c r="G478" i="7" l="1"/>
  <c r="E118" i="7"/>
  <c r="E478" i="7"/>
  <c r="K485" i="7"/>
  <c r="F478" i="7"/>
  <c r="G105" i="7"/>
  <c r="H50" i="7"/>
  <c r="H29" i="7"/>
  <c r="H184" i="7"/>
  <c r="H162" i="7"/>
  <c r="M186" i="7" l="1"/>
  <c r="L186" i="7"/>
  <c r="H187" i="7"/>
  <c r="L34" i="7"/>
  <c r="M34" i="7"/>
  <c r="K34" i="7"/>
  <c r="H35" i="7"/>
  <c r="G34" i="7"/>
  <c r="F34" i="7"/>
  <c r="E34" i="7"/>
  <c r="H54" i="7"/>
  <c r="L36" i="7"/>
  <c r="M36" i="7"/>
  <c r="K36" i="7"/>
  <c r="F36" i="7"/>
  <c r="G36" i="7"/>
  <c r="E36" i="7"/>
  <c r="H37" i="7"/>
  <c r="H32" i="7"/>
  <c r="L20" i="7"/>
  <c r="M20" i="7"/>
  <c r="K20" i="7"/>
  <c r="F20" i="7"/>
  <c r="G20" i="7"/>
  <c r="E20" i="7"/>
  <c r="H22" i="7"/>
  <c r="L10" i="7"/>
  <c r="M10" i="7"/>
  <c r="K10" i="7"/>
  <c r="H11" i="7"/>
  <c r="F10" i="7"/>
  <c r="G10" i="7"/>
  <c r="E10" i="7"/>
  <c r="M209" i="7"/>
  <c r="L209" i="7"/>
  <c r="H19" i="7" l="1"/>
  <c r="H34" i="7"/>
  <c r="H36" i="7"/>
  <c r="H10" i="7"/>
  <c r="H204" i="7"/>
  <c r="M197" i="7"/>
  <c r="M242" i="7" s="1"/>
  <c r="L197" i="7"/>
  <c r="L242" i="7" s="1"/>
  <c r="H228" i="7"/>
  <c r="H227" i="7"/>
  <c r="H226" i="7"/>
  <c r="H225" i="7"/>
  <c r="H224" i="7"/>
  <c r="H223" i="7"/>
  <c r="H201" i="7"/>
  <c r="H222" i="7"/>
  <c r="H221" i="7"/>
  <c r="H229" i="7"/>
  <c r="H200" i="7"/>
  <c r="H202" i="7"/>
  <c r="L114" i="7"/>
  <c r="R478" i="7" s="1"/>
  <c r="M114" i="7"/>
  <c r="S478" i="7" s="1"/>
  <c r="H115" i="7"/>
  <c r="H116" i="7"/>
  <c r="H89" i="7"/>
  <c r="H208" i="7"/>
  <c r="H88" i="7"/>
  <c r="H71" i="7"/>
  <c r="H68" i="7"/>
  <c r="H66" i="7"/>
  <c r="H67" i="7"/>
  <c r="K63" i="7"/>
  <c r="L63" i="7"/>
  <c r="R475" i="7" s="1"/>
  <c r="M63" i="7"/>
  <c r="S475" i="7" s="1"/>
  <c r="K105" i="7" l="1"/>
  <c r="Q475" i="7"/>
  <c r="H454" i="7"/>
  <c r="H452" i="7"/>
  <c r="H431" i="7"/>
  <c r="H425" i="7"/>
  <c r="H421" i="7"/>
  <c r="H417" i="7"/>
  <c r="H416" i="7"/>
  <c r="H415" i="7"/>
  <c r="H413" i="7"/>
  <c r="H404" i="7"/>
  <c r="L387" i="7"/>
  <c r="M387" i="7"/>
  <c r="K387" i="7"/>
  <c r="H386" i="7"/>
  <c r="F387" i="7"/>
  <c r="G387" i="7"/>
  <c r="E387" i="7"/>
  <c r="E370" i="7"/>
  <c r="H357" i="7"/>
  <c r="F302" i="7" l="1"/>
  <c r="G302" i="7"/>
  <c r="E302" i="7"/>
  <c r="M302" i="7"/>
  <c r="L302" i="7"/>
  <c r="H301" i="7"/>
  <c r="H300" i="7"/>
  <c r="H299" i="7"/>
  <c r="H293" i="7"/>
  <c r="H288" i="7"/>
  <c r="H283" i="7"/>
  <c r="H278" i="7"/>
  <c r="H274" i="7"/>
  <c r="H270" i="7"/>
  <c r="H269" i="7"/>
  <c r="H265" i="7"/>
  <c r="H263" i="7"/>
  <c r="H258" i="7"/>
  <c r="H251" i="7" l="1"/>
  <c r="H252" i="7"/>
  <c r="G1910" i="250" l="1"/>
  <c r="H1910" i="250"/>
  <c r="F1910" i="250"/>
  <c r="I1912" i="250"/>
  <c r="H151" i="247"/>
  <c r="I1760" i="250"/>
  <c r="H1759" i="250"/>
  <c r="H1761" i="250" s="1"/>
  <c r="G1759" i="250"/>
  <c r="G1761" i="250" s="1"/>
  <c r="F1759" i="250"/>
  <c r="F1761" i="250" s="1"/>
  <c r="I1736" i="250"/>
  <c r="H1735" i="250"/>
  <c r="H1737" i="250" s="1"/>
  <c r="G1735" i="250"/>
  <c r="G1737" i="250" s="1"/>
  <c r="F1735" i="250"/>
  <c r="F1737" i="250" s="1"/>
  <c r="I1562" i="250"/>
  <c r="H1561" i="250"/>
  <c r="H1563" i="250" s="1"/>
  <c r="G1561" i="250"/>
  <c r="G1563" i="250" s="1"/>
  <c r="F1561" i="250"/>
  <c r="F1563" i="250" s="1"/>
  <c r="I1525" i="250"/>
  <c r="H1524" i="250"/>
  <c r="H1526" i="250" s="1"/>
  <c r="G1524" i="250"/>
  <c r="G1526" i="250" s="1"/>
  <c r="F1524" i="250"/>
  <c r="F1526" i="250" s="1"/>
  <c r="I1511" i="250"/>
  <c r="H1510" i="250"/>
  <c r="H1512" i="250" s="1"/>
  <c r="G1510" i="250"/>
  <c r="G1512" i="250" s="1"/>
  <c r="F1510" i="250"/>
  <c r="F1512" i="250" s="1"/>
  <c r="I1499" i="250"/>
  <c r="H1498" i="250"/>
  <c r="H1500" i="250" s="1"/>
  <c r="G1498" i="250"/>
  <c r="G1500" i="250" s="1"/>
  <c r="F1498" i="250"/>
  <c r="F1500" i="250" s="1"/>
  <c r="I1466" i="250"/>
  <c r="H1465" i="250"/>
  <c r="H1467" i="250" s="1"/>
  <c r="G1465" i="250"/>
  <c r="G1467" i="250" s="1"/>
  <c r="F1465" i="250"/>
  <c r="F1467" i="250" s="1"/>
  <c r="I1452" i="250"/>
  <c r="H1451" i="250"/>
  <c r="H1453" i="250" s="1"/>
  <c r="G1451" i="250"/>
  <c r="G1453" i="250" s="1"/>
  <c r="F1451" i="250"/>
  <c r="F1453" i="250" s="1"/>
  <c r="I1439" i="250"/>
  <c r="H1438" i="250"/>
  <c r="H1440" i="250" s="1"/>
  <c r="G1438" i="250"/>
  <c r="G1440" i="250" s="1"/>
  <c r="F1438" i="250"/>
  <c r="F1440" i="250" s="1"/>
  <c r="I1423" i="250"/>
  <c r="H1422" i="250"/>
  <c r="H1424" i="250" s="1"/>
  <c r="G1422" i="250"/>
  <c r="G1424" i="250" s="1"/>
  <c r="F1422" i="250"/>
  <c r="F1424" i="250" s="1"/>
  <c r="H1304" i="250"/>
  <c r="H1306" i="250" s="1"/>
  <c r="G1304" i="250"/>
  <c r="G1306" i="250" s="1"/>
  <c r="F1304" i="250"/>
  <c r="F1306" i="250" s="1"/>
  <c r="H1291" i="250"/>
  <c r="H1293" i="250" s="1"/>
  <c r="G1291" i="250"/>
  <c r="G1293" i="250" s="1"/>
  <c r="F1291" i="250"/>
  <c r="F1293" i="250" s="1"/>
  <c r="I1164" i="250"/>
  <c r="H1163" i="250"/>
  <c r="H1165" i="250" s="1"/>
  <c r="G1163" i="250"/>
  <c r="F1163" i="250"/>
  <c r="F1165" i="250" s="1"/>
  <c r="I1153" i="250"/>
  <c r="H1152" i="250"/>
  <c r="H1154" i="250" s="1"/>
  <c r="G1152" i="250"/>
  <c r="F1152" i="250"/>
  <c r="F1154" i="250" s="1"/>
  <c r="I950" i="250"/>
  <c r="H949" i="250"/>
  <c r="H951" i="250" s="1"/>
  <c r="G949" i="250"/>
  <c r="G951" i="250" s="1"/>
  <c r="F949" i="250"/>
  <c r="F951" i="250" s="1"/>
  <c r="I925" i="250"/>
  <c r="H924" i="250"/>
  <c r="H926" i="250" s="1"/>
  <c r="G924" i="250"/>
  <c r="G926" i="250" s="1"/>
  <c r="F924" i="250"/>
  <c r="F926" i="250" s="1"/>
  <c r="I888" i="250"/>
  <c r="G889" i="250"/>
  <c r="H889" i="250"/>
  <c r="G887" i="250"/>
  <c r="H887" i="250"/>
  <c r="F889" i="250"/>
  <c r="F887" i="250"/>
  <c r="G866" i="250"/>
  <c r="G868" i="250" s="1"/>
  <c r="H866" i="250"/>
  <c r="H868" i="250" s="1"/>
  <c r="F866" i="250"/>
  <c r="F868" i="250" s="1"/>
  <c r="H853" i="250"/>
  <c r="H855" i="250" s="1"/>
  <c r="G853" i="250"/>
  <c r="G855" i="250" s="1"/>
  <c r="F853" i="250"/>
  <c r="F855" i="250" s="1"/>
  <c r="H831" i="250"/>
  <c r="H833" i="250" s="1"/>
  <c r="G831" i="250"/>
  <c r="G833" i="250" s="1"/>
  <c r="F831" i="250"/>
  <c r="F833" i="250" s="1"/>
  <c r="H708" i="250"/>
  <c r="H710" i="250" s="1"/>
  <c r="G708" i="250"/>
  <c r="G710" i="250" s="1"/>
  <c r="F708" i="250"/>
  <c r="F710" i="250" s="1"/>
  <c r="H662" i="250"/>
  <c r="H664" i="250" s="1"/>
  <c r="G662" i="250"/>
  <c r="G664" i="250" s="1"/>
  <c r="F662" i="250"/>
  <c r="F664" i="250" s="1"/>
  <c r="G590" i="250"/>
  <c r="G592" i="250" s="1"/>
  <c r="H590" i="250"/>
  <c r="H592" i="250" s="1"/>
  <c r="F590" i="250"/>
  <c r="F592" i="250" s="1"/>
  <c r="I578" i="250"/>
  <c r="H577" i="250"/>
  <c r="H579" i="250" s="1"/>
  <c r="G577" i="250"/>
  <c r="G579" i="250" s="1"/>
  <c r="F577" i="250"/>
  <c r="F579" i="250" s="1"/>
  <c r="I482" i="250"/>
  <c r="H481" i="250"/>
  <c r="H483" i="250" s="1"/>
  <c r="G481" i="250"/>
  <c r="F481" i="250"/>
  <c r="F483" i="250" s="1"/>
  <c r="H404" i="250"/>
  <c r="H406" i="250" s="1"/>
  <c r="G404" i="250"/>
  <c r="G406" i="250" s="1"/>
  <c r="F404" i="250"/>
  <c r="F406" i="250" s="1"/>
  <c r="H281" i="250"/>
  <c r="H283" i="250" s="1"/>
  <c r="G281" i="250"/>
  <c r="G283" i="250" s="1"/>
  <c r="F281" i="250"/>
  <c r="F283" i="250" s="1"/>
  <c r="H251" i="250"/>
  <c r="H253" i="250" s="1"/>
  <c r="G251" i="250"/>
  <c r="G253" i="250" s="1"/>
  <c r="F251" i="250"/>
  <c r="F253" i="250" s="1"/>
  <c r="H237" i="250"/>
  <c r="H239" i="250" s="1"/>
  <c r="G237" i="250"/>
  <c r="G239" i="250" s="1"/>
  <c r="F237" i="250"/>
  <c r="F239" i="250" s="1"/>
  <c r="H206" i="250"/>
  <c r="H208" i="250" s="1"/>
  <c r="G206" i="250"/>
  <c r="G208" i="250" s="1"/>
  <c r="F206" i="250"/>
  <c r="F208" i="250" s="1"/>
  <c r="H185" i="250"/>
  <c r="H187" i="250" s="1"/>
  <c r="G185" i="250"/>
  <c r="G187" i="250" s="1"/>
  <c r="F185" i="250"/>
  <c r="F187" i="250" s="1"/>
  <c r="I1899" i="250"/>
  <c r="I1900" i="250"/>
  <c r="I1629" i="250"/>
  <c r="I1630" i="250"/>
  <c r="G1627" i="250"/>
  <c r="H1627" i="250"/>
  <c r="F1627" i="250"/>
  <c r="G1632" i="250"/>
  <c r="H1632" i="250"/>
  <c r="G1570" i="250"/>
  <c r="H1570" i="250"/>
  <c r="F1570" i="250"/>
  <c r="G1354" i="250"/>
  <c r="H1354" i="250"/>
  <c r="F1354" i="250"/>
  <c r="Z1247" i="250"/>
  <c r="AA1247" i="250"/>
  <c r="Y1247" i="250"/>
  <c r="Z1245" i="250"/>
  <c r="AA1245" i="250"/>
  <c r="Y1245" i="250"/>
  <c r="Z1243" i="250"/>
  <c r="AA1243" i="250"/>
  <c r="Y1243" i="250"/>
  <c r="Z1240" i="250"/>
  <c r="AA1240" i="250"/>
  <c r="Y1240" i="250"/>
  <c r="Z1239" i="250"/>
  <c r="AA1239" i="250"/>
  <c r="Y1239" i="250"/>
  <c r="Z1237" i="250"/>
  <c r="AA1237" i="250"/>
  <c r="Y1237" i="250"/>
  <c r="Z1235" i="250"/>
  <c r="AA1235" i="250"/>
  <c r="Y1235" i="250"/>
  <c r="Z1233" i="250"/>
  <c r="AA1233" i="250"/>
  <c r="Y1233" i="250"/>
  <c r="F891" i="250" l="1"/>
  <c r="I1163" i="250"/>
  <c r="I1759" i="250"/>
  <c r="I887" i="250"/>
  <c r="G1165" i="250"/>
  <c r="I1165" i="250" s="1"/>
  <c r="I1152" i="250"/>
  <c r="G1154" i="250"/>
  <c r="I1154" i="250" s="1"/>
  <c r="I951" i="250"/>
  <c r="I949" i="250"/>
  <c r="I926" i="250"/>
  <c r="I924" i="250"/>
  <c r="H891" i="250"/>
  <c r="G891" i="250"/>
  <c r="I481" i="250"/>
  <c r="I579" i="250"/>
  <c r="I577" i="250"/>
  <c r="G483" i="250"/>
  <c r="I483" i="250" s="1"/>
  <c r="H1637" i="250"/>
  <c r="G1637" i="250"/>
  <c r="Y1248" i="250"/>
  <c r="Z1248" i="250"/>
  <c r="AA1248" i="250"/>
  <c r="G298" i="250"/>
  <c r="H298" i="250"/>
  <c r="F298" i="250"/>
  <c r="I1242" i="250"/>
  <c r="I1236" i="250"/>
  <c r="I1237" i="250"/>
  <c r="I1238" i="250"/>
  <c r="I1239" i="250"/>
  <c r="I1240" i="250"/>
  <c r="I1241" i="250"/>
  <c r="I1210" i="250"/>
  <c r="G1208" i="250"/>
  <c r="H1208" i="250"/>
  <c r="F1208" i="250"/>
  <c r="I1113" i="250"/>
  <c r="G1110" i="250"/>
  <c r="H1110" i="250"/>
  <c r="F1110" i="250"/>
  <c r="I922" i="250"/>
  <c r="G921" i="250"/>
  <c r="H921" i="250"/>
  <c r="F921" i="250"/>
  <c r="I908" i="250"/>
  <c r="G904" i="250"/>
  <c r="H904" i="250"/>
  <c r="F904" i="250"/>
  <c r="I862" i="250"/>
  <c r="G861" i="250"/>
  <c r="H861" i="250"/>
  <c r="F861" i="250"/>
  <c r="I851" i="250"/>
  <c r="G847" i="250"/>
  <c r="H847" i="250"/>
  <c r="F847" i="250"/>
  <c r="F852" i="250" s="1"/>
  <c r="I748" i="250"/>
  <c r="G745" i="250"/>
  <c r="H745" i="250"/>
  <c r="F745" i="250"/>
  <c r="F731" i="250"/>
  <c r="G731" i="250"/>
  <c r="H731" i="250"/>
  <c r="I732" i="250"/>
  <c r="I680" i="250"/>
  <c r="G679" i="250"/>
  <c r="H679" i="250"/>
  <c r="F679" i="250"/>
  <c r="G584" i="250"/>
  <c r="H584" i="250"/>
  <c r="F584" i="250"/>
  <c r="I585" i="250"/>
  <c r="I575" i="250"/>
  <c r="G569" i="250"/>
  <c r="H569" i="250"/>
  <c r="F569" i="250"/>
  <c r="I572" i="250"/>
  <c r="I563" i="250"/>
  <c r="G559" i="250"/>
  <c r="H559" i="250"/>
  <c r="F559" i="250"/>
  <c r="G547" i="250"/>
  <c r="H547" i="250"/>
  <c r="F547" i="250"/>
  <c r="I548" i="250"/>
  <c r="G532" i="250"/>
  <c r="H532" i="250"/>
  <c r="F532" i="250"/>
  <c r="F538" i="250" s="1"/>
  <c r="I500" i="250"/>
  <c r="G497" i="250"/>
  <c r="H497" i="250"/>
  <c r="F497" i="250"/>
  <c r="I489" i="250"/>
  <c r="G488" i="250"/>
  <c r="H488" i="250"/>
  <c r="F488" i="250"/>
  <c r="I458" i="250"/>
  <c r="G457" i="250"/>
  <c r="H457" i="250"/>
  <c r="F457" i="250"/>
  <c r="I402" i="250"/>
  <c r="G399" i="250"/>
  <c r="H399" i="250"/>
  <c r="F399" i="250"/>
  <c r="G389" i="250"/>
  <c r="H389" i="250"/>
  <c r="F389" i="250"/>
  <c r="F394" i="250" s="1"/>
  <c r="I393" i="250"/>
  <c r="I390" i="250"/>
  <c r="I318" i="250"/>
  <c r="G314" i="250"/>
  <c r="H314" i="250"/>
  <c r="F314" i="250"/>
  <c r="I315" i="250"/>
  <c r="I301" i="250"/>
  <c r="I204" i="250"/>
  <c r="G201" i="250"/>
  <c r="H201" i="250"/>
  <c r="F201" i="250"/>
  <c r="I168" i="250"/>
  <c r="G167" i="250"/>
  <c r="H167" i="250"/>
  <c r="F167" i="250"/>
  <c r="G23" i="250"/>
  <c r="H23" i="250"/>
  <c r="F23" i="250"/>
  <c r="L172" i="247"/>
  <c r="K172" i="247"/>
  <c r="H45" i="247"/>
  <c r="H30" i="247"/>
  <c r="H31" i="247"/>
  <c r="H32" i="247"/>
  <c r="H33" i="247"/>
  <c r="H34" i="247"/>
  <c r="H35" i="247"/>
  <c r="F119" i="247"/>
  <c r="F127" i="247" s="1"/>
  <c r="F132" i="247" s="1"/>
  <c r="L173" i="247"/>
  <c r="K173" i="247"/>
  <c r="J22" i="247"/>
  <c r="K165" i="247"/>
  <c r="L165" i="247"/>
  <c r="J165" i="247"/>
  <c r="E141" i="247"/>
  <c r="G119" i="247"/>
  <c r="G127" i="247" s="1"/>
  <c r="G132" i="247" s="1"/>
  <c r="E119" i="247"/>
  <c r="E127" i="247" s="1"/>
  <c r="E132" i="247" s="1"/>
  <c r="F108" i="247"/>
  <c r="G108" i="247"/>
  <c r="F98" i="247"/>
  <c r="G98" i="247"/>
  <c r="E98" i="247"/>
  <c r="F76" i="247"/>
  <c r="G76" i="247"/>
  <c r="E76" i="247"/>
  <c r="E86" i="247" s="1"/>
  <c r="F65" i="247"/>
  <c r="G65" i="247"/>
  <c r="E65" i="247"/>
  <c r="E67" i="247" s="1"/>
  <c r="F58" i="247"/>
  <c r="G58" i="247"/>
  <c r="E58" i="247"/>
  <c r="E64" i="247" s="1"/>
  <c r="F46" i="247"/>
  <c r="G46" i="247"/>
  <c r="E46" i="247"/>
  <c r="F22" i="247"/>
  <c r="G22" i="247"/>
  <c r="E22" i="247"/>
  <c r="E165" i="247" s="1"/>
  <c r="H63" i="247"/>
  <c r="L22" i="247"/>
  <c r="K22" i="247"/>
  <c r="H12" i="247"/>
  <c r="H11" i="247"/>
  <c r="H13" i="247"/>
  <c r="I921" i="250" l="1"/>
  <c r="L200" i="246"/>
  <c r="K200" i="246"/>
  <c r="F83" i="246"/>
  <c r="G83" i="246"/>
  <c r="E83" i="246"/>
  <c r="L205" i="246"/>
  <c r="K205" i="246"/>
  <c r="J205" i="246"/>
  <c r="L193" i="246"/>
  <c r="M193" i="246"/>
  <c r="F192" i="246"/>
  <c r="G192" i="246"/>
  <c r="H192" i="246" s="1"/>
  <c r="E192" i="246"/>
  <c r="F184" i="246"/>
  <c r="G184" i="246"/>
  <c r="E184" i="246"/>
  <c r="F167" i="246"/>
  <c r="G167" i="246"/>
  <c r="E167" i="246"/>
  <c r="F156" i="246"/>
  <c r="G156" i="246"/>
  <c r="E156" i="246"/>
  <c r="F141" i="246"/>
  <c r="G141" i="246"/>
  <c r="E141" i="246"/>
  <c r="F129" i="246"/>
  <c r="G129" i="246"/>
  <c r="E129" i="246"/>
  <c r="E112" i="246"/>
  <c r="H84" i="246"/>
  <c r="H62" i="246"/>
  <c r="E60" i="246"/>
  <c r="F60" i="246"/>
  <c r="G60" i="246"/>
  <c r="E58" i="246"/>
  <c r="H48" i="246"/>
  <c r="H47" i="246"/>
  <c r="H183" i="246"/>
  <c r="H127" i="246"/>
  <c r="H126" i="246"/>
  <c r="H109" i="246"/>
  <c r="G108" i="246"/>
  <c r="F108" i="246"/>
  <c r="H178" i="246"/>
  <c r="H177" i="246"/>
  <c r="H151" i="246"/>
  <c r="H122" i="246"/>
  <c r="H191" i="246"/>
  <c r="H190" i="246"/>
  <c r="E32" i="246"/>
  <c r="E22" i="246"/>
  <c r="H13" i="246"/>
  <c r="G12" i="246"/>
  <c r="F12" i="246"/>
  <c r="E12" i="246"/>
  <c r="E195" i="246" l="1"/>
  <c r="H108" i="246"/>
  <c r="H12" i="246"/>
  <c r="H32" i="245"/>
  <c r="H31" i="245"/>
  <c r="F168" i="245"/>
  <c r="G168" i="245"/>
  <c r="E168" i="245"/>
  <c r="H170" i="245"/>
  <c r="H67" i="245"/>
  <c r="G66" i="245"/>
  <c r="F66" i="245"/>
  <c r="E183" i="245"/>
  <c r="H77" i="245"/>
  <c r="H75" i="245"/>
  <c r="H74" i="245"/>
  <c r="H73" i="245"/>
  <c r="H72" i="245"/>
  <c r="G76" i="245"/>
  <c r="F76" i="245"/>
  <c r="E76" i="245"/>
  <c r="G74" i="245"/>
  <c r="F74" i="245"/>
  <c r="E74" i="245"/>
  <c r="H50" i="245"/>
  <c r="G49" i="245"/>
  <c r="H49" i="245" s="1"/>
  <c r="F49" i="245"/>
  <c r="H48" i="245"/>
  <c r="G47" i="245"/>
  <c r="F47" i="245"/>
  <c r="E43" i="245"/>
  <c r="H14" i="245"/>
  <c r="G13" i="245"/>
  <c r="F13" i="245"/>
  <c r="E13" i="245"/>
  <c r="H91" i="245"/>
  <c r="H89" i="245"/>
  <c r="G88" i="245"/>
  <c r="H88" i="245" s="1"/>
  <c r="F88" i="245"/>
  <c r="E88" i="245"/>
  <c r="H196" i="245"/>
  <c r="G195" i="245"/>
  <c r="F195" i="245"/>
  <c r="E195" i="245"/>
  <c r="H85" i="245"/>
  <c r="G84" i="245"/>
  <c r="F84" i="245"/>
  <c r="H81" i="245"/>
  <c r="H79" i="245"/>
  <c r="G80" i="245"/>
  <c r="H80" i="245" s="1"/>
  <c r="F80" i="245"/>
  <c r="H151" i="245"/>
  <c r="G150" i="245"/>
  <c r="F150" i="245"/>
  <c r="E150" i="245"/>
  <c r="H147" i="245"/>
  <c r="G146" i="245"/>
  <c r="F146" i="245"/>
  <c r="H139" i="245"/>
  <c r="G138" i="245"/>
  <c r="F138" i="245"/>
  <c r="E138" i="245"/>
  <c r="F27" i="245"/>
  <c r="H133" i="245"/>
  <c r="G132" i="245"/>
  <c r="F132" i="245"/>
  <c r="E132" i="245"/>
  <c r="H129" i="245"/>
  <c r="G128" i="245"/>
  <c r="F128" i="245"/>
  <c r="E128" i="245"/>
  <c r="H106" i="245"/>
  <c r="H66" i="245" l="1"/>
  <c r="H76" i="245"/>
  <c r="H128" i="245"/>
  <c r="H146" i="245"/>
  <c r="H47" i="245"/>
  <c r="H13" i="245"/>
  <c r="H195" i="245"/>
  <c r="H84" i="245"/>
  <c r="H150" i="245"/>
  <c r="H138" i="245"/>
  <c r="H132" i="245"/>
  <c r="L200" i="242"/>
  <c r="L201" i="242"/>
  <c r="K201" i="242"/>
  <c r="J201" i="242"/>
  <c r="L203" i="242"/>
  <c r="K203" i="242"/>
  <c r="F203" i="242"/>
  <c r="G203" i="242"/>
  <c r="N33" i="242"/>
  <c r="M33" i="242"/>
  <c r="L210" i="242"/>
  <c r="K211" i="242"/>
  <c r="K210" i="242"/>
  <c r="F38" i="242"/>
  <c r="G38" i="242"/>
  <c r="G201" i="242" s="1"/>
  <c r="H27" i="242"/>
  <c r="H25" i="242"/>
  <c r="G26" i="242"/>
  <c r="H26" i="242" s="1"/>
  <c r="F26" i="242"/>
  <c r="E26" i="242"/>
  <c r="G24" i="242"/>
  <c r="H24" i="242" s="1"/>
  <c r="F24" i="242"/>
  <c r="E24" i="242"/>
  <c r="H23" i="242"/>
  <c r="G22" i="242"/>
  <c r="F22" i="242"/>
  <c r="E22" i="242"/>
  <c r="H21" i="242"/>
  <c r="G20" i="242"/>
  <c r="H20" i="242" s="1"/>
  <c r="F20" i="242"/>
  <c r="E20" i="242"/>
  <c r="H19" i="242"/>
  <c r="G18" i="242"/>
  <c r="H18" i="242" s="1"/>
  <c r="F18" i="242"/>
  <c r="E18" i="242"/>
  <c r="G210" i="242"/>
  <c r="F210" i="242"/>
  <c r="P183" i="242"/>
  <c r="Q183" i="242"/>
  <c r="P182" i="242"/>
  <c r="Q182" i="242"/>
  <c r="F187" i="242"/>
  <c r="G187" i="242"/>
  <c r="E187" i="242"/>
  <c r="H186" i="242"/>
  <c r="H176" i="242"/>
  <c r="F179" i="242"/>
  <c r="G179" i="242"/>
  <c r="E179" i="242"/>
  <c r="E144" i="242"/>
  <c r="H125" i="242"/>
  <c r="H121" i="242"/>
  <c r="E127" i="242"/>
  <c r="H120" i="242"/>
  <c r="F127" i="242"/>
  <c r="G127" i="242"/>
  <c r="H102" i="242"/>
  <c r="H99" i="242"/>
  <c r="H100" i="242"/>
  <c r="H101" i="242"/>
  <c r="H98" i="242"/>
  <c r="E105" i="242"/>
  <c r="H13" i="242"/>
  <c r="F10" i="242"/>
  <c r="G10" i="242"/>
  <c r="E10" i="242"/>
  <c r="F205" i="242"/>
  <c r="G205" i="242"/>
  <c r="E205" i="242"/>
  <c r="H48" i="242"/>
  <c r="F47" i="242"/>
  <c r="G47" i="242"/>
  <c r="E47" i="242"/>
  <c r="H58" i="240"/>
  <c r="H59" i="240"/>
  <c r="F115" i="240"/>
  <c r="G115" i="240"/>
  <c r="L116" i="240"/>
  <c r="G118" i="240"/>
  <c r="F118" i="240"/>
  <c r="N117" i="240"/>
  <c r="O117" i="240"/>
  <c r="L102" i="240"/>
  <c r="P100" i="240"/>
  <c r="Q100" i="240"/>
  <c r="H91" i="240"/>
  <c r="F93" i="240"/>
  <c r="G93" i="240"/>
  <c r="E93" i="240"/>
  <c r="H75" i="240"/>
  <c r="F56" i="240"/>
  <c r="G56" i="240"/>
  <c r="E56" i="240"/>
  <c r="H55" i="240"/>
  <c r="H62" i="240"/>
  <c r="G60" i="240"/>
  <c r="F60" i="240"/>
  <c r="F20" i="240"/>
  <c r="G20" i="240"/>
  <c r="E20" i="240"/>
  <c r="L20" i="240"/>
  <c r="K20" i="240"/>
  <c r="H19" i="240"/>
  <c r="H17" i="240"/>
  <c r="H15" i="240"/>
  <c r="H14" i="240"/>
  <c r="H11" i="240"/>
  <c r="E203" i="242" l="1"/>
  <c r="E38" i="242"/>
  <c r="H22" i="242"/>
  <c r="L496" i="239"/>
  <c r="K496" i="239"/>
  <c r="F496" i="239"/>
  <c r="E496" i="239"/>
  <c r="G498" i="239"/>
  <c r="E498" i="239"/>
  <c r="L498" i="239"/>
  <c r="K498" i="239"/>
  <c r="G503" i="239"/>
  <c r="F503" i="239"/>
  <c r="E503" i="239"/>
  <c r="E402" i="239"/>
  <c r="G402" i="239"/>
  <c r="F402" i="239"/>
  <c r="E385" i="239"/>
  <c r="G385" i="239"/>
  <c r="F385" i="239"/>
  <c r="H387" i="239" l="1"/>
  <c r="E505" i="239"/>
  <c r="K502" i="239"/>
  <c r="K412" i="239"/>
  <c r="L412" i="239"/>
  <c r="J412" i="239"/>
  <c r="E504" i="239"/>
  <c r="L45" i="239"/>
  <c r="K45" i="239"/>
  <c r="F45" i="239"/>
  <c r="G45" i="239"/>
  <c r="E45" i="239"/>
  <c r="L32" i="239"/>
  <c r="K32" i="239"/>
  <c r="H33" i="239"/>
  <c r="G32" i="239"/>
  <c r="F32" i="239"/>
  <c r="P487" i="239"/>
  <c r="Q487" i="239"/>
  <c r="H459" i="239"/>
  <c r="H460" i="239"/>
  <c r="H455" i="239"/>
  <c r="H456" i="239"/>
  <c r="F461" i="239"/>
  <c r="G461" i="239"/>
  <c r="E461" i="239"/>
  <c r="H437" i="239"/>
  <c r="H433" i="239"/>
  <c r="H434" i="239"/>
  <c r="H435" i="239"/>
  <c r="H424" i="239"/>
  <c r="J34" i="239"/>
  <c r="E34" i="239"/>
  <c r="L41" i="239"/>
  <c r="L36" i="239"/>
  <c r="K36" i="239"/>
  <c r="G36" i="239"/>
  <c r="F36" i="239"/>
  <c r="H32" i="239" l="1"/>
  <c r="H36" i="239"/>
  <c r="K34" i="239"/>
  <c r="L34" i="239"/>
  <c r="H15" i="239" l="1"/>
  <c r="L264" i="239" l="1"/>
  <c r="H257" i="239"/>
  <c r="G256" i="239"/>
  <c r="F256" i="239"/>
  <c r="F258" i="239"/>
  <c r="G258" i="239"/>
  <c r="E258" i="239"/>
  <c r="E264" i="239" s="1"/>
  <c r="L236" i="239"/>
  <c r="H229" i="239"/>
  <c r="G228" i="239"/>
  <c r="F228" i="239"/>
  <c r="E230" i="239"/>
  <c r="E236" i="239" s="1"/>
  <c r="E172" i="239"/>
  <c r="E174" i="239" s="1"/>
  <c r="H169" i="239"/>
  <c r="G168" i="239"/>
  <c r="F168" i="239"/>
  <c r="L161" i="239"/>
  <c r="H228" i="239" l="1"/>
  <c r="H256" i="239"/>
  <c r="H168" i="239"/>
  <c r="L173" i="8"/>
  <c r="K173" i="8"/>
  <c r="J173" i="8"/>
  <c r="L172" i="8"/>
  <c r="L175" i="8"/>
  <c r="G175" i="8"/>
  <c r="K175" i="8"/>
  <c r="H35" i="8"/>
  <c r="G34" i="8"/>
  <c r="F34" i="8"/>
  <c r="E37" i="8"/>
  <c r="H48" i="8"/>
  <c r="H46" i="8"/>
  <c r="H41" i="8"/>
  <c r="H28" i="8"/>
  <c r="H27" i="8"/>
  <c r="H23" i="8"/>
  <c r="H24" i="8"/>
  <c r="H59" i="8"/>
  <c r="F58" i="8"/>
  <c r="G58" i="8"/>
  <c r="G60" i="8" s="1"/>
  <c r="E58" i="8"/>
  <c r="E60" i="8" s="1"/>
  <c r="E174" i="8" s="1"/>
  <c r="F60" i="8"/>
  <c r="H58" i="8"/>
  <c r="H17" i="8"/>
  <c r="F16" i="8"/>
  <c r="G16" i="8"/>
  <c r="E16" i="8"/>
  <c r="L178" i="8"/>
  <c r="K178" i="8"/>
  <c r="E165" i="8"/>
  <c r="G165" i="8"/>
  <c r="F165" i="8"/>
  <c r="H164" i="8"/>
  <c r="H163" i="8"/>
  <c r="H162" i="8"/>
  <c r="H161" i="8"/>
  <c r="H160" i="8"/>
  <c r="F106" i="8"/>
  <c r="G106" i="8"/>
  <c r="E106" i="8"/>
  <c r="H74" i="8"/>
  <c r="H70" i="8"/>
  <c r="H71" i="8"/>
  <c r="H72" i="8"/>
  <c r="H73" i="8"/>
  <c r="H75" i="8"/>
  <c r="H76" i="8"/>
  <c r="H77" i="8"/>
  <c r="H67" i="8"/>
  <c r="L221" i="9"/>
  <c r="L223" i="9" s="1"/>
  <c r="O231" i="9"/>
  <c r="L216" i="9"/>
  <c r="K216" i="9"/>
  <c r="E42" i="9"/>
  <c r="G38" i="9"/>
  <c r="F38" i="9"/>
  <c r="E38" i="9"/>
  <c r="E36" i="9"/>
  <c r="H29" i="9"/>
  <c r="G28" i="9"/>
  <c r="H28" i="9" s="1"/>
  <c r="F28" i="9"/>
  <c r="E28" i="9"/>
  <c r="H23" i="9"/>
  <c r="G22" i="9"/>
  <c r="F22" i="9"/>
  <c r="H22" i="9" s="1"/>
  <c r="E22" i="9"/>
  <c r="H13" i="9"/>
  <c r="H14" i="9"/>
  <c r="K221" i="9"/>
  <c r="L209" i="9"/>
  <c r="M209" i="9"/>
  <c r="L208" i="9"/>
  <c r="M208" i="9"/>
  <c r="F208" i="9"/>
  <c r="G208" i="9"/>
  <c r="E208" i="9"/>
  <c r="H190" i="9"/>
  <c r="E197" i="9"/>
  <c r="F197" i="9"/>
  <c r="G197" i="9"/>
  <c r="H34" i="8" l="1"/>
  <c r="H16" i="8"/>
  <c r="H60" i="8"/>
  <c r="H165" i="8"/>
  <c r="H153" i="9"/>
  <c r="H139" i="9"/>
  <c r="H150" i="9"/>
  <c r="H149" i="9"/>
  <c r="H148" i="9"/>
  <c r="H146" i="9"/>
  <c r="H147" i="9"/>
  <c r="H116" i="9"/>
  <c r="F119" i="9"/>
  <c r="G119" i="9"/>
  <c r="F110" i="9"/>
  <c r="G110" i="9"/>
  <c r="E110" i="9"/>
  <c r="H105" i="9"/>
  <c r="H106" i="9"/>
  <c r="H71" i="9"/>
  <c r="H68" i="9"/>
  <c r="H67" i="9"/>
  <c r="H65" i="9"/>
  <c r="H64" i="9"/>
  <c r="E73" i="9"/>
  <c r="J55" i="10"/>
  <c r="F14" i="10"/>
  <c r="G14" i="10"/>
  <c r="E14" i="10"/>
  <c r="H18" i="10"/>
  <c r="L41" i="10"/>
  <c r="F34" i="10"/>
  <c r="G34" i="10"/>
  <c r="E34" i="10"/>
  <c r="H29" i="10"/>
  <c r="H50" i="5" l="1"/>
  <c r="F44" i="5"/>
  <c r="G44" i="5"/>
  <c r="E44" i="5"/>
  <c r="H49" i="5"/>
  <c r="F51" i="5"/>
  <c r="E38" i="5"/>
  <c r="H53" i="5"/>
  <c r="H52" i="5"/>
  <c r="G51" i="5"/>
  <c r="E51" i="5"/>
  <c r="E41" i="5"/>
  <c r="E54" i="5" s="1"/>
  <c r="H13" i="5"/>
  <c r="H12" i="5"/>
  <c r="F11" i="5"/>
  <c r="G11" i="5"/>
  <c r="E11" i="5"/>
  <c r="H51" i="5" l="1"/>
  <c r="H11" i="5"/>
  <c r="Q283" i="54"/>
  <c r="K296" i="54" s="1"/>
  <c r="R283" i="54"/>
  <c r="L296" i="54" s="1"/>
  <c r="P283" i="54"/>
  <c r="F294" i="54"/>
  <c r="K292" i="54"/>
  <c r="J290" i="54"/>
  <c r="L292" i="54"/>
  <c r="K290" i="54" l="1"/>
  <c r="L290" i="54"/>
  <c r="H202" i="54"/>
  <c r="H203" i="54"/>
  <c r="H204" i="54"/>
  <c r="F200" i="54"/>
  <c r="G200" i="54"/>
  <c r="E200" i="54"/>
  <c r="H201" i="54"/>
  <c r="H81" i="54"/>
  <c r="H64" i="54"/>
  <c r="H62" i="54"/>
  <c r="H60" i="54"/>
  <c r="H58" i="54"/>
  <c r="H56" i="54"/>
  <c r="H54" i="54"/>
  <c r="H52" i="54"/>
  <c r="G63" i="54"/>
  <c r="F63" i="54"/>
  <c r="G61" i="54"/>
  <c r="F61" i="54"/>
  <c r="G59" i="54"/>
  <c r="F59" i="54"/>
  <c r="G57" i="54"/>
  <c r="F57" i="54"/>
  <c r="G55" i="54"/>
  <c r="F55" i="54"/>
  <c r="G53" i="54"/>
  <c r="F53" i="54"/>
  <c r="G51" i="54"/>
  <c r="F51" i="54"/>
  <c r="H97" i="54"/>
  <c r="G96" i="54"/>
  <c r="F96" i="54"/>
  <c r="H95" i="54"/>
  <c r="G94" i="54"/>
  <c r="F94" i="54"/>
  <c r="H93" i="54"/>
  <c r="G92" i="54"/>
  <c r="F92" i="54"/>
  <c r="H92" i="54" l="1"/>
  <c r="H94" i="54"/>
  <c r="H53" i="54"/>
  <c r="H61" i="54"/>
  <c r="H96" i="54"/>
  <c r="H63" i="54"/>
  <c r="H59" i="54"/>
  <c r="H57" i="54"/>
  <c r="H55" i="54"/>
  <c r="H51" i="54"/>
  <c r="F90" i="54"/>
  <c r="G90" i="54"/>
  <c r="H91" i="54"/>
  <c r="F176" i="54"/>
  <c r="G176" i="54"/>
  <c r="E176" i="54"/>
  <c r="H179" i="54"/>
  <c r="H178" i="54"/>
  <c r="H177" i="54"/>
  <c r="H269" i="54"/>
  <c r="H266" i="54"/>
  <c r="H22" i="54"/>
  <c r="F20" i="54"/>
  <c r="G20" i="54"/>
  <c r="H21" i="54"/>
  <c r="E20" i="54"/>
  <c r="H264" i="54"/>
  <c r="E272" i="54"/>
  <c r="F228" i="54"/>
  <c r="F291" i="54" s="1"/>
  <c r="G228" i="54"/>
  <c r="E228" i="54"/>
  <c r="H222" i="54"/>
  <c r="H45" i="54"/>
  <c r="G44" i="54"/>
  <c r="F44" i="54"/>
  <c r="E44" i="54"/>
  <c r="F42" i="54"/>
  <c r="G42" i="54"/>
  <c r="E42" i="54"/>
  <c r="H43" i="54"/>
  <c r="G239" i="54"/>
  <c r="F239" i="54"/>
  <c r="E239" i="54"/>
  <c r="H238" i="54"/>
  <c r="H237" i="54"/>
  <c r="H227" i="54"/>
  <c r="H220" i="54"/>
  <c r="H221" i="54"/>
  <c r="H223" i="54"/>
  <c r="H42" i="54" l="1"/>
  <c r="H90" i="54"/>
  <c r="H44" i="54"/>
  <c r="H239" i="54"/>
  <c r="H183" i="54"/>
  <c r="H125" i="54" l="1"/>
  <c r="H126" i="54"/>
  <c r="H127" i="54"/>
  <c r="F48" i="52"/>
  <c r="G48" i="52"/>
  <c r="E48" i="52"/>
  <c r="H198" i="20" l="1"/>
  <c r="I1244" i="250"/>
  <c r="I1245" i="250"/>
  <c r="I1246" i="250"/>
  <c r="I1247" i="250"/>
  <c r="I1248" i="250"/>
  <c r="G1199" i="250"/>
  <c r="H1199" i="250"/>
  <c r="F1199" i="250"/>
  <c r="G1010" i="250"/>
  <c r="H1010" i="250"/>
  <c r="F1010" i="250"/>
  <c r="G993" i="250"/>
  <c r="H993" i="250"/>
  <c r="F993" i="250"/>
  <c r="G970" i="250"/>
  <c r="H970" i="250"/>
  <c r="F970" i="250"/>
  <c r="G963" i="250"/>
  <c r="H963" i="250"/>
  <c r="F963" i="250"/>
  <c r="G440" i="250"/>
  <c r="H440" i="250"/>
  <c r="F440" i="250"/>
  <c r="G148" i="250"/>
  <c r="H148" i="250"/>
  <c r="F148" i="250"/>
  <c r="G120" i="250"/>
  <c r="H120" i="250"/>
  <c r="F120" i="250"/>
  <c r="G111" i="250"/>
  <c r="H111" i="250"/>
  <c r="F111" i="250"/>
  <c r="E37" i="246"/>
  <c r="F37" i="246"/>
  <c r="G37" i="246"/>
  <c r="F144" i="245"/>
  <c r="G144" i="245"/>
  <c r="F29" i="242"/>
  <c r="G29" i="242"/>
  <c r="E29" i="242"/>
  <c r="E14" i="242"/>
  <c r="I2549" i="17"/>
  <c r="H2548" i="17"/>
  <c r="G1976" i="17"/>
  <c r="H1976" i="17"/>
  <c r="G1713" i="17"/>
  <c r="H1713" i="17"/>
  <c r="G1488" i="17"/>
  <c r="H1488" i="17"/>
  <c r="G818" i="17"/>
  <c r="H818" i="17"/>
  <c r="G387" i="17"/>
  <c r="H387" i="17"/>
  <c r="F48" i="7"/>
  <c r="G48" i="7"/>
  <c r="E48" i="7"/>
  <c r="F42" i="9"/>
  <c r="G42" i="9"/>
  <c r="E34" i="9"/>
  <c r="E26" i="9"/>
  <c r="F26" i="9"/>
  <c r="E105" i="54"/>
  <c r="E184" i="54"/>
  <c r="E134" i="54"/>
  <c r="E130" i="54"/>
  <c r="G21" i="249" l="1"/>
  <c r="G17" i="249" l="1"/>
  <c r="G9" i="249"/>
  <c r="F21" i="249"/>
  <c r="E21" i="249"/>
  <c r="F17" i="249"/>
  <c r="F9" i="249"/>
  <c r="E9" i="249"/>
  <c r="E17" i="249"/>
  <c r="E16" i="249"/>
  <c r="E22" i="249" s="1"/>
  <c r="F16" i="249"/>
  <c r="G16" i="249"/>
  <c r="H11" i="249"/>
  <c r="H12" i="249"/>
  <c r="G31" i="248"/>
  <c r="F31" i="248"/>
  <c r="G22" i="248"/>
  <c r="F22" i="248"/>
  <c r="F13" i="248"/>
  <c r="L42" i="293"/>
  <c r="G44" i="293"/>
  <c r="F44" i="293"/>
  <c r="E44" i="293"/>
  <c r="H43" i="293"/>
  <c r="G43" i="293"/>
  <c r="F43" i="293"/>
  <c r="E43" i="293"/>
  <c r="L41" i="293"/>
  <c r="G42" i="293"/>
  <c r="F42" i="293"/>
  <c r="F41" i="293" s="1"/>
  <c r="F46" i="293" s="1"/>
  <c r="E42" i="293"/>
  <c r="K41" i="293"/>
  <c r="J41" i="293"/>
  <c r="G37" i="293"/>
  <c r="F37" i="293"/>
  <c r="E37" i="293"/>
  <c r="G29" i="293"/>
  <c r="F29" i="293"/>
  <c r="E29" i="293"/>
  <c r="G17" i="293"/>
  <c r="F17" i="293"/>
  <c r="E17" i="293"/>
  <c r="H16" i="293"/>
  <c r="H15" i="293"/>
  <c r="H14" i="293"/>
  <c r="H13" i="293"/>
  <c r="H12" i="293"/>
  <c r="G155" i="291"/>
  <c r="F153" i="291"/>
  <c r="G153" i="291"/>
  <c r="E153" i="291"/>
  <c r="H68" i="291"/>
  <c r="H67" i="291"/>
  <c r="H66" i="291"/>
  <c r="H65" i="291"/>
  <c r="H64" i="291"/>
  <c r="H54" i="291"/>
  <c r="H53" i="291"/>
  <c r="H52" i="291"/>
  <c r="H47" i="291"/>
  <c r="H46" i="291"/>
  <c r="H43" i="291"/>
  <c r="H42" i="291"/>
  <c r="H33" i="291"/>
  <c r="H32" i="291"/>
  <c r="H31" i="291"/>
  <c r="H28" i="291"/>
  <c r="H27" i="291"/>
  <c r="K25" i="290"/>
  <c r="L25" i="290"/>
  <c r="L26" i="290"/>
  <c r="H17" i="290"/>
  <c r="G17" i="290"/>
  <c r="F17" i="290"/>
  <c r="E17" i="290"/>
  <c r="H15" i="290"/>
  <c r="F22" i="249" l="1"/>
  <c r="G22" i="249"/>
  <c r="E41" i="293"/>
  <c r="E46" i="293" s="1"/>
  <c r="H17" i="293"/>
  <c r="H42" i="293"/>
  <c r="G41" i="293"/>
  <c r="G286" i="289"/>
  <c r="F284" i="289"/>
  <c r="E284" i="289"/>
  <c r="F172" i="289"/>
  <c r="G172" i="289"/>
  <c r="H153" i="289"/>
  <c r="H152" i="289"/>
  <c r="H144" i="289"/>
  <c r="H141" i="289"/>
  <c r="H142" i="289"/>
  <c r="H118" i="289"/>
  <c r="H117" i="289"/>
  <c r="H26" i="289"/>
  <c r="G46" i="293" l="1"/>
  <c r="H46" i="293" s="1"/>
  <c r="H41" i="293"/>
  <c r="F123" i="281"/>
  <c r="G123" i="281"/>
  <c r="E123" i="281"/>
  <c r="F122" i="281"/>
  <c r="G122" i="281"/>
  <c r="E122" i="281"/>
  <c r="F121" i="281"/>
  <c r="G121" i="281"/>
  <c r="E121" i="281"/>
  <c r="H107" i="281"/>
  <c r="H87" i="281"/>
  <c r="G100" i="281"/>
  <c r="F100" i="281"/>
  <c r="E100" i="281"/>
  <c r="H86" i="281"/>
  <c r="H85" i="281"/>
  <c r="H84" i="281"/>
  <c r="H83" i="281"/>
  <c r="H82" i="281"/>
  <c r="H81" i="281"/>
  <c r="H80" i="281"/>
  <c r="H79" i="281"/>
  <c r="H78" i="281"/>
  <c r="H77" i="281"/>
  <c r="H76" i="281"/>
  <c r="H75" i="281"/>
  <c r="H70" i="281"/>
  <c r="H71" i="281"/>
  <c r="H72" i="281"/>
  <c r="H64" i="281"/>
  <c r="H65" i="281"/>
  <c r="H66" i="281"/>
  <c r="H67" i="281"/>
  <c r="H68" i="281"/>
  <c r="H69" i="281"/>
  <c r="H63" i="281"/>
  <c r="H62" i="281"/>
  <c r="H61" i="281"/>
  <c r="L144" i="279" l="1"/>
  <c r="L146" i="279"/>
  <c r="F144" i="279"/>
  <c r="G144" i="279"/>
  <c r="E144" i="279"/>
  <c r="F124" i="279"/>
  <c r="G124" i="279"/>
  <c r="E124" i="279"/>
  <c r="H101" i="279"/>
  <c r="H102" i="279"/>
  <c r="F67" i="279"/>
  <c r="G67" i="279"/>
  <c r="E67" i="279"/>
  <c r="G146" i="279"/>
  <c r="H575" i="278" l="1"/>
  <c r="F616" i="278"/>
  <c r="G616" i="278"/>
  <c r="E616" i="278"/>
  <c r="F615" i="278"/>
  <c r="G615" i="278"/>
  <c r="E615" i="278"/>
  <c r="F614" i="278"/>
  <c r="G614" i="278"/>
  <c r="E614" i="278"/>
  <c r="E542" i="278"/>
  <c r="F542" i="278"/>
  <c r="G542" i="278"/>
  <c r="F569" i="278"/>
  <c r="G569" i="278"/>
  <c r="E569" i="278"/>
  <c r="H565" i="278"/>
  <c r="H566" i="278"/>
  <c r="H567" i="278"/>
  <c r="H556" i="278"/>
  <c r="H557" i="278"/>
  <c r="H271" i="278"/>
  <c r="H272" i="278"/>
  <c r="H273" i="278"/>
  <c r="H274" i="278"/>
  <c r="H185" i="278"/>
  <c r="F186" i="278"/>
  <c r="G186" i="278"/>
  <c r="E186" i="278"/>
  <c r="H807" i="277" l="1"/>
  <c r="G1042" i="277"/>
  <c r="L1042" i="277"/>
  <c r="G1044" i="277"/>
  <c r="E1042" i="277"/>
  <c r="F1043" i="277"/>
  <c r="G1043" i="277"/>
  <c r="E1043" i="277"/>
  <c r="G589" i="277"/>
  <c r="F589" i="277"/>
  <c r="E589" i="277"/>
  <c r="H588" i="277"/>
  <c r="H587" i="277"/>
  <c r="H586" i="277"/>
  <c r="H585" i="277"/>
  <c r="H584" i="277"/>
  <c r="H589" i="277" l="1"/>
  <c r="F1044" i="277"/>
  <c r="E1044" i="277"/>
  <c r="G1029" i="277"/>
  <c r="F1029" i="277"/>
  <c r="E1029" i="277"/>
  <c r="H1028" i="277"/>
  <c r="H1027" i="277"/>
  <c r="H1026" i="277"/>
  <c r="H1025" i="277"/>
  <c r="H1024" i="277"/>
  <c r="H1023" i="277"/>
  <c r="G1017" i="277"/>
  <c r="F1017" i="277"/>
  <c r="E1017" i="277"/>
  <c r="H1016" i="277"/>
  <c r="H1015" i="277"/>
  <c r="H1014" i="277"/>
  <c r="H1013" i="277"/>
  <c r="H1012" i="277"/>
  <c r="H1011" i="277"/>
  <c r="G1005" i="277"/>
  <c r="F1005" i="277"/>
  <c r="E1005" i="277"/>
  <c r="H1004" i="277"/>
  <c r="H1003" i="277"/>
  <c r="H1002" i="277"/>
  <c r="H1001" i="277"/>
  <c r="H1000" i="277"/>
  <c r="H999" i="277"/>
  <c r="G993" i="277"/>
  <c r="F993" i="277"/>
  <c r="E993" i="277"/>
  <c r="H992" i="277"/>
  <c r="H991" i="277"/>
  <c r="H990" i="277"/>
  <c r="H989" i="277"/>
  <c r="H988" i="277"/>
  <c r="H987" i="277"/>
  <c r="G981" i="277"/>
  <c r="F981" i="277"/>
  <c r="E981" i="277"/>
  <c r="H980" i="277"/>
  <c r="H979" i="277"/>
  <c r="H978" i="277"/>
  <c r="H977" i="277"/>
  <c r="H976" i="277"/>
  <c r="H975" i="277"/>
  <c r="G969" i="277"/>
  <c r="F969" i="277"/>
  <c r="E969" i="277"/>
  <c r="H968" i="277"/>
  <c r="H967" i="277"/>
  <c r="H966" i="277"/>
  <c r="H965" i="277"/>
  <c r="H964" i="277"/>
  <c r="H963" i="277"/>
  <c r="G957" i="277"/>
  <c r="F957" i="277"/>
  <c r="E957" i="277"/>
  <c r="H956" i="277"/>
  <c r="H955" i="277"/>
  <c r="H954" i="277"/>
  <c r="H953" i="277"/>
  <c r="H952" i="277"/>
  <c r="H951" i="277"/>
  <c r="H1029" i="277" l="1"/>
  <c r="H1017" i="277"/>
  <c r="H1005" i="277"/>
  <c r="H993" i="277"/>
  <c r="H981" i="277"/>
  <c r="H969" i="277"/>
  <c r="H957" i="277"/>
  <c r="G944" i="277"/>
  <c r="F944" i="277"/>
  <c r="E944" i="277"/>
  <c r="H943" i="277"/>
  <c r="H942" i="277"/>
  <c r="H941" i="277"/>
  <c r="H940" i="277"/>
  <c r="H939" i="277"/>
  <c r="H938" i="277"/>
  <c r="G932" i="277"/>
  <c r="F932" i="277"/>
  <c r="E932" i="277"/>
  <c r="H931" i="277"/>
  <c r="H930" i="277"/>
  <c r="H929" i="277"/>
  <c r="H928" i="277"/>
  <c r="H927" i="277"/>
  <c r="H926" i="277"/>
  <c r="G920" i="277"/>
  <c r="F920" i="277"/>
  <c r="E920" i="277"/>
  <c r="H919" i="277"/>
  <c r="H918" i="277"/>
  <c r="H917" i="277"/>
  <c r="H916" i="277"/>
  <c r="H915" i="277"/>
  <c r="H914" i="277"/>
  <c r="H906" i="277"/>
  <c r="G908" i="277"/>
  <c r="F908" i="277"/>
  <c r="E908" i="277"/>
  <c r="H907" i="277"/>
  <c r="H905" i="277"/>
  <c r="H904" i="277"/>
  <c r="H903" i="277"/>
  <c r="H902" i="277"/>
  <c r="G896" i="277"/>
  <c r="F896" i="277"/>
  <c r="E896" i="277"/>
  <c r="H895" i="277"/>
  <c r="H894" i="277"/>
  <c r="H893" i="277"/>
  <c r="H892" i="277"/>
  <c r="H891" i="277"/>
  <c r="G885" i="277"/>
  <c r="F885" i="277"/>
  <c r="E885" i="277"/>
  <c r="H884" i="277"/>
  <c r="H883" i="277"/>
  <c r="H882" i="277"/>
  <c r="H881" i="277"/>
  <c r="H880" i="277"/>
  <c r="G874" i="277"/>
  <c r="F874" i="277"/>
  <c r="E874" i="277"/>
  <c r="H873" i="277"/>
  <c r="H872" i="277"/>
  <c r="H871" i="277"/>
  <c r="H870" i="277"/>
  <c r="H869" i="277"/>
  <c r="G863" i="277"/>
  <c r="F863" i="277"/>
  <c r="E863" i="277"/>
  <c r="H862" i="277"/>
  <c r="H861" i="277"/>
  <c r="H860" i="277"/>
  <c r="H859" i="277"/>
  <c r="H858" i="277"/>
  <c r="G852" i="277"/>
  <c r="F852" i="277"/>
  <c r="E852" i="277"/>
  <c r="H851" i="277"/>
  <c r="H850" i="277"/>
  <c r="H848" i="277"/>
  <c r="H845" i="277"/>
  <c r="H844" i="277"/>
  <c r="H843" i="277"/>
  <c r="H842" i="277"/>
  <c r="H841" i="277"/>
  <c r="H840" i="277"/>
  <c r="H839" i="277"/>
  <c r="H838" i="277"/>
  <c r="G832" i="277"/>
  <c r="F832" i="277"/>
  <c r="E832" i="277"/>
  <c r="H831" i="277"/>
  <c r="H830" i="277"/>
  <c r="H828" i="277"/>
  <c r="H825" i="277"/>
  <c r="H824" i="277"/>
  <c r="H822" i="277"/>
  <c r="H820" i="277"/>
  <c r="H819" i="277"/>
  <c r="H818" i="277"/>
  <c r="H801" i="277"/>
  <c r="H802" i="277"/>
  <c r="H803" i="277"/>
  <c r="H804" i="277"/>
  <c r="H805" i="277"/>
  <c r="G812" i="277"/>
  <c r="F812" i="277"/>
  <c r="E812" i="277"/>
  <c r="H811" i="277"/>
  <c r="H810" i="277"/>
  <c r="H800" i="277"/>
  <c r="H799" i="277"/>
  <c r="G793" i="277"/>
  <c r="F793" i="277"/>
  <c r="E793" i="277"/>
  <c r="H792" i="277"/>
  <c r="H791" i="277"/>
  <c r="H790" i="277"/>
  <c r="H789" i="277"/>
  <c r="H788" i="277"/>
  <c r="G782" i="277"/>
  <c r="F782" i="277"/>
  <c r="E782" i="277"/>
  <c r="H781" i="277"/>
  <c r="H780" i="277"/>
  <c r="H779" i="277"/>
  <c r="H778" i="277"/>
  <c r="H777" i="277"/>
  <c r="H766" i="277"/>
  <c r="H765" i="277"/>
  <c r="H764" i="277"/>
  <c r="G771" i="277"/>
  <c r="F771" i="277"/>
  <c r="E771" i="277"/>
  <c r="H763" i="277"/>
  <c r="H762" i="277"/>
  <c r="H761" i="277"/>
  <c r="H760" i="277"/>
  <c r="G754" i="277"/>
  <c r="F754" i="277"/>
  <c r="E754" i="277"/>
  <c r="H753" i="277"/>
  <c r="H752" i="277"/>
  <c r="H751" i="277"/>
  <c r="H750" i="277"/>
  <c r="G743" i="277"/>
  <c r="F743" i="277"/>
  <c r="E743" i="277"/>
  <c r="H742" i="277"/>
  <c r="H741" i="277"/>
  <c r="H740" i="277"/>
  <c r="H739" i="277"/>
  <c r="H738" i="277"/>
  <c r="G732" i="277"/>
  <c r="F732" i="277"/>
  <c r="E732" i="277"/>
  <c r="H731" i="277"/>
  <c r="H730" i="277"/>
  <c r="H729" i="277"/>
  <c r="H728" i="277"/>
  <c r="H727" i="277"/>
  <c r="G721" i="277"/>
  <c r="F721" i="277"/>
  <c r="E721" i="277"/>
  <c r="H720" i="277"/>
  <c r="H719" i="277"/>
  <c r="H718" i="277"/>
  <c r="H717" i="277"/>
  <c r="H716" i="277"/>
  <c r="G710" i="277"/>
  <c r="F710" i="277"/>
  <c r="E710" i="277"/>
  <c r="H709" i="277"/>
  <c r="H708" i="277"/>
  <c r="H707" i="277"/>
  <c r="H706" i="277"/>
  <c r="H705" i="277"/>
  <c r="G699" i="277"/>
  <c r="F699" i="277"/>
  <c r="E699" i="277"/>
  <c r="H698" i="277"/>
  <c r="H697" i="277"/>
  <c r="H696" i="277"/>
  <c r="H695" i="277"/>
  <c r="H694" i="277"/>
  <c r="G688" i="277"/>
  <c r="F688" i="277"/>
  <c r="E688" i="277"/>
  <c r="H687" i="277"/>
  <c r="H686" i="277"/>
  <c r="H685" i="277"/>
  <c r="H684" i="277"/>
  <c r="H683" i="277"/>
  <c r="G677" i="277"/>
  <c r="F677" i="277"/>
  <c r="E677" i="277"/>
  <c r="H676" i="277"/>
  <c r="H675" i="277"/>
  <c r="H674" i="277"/>
  <c r="H673" i="277"/>
  <c r="H672" i="277"/>
  <c r="G666" i="277"/>
  <c r="F666" i="277"/>
  <c r="E666" i="277"/>
  <c r="H665" i="277"/>
  <c r="H664" i="277"/>
  <c r="H663" i="277"/>
  <c r="H662" i="277"/>
  <c r="H661" i="277"/>
  <c r="G655" i="277"/>
  <c r="F655" i="277"/>
  <c r="E655" i="277"/>
  <c r="H654" i="277"/>
  <c r="H653" i="277"/>
  <c r="H652" i="277"/>
  <c r="H651" i="277"/>
  <c r="H650" i="277"/>
  <c r="G644" i="277"/>
  <c r="F644" i="277"/>
  <c r="E644" i="277"/>
  <c r="H643" i="277"/>
  <c r="H642" i="277"/>
  <c r="H641" i="277"/>
  <c r="H640" i="277"/>
  <c r="H639" i="277"/>
  <c r="G633" i="277"/>
  <c r="F633" i="277"/>
  <c r="E633" i="277"/>
  <c r="H632" i="277"/>
  <c r="H631" i="277"/>
  <c r="H630" i="277"/>
  <c r="H629" i="277"/>
  <c r="H628" i="277"/>
  <c r="G622" i="277"/>
  <c r="F622" i="277"/>
  <c r="E622" i="277"/>
  <c r="H621" i="277"/>
  <c r="H620" i="277"/>
  <c r="H619" i="277"/>
  <c r="H618" i="277"/>
  <c r="H617" i="277"/>
  <c r="G611" i="277"/>
  <c r="F611" i="277"/>
  <c r="E611" i="277"/>
  <c r="H610" i="277"/>
  <c r="H609" i="277"/>
  <c r="H608" i="277"/>
  <c r="H607" i="277"/>
  <c r="H606" i="277"/>
  <c r="G600" i="277"/>
  <c r="F600" i="277"/>
  <c r="E600" i="277"/>
  <c r="H599" i="277"/>
  <c r="H598" i="277"/>
  <c r="H597" i="277"/>
  <c r="H596" i="277"/>
  <c r="H595" i="277"/>
  <c r="G578" i="277"/>
  <c r="F578" i="277"/>
  <c r="E578" i="277"/>
  <c r="H577" i="277"/>
  <c r="H576" i="277"/>
  <c r="H575" i="277"/>
  <c r="H574" i="277"/>
  <c r="H573" i="277"/>
  <c r="G444" i="277"/>
  <c r="H944" i="277" l="1"/>
  <c r="H932" i="277"/>
  <c r="H920" i="277"/>
  <c r="H908" i="277"/>
  <c r="H896" i="277"/>
  <c r="H885" i="277"/>
  <c r="H874" i="277"/>
  <c r="H863" i="277"/>
  <c r="H852" i="277"/>
  <c r="H832" i="277"/>
  <c r="H812" i="277"/>
  <c r="H793" i="277"/>
  <c r="H782" i="277"/>
  <c r="H771" i="277"/>
  <c r="H754" i="277"/>
  <c r="H743" i="277"/>
  <c r="H732" i="277"/>
  <c r="H721" i="277"/>
  <c r="H710" i="277"/>
  <c r="H699" i="277"/>
  <c r="H688" i="277"/>
  <c r="H677" i="277"/>
  <c r="H666" i="277"/>
  <c r="H655" i="277"/>
  <c r="H644" i="277"/>
  <c r="H633" i="277"/>
  <c r="H622" i="277"/>
  <c r="H611" i="277"/>
  <c r="H600" i="277"/>
  <c r="H578" i="277"/>
  <c r="F220" i="276"/>
  <c r="G220" i="276"/>
  <c r="E220" i="276"/>
  <c r="F219" i="276"/>
  <c r="G219" i="276"/>
  <c r="E219" i="276"/>
  <c r="F221" i="276"/>
  <c r="G221" i="276"/>
  <c r="E221" i="276"/>
  <c r="G131" i="276"/>
  <c r="F131" i="276"/>
  <c r="E131" i="276"/>
  <c r="H130" i="276"/>
  <c r="G124" i="276"/>
  <c r="F124" i="276"/>
  <c r="E124" i="276"/>
  <c r="H123" i="276"/>
  <c r="G117" i="276"/>
  <c r="F117" i="276"/>
  <c r="E117" i="276"/>
  <c r="H116" i="276"/>
  <c r="G110" i="276"/>
  <c r="F110" i="276"/>
  <c r="E110" i="276"/>
  <c r="G103" i="276"/>
  <c r="F103" i="276"/>
  <c r="E103" i="276"/>
  <c r="H102" i="276"/>
  <c r="H95" i="276"/>
  <c r="F96" i="276"/>
  <c r="G96" i="276"/>
  <c r="E96" i="276"/>
  <c r="H93" i="276"/>
  <c r="H92" i="276"/>
  <c r="H91" i="276"/>
  <c r="H90" i="276"/>
  <c r="H89" i="276"/>
  <c r="G83" i="276"/>
  <c r="F83" i="276"/>
  <c r="E83" i="276"/>
  <c r="H82" i="276"/>
  <c r="G76" i="276"/>
  <c r="F76" i="276"/>
  <c r="E76" i="276"/>
  <c r="H75" i="276"/>
  <c r="H74" i="276"/>
  <c r="H73" i="276"/>
  <c r="H72" i="276"/>
  <c r="H71" i="276"/>
  <c r="H70" i="276"/>
  <c r="G64" i="276"/>
  <c r="F64" i="276"/>
  <c r="E64" i="276"/>
  <c r="H63" i="276"/>
  <c r="G57" i="276"/>
  <c r="F57" i="276"/>
  <c r="E57" i="276"/>
  <c r="G50" i="276"/>
  <c r="F50" i="276"/>
  <c r="E50" i="276"/>
  <c r="G43" i="276"/>
  <c r="F43" i="276"/>
  <c r="E43" i="276"/>
  <c r="H42" i="276"/>
  <c r="F162" i="276"/>
  <c r="G162" i="276"/>
  <c r="E162" i="276"/>
  <c r="L46" i="275"/>
  <c r="G46" i="275"/>
  <c r="G37" i="275"/>
  <c r="F37" i="275"/>
  <c r="E37" i="275"/>
  <c r="H33" i="275"/>
  <c r="G26" i="275"/>
  <c r="F26" i="275"/>
  <c r="E26" i="275"/>
  <c r="H22" i="275"/>
  <c r="H131" i="276" l="1"/>
  <c r="H124" i="276"/>
  <c r="H117" i="276"/>
  <c r="H103" i="276"/>
  <c r="H96" i="276"/>
  <c r="H83" i="276"/>
  <c r="H76" i="276"/>
  <c r="H64" i="276"/>
  <c r="H43" i="276"/>
  <c r="H49" i="291"/>
  <c r="H54" i="279"/>
  <c r="H55" i="279"/>
  <c r="H56" i="279"/>
  <c r="H57" i="279"/>
  <c r="H58" i="279"/>
  <c r="H59" i="279"/>
  <c r="H60" i="279"/>
  <c r="H194" i="278"/>
  <c r="E483" i="7" l="1"/>
  <c r="E480" i="7" l="1"/>
  <c r="Q483" i="7"/>
  <c r="H189" i="7"/>
  <c r="H188" i="7"/>
  <c r="H185" i="7"/>
  <c r="H183" i="7"/>
  <c r="H182" i="7"/>
  <c r="H181" i="7"/>
  <c r="H180" i="7"/>
  <c r="H179" i="7"/>
  <c r="H178" i="7"/>
  <c r="H173" i="7"/>
  <c r="H172" i="7"/>
  <c r="H171" i="7"/>
  <c r="H170" i="7"/>
  <c r="H169" i="7"/>
  <c r="H168" i="7"/>
  <c r="H167" i="7"/>
  <c r="H166" i="7"/>
  <c r="H165" i="7"/>
  <c r="H164" i="7"/>
  <c r="H163" i="7"/>
  <c r="H161" i="7"/>
  <c r="H160" i="7"/>
  <c r="M159" i="7"/>
  <c r="L159" i="7"/>
  <c r="H158" i="7"/>
  <c r="H157" i="7"/>
  <c r="H156" i="7"/>
  <c r="H155" i="7"/>
  <c r="H154" i="7"/>
  <c r="H153" i="7"/>
  <c r="H152" i="7"/>
  <c r="H151" i="7"/>
  <c r="H150" i="7"/>
  <c r="H149" i="7"/>
  <c r="H148" i="7"/>
  <c r="H147" i="7"/>
  <c r="H146" i="7"/>
  <c r="H145" i="7"/>
  <c r="H144" i="7"/>
  <c r="H143" i="7"/>
  <c r="H142" i="7"/>
  <c r="H141" i="7"/>
  <c r="H140" i="7"/>
  <c r="H139" i="7"/>
  <c r="H138" i="7"/>
  <c r="H137" i="7"/>
  <c r="H136" i="7"/>
  <c r="H135" i="7"/>
  <c r="H134" i="7"/>
  <c r="H133" i="7"/>
  <c r="M131" i="7"/>
  <c r="L131" i="7"/>
  <c r="L190" i="7" s="1"/>
  <c r="H130" i="7"/>
  <c r="H129" i="7"/>
  <c r="H128" i="7"/>
  <c r="H127" i="7"/>
  <c r="H126" i="7"/>
  <c r="H177" i="7" l="1"/>
  <c r="H131" i="7"/>
  <c r="M190" i="7"/>
  <c r="S483" i="7" s="1"/>
  <c r="H159" i="7"/>
  <c r="G190" i="7"/>
  <c r="G483" i="7" s="1"/>
  <c r="H186" i="7"/>
  <c r="H125" i="7"/>
  <c r="R483" i="7"/>
  <c r="F190" i="7"/>
  <c r="H190" i="7" l="1"/>
  <c r="F483" i="7"/>
  <c r="H241" i="7"/>
  <c r="H240" i="7"/>
  <c r="H237" i="7"/>
  <c r="H236" i="7"/>
  <c r="H235" i="7"/>
  <c r="H234" i="7"/>
  <c r="H233" i="7"/>
  <c r="H232" i="7"/>
  <c r="H231" i="7"/>
  <c r="H220" i="7"/>
  <c r="H218" i="7"/>
  <c r="H217" i="7"/>
  <c r="H216" i="7"/>
  <c r="H215" i="7"/>
  <c r="H214" i="7"/>
  <c r="H213" i="7"/>
  <c r="G197" i="7"/>
  <c r="G242" i="7" s="1"/>
  <c r="F197" i="7"/>
  <c r="F242" i="7" s="1"/>
  <c r="H206" i="7"/>
  <c r="H205" i="7"/>
  <c r="H203" i="7"/>
  <c r="H68" i="239" l="1"/>
  <c r="H44" i="239"/>
  <c r="H43" i="239"/>
  <c r="H42" i="239"/>
  <c r="H16" i="240"/>
  <c r="H12" i="240"/>
  <c r="H2507" i="17" l="1"/>
  <c r="H2515" i="17" s="1"/>
  <c r="G2507" i="17"/>
  <c r="G2515" i="17" s="1"/>
  <c r="H2511" i="17"/>
  <c r="G2511" i="17"/>
  <c r="H2322" i="17"/>
  <c r="G2322" i="17"/>
  <c r="H2328" i="17"/>
  <c r="G2328" i="17"/>
  <c r="H2278" i="17"/>
  <c r="G2278" i="17"/>
  <c r="H2280" i="17"/>
  <c r="G2280" i="17"/>
  <c r="H2068" i="17"/>
  <c r="G2068" i="17"/>
  <c r="H2073" i="17"/>
  <c r="G2073" i="17"/>
  <c r="H2075" i="17"/>
  <c r="G2075" i="17"/>
  <c r="H1331" i="17"/>
  <c r="G1331" i="17"/>
  <c r="H1387" i="17"/>
  <c r="G1387" i="17"/>
  <c r="H1282" i="17"/>
  <c r="G1282" i="17"/>
  <c r="G1175" i="17"/>
  <c r="I1252" i="17"/>
  <c r="H1253" i="17"/>
  <c r="G1253" i="17"/>
  <c r="I1186" i="17"/>
  <c r="I1154" i="17"/>
  <c r="H1099" i="17"/>
  <c r="G1099" i="17"/>
  <c r="I604" i="17"/>
  <c r="H603" i="17"/>
  <c r="H605" i="17" s="1"/>
  <c r="G603" i="17"/>
  <c r="G605" i="17" s="1"/>
  <c r="I1099" i="17" l="1"/>
  <c r="I1387" i="17"/>
  <c r="I2328" i="17"/>
  <c r="I2511" i="17"/>
  <c r="I1253" i="17"/>
  <c r="I2075" i="17"/>
  <c r="I603" i="17"/>
  <c r="H486" i="17"/>
  <c r="G486" i="17"/>
  <c r="I487" i="17"/>
  <c r="I2076" i="17"/>
  <c r="H25" i="52" l="1"/>
  <c r="I1150" i="250"/>
  <c r="I789" i="250"/>
  <c r="G449" i="239" l="1"/>
  <c r="F449" i="239"/>
  <c r="E449" i="239"/>
  <c r="L370" i="7" l="1"/>
  <c r="M370" i="7"/>
  <c r="K370" i="7"/>
  <c r="F370" i="7"/>
  <c r="G370" i="7"/>
  <c r="H49" i="7"/>
  <c r="L48" i="7"/>
  <c r="M48" i="7"/>
  <c r="K48" i="7"/>
  <c r="L46" i="7"/>
  <c r="M46" i="7"/>
  <c r="K46" i="7"/>
  <c r="L44" i="7"/>
  <c r="M44" i="7"/>
  <c r="K44" i="7"/>
  <c r="F46" i="7"/>
  <c r="E46" i="7"/>
  <c r="G46" i="7"/>
  <c r="H47" i="7"/>
  <c r="G44" i="7"/>
  <c r="F44" i="7"/>
  <c r="E44" i="7"/>
  <c r="H45" i="7"/>
  <c r="S1199" i="250" l="1"/>
  <c r="T1199" i="250"/>
  <c r="R1199" i="250"/>
  <c r="F1893" i="250" l="1"/>
  <c r="H1893" i="250"/>
  <c r="G1893" i="250"/>
  <c r="I1895" i="250"/>
  <c r="I1911" i="250"/>
  <c r="H1913" i="250"/>
  <c r="T1910" i="250" s="1"/>
  <c r="G1913" i="250"/>
  <c r="S1910" i="250" s="1"/>
  <c r="F1913" i="250"/>
  <c r="R1910" i="250" s="1"/>
  <c r="I1908" i="250"/>
  <c r="I1907" i="250"/>
  <c r="I1906" i="250"/>
  <c r="I1905" i="250"/>
  <c r="H1904" i="250"/>
  <c r="G1904" i="250"/>
  <c r="F1904" i="250"/>
  <c r="I1903" i="250"/>
  <c r="I1902" i="250"/>
  <c r="H1901" i="250"/>
  <c r="G1901" i="250"/>
  <c r="F1901" i="250"/>
  <c r="I1898" i="250"/>
  <c r="I1897" i="250"/>
  <c r="I1896" i="250"/>
  <c r="I1894" i="250"/>
  <c r="I1886" i="250"/>
  <c r="H1885" i="250"/>
  <c r="H1887" i="250" s="1"/>
  <c r="T1870" i="250" s="1"/>
  <c r="G1885" i="250"/>
  <c r="G1887" i="250" s="1"/>
  <c r="S1870" i="250" s="1"/>
  <c r="F1885" i="250"/>
  <c r="F1887" i="250" s="1"/>
  <c r="R1870" i="250" s="1"/>
  <c r="I1883" i="250"/>
  <c r="I1882" i="250"/>
  <c r="I1881" i="250"/>
  <c r="I1880" i="250"/>
  <c r="H1879" i="250"/>
  <c r="G1879" i="250"/>
  <c r="F1879" i="250"/>
  <c r="I1878" i="250"/>
  <c r="I1877" i="250"/>
  <c r="H1876" i="250"/>
  <c r="G1876" i="250"/>
  <c r="F1876" i="250"/>
  <c r="I1874" i="250"/>
  <c r="I1873" i="250"/>
  <c r="I1872" i="250"/>
  <c r="I1871" i="250"/>
  <c r="I1870" i="250"/>
  <c r="H1869" i="250"/>
  <c r="G1869" i="250"/>
  <c r="F1869" i="250"/>
  <c r="I1858" i="250"/>
  <c r="H1857" i="250"/>
  <c r="H1859" i="250" s="1"/>
  <c r="T1857" i="250" s="1"/>
  <c r="G1857" i="250"/>
  <c r="G1859" i="250" s="1"/>
  <c r="S1857" i="250" s="1"/>
  <c r="F1857" i="250"/>
  <c r="F1859" i="250" s="1"/>
  <c r="R1857" i="250" s="1"/>
  <c r="I1855" i="250"/>
  <c r="I1854" i="250"/>
  <c r="I1853" i="250"/>
  <c r="I1852" i="250"/>
  <c r="H1851" i="250"/>
  <c r="G1851" i="250"/>
  <c r="F1851" i="250"/>
  <c r="I1850" i="250"/>
  <c r="I1849" i="250"/>
  <c r="H1848" i="250"/>
  <c r="G1848" i="250"/>
  <c r="F1848" i="250"/>
  <c r="I1846" i="250"/>
  <c r="I1845" i="250"/>
  <c r="I1844" i="250"/>
  <c r="I1843" i="250"/>
  <c r="I1842" i="250"/>
  <c r="H1841" i="250"/>
  <c r="G1841" i="250"/>
  <c r="F1841" i="250"/>
  <c r="G1909" i="250" l="1"/>
  <c r="S1909" i="250" s="1"/>
  <c r="S1911" i="250" s="1"/>
  <c r="H1909" i="250"/>
  <c r="T1909" i="250" s="1"/>
  <c r="T1911" i="250" s="1"/>
  <c r="I1879" i="250"/>
  <c r="G1884" i="250"/>
  <c r="S1869" i="250" s="1"/>
  <c r="S1871" i="250" s="1"/>
  <c r="I1876" i="250"/>
  <c r="I1904" i="250"/>
  <c r="H1884" i="250"/>
  <c r="T1869" i="250" s="1"/>
  <c r="T1871" i="250" s="1"/>
  <c r="F1909" i="250"/>
  <c r="R1909" i="250" s="1"/>
  <c r="R1911" i="250" s="1"/>
  <c r="I1901" i="250"/>
  <c r="I1893" i="250"/>
  <c r="I1910" i="250"/>
  <c r="F1884" i="250"/>
  <c r="R1869" i="250" s="1"/>
  <c r="R1871" i="250" s="1"/>
  <c r="I1869" i="250"/>
  <c r="I1885" i="250"/>
  <c r="I1848" i="250"/>
  <c r="G1856" i="250"/>
  <c r="S1856" i="250" s="1"/>
  <c r="S1858" i="250" s="1"/>
  <c r="H1856" i="250"/>
  <c r="T1856" i="250" s="1"/>
  <c r="T1858" i="250" s="1"/>
  <c r="F1856" i="250"/>
  <c r="R1856" i="250" s="1"/>
  <c r="R1858" i="250" s="1"/>
  <c r="I1851" i="250"/>
  <c r="I1841" i="250"/>
  <c r="I1857" i="250"/>
  <c r="I1833" i="250"/>
  <c r="H1832" i="250"/>
  <c r="H1834" i="250" s="1"/>
  <c r="T1832" i="250" s="1"/>
  <c r="G1832" i="250"/>
  <c r="G1834" i="250" s="1"/>
  <c r="S1832" i="250" s="1"/>
  <c r="F1832" i="250"/>
  <c r="F1834" i="250" s="1"/>
  <c r="R1832" i="250" s="1"/>
  <c r="I1830" i="250"/>
  <c r="I1829" i="250"/>
  <c r="I1828" i="250"/>
  <c r="I1827" i="250"/>
  <c r="H1826" i="250"/>
  <c r="G1826" i="250"/>
  <c r="F1826" i="250"/>
  <c r="I1825" i="250"/>
  <c r="I1824" i="250"/>
  <c r="H1823" i="250"/>
  <c r="G1823" i="250"/>
  <c r="F1823" i="250"/>
  <c r="I1822" i="250"/>
  <c r="I1821" i="250"/>
  <c r="I1820" i="250"/>
  <c r="I1819" i="250"/>
  <c r="I1818" i="250"/>
  <c r="I1817" i="250"/>
  <c r="H1816" i="250"/>
  <c r="G1816" i="250"/>
  <c r="F1816" i="250"/>
  <c r="I1809" i="250"/>
  <c r="H1808" i="250"/>
  <c r="H1810" i="250" s="1"/>
  <c r="T1808" i="250" s="1"/>
  <c r="G1808" i="250"/>
  <c r="G1810" i="250" s="1"/>
  <c r="S1808" i="250" s="1"/>
  <c r="F1808" i="250"/>
  <c r="F1810" i="250" s="1"/>
  <c r="R1808" i="250" s="1"/>
  <c r="I1806" i="250"/>
  <c r="I1805" i="250"/>
  <c r="I1804" i="250"/>
  <c r="I1803" i="250"/>
  <c r="H1802" i="250"/>
  <c r="G1802" i="250"/>
  <c r="F1802" i="250"/>
  <c r="I1801" i="250"/>
  <c r="I1800" i="250"/>
  <c r="H1799" i="250"/>
  <c r="G1799" i="250"/>
  <c r="F1799" i="250"/>
  <c r="I1798" i="250"/>
  <c r="I1797" i="250"/>
  <c r="I1796" i="250"/>
  <c r="I1795" i="250"/>
  <c r="I1794" i="250"/>
  <c r="I1793" i="250"/>
  <c r="H1792" i="250"/>
  <c r="G1792" i="250"/>
  <c r="F1792" i="250"/>
  <c r="H1784" i="250"/>
  <c r="H1786" i="250" s="1"/>
  <c r="T1770" i="250" s="1"/>
  <c r="G1784" i="250"/>
  <c r="G1786" i="250" s="1"/>
  <c r="S1770" i="250" s="1"/>
  <c r="F1784" i="250"/>
  <c r="F1786" i="250" s="1"/>
  <c r="R1770" i="250" s="1"/>
  <c r="I1782" i="250"/>
  <c r="I1781" i="250"/>
  <c r="I1780" i="250"/>
  <c r="I1779" i="250"/>
  <c r="H1778" i="250"/>
  <c r="G1778" i="250"/>
  <c r="F1778" i="250"/>
  <c r="I1777" i="250"/>
  <c r="I1776" i="250"/>
  <c r="H1775" i="250"/>
  <c r="G1775" i="250"/>
  <c r="F1775" i="250"/>
  <c r="I1774" i="250"/>
  <c r="I1773" i="250"/>
  <c r="I1772" i="250"/>
  <c r="I1771" i="250"/>
  <c r="I1770" i="250"/>
  <c r="I1769" i="250"/>
  <c r="H1768" i="250"/>
  <c r="G1768" i="250"/>
  <c r="F1768" i="250"/>
  <c r="I1757" i="250"/>
  <c r="I1756" i="250"/>
  <c r="I1755" i="250"/>
  <c r="I1754" i="250"/>
  <c r="H1753" i="250"/>
  <c r="G1753" i="250"/>
  <c r="F1753" i="250"/>
  <c r="I1752" i="250"/>
  <c r="I1751" i="250"/>
  <c r="H1750" i="250"/>
  <c r="G1750" i="250"/>
  <c r="F1750" i="250"/>
  <c r="I1749" i="250"/>
  <c r="I1748" i="250"/>
  <c r="I1747" i="250"/>
  <c r="I1746" i="250"/>
  <c r="I1745" i="250"/>
  <c r="I1744" i="250"/>
  <c r="H1743" i="250"/>
  <c r="G1743" i="250"/>
  <c r="F1743" i="250"/>
  <c r="I1733" i="250"/>
  <c r="I1732" i="250"/>
  <c r="I1731" i="250"/>
  <c r="I1730" i="250"/>
  <c r="H1729" i="250"/>
  <c r="G1729" i="250"/>
  <c r="F1729" i="250"/>
  <c r="I1728" i="250"/>
  <c r="I1727" i="250"/>
  <c r="H1726" i="250"/>
  <c r="G1726" i="250"/>
  <c r="F1726" i="250"/>
  <c r="I1725" i="250"/>
  <c r="I1724" i="250"/>
  <c r="I1723" i="250"/>
  <c r="I1722" i="250"/>
  <c r="I1721" i="250"/>
  <c r="I1720" i="250"/>
  <c r="H1719" i="250"/>
  <c r="G1719" i="250"/>
  <c r="F1719" i="250"/>
  <c r="I1712" i="250"/>
  <c r="H1711" i="250"/>
  <c r="H1713" i="250" s="1"/>
  <c r="T1711" i="250" s="1"/>
  <c r="G1711" i="250"/>
  <c r="G1713" i="250" s="1"/>
  <c r="S1711" i="250" s="1"/>
  <c r="F1711" i="250"/>
  <c r="F1713" i="250" s="1"/>
  <c r="R1711" i="250" s="1"/>
  <c r="G1695" i="250"/>
  <c r="H1695" i="250"/>
  <c r="F1695" i="250"/>
  <c r="I1696" i="250"/>
  <c r="I1709" i="250"/>
  <c r="I1708" i="250"/>
  <c r="I1707" i="250"/>
  <c r="I1706" i="250"/>
  <c r="H1705" i="250"/>
  <c r="G1705" i="250"/>
  <c r="F1705" i="250"/>
  <c r="I1704" i="250"/>
  <c r="I1703" i="250"/>
  <c r="H1702" i="250"/>
  <c r="G1702" i="250"/>
  <c r="F1702" i="250"/>
  <c r="I1701" i="250"/>
  <c r="I1700" i="250"/>
  <c r="I1699" i="250"/>
  <c r="I1698" i="250"/>
  <c r="I1697" i="250"/>
  <c r="I1680" i="250"/>
  <c r="I1679" i="250"/>
  <c r="G1675" i="250"/>
  <c r="H1675" i="250"/>
  <c r="F1675" i="250"/>
  <c r="I1688" i="250"/>
  <c r="I1687" i="250"/>
  <c r="I1686" i="250"/>
  <c r="I1685" i="250"/>
  <c r="H1684" i="250"/>
  <c r="G1684" i="250"/>
  <c r="F1684" i="250"/>
  <c r="I1683" i="250"/>
  <c r="I1682" i="250"/>
  <c r="H1681" i="250"/>
  <c r="G1681" i="250"/>
  <c r="F1681" i="250"/>
  <c r="I1678" i="250"/>
  <c r="I1677" i="250"/>
  <c r="I1676" i="250"/>
  <c r="H1665" i="250"/>
  <c r="H1669" i="250" s="1"/>
  <c r="G1665" i="250"/>
  <c r="G1669" i="250" s="1"/>
  <c r="F1665" i="250"/>
  <c r="F1669" i="250" s="1"/>
  <c r="I1657" i="250"/>
  <c r="H1656" i="250"/>
  <c r="H1658" i="250" s="1"/>
  <c r="T1643" i="250" s="1"/>
  <c r="G1656" i="250"/>
  <c r="G1658" i="250" s="1"/>
  <c r="S1643" i="250" s="1"/>
  <c r="F1656" i="250"/>
  <c r="F1658" i="250" s="1"/>
  <c r="R1643" i="250" s="1"/>
  <c r="I1646" i="250"/>
  <c r="G1643" i="250"/>
  <c r="H1643" i="250"/>
  <c r="F1643" i="250"/>
  <c r="I1654" i="250"/>
  <c r="I1653" i="250"/>
  <c r="I1652" i="250"/>
  <c r="I1651" i="250"/>
  <c r="H1650" i="250"/>
  <c r="G1650" i="250"/>
  <c r="F1650" i="250"/>
  <c r="I1649" i="250"/>
  <c r="I1648" i="250"/>
  <c r="H1647" i="250"/>
  <c r="G1647" i="250"/>
  <c r="F1647" i="250"/>
  <c r="I1645" i="250"/>
  <c r="I1644" i="250"/>
  <c r="I1634" i="250"/>
  <c r="I1635" i="250"/>
  <c r="I1636" i="250"/>
  <c r="I1633" i="250"/>
  <c r="F1632" i="250"/>
  <c r="F1637" i="250" s="1"/>
  <c r="I1631" i="250"/>
  <c r="I1628" i="250"/>
  <c r="I1826" i="250" l="1"/>
  <c r="G1689" i="250"/>
  <c r="I1729" i="250"/>
  <c r="I1750" i="250"/>
  <c r="I1799" i="250"/>
  <c r="I1702" i="250"/>
  <c r="I1705" i="250"/>
  <c r="I1778" i="250"/>
  <c r="I1802" i="250"/>
  <c r="I1753" i="250"/>
  <c r="H1710" i="250"/>
  <c r="T1710" i="250" s="1"/>
  <c r="T1712" i="250" s="1"/>
  <c r="G1758" i="250"/>
  <c r="I1808" i="250"/>
  <c r="H1831" i="250"/>
  <c r="T1831" i="250" s="1"/>
  <c r="T1833" i="250" s="1"/>
  <c r="I1823" i="250"/>
  <c r="I1816" i="250"/>
  <c r="G1831" i="250"/>
  <c r="S1831" i="250" s="1"/>
  <c r="S1833" i="250" s="1"/>
  <c r="F1831" i="250"/>
  <c r="R1831" i="250" s="1"/>
  <c r="R1833" i="250" s="1"/>
  <c r="I1832" i="250"/>
  <c r="G1807" i="250"/>
  <c r="S1807" i="250" s="1"/>
  <c r="S1809" i="250" s="1"/>
  <c r="I1792" i="250"/>
  <c r="F1807" i="250"/>
  <c r="R1807" i="250" s="1"/>
  <c r="R1809" i="250" s="1"/>
  <c r="H1807" i="250"/>
  <c r="T1807" i="250" s="1"/>
  <c r="T1809" i="250" s="1"/>
  <c r="I1775" i="250"/>
  <c r="G1783" i="250"/>
  <c r="S1769" i="250" s="1"/>
  <c r="S1771" i="250" s="1"/>
  <c r="I1768" i="250"/>
  <c r="F1783" i="250"/>
  <c r="R1769" i="250" s="1"/>
  <c r="R1771" i="250" s="1"/>
  <c r="H1783" i="250"/>
  <c r="T1769" i="250" s="1"/>
  <c r="T1771" i="250" s="1"/>
  <c r="I1743" i="250"/>
  <c r="H1758" i="250"/>
  <c r="F1758" i="250"/>
  <c r="I1726" i="250"/>
  <c r="H1734" i="250"/>
  <c r="I1719" i="250"/>
  <c r="G1734" i="250"/>
  <c r="F1734" i="250"/>
  <c r="F1710" i="250"/>
  <c r="R1710" i="250" s="1"/>
  <c r="R1712" i="250" s="1"/>
  <c r="G1710" i="250"/>
  <c r="S1710" i="250" s="1"/>
  <c r="S1712" i="250" s="1"/>
  <c r="I1695" i="250"/>
  <c r="I1684" i="250"/>
  <c r="I1681" i="250"/>
  <c r="H1689" i="250"/>
  <c r="F1689" i="250"/>
  <c r="I1675" i="250"/>
  <c r="I1643" i="250"/>
  <c r="I1650" i="250"/>
  <c r="H1655" i="250"/>
  <c r="T1642" i="250" s="1"/>
  <c r="T1644" i="250" s="1"/>
  <c r="F1655" i="250"/>
  <c r="R1642" i="250" s="1"/>
  <c r="R1644" i="250" s="1"/>
  <c r="I1647" i="250"/>
  <c r="G1655" i="250"/>
  <c r="S1642" i="250" s="1"/>
  <c r="S1644" i="250" s="1"/>
  <c r="I1632" i="250"/>
  <c r="I1627" i="250"/>
  <c r="I1619" i="250"/>
  <c r="H1618" i="250"/>
  <c r="H1620" i="250" s="1"/>
  <c r="T1618" i="250" s="1"/>
  <c r="G1618" i="250"/>
  <c r="G1620" i="250" s="1"/>
  <c r="S1618" i="250" s="1"/>
  <c r="F1618" i="250"/>
  <c r="F1620" i="250" s="1"/>
  <c r="R1618" i="250" s="1"/>
  <c r="H1613" i="250"/>
  <c r="H1617" i="250" s="1"/>
  <c r="T1617" i="250" s="1"/>
  <c r="G1613" i="250"/>
  <c r="G1617" i="250" s="1"/>
  <c r="S1617" i="250" s="1"/>
  <c r="F1613" i="250"/>
  <c r="F1617" i="250" s="1"/>
  <c r="R1617" i="250" s="1"/>
  <c r="H1603" i="250"/>
  <c r="H1607" i="250" s="1"/>
  <c r="G1603" i="250"/>
  <c r="G1607" i="250" s="1"/>
  <c r="F1603" i="250"/>
  <c r="F1607" i="250" s="1"/>
  <c r="I1590" i="250"/>
  <c r="H1589" i="250"/>
  <c r="H1591" i="250" s="1"/>
  <c r="T1589" i="250" s="1"/>
  <c r="G1589" i="250"/>
  <c r="G1591" i="250" s="1"/>
  <c r="S1589" i="250" s="1"/>
  <c r="F1589" i="250"/>
  <c r="F1591" i="250" s="1"/>
  <c r="R1589" i="250" s="1"/>
  <c r="H1584" i="250"/>
  <c r="H1588" i="250" s="1"/>
  <c r="T1588" i="250" s="1"/>
  <c r="G1584" i="250"/>
  <c r="G1588" i="250" s="1"/>
  <c r="S1588" i="250" s="1"/>
  <c r="F1584" i="250"/>
  <c r="F1588" i="250" s="1"/>
  <c r="R1588" i="250" s="1"/>
  <c r="I1577" i="250"/>
  <c r="H1576" i="250"/>
  <c r="H1578" i="250" s="1"/>
  <c r="T1576" i="250" s="1"/>
  <c r="G1576" i="250"/>
  <c r="G1578" i="250" s="1"/>
  <c r="S1576" i="250" s="1"/>
  <c r="F1576" i="250"/>
  <c r="F1578" i="250" s="1"/>
  <c r="R1576" i="250" s="1"/>
  <c r="H1575" i="250"/>
  <c r="T1575" i="250" s="1"/>
  <c r="G1575" i="250"/>
  <c r="S1575" i="250" s="1"/>
  <c r="F1575" i="250"/>
  <c r="R1575" i="250" s="1"/>
  <c r="H1556" i="250"/>
  <c r="H1560" i="250" s="1"/>
  <c r="G1556" i="250"/>
  <c r="G1560" i="250" s="1"/>
  <c r="F1556" i="250"/>
  <c r="F1560" i="250" s="1"/>
  <c r="H1546" i="250"/>
  <c r="H1550" i="250" s="1"/>
  <c r="G1546" i="250"/>
  <c r="G1550" i="250" s="1"/>
  <c r="F1546" i="250"/>
  <c r="F1550" i="250" s="1"/>
  <c r="I1539" i="250"/>
  <c r="H1538" i="250"/>
  <c r="H1540" i="250" s="1"/>
  <c r="T1538" i="250" s="1"/>
  <c r="G1538" i="250"/>
  <c r="G1540" i="250" s="1"/>
  <c r="S1538" i="250" s="1"/>
  <c r="F1538" i="250"/>
  <c r="F1540" i="250" s="1"/>
  <c r="R1538" i="250" s="1"/>
  <c r="H1533" i="250"/>
  <c r="H1537" i="250" s="1"/>
  <c r="T1537" i="250" s="1"/>
  <c r="G1533" i="250"/>
  <c r="G1537" i="250" s="1"/>
  <c r="S1537" i="250" s="1"/>
  <c r="F1533" i="250"/>
  <c r="F1537" i="250" s="1"/>
  <c r="R1537" i="250" s="1"/>
  <c r="H1519" i="250"/>
  <c r="H1523" i="250" s="1"/>
  <c r="G1519" i="250"/>
  <c r="G1523" i="250" s="1"/>
  <c r="F1519" i="250"/>
  <c r="F1523" i="250" s="1"/>
  <c r="H1505" i="250"/>
  <c r="H1509" i="250" s="1"/>
  <c r="G1505" i="250"/>
  <c r="G1509" i="250" s="1"/>
  <c r="F1505" i="250"/>
  <c r="F1509" i="250" s="1"/>
  <c r="H1493" i="250"/>
  <c r="H1497" i="250" s="1"/>
  <c r="G1493" i="250"/>
  <c r="G1497" i="250" s="1"/>
  <c r="F1493" i="250"/>
  <c r="F1497" i="250" s="1"/>
  <c r="H1483" i="250"/>
  <c r="H1487" i="250" s="1"/>
  <c r="G1483" i="250"/>
  <c r="G1487" i="250" s="1"/>
  <c r="F1483" i="250"/>
  <c r="F1487" i="250" s="1"/>
  <c r="H1473" i="250"/>
  <c r="H1477" i="250" s="1"/>
  <c r="G1473" i="250"/>
  <c r="G1477" i="250" s="1"/>
  <c r="F1473" i="250"/>
  <c r="F1477" i="250" s="1"/>
  <c r="I1463" i="250"/>
  <c r="I1462" i="250"/>
  <c r="I1461" i="250"/>
  <c r="I1460" i="250"/>
  <c r="H1459" i="250"/>
  <c r="H1464" i="250" s="1"/>
  <c r="G1459" i="250"/>
  <c r="G1464" i="250" s="1"/>
  <c r="F1459" i="250"/>
  <c r="F1464" i="250" s="1"/>
  <c r="H1446" i="250"/>
  <c r="H1450" i="250" s="1"/>
  <c r="G1446" i="250"/>
  <c r="G1450" i="250" s="1"/>
  <c r="F1446" i="250"/>
  <c r="F1450" i="250" s="1"/>
  <c r="G1432" i="250"/>
  <c r="G1437" i="250" s="1"/>
  <c r="H1432" i="250"/>
  <c r="H1437" i="250" s="1"/>
  <c r="F1432" i="250"/>
  <c r="F1437" i="250" s="1"/>
  <c r="I1434" i="250"/>
  <c r="I1435" i="250"/>
  <c r="I1436" i="250"/>
  <c r="I1433" i="250"/>
  <c r="H1417" i="250"/>
  <c r="H1421" i="250" s="1"/>
  <c r="G1417" i="250"/>
  <c r="G1421" i="250" s="1"/>
  <c r="F1417" i="250"/>
  <c r="F1421" i="250" s="1"/>
  <c r="H1407" i="250"/>
  <c r="H1411" i="250" s="1"/>
  <c r="G1407" i="250"/>
  <c r="G1411" i="250" s="1"/>
  <c r="F1407" i="250"/>
  <c r="F1411" i="250" s="1"/>
  <c r="I1400" i="250"/>
  <c r="H1399" i="250"/>
  <c r="H1401" i="250" s="1"/>
  <c r="T1399" i="250" s="1"/>
  <c r="G1399" i="250"/>
  <c r="G1401" i="250" s="1"/>
  <c r="S1399" i="250" s="1"/>
  <c r="F1399" i="250"/>
  <c r="F1401" i="250" s="1"/>
  <c r="R1399" i="250" s="1"/>
  <c r="H1394" i="250"/>
  <c r="H1398" i="250" s="1"/>
  <c r="T1398" i="250" s="1"/>
  <c r="G1394" i="250"/>
  <c r="G1398" i="250" s="1"/>
  <c r="S1398" i="250" s="1"/>
  <c r="F1394" i="250"/>
  <c r="F1398" i="250" s="1"/>
  <c r="R1398" i="250" s="1"/>
  <c r="I1387" i="250"/>
  <c r="H1386" i="250"/>
  <c r="H1388" i="250" s="1"/>
  <c r="T1386" i="250" s="1"/>
  <c r="G1386" i="250"/>
  <c r="G1388" i="250" s="1"/>
  <c r="S1386" i="250" s="1"/>
  <c r="F1386" i="250"/>
  <c r="F1388" i="250" s="1"/>
  <c r="R1386" i="250" s="1"/>
  <c r="H1381" i="250"/>
  <c r="H1385" i="250" s="1"/>
  <c r="T1385" i="250" s="1"/>
  <c r="G1381" i="250"/>
  <c r="G1385" i="250" s="1"/>
  <c r="S1385" i="250" s="1"/>
  <c r="F1381" i="250"/>
  <c r="F1385" i="250" s="1"/>
  <c r="R1385" i="250" s="1"/>
  <c r="H1373" i="250"/>
  <c r="H1375" i="250" s="1"/>
  <c r="T1373" i="250" s="1"/>
  <c r="G1373" i="250"/>
  <c r="G1375" i="250" s="1"/>
  <c r="S1373" i="250" s="1"/>
  <c r="F1373" i="250"/>
  <c r="F1375" i="250" s="1"/>
  <c r="R1373" i="250" s="1"/>
  <c r="H1368" i="250"/>
  <c r="H1372" i="250" s="1"/>
  <c r="T1372" i="250" s="1"/>
  <c r="G1368" i="250"/>
  <c r="G1372" i="250" s="1"/>
  <c r="S1372" i="250" s="1"/>
  <c r="F1368" i="250"/>
  <c r="F1372" i="250" s="1"/>
  <c r="R1372" i="250" s="1"/>
  <c r="H1360" i="250"/>
  <c r="H1362" i="250" s="1"/>
  <c r="T1360" i="250" s="1"/>
  <c r="G1360" i="250"/>
  <c r="G1362" i="250" s="1"/>
  <c r="S1360" i="250" s="1"/>
  <c r="F1360" i="250"/>
  <c r="F1362" i="250" s="1"/>
  <c r="R1360" i="250" s="1"/>
  <c r="H1359" i="250"/>
  <c r="T1359" i="250" s="1"/>
  <c r="G1359" i="250"/>
  <c r="S1359" i="250" s="1"/>
  <c r="F1359" i="250"/>
  <c r="R1359" i="250" s="1"/>
  <c r="H1343" i="250"/>
  <c r="H1345" i="250" s="1"/>
  <c r="G1343" i="250"/>
  <c r="G1345" i="250" s="1"/>
  <c r="F1343" i="250"/>
  <c r="F1345" i="250" s="1"/>
  <c r="H1338" i="250"/>
  <c r="H1342" i="250" s="1"/>
  <c r="G1338" i="250"/>
  <c r="G1342" i="250" s="1"/>
  <c r="F1338" i="250"/>
  <c r="F1342" i="250" s="1"/>
  <c r="H1330" i="250"/>
  <c r="H1332" i="250" s="1"/>
  <c r="T1325" i="250" s="1"/>
  <c r="G1330" i="250"/>
  <c r="G1332" i="250" s="1"/>
  <c r="S1325" i="250" s="1"/>
  <c r="F1330" i="250"/>
  <c r="F1332" i="250" s="1"/>
  <c r="R1325" i="250" s="1"/>
  <c r="H1325" i="250"/>
  <c r="H1329" i="250" s="1"/>
  <c r="T1324" i="250" s="1"/>
  <c r="G1325" i="250"/>
  <c r="G1329" i="250" s="1"/>
  <c r="S1324" i="250" s="1"/>
  <c r="F1325" i="250"/>
  <c r="F1329" i="250" s="1"/>
  <c r="R1324" i="250" s="1"/>
  <c r="H1317" i="250"/>
  <c r="H1319" i="250" s="1"/>
  <c r="T1317" i="250" s="1"/>
  <c r="G1317" i="250"/>
  <c r="G1319" i="250" s="1"/>
  <c r="S1317" i="250" s="1"/>
  <c r="F1317" i="250"/>
  <c r="F1319" i="250" s="1"/>
  <c r="R1317" i="250" s="1"/>
  <c r="H1312" i="250"/>
  <c r="H1316" i="250" s="1"/>
  <c r="T1316" i="250" s="1"/>
  <c r="G1312" i="250"/>
  <c r="G1316" i="250" s="1"/>
  <c r="S1316" i="250" s="1"/>
  <c r="F1312" i="250"/>
  <c r="F1316" i="250" s="1"/>
  <c r="R1316" i="250" s="1"/>
  <c r="H1299" i="250"/>
  <c r="H1303" i="250" s="1"/>
  <c r="G1299" i="250"/>
  <c r="G1303" i="250" s="1"/>
  <c r="F1299" i="250"/>
  <c r="F1303" i="250" s="1"/>
  <c r="G1286" i="250"/>
  <c r="G1290" i="250" s="1"/>
  <c r="H1286" i="250"/>
  <c r="H1290" i="250" s="1"/>
  <c r="F1286" i="250"/>
  <c r="F1290" i="250" s="1"/>
  <c r="G1278" i="250"/>
  <c r="G1280" i="250" s="1"/>
  <c r="S1273" i="250" s="1"/>
  <c r="H1278" i="250"/>
  <c r="H1280" i="250" s="1"/>
  <c r="T1273" i="250" s="1"/>
  <c r="F1278" i="250"/>
  <c r="F1280" i="250" s="1"/>
  <c r="R1273" i="250" s="1"/>
  <c r="G1273" i="250"/>
  <c r="H1273" i="250"/>
  <c r="H1277" i="250" s="1"/>
  <c r="T1272" i="250" s="1"/>
  <c r="F1273" i="250"/>
  <c r="F1277" i="250" s="1"/>
  <c r="R1272" i="250" s="1"/>
  <c r="I1276" i="250"/>
  <c r="I1275" i="250"/>
  <c r="I1274" i="250"/>
  <c r="H1243" i="250"/>
  <c r="H1249" i="250" s="1"/>
  <c r="F1243" i="250"/>
  <c r="F1249" i="250" s="1"/>
  <c r="G1243" i="250"/>
  <c r="G1249" i="250" s="1"/>
  <c r="I1230" i="250"/>
  <c r="G1227" i="250"/>
  <c r="H1227" i="250"/>
  <c r="F1227" i="250"/>
  <c r="F1217" i="250"/>
  <c r="G1211" i="250"/>
  <c r="H1211" i="250"/>
  <c r="I1196" i="250"/>
  <c r="F1194" i="250"/>
  <c r="H1194" i="250"/>
  <c r="G1194" i="250"/>
  <c r="F1185" i="250"/>
  <c r="F1170" i="250"/>
  <c r="F1159" i="250"/>
  <c r="F1147" i="250"/>
  <c r="H1147" i="250"/>
  <c r="G1147" i="250"/>
  <c r="F1139" i="250"/>
  <c r="F1142" i="250" s="1"/>
  <c r="G1132" i="250"/>
  <c r="H1132" i="250"/>
  <c r="F1132" i="250"/>
  <c r="F1134" i="250" s="1"/>
  <c r="R1132" i="250" s="1"/>
  <c r="I1130" i="250"/>
  <c r="G1127" i="250"/>
  <c r="H1127" i="250"/>
  <c r="F1127" i="250"/>
  <c r="F1131" i="250" s="1"/>
  <c r="F1119" i="250"/>
  <c r="F1114" i="250"/>
  <c r="F1102" i="250"/>
  <c r="F1094" i="250"/>
  <c r="F1085" i="250"/>
  <c r="F1089" i="250" s="1"/>
  <c r="F1077" i="250"/>
  <c r="F1069" i="250"/>
  <c r="F1060" i="250"/>
  <c r="F1052" i="250"/>
  <c r="F1044" i="250"/>
  <c r="F1047" i="250" s="1"/>
  <c r="F1036" i="250"/>
  <c r="F1039" i="250" s="1"/>
  <c r="I1023" i="250"/>
  <c r="G1020" i="250"/>
  <c r="G1024" i="250" s="1"/>
  <c r="H1020" i="250"/>
  <c r="H1024" i="250" s="1"/>
  <c r="F1020" i="250"/>
  <c r="F1024" i="250" s="1"/>
  <c r="G1025" i="250"/>
  <c r="G1027" i="250" s="1"/>
  <c r="S1021" i="250" s="1"/>
  <c r="H1025" i="250"/>
  <c r="H1027" i="250" s="1"/>
  <c r="T1021" i="250" s="1"/>
  <c r="F1025" i="250"/>
  <c r="F1027" i="250" s="1"/>
  <c r="R1021" i="250" s="1"/>
  <c r="G1012" i="250"/>
  <c r="H1012" i="250"/>
  <c r="F1001" i="250"/>
  <c r="F1004" i="250" s="1"/>
  <c r="G995" i="250"/>
  <c r="H995" i="250"/>
  <c r="F995" i="250"/>
  <c r="F985" i="250"/>
  <c r="F977" i="250"/>
  <c r="F980" i="250" s="1"/>
  <c r="G972" i="250"/>
  <c r="H972" i="250"/>
  <c r="F972" i="250"/>
  <c r="G965" i="250"/>
  <c r="H965" i="250"/>
  <c r="G956" i="250"/>
  <c r="H956" i="250"/>
  <c r="F956" i="250"/>
  <c r="F945" i="250"/>
  <c r="G937" i="250"/>
  <c r="H937" i="250"/>
  <c r="F937" i="250"/>
  <c r="F939" i="250" s="1"/>
  <c r="R937" i="250" s="1"/>
  <c r="F931" i="250"/>
  <c r="F936" i="250" s="1"/>
  <c r="F917" i="250"/>
  <c r="F923" i="250" s="1"/>
  <c r="T1318" i="250" l="1"/>
  <c r="T1374" i="250"/>
  <c r="R1361" i="250"/>
  <c r="R1387" i="250"/>
  <c r="S1400" i="250"/>
  <c r="R1539" i="250"/>
  <c r="S1326" i="250"/>
  <c r="S1387" i="250"/>
  <c r="T1400" i="250"/>
  <c r="R1577" i="250"/>
  <c r="S1590" i="250"/>
  <c r="R1274" i="250"/>
  <c r="R1318" i="250"/>
  <c r="T1361" i="250"/>
  <c r="R1374" i="250"/>
  <c r="T1387" i="250"/>
  <c r="T1539" i="250"/>
  <c r="S1577" i="250"/>
  <c r="T1274" i="250"/>
  <c r="R1400" i="250"/>
  <c r="T1577" i="250"/>
  <c r="S1619" i="250"/>
  <c r="T1619" i="250"/>
  <c r="R1619" i="250"/>
  <c r="T1590" i="250"/>
  <c r="R1590" i="250"/>
  <c r="S1539" i="250"/>
  <c r="S1374" i="250"/>
  <c r="S1361" i="250"/>
  <c r="R1326" i="250"/>
  <c r="T1326" i="250"/>
  <c r="S1318" i="250"/>
  <c r="I1273" i="250"/>
  <c r="G1277" i="250"/>
  <c r="G910" i="250"/>
  <c r="G912" i="250" s="1"/>
  <c r="S910" i="250" s="1"/>
  <c r="H910" i="250"/>
  <c r="H912" i="250" s="1"/>
  <c r="T910" i="250" s="1"/>
  <c r="F910" i="250"/>
  <c r="F912" i="250" s="1"/>
  <c r="R910" i="250" s="1"/>
  <c r="F909" i="250"/>
  <c r="F896" i="250"/>
  <c r="F882" i="250"/>
  <c r="F886" i="250" s="1"/>
  <c r="I876" i="250"/>
  <c r="H873" i="250"/>
  <c r="F873" i="250"/>
  <c r="F877" i="250" s="1"/>
  <c r="G873" i="250"/>
  <c r="F865" i="250"/>
  <c r="I849" i="250"/>
  <c r="I841" i="250"/>
  <c r="G838" i="250"/>
  <c r="H838" i="250"/>
  <c r="F838" i="250"/>
  <c r="F842" i="250" s="1"/>
  <c r="I828" i="250"/>
  <c r="G825" i="250"/>
  <c r="H825" i="250"/>
  <c r="F825" i="250"/>
  <c r="F830" i="250" s="1"/>
  <c r="F815" i="250"/>
  <c r="F819" i="250" s="1"/>
  <c r="F798" i="250"/>
  <c r="F803" i="250" s="1"/>
  <c r="G804" i="250"/>
  <c r="G806" i="250" s="1"/>
  <c r="S798" i="250" s="1"/>
  <c r="H804" i="250"/>
  <c r="H806" i="250" s="1"/>
  <c r="T798" i="250" s="1"/>
  <c r="F804" i="250"/>
  <c r="F806" i="250" s="1"/>
  <c r="R798" i="250" s="1"/>
  <c r="G785" i="250"/>
  <c r="H785" i="250"/>
  <c r="F785" i="250"/>
  <c r="F790" i="250" s="1"/>
  <c r="I779" i="250"/>
  <c r="F776" i="250"/>
  <c r="F780" i="250" s="1"/>
  <c r="H776" i="250"/>
  <c r="G768" i="250"/>
  <c r="G770" i="250" s="1"/>
  <c r="S768" i="250" s="1"/>
  <c r="H768" i="250"/>
  <c r="H770" i="250" s="1"/>
  <c r="T768" i="250" s="1"/>
  <c r="F768" i="250"/>
  <c r="F770" i="250" s="1"/>
  <c r="R768" i="250" s="1"/>
  <c r="F764" i="250"/>
  <c r="F767" i="250" s="1"/>
  <c r="G755" i="250"/>
  <c r="H755" i="250"/>
  <c r="F755" i="250"/>
  <c r="F759" i="250" s="1"/>
  <c r="F749" i="250"/>
  <c r="F737" i="250"/>
  <c r="F723" i="250"/>
  <c r="F726" i="250" s="1"/>
  <c r="F715" i="250"/>
  <c r="F718" i="250" s="1"/>
  <c r="F703" i="250"/>
  <c r="F707" i="250" s="1"/>
  <c r="F695" i="250"/>
  <c r="F698" i="250" s="1"/>
  <c r="G685" i="250"/>
  <c r="G687" i="250" s="1"/>
  <c r="S685" i="250" s="1"/>
  <c r="H685" i="250"/>
  <c r="H687" i="250" s="1"/>
  <c r="T685" i="250" s="1"/>
  <c r="F685" i="250"/>
  <c r="F687" i="250" s="1"/>
  <c r="R685" i="250" s="1"/>
  <c r="F684" i="250"/>
  <c r="F669" i="250"/>
  <c r="F673" i="250" s="1"/>
  <c r="F657" i="250"/>
  <c r="F661" i="250" s="1"/>
  <c r="F645" i="250"/>
  <c r="F649" i="250" s="1"/>
  <c r="G637" i="250"/>
  <c r="G639" i="250" s="1"/>
  <c r="S632" i="250" s="1"/>
  <c r="H637" i="250"/>
  <c r="H639" i="250" s="1"/>
  <c r="T632" i="250" s="1"/>
  <c r="F637" i="250"/>
  <c r="F639" i="250" s="1"/>
  <c r="R632" i="250" s="1"/>
  <c r="F632" i="250"/>
  <c r="F636" i="250" s="1"/>
  <c r="I622" i="250"/>
  <c r="G620" i="250"/>
  <c r="H620" i="250"/>
  <c r="F620" i="250"/>
  <c r="F624" i="250" s="1"/>
  <c r="F607" i="250"/>
  <c r="F611" i="250" s="1"/>
  <c r="G612" i="250"/>
  <c r="G614" i="250" s="1"/>
  <c r="S612" i="250" s="1"/>
  <c r="H612" i="250"/>
  <c r="H614" i="250" s="1"/>
  <c r="T612" i="250" s="1"/>
  <c r="F612" i="250"/>
  <c r="F614" i="250" s="1"/>
  <c r="R612" i="250" s="1"/>
  <c r="I599" i="250"/>
  <c r="G597" i="250"/>
  <c r="H597" i="250"/>
  <c r="F597" i="250"/>
  <c r="F602" i="250" s="1"/>
  <c r="I586" i="250"/>
  <c r="F589" i="250"/>
  <c r="I571" i="250"/>
  <c r="I573" i="250"/>
  <c r="F576" i="250"/>
  <c r="F564" i="250"/>
  <c r="F551" i="250"/>
  <c r="G552" i="250"/>
  <c r="G554" i="250" s="1"/>
  <c r="S548" i="250" s="1"/>
  <c r="H552" i="250"/>
  <c r="H554" i="250" s="1"/>
  <c r="T548" i="250" s="1"/>
  <c r="F552" i="250"/>
  <c r="F554" i="250" s="1"/>
  <c r="R548" i="250" s="1"/>
  <c r="G539" i="250"/>
  <c r="G541" i="250" s="1"/>
  <c r="S539" i="250" s="1"/>
  <c r="H539" i="250"/>
  <c r="H541" i="250" s="1"/>
  <c r="T539" i="250" s="1"/>
  <c r="F539" i="250"/>
  <c r="F541" i="250" s="1"/>
  <c r="R539" i="250" s="1"/>
  <c r="I534" i="250"/>
  <c r="F524" i="250"/>
  <c r="F527" i="250" s="1"/>
  <c r="F515" i="250"/>
  <c r="F519" i="250" s="1"/>
  <c r="F506" i="250"/>
  <c r="F509" i="250" s="1"/>
  <c r="F501" i="250"/>
  <c r="F492" i="250"/>
  <c r="F476" i="250"/>
  <c r="F480" i="250" s="1"/>
  <c r="F466" i="250"/>
  <c r="F471" i="250" s="1"/>
  <c r="F461" i="250"/>
  <c r="F448" i="250"/>
  <c r="F451" i="250" s="1"/>
  <c r="F435" i="250"/>
  <c r="F439" i="250" s="1"/>
  <c r="G418" i="250"/>
  <c r="G420" i="250" s="1"/>
  <c r="S413" i="250" s="1"/>
  <c r="H418" i="250"/>
  <c r="H420" i="250" s="1"/>
  <c r="T413" i="250" s="1"/>
  <c r="F418" i="250"/>
  <c r="F420" i="250" s="1"/>
  <c r="R413" i="250" s="1"/>
  <c r="G305" i="250"/>
  <c r="G307" i="250" s="1"/>
  <c r="S305" i="250" s="1"/>
  <c r="H305" i="250"/>
  <c r="H307" i="250" s="1"/>
  <c r="T305" i="250" s="1"/>
  <c r="F305" i="250"/>
  <c r="F307" i="250" s="1"/>
  <c r="R305" i="250" s="1"/>
  <c r="G173" i="250"/>
  <c r="G175" i="250" s="1"/>
  <c r="S173" i="250" s="1"/>
  <c r="H173" i="250"/>
  <c r="H175" i="250" s="1"/>
  <c r="T173" i="250" s="1"/>
  <c r="F173" i="250"/>
  <c r="F175" i="250" s="1"/>
  <c r="R173" i="250" s="1"/>
  <c r="G78" i="250"/>
  <c r="G80" i="250" s="1"/>
  <c r="S78" i="250" s="1"/>
  <c r="H78" i="250"/>
  <c r="H80" i="250" s="1"/>
  <c r="T78" i="250" s="1"/>
  <c r="F78" i="250"/>
  <c r="F80" i="250" s="1"/>
  <c r="R78" i="250" s="1"/>
  <c r="G51" i="250"/>
  <c r="G53" i="250" s="1"/>
  <c r="S53" i="250" s="1"/>
  <c r="H51" i="250"/>
  <c r="H53" i="250" s="1"/>
  <c r="T53" i="250" s="1"/>
  <c r="F51" i="250"/>
  <c r="F53" i="250" s="1"/>
  <c r="R53" i="250" s="1"/>
  <c r="F442" i="250"/>
  <c r="R436" i="250" s="1"/>
  <c r="F426" i="250"/>
  <c r="F430" i="250" s="1"/>
  <c r="F412" i="250"/>
  <c r="F417" i="250" s="1"/>
  <c r="F403" i="250"/>
  <c r="F379" i="250"/>
  <c r="F383" i="250" s="1"/>
  <c r="F370" i="250"/>
  <c r="F374" i="250" s="1"/>
  <c r="F362" i="250"/>
  <c r="F365" i="250" s="1"/>
  <c r="F353" i="250"/>
  <c r="F356" i="250" s="1"/>
  <c r="G344" i="250"/>
  <c r="H344" i="250"/>
  <c r="F344" i="250"/>
  <c r="F348" i="250" s="1"/>
  <c r="I345" i="250"/>
  <c r="I336" i="250"/>
  <c r="G335" i="250"/>
  <c r="H335" i="250"/>
  <c r="F335" i="250"/>
  <c r="F339" i="250" s="1"/>
  <c r="F327" i="250"/>
  <c r="F330" i="250" s="1"/>
  <c r="F319" i="250"/>
  <c r="I299" i="250"/>
  <c r="H304" i="250"/>
  <c r="F304" i="250"/>
  <c r="G304" i="250"/>
  <c r="F276" i="250"/>
  <c r="F280" i="250" s="1"/>
  <c r="I277" i="250"/>
  <c r="I278" i="250"/>
  <c r="I279" i="250"/>
  <c r="F288" i="250"/>
  <c r="F292" i="250" s="1"/>
  <c r="F266" i="250"/>
  <c r="F271" i="250" s="1"/>
  <c r="F258" i="250"/>
  <c r="F261" i="250" s="1"/>
  <c r="H244" i="250"/>
  <c r="G244" i="250"/>
  <c r="I245" i="250"/>
  <c r="I246" i="250"/>
  <c r="I247" i="250"/>
  <c r="F244" i="250"/>
  <c r="F250" i="250" s="1"/>
  <c r="I234" i="250"/>
  <c r="G232" i="250"/>
  <c r="H232" i="250"/>
  <c r="F232" i="250"/>
  <c r="F236" i="250" s="1"/>
  <c r="G222" i="250"/>
  <c r="H222" i="250"/>
  <c r="F222" i="250"/>
  <c r="F227" i="250" s="1"/>
  <c r="I224" i="250"/>
  <c r="I225" i="250"/>
  <c r="I226" i="250"/>
  <c r="F213" i="250"/>
  <c r="F217" i="250" s="1"/>
  <c r="F205" i="250"/>
  <c r="I193" i="250"/>
  <c r="I194" i="250"/>
  <c r="G192" i="250"/>
  <c r="H192" i="250"/>
  <c r="F192" i="250"/>
  <c r="F196" i="250" s="1"/>
  <c r="F181" i="250"/>
  <c r="F184" i="250" s="1"/>
  <c r="F172" i="250"/>
  <c r="I159" i="250"/>
  <c r="G157" i="250"/>
  <c r="H157" i="250"/>
  <c r="F157" i="250"/>
  <c r="F161" i="250" s="1"/>
  <c r="F150" i="250"/>
  <c r="F138" i="250"/>
  <c r="F141" i="250" s="1"/>
  <c r="F129" i="250"/>
  <c r="F132" i="250" s="1"/>
  <c r="F122" i="250"/>
  <c r="G99" i="250"/>
  <c r="H99" i="250"/>
  <c r="F99" i="250"/>
  <c r="F104" i="250" s="1"/>
  <c r="I101" i="250"/>
  <c r="I102" i="250"/>
  <c r="F87" i="250"/>
  <c r="F91" i="250" s="1"/>
  <c r="H70" i="250"/>
  <c r="G70" i="250"/>
  <c r="I75" i="250"/>
  <c r="F70" i="250"/>
  <c r="F77" i="250" s="1"/>
  <c r="F59" i="250"/>
  <c r="F63" i="250" s="1"/>
  <c r="F44" i="250"/>
  <c r="F50" i="250" s="1"/>
  <c r="G35" i="250"/>
  <c r="H35" i="250"/>
  <c r="F35" i="250"/>
  <c r="F37" i="250" s="1"/>
  <c r="F13" i="250"/>
  <c r="F17" i="250" s="1"/>
  <c r="R17" i="250" s="1"/>
  <c r="I16" i="250"/>
  <c r="I15" i="250"/>
  <c r="H13" i="250"/>
  <c r="H17" i="250" s="1"/>
  <c r="G13" i="250"/>
  <c r="G17" i="250" s="1"/>
  <c r="S17" i="250" s="1"/>
  <c r="I1277" i="250" l="1"/>
  <c r="S1272" i="250"/>
  <c r="S1274" i="250" s="1"/>
  <c r="T17" i="250"/>
  <c r="H2272" i="17"/>
  <c r="G2272" i="17"/>
  <c r="H1153" i="17" l="1"/>
  <c r="H1157" i="17" s="1"/>
  <c r="G1153" i="17"/>
  <c r="G1157" i="17" s="1"/>
  <c r="G859" i="17"/>
  <c r="G863" i="17" s="1"/>
  <c r="H859" i="17"/>
  <c r="H863" i="17" s="1"/>
  <c r="H1084" i="17"/>
  <c r="H1088" i="17" s="1"/>
  <c r="G1084" i="17"/>
  <c r="G1088" i="17" s="1"/>
  <c r="I2512" i="17"/>
  <c r="H2487" i="17"/>
  <c r="G2487" i="17"/>
  <c r="H2356" i="17"/>
  <c r="G2356" i="17"/>
  <c r="I2359" i="17"/>
  <c r="I2329" i="17"/>
  <c r="H1568" i="17"/>
  <c r="G1568" i="17"/>
  <c r="I1570" i="17"/>
  <c r="H1184" i="17"/>
  <c r="G1184" i="17"/>
  <c r="H1175" i="17"/>
  <c r="I1100" i="17"/>
  <c r="H2546" i="17"/>
  <c r="H2550" i="17" s="1"/>
  <c r="T2550" i="17" s="1"/>
  <c r="G2546" i="17"/>
  <c r="I2526" i="17"/>
  <c r="H2525" i="17"/>
  <c r="G2525" i="17"/>
  <c r="I2514" i="17"/>
  <c r="H2513" i="17"/>
  <c r="G2513" i="17"/>
  <c r="I2314" i="17"/>
  <c r="H2313" i="17"/>
  <c r="G2313" i="17"/>
  <c r="I2297" i="17"/>
  <c r="H2296" i="17"/>
  <c r="G2296" i="17"/>
  <c r="H1575" i="17"/>
  <c r="G1575" i="17"/>
  <c r="I1019" i="17"/>
  <c r="H1018" i="17"/>
  <c r="G1018" i="17"/>
  <c r="H707" i="17"/>
  <c r="G707" i="17"/>
  <c r="I708" i="17"/>
  <c r="H488" i="17"/>
  <c r="G488" i="17"/>
  <c r="I2357" i="17"/>
  <c r="H2263" i="17"/>
  <c r="G2263" i="17"/>
  <c r="I2264" i="17"/>
  <c r="H1351" i="17"/>
  <c r="G1351" i="17"/>
  <c r="I1284" i="17"/>
  <c r="H1137" i="17"/>
  <c r="G1137" i="17"/>
  <c r="I793" i="17"/>
  <c r="H724" i="17"/>
  <c r="G724" i="17"/>
  <c r="I725" i="17"/>
  <c r="H699" i="17"/>
  <c r="G699" i="17"/>
  <c r="H663" i="17"/>
  <c r="H665" i="17" s="1"/>
  <c r="G663" i="17"/>
  <c r="G665" i="17" s="1"/>
  <c r="H621" i="17"/>
  <c r="G621" i="17"/>
  <c r="H561" i="17"/>
  <c r="G561" i="17"/>
  <c r="H534" i="17"/>
  <c r="G534" i="17"/>
  <c r="I535" i="17"/>
  <c r="H509" i="17"/>
  <c r="G509" i="17"/>
  <c r="H2039" i="17"/>
  <c r="G2039" i="17"/>
  <c r="I2012" i="17"/>
  <c r="H2011" i="17"/>
  <c r="G2011" i="17"/>
  <c r="H1948" i="17"/>
  <c r="G1948" i="17"/>
  <c r="I1949" i="17"/>
  <c r="H1924" i="17"/>
  <c r="G1924" i="17"/>
  <c r="I1925" i="17"/>
  <c r="H1895" i="17"/>
  <c r="G1895" i="17"/>
  <c r="H1871" i="17"/>
  <c r="G1871" i="17"/>
  <c r="H1843" i="17"/>
  <c r="G1843" i="17"/>
  <c r="H1811" i="17"/>
  <c r="G1811" i="17"/>
  <c r="H1781" i="17"/>
  <c r="G1781" i="17"/>
  <c r="H1695" i="17"/>
  <c r="G1695" i="17"/>
  <c r="H1659" i="17"/>
  <c r="G1659" i="17"/>
  <c r="H1653" i="17"/>
  <c r="G1653" i="17"/>
  <c r="H1620" i="17"/>
  <c r="G1620" i="17"/>
  <c r="H1533" i="17"/>
  <c r="G1533" i="17"/>
  <c r="H1509" i="17"/>
  <c r="G1509" i="17"/>
  <c r="H1309" i="17"/>
  <c r="G1309" i="17"/>
  <c r="H995" i="17"/>
  <c r="H971" i="17"/>
  <c r="G971" i="17"/>
  <c r="I944" i="17"/>
  <c r="H943" i="17"/>
  <c r="G943" i="17"/>
  <c r="H823" i="17"/>
  <c r="G823" i="17"/>
  <c r="H770" i="17"/>
  <c r="G770" i="17"/>
  <c r="H705" i="17"/>
  <c r="G705" i="17"/>
  <c r="H586" i="17"/>
  <c r="G586" i="17"/>
  <c r="F2561" i="17"/>
  <c r="R2561" i="17" s="1"/>
  <c r="I2560" i="17"/>
  <c r="I2559" i="17"/>
  <c r="I2558" i="17"/>
  <c r="H2561" i="17"/>
  <c r="T2561" i="17" s="1"/>
  <c r="G2561" i="17"/>
  <c r="S2561" i="17" s="1"/>
  <c r="F2550" i="17"/>
  <c r="R2550" i="17" s="1"/>
  <c r="I2547" i="17"/>
  <c r="F2539" i="17"/>
  <c r="R2539" i="17" s="1"/>
  <c r="I2538" i="17"/>
  <c r="I2537" i="17"/>
  <c r="I2536" i="17"/>
  <c r="H2535" i="17"/>
  <c r="H2539" i="17" s="1"/>
  <c r="T2539" i="17" s="1"/>
  <c r="G2535" i="17"/>
  <c r="G2539" i="17" s="1"/>
  <c r="S2539" i="17" s="1"/>
  <c r="F2527" i="17"/>
  <c r="R2527" i="17" s="1"/>
  <c r="I2524" i="17"/>
  <c r="I2523" i="17"/>
  <c r="I2522" i="17"/>
  <c r="H2521" i="17"/>
  <c r="G2521" i="17"/>
  <c r="I2510" i="17"/>
  <c r="I2509" i="17"/>
  <c r="I2508" i="17"/>
  <c r="I1895" i="17" l="1"/>
  <c r="I1088" i="17"/>
  <c r="I863" i="17"/>
  <c r="I1157" i="17"/>
  <c r="G2527" i="17"/>
  <c r="S2527" i="17" s="1"/>
  <c r="I859" i="17"/>
  <c r="I1153" i="17"/>
  <c r="H2527" i="17"/>
  <c r="T2527" i="17" s="1"/>
  <c r="I2525" i="17"/>
  <c r="I2513" i="17"/>
  <c r="I1018" i="17"/>
  <c r="I707" i="17"/>
  <c r="I2313" i="17"/>
  <c r="I2296" i="17"/>
  <c r="I2011" i="17"/>
  <c r="I534" i="17"/>
  <c r="I1282" i="17"/>
  <c r="I1533" i="17"/>
  <c r="I1620" i="17"/>
  <c r="I2263" i="17"/>
  <c r="I943" i="17"/>
  <c r="I663" i="17"/>
  <c r="I1137" i="17"/>
  <c r="I724" i="17"/>
  <c r="I621" i="17"/>
  <c r="I1948" i="17"/>
  <c r="I1924" i="17"/>
  <c r="I1871" i="17"/>
  <c r="I2561" i="17"/>
  <c r="I2556" i="17"/>
  <c r="I2546" i="17"/>
  <c r="I2535" i="17"/>
  <c r="I2539" i="17"/>
  <c r="I2521" i="17"/>
  <c r="I2507" i="17"/>
  <c r="H2489" i="17"/>
  <c r="G2489" i="17"/>
  <c r="I2491" i="17"/>
  <c r="G2309" i="17"/>
  <c r="H2309" i="17"/>
  <c r="I2072" i="17"/>
  <c r="F1984" i="17"/>
  <c r="I1981" i="17"/>
  <c r="H1980" i="17"/>
  <c r="G1980" i="17"/>
  <c r="H1932" i="17"/>
  <c r="G1932" i="17"/>
  <c r="H1873" i="17"/>
  <c r="G1873" i="17"/>
  <c r="I1690" i="17"/>
  <c r="I1540" i="17"/>
  <c r="I1542" i="17"/>
  <c r="H1541" i="17"/>
  <c r="G1541" i="17"/>
  <c r="H1539" i="17"/>
  <c r="G1539" i="17"/>
  <c r="I1468" i="17"/>
  <c r="G1440" i="17"/>
  <c r="I1345" i="17"/>
  <c r="H1344" i="17"/>
  <c r="G1344" i="17"/>
  <c r="H1285" i="17"/>
  <c r="G1285" i="17"/>
  <c r="I1246" i="17"/>
  <c r="H1207" i="17"/>
  <c r="G1207" i="17"/>
  <c r="I1208" i="17"/>
  <c r="I1209" i="17"/>
  <c r="G1215" i="17"/>
  <c r="H1215" i="17"/>
  <c r="I1059" i="17"/>
  <c r="I1060" i="17"/>
  <c r="H1034" i="17"/>
  <c r="G1034" i="17"/>
  <c r="I1035" i="17"/>
  <c r="I884" i="17"/>
  <c r="H852" i="17"/>
  <c r="G852" i="17"/>
  <c r="H827" i="17"/>
  <c r="G827" i="17"/>
  <c r="H825" i="17"/>
  <c r="G825" i="17"/>
  <c r="H772" i="17"/>
  <c r="G772" i="17"/>
  <c r="H754" i="17"/>
  <c r="G754" i="17"/>
  <c r="H752" i="17"/>
  <c r="H756" i="17" s="1"/>
  <c r="G752" i="17"/>
  <c r="G756" i="17" s="1"/>
  <c r="H728" i="17"/>
  <c r="G728" i="17"/>
  <c r="H726" i="17"/>
  <c r="H730" i="17" s="1"/>
  <c r="G726" i="17"/>
  <c r="G730" i="17" s="1"/>
  <c r="H645" i="17"/>
  <c r="G645" i="17"/>
  <c r="H627" i="17"/>
  <c r="G627" i="17"/>
  <c r="H625" i="17"/>
  <c r="G625" i="17"/>
  <c r="H623" i="17"/>
  <c r="G623" i="17"/>
  <c r="H536" i="17"/>
  <c r="G536" i="17"/>
  <c r="H511" i="17"/>
  <c r="G511" i="17"/>
  <c r="H468" i="17"/>
  <c r="G468" i="17"/>
  <c r="H466" i="17"/>
  <c r="G466" i="17"/>
  <c r="H445" i="17"/>
  <c r="G445" i="17"/>
  <c r="H443" i="17"/>
  <c r="G443" i="17"/>
  <c r="H432" i="17"/>
  <c r="G432" i="17"/>
  <c r="H402" i="17"/>
  <c r="G402" i="17"/>
  <c r="H400" i="17"/>
  <c r="G400" i="17"/>
  <c r="H398" i="17"/>
  <c r="G398" i="17"/>
  <c r="H396" i="17"/>
  <c r="G396" i="17"/>
  <c r="H377" i="17"/>
  <c r="G377" i="17"/>
  <c r="H375" i="17"/>
  <c r="G375" i="17"/>
  <c r="H373" i="17"/>
  <c r="G373" i="17"/>
  <c r="H349" i="17"/>
  <c r="G349" i="17"/>
  <c r="H333" i="17"/>
  <c r="G333" i="17"/>
  <c r="H325" i="17"/>
  <c r="G325" i="17"/>
  <c r="H323" i="17"/>
  <c r="G323" i="17"/>
  <c r="H303" i="17"/>
  <c r="G303" i="17"/>
  <c r="H286" i="17"/>
  <c r="G286" i="17"/>
  <c r="H277" i="17"/>
  <c r="G277" i="17"/>
  <c r="H269" i="17"/>
  <c r="G269" i="17"/>
  <c r="H267" i="17"/>
  <c r="G267" i="17"/>
  <c r="H250" i="17"/>
  <c r="G250" i="17"/>
  <c r="H248" i="17"/>
  <c r="G248" i="17"/>
  <c r="F252" i="17"/>
  <c r="H232" i="17"/>
  <c r="G232" i="17"/>
  <c r="F238" i="17"/>
  <c r="H220" i="17"/>
  <c r="G220" i="17"/>
  <c r="H213" i="17"/>
  <c r="G213" i="17"/>
  <c r="H211" i="17"/>
  <c r="G211" i="17"/>
  <c r="H209" i="17"/>
  <c r="G209" i="17"/>
  <c r="H198" i="17"/>
  <c r="G198" i="17"/>
  <c r="H187" i="17"/>
  <c r="G187" i="17"/>
  <c r="F193" i="17"/>
  <c r="H151" i="17"/>
  <c r="G151" i="17"/>
  <c r="I152" i="17"/>
  <c r="H154" i="17"/>
  <c r="G154" i="17"/>
  <c r="G156" i="17"/>
  <c r="H156" i="17"/>
  <c r="H135" i="17"/>
  <c r="G135" i="17"/>
  <c r="H127" i="17"/>
  <c r="G127" i="17"/>
  <c r="H112" i="17"/>
  <c r="G112" i="17"/>
  <c r="H102" i="17"/>
  <c r="G102" i="17"/>
  <c r="H100" i="17"/>
  <c r="G100" i="17"/>
  <c r="H98" i="17"/>
  <c r="G98" i="17"/>
  <c r="I78" i="17"/>
  <c r="H63" i="17"/>
  <c r="G63" i="17"/>
  <c r="G629" i="17" l="1"/>
  <c r="H629" i="17"/>
  <c r="G106" i="17"/>
  <c r="H106" i="17"/>
  <c r="G215" i="17"/>
  <c r="H215" i="17"/>
  <c r="I207" i="17"/>
  <c r="I2527" i="17"/>
  <c r="I2515" i="17"/>
  <c r="I1980" i="17"/>
  <c r="I1539" i="17"/>
  <c r="I1541" i="17"/>
  <c r="G35" i="17"/>
  <c r="H24" i="17"/>
  <c r="G24" i="17"/>
  <c r="L25" i="7" l="1"/>
  <c r="M25" i="7"/>
  <c r="K25" i="7"/>
  <c r="F25" i="7"/>
  <c r="G25" i="7"/>
  <c r="E25" i="7"/>
  <c r="H26" i="7"/>
  <c r="L16" i="7"/>
  <c r="M16" i="7"/>
  <c r="K16" i="7"/>
  <c r="F16" i="7"/>
  <c r="G16" i="7"/>
  <c r="E16" i="7"/>
  <c r="H17" i="7"/>
  <c r="L309" i="7"/>
  <c r="M309" i="7"/>
  <c r="F309" i="7"/>
  <c r="G309" i="7"/>
  <c r="E309" i="7"/>
  <c r="L12" i="7"/>
  <c r="M12" i="7"/>
  <c r="K12" i="7"/>
  <c r="F12" i="7"/>
  <c r="G12" i="7"/>
  <c r="E12" i="7"/>
  <c r="H13" i="7"/>
  <c r="F272" i="54"/>
  <c r="G272" i="54"/>
  <c r="G46" i="54"/>
  <c r="F46" i="54"/>
  <c r="H47" i="54"/>
  <c r="F37" i="54"/>
  <c r="G37" i="54"/>
  <c r="E37" i="54"/>
  <c r="F34" i="54"/>
  <c r="G34" i="54"/>
  <c r="E34" i="54"/>
  <c r="F31" i="54"/>
  <c r="G31" i="54"/>
  <c r="E31" i="54"/>
  <c r="G29" i="54"/>
  <c r="F29" i="54"/>
  <c r="H30" i="54"/>
  <c r="E23" i="54"/>
  <c r="G23" i="54"/>
  <c r="F23" i="54"/>
  <c r="H18" i="54"/>
  <c r="G10" i="54"/>
  <c r="F10" i="54"/>
  <c r="H11" i="54"/>
  <c r="F55" i="7" l="1"/>
  <c r="K55" i="7"/>
  <c r="E55" i="7"/>
  <c r="M55" i="7"/>
  <c r="G55" i="7"/>
  <c r="L55" i="7"/>
  <c r="H116" i="20"/>
  <c r="I116" i="20"/>
  <c r="G116" i="20"/>
  <c r="P152" i="247" l="1"/>
  <c r="P154" i="247" s="1"/>
  <c r="Q152" i="247"/>
  <c r="Q154" i="247" s="1"/>
  <c r="O152" i="247"/>
  <c r="O154" i="247"/>
  <c r="K195" i="246"/>
  <c r="P184" i="242"/>
  <c r="O184" i="242"/>
  <c r="G55" i="288"/>
  <c r="G57" i="288"/>
  <c r="L195" i="246" l="1"/>
  <c r="Q102" i="240"/>
  <c r="P102" i="240"/>
  <c r="O489" i="239"/>
  <c r="K168" i="8"/>
  <c r="M210" i="9"/>
  <c r="K210" i="9"/>
  <c r="Q184" i="242"/>
  <c r="O102" i="240"/>
  <c r="L168" i="8"/>
  <c r="P489" i="239"/>
  <c r="L210" i="9"/>
  <c r="M195" i="246"/>
  <c r="Q489" i="239"/>
  <c r="M168" i="8"/>
  <c r="M283" i="54"/>
  <c r="N283" i="54"/>
  <c r="L283" i="54"/>
  <c r="H264" i="20" l="1"/>
  <c r="I264" i="20"/>
  <c r="G264" i="20"/>
  <c r="J55" i="248"/>
  <c r="J48" i="248"/>
  <c r="H13" i="248"/>
  <c r="G41" i="248"/>
  <c r="F41" i="248"/>
  <c r="E41" i="248"/>
  <c r="H40" i="248"/>
  <c r="G33" i="248"/>
  <c r="F33" i="248"/>
  <c r="E33" i="248"/>
  <c r="H32" i="248"/>
  <c r="H31" i="248"/>
  <c r="G24" i="248"/>
  <c r="G44" i="248" s="1"/>
  <c r="G53" i="248" s="1"/>
  <c r="E264" i="20" s="1"/>
  <c r="F24" i="248"/>
  <c r="E24" i="248"/>
  <c r="H23" i="248"/>
  <c r="H22" i="248"/>
  <c r="E44" i="248" l="1"/>
  <c r="E53" i="248" s="1"/>
  <c r="C264" i="20" s="1"/>
  <c r="F44" i="248"/>
  <c r="F53" i="248" s="1"/>
  <c r="D264" i="20" s="1"/>
  <c r="F264" i="20" s="1"/>
  <c r="H41" i="248"/>
  <c r="H33" i="248"/>
  <c r="H24" i="248"/>
  <c r="H53" i="248" l="1"/>
  <c r="H44" i="248"/>
  <c r="H253" i="20"/>
  <c r="I253" i="20"/>
  <c r="H254" i="20"/>
  <c r="I254" i="20"/>
  <c r="H255" i="20"/>
  <c r="I255" i="20"/>
  <c r="G254" i="20"/>
  <c r="G255" i="20"/>
  <c r="G253" i="20"/>
  <c r="H249" i="20"/>
  <c r="H250" i="20"/>
  <c r="I250" i="20"/>
  <c r="H251" i="20"/>
  <c r="G250" i="20"/>
  <c r="G251" i="20"/>
  <c r="G249" i="20"/>
  <c r="D250" i="20"/>
  <c r="E250" i="20"/>
  <c r="C250" i="20"/>
  <c r="H244" i="20"/>
  <c r="I244" i="20"/>
  <c r="H245" i="20"/>
  <c r="I245" i="20"/>
  <c r="H246" i="20"/>
  <c r="I246" i="20"/>
  <c r="G245" i="20"/>
  <c r="G246" i="20"/>
  <c r="G244" i="20"/>
  <c r="D245" i="20"/>
  <c r="E245" i="20"/>
  <c r="C245" i="20"/>
  <c r="H239" i="20"/>
  <c r="I239" i="20"/>
  <c r="H240" i="20"/>
  <c r="I240" i="20"/>
  <c r="H241" i="20"/>
  <c r="I241" i="20"/>
  <c r="G240" i="20"/>
  <c r="G241" i="20"/>
  <c r="G239" i="20"/>
  <c r="D240" i="20"/>
  <c r="E240" i="20"/>
  <c r="C240" i="20"/>
  <c r="H289" i="20"/>
  <c r="I289" i="20"/>
  <c r="H290" i="20"/>
  <c r="I290" i="20"/>
  <c r="H291" i="20"/>
  <c r="I291" i="20"/>
  <c r="G290" i="20"/>
  <c r="G291" i="20"/>
  <c r="G289" i="20"/>
  <c r="E289" i="20"/>
  <c r="D290" i="20"/>
  <c r="E290" i="20"/>
  <c r="D291" i="20"/>
  <c r="E291" i="20"/>
  <c r="C290" i="20"/>
  <c r="C291" i="20"/>
  <c r="C289" i="20"/>
  <c r="H284" i="20"/>
  <c r="I284" i="20"/>
  <c r="H285" i="20"/>
  <c r="I285" i="20"/>
  <c r="H286" i="20"/>
  <c r="I286" i="20"/>
  <c r="G285" i="20"/>
  <c r="G286" i="20"/>
  <c r="G284" i="20"/>
  <c r="D285" i="20"/>
  <c r="E285" i="20"/>
  <c r="D286" i="20"/>
  <c r="C285" i="20"/>
  <c r="C286" i="20"/>
  <c r="H279" i="20"/>
  <c r="I279" i="20"/>
  <c r="H280" i="20"/>
  <c r="I280" i="20"/>
  <c r="H281" i="20"/>
  <c r="I281" i="20"/>
  <c r="G280" i="20"/>
  <c r="G281" i="20"/>
  <c r="G279" i="20"/>
  <c r="D279" i="20"/>
  <c r="D280" i="20"/>
  <c r="E280" i="20"/>
  <c r="D281" i="20"/>
  <c r="C280" i="20"/>
  <c r="C281" i="20"/>
  <c r="C279" i="20"/>
  <c r="H234" i="20"/>
  <c r="I234" i="20"/>
  <c r="H235" i="20"/>
  <c r="I235" i="20"/>
  <c r="H236" i="20"/>
  <c r="I236" i="20"/>
  <c r="G235" i="20"/>
  <c r="G236" i="20"/>
  <c r="G234" i="20"/>
  <c r="D234" i="20"/>
  <c r="E234" i="20"/>
  <c r="D235" i="20"/>
  <c r="E235" i="20"/>
  <c r="D236" i="20"/>
  <c r="E236" i="20"/>
  <c r="C235" i="20"/>
  <c r="C236" i="20"/>
  <c r="C234" i="20"/>
  <c r="H229" i="20"/>
  <c r="I229" i="20"/>
  <c r="H230" i="20"/>
  <c r="I230" i="20"/>
  <c r="H231" i="20"/>
  <c r="I231" i="20"/>
  <c r="G230" i="20"/>
  <c r="G231" i="20"/>
  <c r="G229" i="20"/>
  <c r="D231" i="20"/>
  <c r="C229" i="20"/>
  <c r="H223" i="20"/>
  <c r="I223" i="20"/>
  <c r="H224" i="20"/>
  <c r="I224" i="20"/>
  <c r="H225" i="20"/>
  <c r="I225" i="20"/>
  <c r="G224" i="20"/>
  <c r="G225" i="20"/>
  <c r="G223" i="20"/>
  <c r="D224" i="20"/>
  <c r="E224" i="20"/>
  <c r="C224" i="20"/>
  <c r="H218" i="20"/>
  <c r="I218" i="20"/>
  <c r="H219" i="20"/>
  <c r="I219" i="20"/>
  <c r="H220" i="20"/>
  <c r="I220" i="20"/>
  <c r="G219" i="20"/>
  <c r="G220" i="20"/>
  <c r="G218" i="20"/>
  <c r="D219" i="20"/>
  <c r="E219" i="20"/>
  <c r="C219" i="20"/>
  <c r="C220" i="20"/>
  <c r="H213" i="20"/>
  <c r="I213" i="20"/>
  <c r="H214" i="20"/>
  <c r="I214" i="20"/>
  <c r="H215" i="20"/>
  <c r="I215" i="20"/>
  <c r="G214" i="20"/>
  <c r="G215" i="20"/>
  <c r="G213" i="20"/>
  <c r="D214" i="20"/>
  <c r="E214" i="20"/>
  <c r="C214" i="20"/>
  <c r="H208" i="20"/>
  <c r="I208" i="20"/>
  <c r="H209" i="20"/>
  <c r="I209" i="20"/>
  <c r="H210" i="20"/>
  <c r="I210" i="20"/>
  <c r="G209" i="20"/>
  <c r="G210" i="20"/>
  <c r="G208" i="20"/>
  <c r="D209" i="20"/>
  <c r="E209" i="20"/>
  <c r="D210" i="20"/>
  <c r="C209" i="20"/>
  <c r="C210" i="20"/>
  <c r="H203" i="20"/>
  <c r="I203" i="20"/>
  <c r="H204" i="20"/>
  <c r="I204" i="20"/>
  <c r="H205" i="20"/>
  <c r="I205" i="20"/>
  <c r="G204" i="20"/>
  <c r="G205" i="20"/>
  <c r="G203" i="20"/>
  <c r="D204" i="20"/>
  <c r="E204" i="20"/>
  <c r="D205" i="20"/>
  <c r="C204" i="20"/>
  <c r="C205" i="20"/>
  <c r="H199" i="20"/>
  <c r="I199" i="20"/>
  <c r="H200" i="20"/>
  <c r="I200" i="20"/>
  <c r="G199" i="20"/>
  <c r="G200" i="20"/>
  <c r="G198" i="20"/>
  <c r="E200" i="20"/>
  <c r="H189" i="20"/>
  <c r="H190" i="20"/>
  <c r="I190" i="20"/>
  <c r="H191" i="20"/>
  <c r="I191" i="20"/>
  <c r="G190" i="20"/>
  <c r="G191" i="20"/>
  <c r="G189" i="20"/>
  <c r="H184" i="20"/>
  <c r="H185" i="20"/>
  <c r="I185" i="20"/>
  <c r="H186" i="20"/>
  <c r="I186" i="20"/>
  <c r="G185" i="20"/>
  <c r="G186" i="20"/>
  <c r="G184" i="20"/>
  <c r="H167" i="20"/>
  <c r="I167" i="20"/>
  <c r="H168" i="20"/>
  <c r="I168" i="20"/>
  <c r="H169" i="20"/>
  <c r="I169" i="20"/>
  <c r="G168" i="20"/>
  <c r="G169" i="20"/>
  <c r="G167" i="20"/>
  <c r="D167" i="20"/>
  <c r="D168" i="20"/>
  <c r="E168" i="20"/>
  <c r="D169" i="20"/>
  <c r="C168" i="20"/>
  <c r="C169" i="20"/>
  <c r="C167" i="20"/>
  <c r="H163" i="20"/>
  <c r="I163" i="20"/>
  <c r="H164" i="20"/>
  <c r="I164" i="20"/>
  <c r="H165" i="20"/>
  <c r="I165" i="20"/>
  <c r="G164" i="20"/>
  <c r="G165" i="20"/>
  <c r="G163" i="20"/>
  <c r="D164" i="20"/>
  <c r="E164" i="20"/>
  <c r="C164" i="20"/>
  <c r="H13" i="292"/>
  <c r="H14" i="292"/>
  <c r="H15" i="292"/>
  <c r="H16" i="292"/>
  <c r="E17" i="292"/>
  <c r="F17" i="292"/>
  <c r="G17" i="292"/>
  <c r="E29" i="292"/>
  <c r="F29" i="292"/>
  <c r="G29" i="292"/>
  <c r="E37" i="292"/>
  <c r="F37" i="292"/>
  <c r="G37" i="292"/>
  <c r="J41" i="292"/>
  <c r="K41" i="292"/>
  <c r="E42" i="292"/>
  <c r="F42" i="292"/>
  <c r="D253" i="20" s="1"/>
  <c r="G42" i="292"/>
  <c r="L41" i="292"/>
  <c r="E43" i="292"/>
  <c r="C254" i="20" s="1"/>
  <c r="F43" i="292"/>
  <c r="D254" i="20" s="1"/>
  <c r="G43" i="292"/>
  <c r="E44" i="292"/>
  <c r="C255" i="20" s="1"/>
  <c r="F44" i="292"/>
  <c r="D255" i="20" s="1"/>
  <c r="G44" i="292"/>
  <c r="E255" i="20" s="1"/>
  <c r="H12" i="291"/>
  <c r="H13" i="291"/>
  <c r="H14" i="291"/>
  <c r="H15" i="291"/>
  <c r="H16" i="291"/>
  <c r="H17" i="291"/>
  <c r="H18" i="291"/>
  <c r="H19" i="291"/>
  <c r="H20" i="291"/>
  <c r="H21" i="291"/>
  <c r="H22" i="291"/>
  <c r="H23" i="291"/>
  <c r="H24" i="291"/>
  <c r="H25" i="291"/>
  <c r="H26" i="291"/>
  <c r="H29" i="291"/>
  <c r="H30" i="291"/>
  <c r="H34" i="291"/>
  <c r="H35" i="291"/>
  <c r="H37" i="291"/>
  <c r="H38" i="291"/>
  <c r="H39" i="291"/>
  <c r="H40" i="291"/>
  <c r="H41" i="291"/>
  <c r="H45" i="291"/>
  <c r="H48" i="291"/>
  <c r="H50" i="291"/>
  <c r="H51" i="291"/>
  <c r="H55" i="291"/>
  <c r="H56" i="291"/>
  <c r="H57" i="291"/>
  <c r="H58" i="291"/>
  <c r="H59" i="291"/>
  <c r="H60" i="291"/>
  <c r="H61" i="291"/>
  <c r="H62" i="291"/>
  <c r="H63" i="291"/>
  <c r="H72" i="291"/>
  <c r="H73" i="291"/>
  <c r="H74" i="291"/>
  <c r="H75" i="291"/>
  <c r="E77" i="291"/>
  <c r="F77" i="291"/>
  <c r="G77" i="291"/>
  <c r="H87" i="291"/>
  <c r="H88" i="291"/>
  <c r="H89" i="291"/>
  <c r="H90" i="291"/>
  <c r="H91" i="291"/>
  <c r="H92" i="291"/>
  <c r="H93" i="291"/>
  <c r="H94" i="291"/>
  <c r="H95" i="291"/>
  <c r="H96" i="291"/>
  <c r="H97" i="291"/>
  <c r="H98" i="291"/>
  <c r="H99" i="291"/>
  <c r="H100" i="291"/>
  <c r="H101" i="291"/>
  <c r="H102" i="291"/>
  <c r="H103" i="291"/>
  <c r="H104" i="291"/>
  <c r="H105" i="291"/>
  <c r="H106" i="291"/>
  <c r="H107" i="291"/>
  <c r="H108" i="291"/>
  <c r="H109" i="291"/>
  <c r="H110" i="291"/>
  <c r="H111" i="291"/>
  <c r="H112" i="291"/>
  <c r="H113" i="291"/>
  <c r="H114" i="291"/>
  <c r="H115" i="291"/>
  <c r="H116" i="291"/>
  <c r="H117" i="291"/>
  <c r="H118" i="291"/>
  <c r="H119" i="291"/>
  <c r="H120" i="291"/>
  <c r="H121" i="291"/>
  <c r="H122" i="291"/>
  <c r="H123" i="291"/>
  <c r="H124" i="291"/>
  <c r="H125" i="291"/>
  <c r="H126" i="291"/>
  <c r="H127" i="291"/>
  <c r="H128" i="291"/>
  <c r="H129" i="291"/>
  <c r="H130" i="291"/>
  <c r="H131" i="291"/>
  <c r="H132" i="291"/>
  <c r="H133" i="291"/>
  <c r="H134" i="291"/>
  <c r="H135" i="291"/>
  <c r="E137" i="291"/>
  <c r="F137" i="291"/>
  <c r="H137" i="291" s="1"/>
  <c r="G137" i="291"/>
  <c r="H144" i="291"/>
  <c r="H145" i="291"/>
  <c r="H146" i="291"/>
  <c r="E149" i="291"/>
  <c r="F149" i="291"/>
  <c r="G149" i="291"/>
  <c r="J152" i="291"/>
  <c r="K152" i="291"/>
  <c r="C249" i="20"/>
  <c r="L152" i="291"/>
  <c r="E155" i="291"/>
  <c r="C251" i="20" s="1"/>
  <c r="F155" i="291"/>
  <c r="D251" i="20" s="1"/>
  <c r="E251" i="20"/>
  <c r="I251" i="20"/>
  <c r="H13" i="290"/>
  <c r="H14" i="290"/>
  <c r="J25" i="290"/>
  <c r="E26" i="290"/>
  <c r="C244" i="20" s="1"/>
  <c r="F26" i="290"/>
  <c r="D244" i="20" s="1"/>
  <c r="G26" i="290"/>
  <c r="E28" i="290"/>
  <c r="F28" i="290"/>
  <c r="D246" i="20" s="1"/>
  <c r="G28" i="290"/>
  <c r="E246" i="20" s="1"/>
  <c r="H13" i="289"/>
  <c r="H14" i="289"/>
  <c r="H15" i="289"/>
  <c r="H17" i="289"/>
  <c r="H18" i="289"/>
  <c r="H20" i="289"/>
  <c r="H21" i="289"/>
  <c r="H23" i="289"/>
  <c r="H25" i="289"/>
  <c r="H27" i="289"/>
  <c r="H28" i="289"/>
  <c r="H30" i="289"/>
  <c r="H31" i="289"/>
  <c r="H33" i="289"/>
  <c r="H34" i="289"/>
  <c r="H36" i="289"/>
  <c r="H37" i="289"/>
  <c r="H39" i="289"/>
  <c r="H40" i="289"/>
  <c r="H42" i="289"/>
  <c r="H43" i="289"/>
  <c r="H45" i="289"/>
  <c r="H46" i="289"/>
  <c r="H48" i="289"/>
  <c r="H49" i="289"/>
  <c r="H50" i="289"/>
  <c r="H51" i="289"/>
  <c r="H52" i="289"/>
  <c r="H53" i="289"/>
  <c r="E55" i="289"/>
  <c r="F55" i="289"/>
  <c r="G55" i="289"/>
  <c r="H64" i="289"/>
  <c r="H65" i="289"/>
  <c r="H66" i="289"/>
  <c r="H73" i="289"/>
  <c r="H74" i="289"/>
  <c r="H75" i="289"/>
  <c r="H76" i="289"/>
  <c r="H77" i="289"/>
  <c r="H84" i="289"/>
  <c r="H86" i="289"/>
  <c r="H87" i="289"/>
  <c r="H89" i="289"/>
  <c r="H90" i="289"/>
  <c r="H92" i="289"/>
  <c r="H93" i="289"/>
  <c r="H98" i="289"/>
  <c r="H99" i="289"/>
  <c r="H101" i="289"/>
  <c r="H102" i="289"/>
  <c r="H103" i="289"/>
  <c r="E108" i="289"/>
  <c r="F108" i="289"/>
  <c r="G108" i="289"/>
  <c r="H121" i="289"/>
  <c r="H122" i="289"/>
  <c r="H123" i="289"/>
  <c r="H124" i="289"/>
  <c r="H125" i="289"/>
  <c r="H126" i="289"/>
  <c r="H127" i="289"/>
  <c r="H128" i="289"/>
  <c r="H129" i="289"/>
  <c r="H130" i="289"/>
  <c r="H131" i="289"/>
  <c r="H132" i="289"/>
  <c r="H133" i="289"/>
  <c r="H134" i="289"/>
  <c r="H135" i="289"/>
  <c r="H136" i="289"/>
  <c r="H137" i="289"/>
  <c r="H139" i="289"/>
  <c r="H140" i="289"/>
  <c r="H143" i="289"/>
  <c r="H145" i="289"/>
  <c r="H147" i="289"/>
  <c r="H148" i="289"/>
  <c r="H150" i="289"/>
  <c r="H151" i="289"/>
  <c r="H155" i="289"/>
  <c r="H156" i="289"/>
  <c r="H157" i="289"/>
  <c r="H158" i="289"/>
  <c r="H159" i="289"/>
  <c r="H160" i="289"/>
  <c r="H162" i="289"/>
  <c r="H163" i="289"/>
  <c r="H165" i="289"/>
  <c r="H166" i="289"/>
  <c r="H167" i="289"/>
  <c r="H168" i="289"/>
  <c r="H169" i="289"/>
  <c r="H170" i="289"/>
  <c r="H179" i="289"/>
  <c r="H180" i="289"/>
  <c r="H181" i="289"/>
  <c r="H182" i="289"/>
  <c r="H183" i="289"/>
  <c r="H184" i="289"/>
  <c r="H185" i="289"/>
  <c r="H186" i="289"/>
  <c r="H187" i="289"/>
  <c r="H188" i="289"/>
  <c r="H189" i="289"/>
  <c r="H190" i="289"/>
  <c r="H191" i="289"/>
  <c r="H192" i="289"/>
  <c r="H193" i="289"/>
  <c r="H194" i="289"/>
  <c r="H195" i="289"/>
  <c r="H197" i="289"/>
  <c r="H198" i="289"/>
  <c r="H201" i="289"/>
  <c r="H202" i="289"/>
  <c r="H204" i="289"/>
  <c r="H205" i="289"/>
  <c r="H207" i="289"/>
  <c r="H208" i="289"/>
  <c r="H210" i="289"/>
  <c r="H211" i="289"/>
  <c r="H212" i="289"/>
  <c r="H213" i="289"/>
  <c r="H214" i="289"/>
  <c r="H215" i="289"/>
  <c r="H217" i="289"/>
  <c r="H218" i="289"/>
  <c r="H220" i="289"/>
  <c r="H221" i="289"/>
  <c r="H222" i="289"/>
  <c r="H223" i="289"/>
  <c r="H224" i="289"/>
  <c r="H225" i="289"/>
  <c r="E227" i="289"/>
  <c r="F227" i="289"/>
  <c r="G227" i="289"/>
  <c r="H234" i="289"/>
  <c r="H235" i="289"/>
  <c r="H236" i="289"/>
  <c r="H237" i="289"/>
  <c r="H238" i="289"/>
  <c r="H239" i="289"/>
  <c r="H240" i="289"/>
  <c r="H241" i="289"/>
  <c r="H242" i="289"/>
  <c r="H244" i="289"/>
  <c r="H245" i="289"/>
  <c r="H246" i="289"/>
  <c r="H247" i="289"/>
  <c r="H248" i="289"/>
  <c r="H249" i="289"/>
  <c r="H250" i="289"/>
  <c r="H251" i="289"/>
  <c r="H252" i="289"/>
  <c r="H253" i="289"/>
  <c r="H254" i="289"/>
  <c r="H255" i="289"/>
  <c r="H256" i="289"/>
  <c r="H257" i="289"/>
  <c r="H258" i="289"/>
  <c r="H259" i="289"/>
  <c r="H260" i="289"/>
  <c r="E262" i="289"/>
  <c r="F262" i="289"/>
  <c r="G262" i="289"/>
  <c r="H271" i="289"/>
  <c r="H272" i="289"/>
  <c r="H273" i="289"/>
  <c r="G276" i="289"/>
  <c r="E276" i="289"/>
  <c r="F276" i="289"/>
  <c r="J283" i="289"/>
  <c r="K283" i="289"/>
  <c r="D239" i="20"/>
  <c r="E286" i="289"/>
  <c r="C241" i="20" s="1"/>
  <c r="F286" i="289"/>
  <c r="D241" i="20" s="1"/>
  <c r="E241" i="20"/>
  <c r="L283" i="289"/>
  <c r="H12" i="288"/>
  <c r="H13" i="288"/>
  <c r="H14" i="288"/>
  <c r="H16" i="288"/>
  <c r="H17" i="288"/>
  <c r="H19" i="288"/>
  <c r="H22" i="288"/>
  <c r="H23" i="288"/>
  <c r="H24" i="288"/>
  <c r="H25" i="288"/>
  <c r="H26" i="288"/>
  <c r="H27" i="288"/>
  <c r="H29" i="288"/>
  <c r="H30" i="288"/>
  <c r="H31" i="288"/>
  <c r="H32" i="288"/>
  <c r="H33" i="288"/>
  <c r="H34" i="288"/>
  <c r="H35" i="288"/>
  <c r="H36" i="288"/>
  <c r="H37" i="288"/>
  <c r="H38" i="288"/>
  <c r="H40" i="288"/>
  <c r="H41" i="288"/>
  <c r="H42" i="288"/>
  <c r="H43" i="288"/>
  <c r="H45" i="288"/>
  <c r="E48" i="288"/>
  <c r="F48" i="288"/>
  <c r="G48" i="288"/>
  <c r="G54" i="288"/>
  <c r="J54" i="288"/>
  <c r="K54" i="288"/>
  <c r="L54" i="288"/>
  <c r="E55" i="288"/>
  <c r="E54" i="288" s="1"/>
  <c r="E59" i="288" s="1"/>
  <c r="F55" i="288"/>
  <c r="F54" i="288" s="1"/>
  <c r="F59" i="288" s="1"/>
  <c r="E57" i="288"/>
  <c r="F57" i="288"/>
  <c r="D181" i="288"/>
  <c r="H12" i="287"/>
  <c r="H14" i="287"/>
  <c r="H15" i="287"/>
  <c r="H16" i="287"/>
  <c r="H17" i="287"/>
  <c r="H19" i="287"/>
  <c r="H20" i="287"/>
  <c r="H22" i="287"/>
  <c r="H23" i="287"/>
  <c r="H25" i="287"/>
  <c r="H26" i="287"/>
  <c r="H27" i="287"/>
  <c r="H28" i="287"/>
  <c r="H30" i="287"/>
  <c r="H31" i="287"/>
  <c r="H33" i="287"/>
  <c r="H36" i="287"/>
  <c r="H37" i="287"/>
  <c r="H39" i="287"/>
  <c r="H40" i="287"/>
  <c r="H42" i="287"/>
  <c r="H43" i="287"/>
  <c r="H45" i="287"/>
  <c r="H46" i="287"/>
  <c r="H48" i="287"/>
  <c r="H49" i="287"/>
  <c r="H51" i="287"/>
  <c r="H52" i="287"/>
  <c r="H54" i="287"/>
  <c r="H55" i="287"/>
  <c r="H56" i="287"/>
  <c r="H57" i="287"/>
  <c r="H59" i="287"/>
  <c r="H60" i="287"/>
  <c r="E62" i="287"/>
  <c r="F62" i="287"/>
  <c r="H62" i="287" s="1"/>
  <c r="G62" i="287"/>
  <c r="J66" i="287"/>
  <c r="K66" i="287"/>
  <c r="L66" i="287"/>
  <c r="E67" i="287"/>
  <c r="E66" i="287" s="1"/>
  <c r="E71" i="287" s="1"/>
  <c r="F67" i="287"/>
  <c r="F66" i="287" s="1"/>
  <c r="F71" i="287" s="1"/>
  <c r="G67" i="287"/>
  <c r="E68" i="287"/>
  <c r="F68" i="287"/>
  <c r="G68" i="287"/>
  <c r="G69" i="287"/>
  <c r="E286" i="20" s="1"/>
  <c r="D193" i="287"/>
  <c r="H10" i="286"/>
  <c r="H11" i="286"/>
  <c r="H12" i="286"/>
  <c r="H13" i="286"/>
  <c r="H14" i="286"/>
  <c r="H15" i="286"/>
  <c r="H16" i="286"/>
  <c r="H17" i="286"/>
  <c r="H18" i="286"/>
  <c r="H19" i="286"/>
  <c r="H20" i="286"/>
  <c r="H21" i="286"/>
  <c r="H22" i="286"/>
  <c r="H23" i="286"/>
  <c r="H24" i="286"/>
  <c r="H25" i="286"/>
  <c r="H26" i="286"/>
  <c r="E29" i="286"/>
  <c r="F29" i="286"/>
  <c r="G29" i="286"/>
  <c r="H29" i="286" s="1"/>
  <c r="J35" i="286"/>
  <c r="K35" i="286"/>
  <c r="E36" i="286"/>
  <c r="E35" i="286" s="1"/>
  <c r="E40" i="286" s="1"/>
  <c r="F36" i="286"/>
  <c r="F35" i="286" s="1"/>
  <c r="F40" i="286" s="1"/>
  <c r="G36" i="286"/>
  <c r="L35" i="286"/>
  <c r="G38" i="286"/>
  <c r="E281" i="20" s="1"/>
  <c r="H12" i="285"/>
  <c r="H13" i="285"/>
  <c r="H14" i="285"/>
  <c r="H15" i="285"/>
  <c r="H16" i="285"/>
  <c r="H17" i="285"/>
  <c r="H18" i="285"/>
  <c r="H19" i="285"/>
  <c r="H21" i="285"/>
  <c r="H22" i="285"/>
  <c r="H23" i="285"/>
  <c r="H24" i="285"/>
  <c r="H25" i="285"/>
  <c r="H26" i="285"/>
  <c r="H27" i="285"/>
  <c r="H28" i="285"/>
  <c r="H29" i="285"/>
  <c r="H30" i="285"/>
  <c r="H31" i="285"/>
  <c r="H32" i="285"/>
  <c r="H33" i="285"/>
  <c r="E37" i="285"/>
  <c r="F37" i="285"/>
  <c r="G37" i="285"/>
  <c r="J40" i="285"/>
  <c r="K40" i="285"/>
  <c r="L40" i="285"/>
  <c r="E41" i="285"/>
  <c r="E40" i="285" s="1"/>
  <c r="E45" i="285" s="1"/>
  <c r="F41" i="285"/>
  <c r="F40" i="285" s="1"/>
  <c r="F45" i="285" s="1"/>
  <c r="G41" i="285"/>
  <c r="G40" i="285" s="1"/>
  <c r="G45" i="285" s="1"/>
  <c r="E42" i="285"/>
  <c r="F42" i="285"/>
  <c r="G42" i="285"/>
  <c r="E43" i="285"/>
  <c r="F43" i="285"/>
  <c r="G43" i="285"/>
  <c r="H10" i="284"/>
  <c r="H11" i="284"/>
  <c r="H12" i="284"/>
  <c r="H13" i="284"/>
  <c r="H14" i="284"/>
  <c r="H15" i="284"/>
  <c r="H16" i="284"/>
  <c r="H17" i="284"/>
  <c r="H18" i="284"/>
  <c r="H19" i="284"/>
  <c r="H22" i="284"/>
  <c r="H23" i="284"/>
  <c r="H24" i="284"/>
  <c r="H26" i="284"/>
  <c r="H28" i="284"/>
  <c r="H29" i="284"/>
  <c r="E31" i="284"/>
  <c r="F31" i="284"/>
  <c r="G31" i="284"/>
  <c r="H31" i="284" s="1"/>
  <c r="J39" i="284"/>
  <c r="K39" i="284"/>
  <c r="L39" i="284"/>
  <c r="E40" i="284"/>
  <c r="F40" i="284"/>
  <c r="G40" i="284"/>
  <c r="E41" i="284"/>
  <c r="E39" i="284" s="1"/>
  <c r="E44" i="284" s="1"/>
  <c r="F41" i="284"/>
  <c r="D230" i="20" s="1"/>
  <c r="G41" i="284"/>
  <c r="E230" i="20" s="1"/>
  <c r="E42" i="284"/>
  <c r="C231" i="20" s="1"/>
  <c r="F42" i="284"/>
  <c r="G42" i="284"/>
  <c r="E231" i="20" s="1"/>
  <c r="H10" i="283"/>
  <c r="H11" i="283"/>
  <c r="H12" i="283"/>
  <c r="H13" i="283"/>
  <c r="H14" i="283"/>
  <c r="H15" i="283"/>
  <c r="H16" i="283"/>
  <c r="H17" i="283"/>
  <c r="H18" i="283"/>
  <c r="H19" i="283"/>
  <c r="H20" i="283"/>
  <c r="H21" i="283"/>
  <c r="H22" i="283"/>
  <c r="H23" i="283"/>
  <c r="H24" i="283"/>
  <c r="H25" i="283"/>
  <c r="H26" i="283"/>
  <c r="H27" i="283"/>
  <c r="E30" i="283"/>
  <c r="F30" i="283"/>
  <c r="G30" i="283"/>
  <c r="H30" i="283" s="1"/>
  <c r="H36" i="283"/>
  <c r="H37" i="283"/>
  <c r="H38" i="283"/>
  <c r="H39" i="283"/>
  <c r="E40" i="283"/>
  <c r="F40" i="283"/>
  <c r="G40" i="283"/>
  <c r="H40" i="283" s="1"/>
  <c r="H47" i="283"/>
  <c r="H48" i="283"/>
  <c r="H49" i="283"/>
  <c r="E50" i="283"/>
  <c r="F50" i="283"/>
  <c r="G50" i="283"/>
  <c r="H50" i="283" s="1"/>
  <c r="H56" i="283"/>
  <c r="H57" i="283"/>
  <c r="H58" i="283"/>
  <c r="E59" i="283"/>
  <c r="F59" i="283"/>
  <c r="G59" i="283"/>
  <c r="H59" i="283" s="1"/>
  <c r="K66" i="283"/>
  <c r="L66" i="283"/>
  <c r="E67" i="283"/>
  <c r="C223" i="20" s="1"/>
  <c r="F67" i="283"/>
  <c r="G67" i="283"/>
  <c r="H67" i="283"/>
  <c r="M66" i="283"/>
  <c r="E68" i="283"/>
  <c r="F68" i="283"/>
  <c r="G68" i="283"/>
  <c r="E69" i="283"/>
  <c r="C225" i="20" s="1"/>
  <c r="F69" i="283"/>
  <c r="D225" i="20" s="1"/>
  <c r="G69" i="283"/>
  <c r="E225" i="20" s="1"/>
  <c r="H10" i="282"/>
  <c r="H11" i="282"/>
  <c r="H12" i="282"/>
  <c r="H13" i="282"/>
  <c r="H14" i="282"/>
  <c r="H15" i="282"/>
  <c r="H16" i="282"/>
  <c r="H17" i="282"/>
  <c r="H18" i="282"/>
  <c r="H19" i="282"/>
  <c r="H20" i="282"/>
  <c r="H21" i="282"/>
  <c r="H22" i="282"/>
  <c r="H23" i="282"/>
  <c r="H24" i="282"/>
  <c r="H25" i="282"/>
  <c r="H26" i="282"/>
  <c r="H27" i="282"/>
  <c r="H28" i="282"/>
  <c r="H30" i="282"/>
  <c r="J30" i="282"/>
  <c r="K30" i="282"/>
  <c r="H31" i="282"/>
  <c r="E32" i="282"/>
  <c r="F32" i="282"/>
  <c r="G32" i="282"/>
  <c r="H32" i="282"/>
  <c r="H39" i="282"/>
  <c r="H40" i="282"/>
  <c r="H41" i="282"/>
  <c r="H42" i="282"/>
  <c r="E43" i="282"/>
  <c r="F43" i="282"/>
  <c r="G43" i="282"/>
  <c r="H43" i="282" s="1"/>
  <c r="H50" i="282"/>
  <c r="H51" i="282"/>
  <c r="H52" i="282"/>
  <c r="H53" i="282"/>
  <c r="E54" i="282"/>
  <c r="F54" i="282"/>
  <c r="G54" i="282"/>
  <c r="H54" i="282" s="1"/>
  <c r="J59" i="282"/>
  <c r="K59" i="282"/>
  <c r="E60" i="282"/>
  <c r="F60" i="282"/>
  <c r="G60" i="282"/>
  <c r="L59" i="282"/>
  <c r="E62" i="282"/>
  <c r="F62" i="282"/>
  <c r="D220" i="20" s="1"/>
  <c r="G62" i="282"/>
  <c r="E220" i="20" s="1"/>
  <c r="H12" i="281"/>
  <c r="H13" i="281"/>
  <c r="H14" i="281"/>
  <c r="H15" i="281"/>
  <c r="H16" i="281"/>
  <c r="H17" i="281"/>
  <c r="H18" i="281"/>
  <c r="H19" i="281"/>
  <c r="H20" i="281"/>
  <c r="H21" i="281"/>
  <c r="H22" i="281"/>
  <c r="H23" i="281"/>
  <c r="H24" i="281"/>
  <c r="H25" i="281"/>
  <c r="H26" i="281"/>
  <c r="H27" i="281"/>
  <c r="H28" i="281"/>
  <c r="H30" i="281"/>
  <c r="H31" i="281"/>
  <c r="H32" i="281"/>
  <c r="H33" i="281"/>
  <c r="H34" i="281"/>
  <c r="H35" i="281"/>
  <c r="H36" i="281"/>
  <c r="H37" i="281"/>
  <c r="E39" i="281"/>
  <c r="F39" i="281"/>
  <c r="G39" i="281"/>
  <c r="H46" i="281"/>
  <c r="H47" i="281"/>
  <c r="H48" i="281"/>
  <c r="H49" i="281"/>
  <c r="H50" i="281"/>
  <c r="H51" i="281"/>
  <c r="H52" i="281"/>
  <c r="H53" i="281"/>
  <c r="H54" i="281"/>
  <c r="H55" i="281"/>
  <c r="H56" i="281"/>
  <c r="H57" i="281"/>
  <c r="H58" i="281"/>
  <c r="H59" i="281"/>
  <c r="H60" i="281"/>
  <c r="H73" i="281"/>
  <c r="H74" i="281"/>
  <c r="H88" i="281"/>
  <c r="E90" i="281"/>
  <c r="F90" i="281"/>
  <c r="G90" i="281"/>
  <c r="E111" i="281"/>
  <c r="F111" i="281"/>
  <c r="G111" i="281"/>
  <c r="J120" i="281"/>
  <c r="K120" i="281"/>
  <c r="C215" i="20"/>
  <c r="D215" i="20"/>
  <c r="E215" i="20"/>
  <c r="L120" i="281"/>
  <c r="D247" i="281"/>
  <c r="H10" i="280"/>
  <c r="H12" i="280"/>
  <c r="H13" i="280"/>
  <c r="H14" i="280"/>
  <c r="H15" i="280"/>
  <c r="H16" i="280"/>
  <c r="H17" i="280"/>
  <c r="H18" i="280"/>
  <c r="H19" i="280"/>
  <c r="H20" i="280"/>
  <c r="H21" i="280"/>
  <c r="H22" i="280"/>
  <c r="H23" i="280"/>
  <c r="H24" i="280"/>
  <c r="H25" i="280"/>
  <c r="H26" i="280"/>
  <c r="H27" i="280"/>
  <c r="H28" i="280"/>
  <c r="H29" i="280"/>
  <c r="E33" i="280"/>
  <c r="F33" i="280"/>
  <c r="G33" i="280"/>
  <c r="H40" i="280"/>
  <c r="H41" i="280"/>
  <c r="H42" i="280"/>
  <c r="H43" i="280"/>
  <c r="E44" i="280"/>
  <c r="F44" i="280"/>
  <c r="G44" i="280"/>
  <c r="H44" i="280" s="1"/>
  <c r="J52" i="280"/>
  <c r="K52" i="280"/>
  <c r="E53" i="280"/>
  <c r="E52" i="280" s="1"/>
  <c r="E57" i="280" s="1"/>
  <c r="F53" i="280"/>
  <c r="F52" i="280" s="1"/>
  <c r="F57" i="280" s="1"/>
  <c r="G53" i="280"/>
  <c r="L52" i="280"/>
  <c r="E55" i="280"/>
  <c r="F55" i="280"/>
  <c r="G55" i="280"/>
  <c r="E210" i="20" s="1"/>
  <c r="D179" i="280"/>
  <c r="H12" i="279"/>
  <c r="H13" i="279"/>
  <c r="H14" i="279"/>
  <c r="H15" i="279"/>
  <c r="H16" i="279"/>
  <c r="H17" i="279"/>
  <c r="H18" i="279"/>
  <c r="H19" i="279"/>
  <c r="H20" i="279"/>
  <c r="H21" i="279"/>
  <c r="H22" i="279"/>
  <c r="H23" i="279"/>
  <c r="H24" i="279"/>
  <c r="H25" i="279"/>
  <c r="H26" i="279"/>
  <c r="H27" i="279"/>
  <c r="H28" i="279"/>
  <c r="H29" i="279"/>
  <c r="H33" i="279"/>
  <c r="H35" i="279"/>
  <c r="H36" i="279"/>
  <c r="H37" i="279"/>
  <c r="H38" i="279"/>
  <c r="H39" i="279"/>
  <c r="H40" i="279"/>
  <c r="H41" i="279"/>
  <c r="H42" i="279"/>
  <c r="H43" i="279"/>
  <c r="H44" i="279"/>
  <c r="H45" i="279"/>
  <c r="H46" i="279"/>
  <c r="H47" i="279"/>
  <c r="H48" i="279"/>
  <c r="H49" i="279"/>
  <c r="H50" i="279"/>
  <c r="H51" i="279"/>
  <c r="H52" i="279"/>
  <c r="H53" i="279"/>
  <c r="H62" i="279"/>
  <c r="H63" i="279"/>
  <c r="H64" i="279"/>
  <c r="H65" i="279"/>
  <c r="H74" i="279"/>
  <c r="H75" i="279"/>
  <c r="H76" i="279"/>
  <c r="H77" i="279"/>
  <c r="H78" i="279"/>
  <c r="H79" i="279"/>
  <c r="H80" i="279"/>
  <c r="H81" i="279"/>
  <c r="H82" i="279"/>
  <c r="H83" i="279"/>
  <c r="H84" i="279"/>
  <c r="H85" i="279"/>
  <c r="H86" i="279"/>
  <c r="H87" i="279"/>
  <c r="H88" i="279"/>
  <c r="H89" i="279"/>
  <c r="H90" i="279"/>
  <c r="H91" i="279"/>
  <c r="H92" i="279"/>
  <c r="H93" i="279"/>
  <c r="H94" i="279"/>
  <c r="H95" i="279"/>
  <c r="H96" i="279"/>
  <c r="H97" i="279"/>
  <c r="H98" i="279"/>
  <c r="H99" i="279"/>
  <c r="H100" i="279"/>
  <c r="H106" i="279"/>
  <c r="H107" i="279"/>
  <c r="H108" i="279"/>
  <c r="H109" i="279"/>
  <c r="H110" i="279"/>
  <c r="H113" i="279"/>
  <c r="H116" i="279"/>
  <c r="H119" i="279"/>
  <c r="H120" i="279"/>
  <c r="H121" i="279"/>
  <c r="H122" i="279"/>
  <c r="H130" i="279"/>
  <c r="H131" i="279"/>
  <c r="H132" i="279"/>
  <c r="E133" i="279"/>
  <c r="F133" i="279"/>
  <c r="G133" i="279"/>
  <c r="E140" i="279"/>
  <c r="F140" i="279"/>
  <c r="G140" i="279"/>
  <c r="J143" i="279"/>
  <c r="K143" i="279"/>
  <c r="L143" i="279"/>
  <c r="E143" i="279"/>
  <c r="E148" i="279" s="1"/>
  <c r="F143" i="279"/>
  <c r="F148" i="279" s="1"/>
  <c r="E205" i="20"/>
  <c r="D271" i="279"/>
  <c r="E15" i="278"/>
  <c r="F15" i="278"/>
  <c r="G15" i="278"/>
  <c r="H21" i="278"/>
  <c r="H22" i="278"/>
  <c r="H23" i="278"/>
  <c r="E24" i="278"/>
  <c r="F24" i="278"/>
  <c r="G24" i="278"/>
  <c r="H30" i="278"/>
  <c r="H31" i="278"/>
  <c r="E32" i="278"/>
  <c r="F32" i="278"/>
  <c r="G32" i="278"/>
  <c r="H38" i="278"/>
  <c r="E39" i="278"/>
  <c r="F39" i="278"/>
  <c r="G39" i="278"/>
  <c r="H45" i="278"/>
  <c r="E46" i="278"/>
  <c r="F46" i="278"/>
  <c r="G46" i="278"/>
  <c r="H52" i="278"/>
  <c r="H53" i="278"/>
  <c r="H54" i="278"/>
  <c r="H55" i="278"/>
  <c r="H57" i="278"/>
  <c r="H58" i="278"/>
  <c r="H59" i="278"/>
  <c r="H60" i="278"/>
  <c r="H61" i="278"/>
  <c r="H62" i="278"/>
  <c r="H63" i="278"/>
  <c r="H64" i="278"/>
  <c r="H66" i="278"/>
  <c r="H67" i="278"/>
  <c r="H68" i="278"/>
  <c r="H69" i="278"/>
  <c r="H70" i="278"/>
  <c r="H71" i="278"/>
  <c r="H72" i="278"/>
  <c r="H73" i="278"/>
  <c r="H74" i="278"/>
  <c r="H75" i="278"/>
  <c r="H76" i="278"/>
  <c r="H77" i="278"/>
  <c r="H78" i="278"/>
  <c r="H79" i="278"/>
  <c r="H80" i="278"/>
  <c r="H81" i="278"/>
  <c r="E82" i="278"/>
  <c r="F82" i="278"/>
  <c r="G82" i="278"/>
  <c r="H88" i="278"/>
  <c r="H89" i="278"/>
  <c r="H90" i="278"/>
  <c r="H91" i="278"/>
  <c r="H93" i="278"/>
  <c r="H94" i="278"/>
  <c r="H97" i="278"/>
  <c r="H98" i="278"/>
  <c r="H99" i="278"/>
  <c r="E101" i="278"/>
  <c r="F101" i="278"/>
  <c r="G101" i="278"/>
  <c r="H107" i="278"/>
  <c r="H108" i="278"/>
  <c r="H109" i="278"/>
  <c r="H110" i="278"/>
  <c r="H111" i="278"/>
  <c r="H112" i="278"/>
  <c r="H113" i="278"/>
  <c r="H114" i="278"/>
  <c r="H115" i="278"/>
  <c r="E116" i="278"/>
  <c r="F116" i="278"/>
  <c r="G116" i="278"/>
  <c r="H122" i="278"/>
  <c r="H123" i="278"/>
  <c r="H124" i="278"/>
  <c r="H125" i="278"/>
  <c r="H126" i="278"/>
  <c r="H127" i="278"/>
  <c r="H128" i="278"/>
  <c r="H129" i="278"/>
  <c r="H130" i="278"/>
  <c r="H131" i="278"/>
  <c r="H132" i="278"/>
  <c r="E133" i="278"/>
  <c r="F133" i="278"/>
  <c r="G133" i="278"/>
  <c r="H140" i="278"/>
  <c r="H141" i="278"/>
  <c r="H142" i="278"/>
  <c r="H143" i="278"/>
  <c r="H144" i="278"/>
  <c r="E145" i="278"/>
  <c r="F145" i="278"/>
  <c r="G145" i="278"/>
  <c r="E155" i="278"/>
  <c r="F155" i="278"/>
  <c r="G155" i="278"/>
  <c r="H164" i="278"/>
  <c r="H166" i="278"/>
  <c r="H167" i="278"/>
  <c r="H168" i="278"/>
  <c r="H169" i="278"/>
  <c r="H170" i="278"/>
  <c r="H171" i="278"/>
  <c r="H172" i="278"/>
  <c r="H173" i="278"/>
  <c r="H174" i="278"/>
  <c r="E175" i="278"/>
  <c r="F175" i="278"/>
  <c r="G175" i="278"/>
  <c r="H181" i="278"/>
  <c r="H182" i="278"/>
  <c r="H184" i="278"/>
  <c r="H196" i="278"/>
  <c r="H197" i="278"/>
  <c r="H198" i="278"/>
  <c r="H199" i="278"/>
  <c r="H200" i="278"/>
  <c r="H201" i="278"/>
  <c r="H202" i="278"/>
  <c r="H203" i="278"/>
  <c r="H205" i="278"/>
  <c r="H207" i="278"/>
  <c r="H208" i="278"/>
  <c r="H209" i="278"/>
  <c r="E210" i="278"/>
  <c r="F210" i="278"/>
  <c r="G210" i="278"/>
  <c r="H217" i="278"/>
  <c r="H218" i="278"/>
  <c r="H219" i="278"/>
  <c r="H220" i="278"/>
  <c r="H221" i="278"/>
  <c r="H222" i="278"/>
  <c r="H223" i="278"/>
  <c r="H224" i="278"/>
  <c r="H227" i="278"/>
  <c r="H229" i="278"/>
  <c r="H230" i="278"/>
  <c r="H231" i="278"/>
  <c r="H232" i="278"/>
  <c r="H233" i="278"/>
  <c r="H234" i="278"/>
  <c r="H235" i="278"/>
  <c r="H236" i="278"/>
  <c r="H237" i="278"/>
  <c r="H238" i="278"/>
  <c r="E239" i="278"/>
  <c r="F239" i="278"/>
  <c r="G239" i="278"/>
  <c r="H245" i="278"/>
  <c r="H246" i="278"/>
  <c r="H247" i="278"/>
  <c r="H248" i="278"/>
  <c r="H249" i="278"/>
  <c r="H250" i="278"/>
  <c r="H251" i="278"/>
  <c r="E254" i="278"/>
  <c r="F254" i="278"/>
  <c r="G254" i="278"/>
  <c r="H261" i="278"/>
  <c r="H262" i="278"/>
  <c r="H263" i="278"/>
  <c r="H264" i="278"/>
  <c r="E265" i="278"/>
  <c r="F265" i="278"/>
  <c r="G265" i="278"/>
  <c r="H275" i="278"/>
  <c r="E276" i="278"/>
  <c r="F276" i="278"/>
  <c r="G276" i="278"/>
  <c r="H283" i="278"/>
  <c r="H284" i="278"/>
  <c r="H285" i="278"/>
  <c r="E286" i="278"/>
  <c r="F286" i="278"/>
  <c r="G286" i="278"/>
  <c r="H292" i="278"/>
  <c r="H293" i="278"/>
  <c r="H294" i="278"/>
  <c r="E295" i="278"/>
  <c r="F295" i="278"/>
  <c r="G295" i="278"/>
  <c r="H307" i="278"/>
  <c r="H308" i="278"/>
  <c r="H310" i="278"/>
  <c r="E311" i="278"/>
  <c r="F311" i="278"/>
  <c r="G311" i="278"/>
  <c r="H317" i="278"/>
  <c r="H318" i="278"/>
  <c r="H319" i="278"/>
  <c r="H320" i="278"/>
  <c r="H321" i="278"/>
  <c r="E322" i="278"/>
  <c r="F322" i="278"/>
  <c r="G322" i="278"/>
  <c r="H328" i="278"/>
  <c r="H329" i="278"/>
  <c r="H330" i="278"/>
  <c r="H331" i="278"/>
  <c r="H332" i="278"/>
  <c r="H333" i="278"/>
  <c r="H335" i="278"/>
  <c r="H336" i="278"/>
  <c r="H337" i="278"/>
  <c r="H338" i="278"/>
  <c r="H339" i="278"/>
  <c r="E340" i="278"/>
  <c r="F340" i="278"/>
  <c r="G340" i="278"/>
  <c r="H346" i="278"/>
  <c r="H347" i="278"/>
  <c r="H348" i="278"/>
  <c r="H349" i="278"/>
  <c r="H350" i="278"/>
  <c r="H351" i="278"/>
  <c r="H353" i="278"/>
  <c r="H354" i="278"/>
  <c r="E355" i="278"/>
  <c r="F355" i="278"/>
  <c r="G355" i="278"/>
  <c r="H361" i="278"/>
  <c r="H362" i="278"/>
  <c r="H363" i="278"/>
  <c r="H364" i="278"/>
  <c r="E365" i="278"/>
  <c r="F365" i="278"/>
  <c r="G365" i="278"/>
  <c r="H372" i="278"/>
  <c r="H373" i="278"/>
  <c r="H374" i="278"/>
  <c r="H375" i="278"/>
  <c r="H376" i="278"/>
  <c r="H377" i="278"/>
  <c r="H378" i="278"/>
  <c r="H379" i="278"/>
  <c r="H380" i="278"/>
  <c r="E381" i="278"/>
  <c r="F381" i="278"/>
  <c r="G381" i="278"/>
  <c r="H389" i="278"/>
  <c r="H390" i="278"/>
  <c r="H391" i="278"/>
  <c r="H392" i="278"/>
  <c r="H393" i="278"/>
  <c r="H394" i="278"/>
  <c r="H395" i="278"/>
  <c r="H396" i="278"/>
  <c r="E397" i="278"/>
  <c r="F397" i="278"/>
  <c r="G397" i="278"/>
  <c r="H405" i="278"/>
  <c r="H406" i="278"/>
  <c r="H407" i="278"/>
  <c r="H408" i="278"/>
  <c r="H409" i="278"/>
  <c r="H410" i="278"/>
  <c r="H411" i="278"/>
  <c r="E413" i="278"/>
  <c r="F413" i="278"/>
  <c r="G413" i="278"/>
  <c r="H419" i="278"/>
  <c r="H420" i="278"/>
  <c r="H422" i="278"/>
  <c r="H424" i="278"/>
  <c r="H425" i="278"/>
  <c r="H426" i="278"/>
  <c r="H427" i="278"/>
  <c r="E429" i="278"/>
  <c r="F429" i="278"/>
  <c r="G429" i="278"/>
  <c r="H435" i="278"/>
  <c r="H437" i="278"/>
  <c r="H438" i="278"/>
  <c r="H439" i="278"/>
  <c r="H440" i="278"/>
  <c r="H441" i="278"/>
  <c r="H442" i="278"/>
  <c r="H443" i="278"/>
  <c r="H444" i="278"/>
  <c r="E445" i="278"/>
  <c r="F445" i="278"/>
  <c r="G445" i="278"/>
  <c r="H451" i="278"/>
  <c r="H452" i="278"/>
  <c r="H454" i="278"/>
  <c r="H455" i="278"/>
  <c r="H456" i="278"/>
  <c r="H457" i="278"/>
  <c r="H458" i="278"/>
  <c r="H459" i="278"/>
  <c r="H460" i="278"/>
  <c r="E461" i="278"/>
  <c r="F461" i="278"/>
  <c r="G461" i="278"/>
  <c r="H468" i="278"/>
  <c r="H469" i="278"/>
  <c r="H470" i="278"/>
  <c r="H471" i="278"/>
  <c r="H472" i="278"/>
  <c r="H473" i="278"/>
  <c r="H474" i="278"/>
  <c r="H475" i="278"/>
  <c r="E476" i="278"/>
  <c r="F476" i="278"/>
  <c r="G476" i="278"/>
  <c r="H482" i="278"/>
  <c r="H483" i="278"/>
  <c r="H484" i="278"/>
  <c r="H485" i="278"/>
  <c r="H486" i="278"/>
  <c r="E488" i="278"/>
  <c r="F488" i="278"/>
  <c r="G488" i="278"/>
  <c r="H494" i="278"/>
  <c r="H495" i="278"/>
  <c r="H497" i="278"/>
  <c r="H498" i="278"/>
  <c r="H499" i="278"/>
  <c r="H500" i="278"/>
  <c r="H501" i="278"/>
  <c r="E502" i="278"/>
  <c r="F502" i="278"/>
  <c r="G502" i="278"/>
  <c r="H510" i="278"/>
  <c r="H511" i="278"/>
  <c r="H512" i="278"/>
  <c r="E514" i="278"/>
  <c r="F514" i="278"/>
  <c r="G514" i="278"/>
  <c r="H522" i="278"/>
  <c r="H523" i="278"/>
  <c r="H524" i="278"/>
  <c r="H526" i="278"/>
  <c r="H527" i="278"/>
  <c r="H528" i="278"/>
  <c r="H529" i="278"/>
  <c r="E530" i="278"/>
  <c r="F530" i="278"/>
  <c r="G530" i="278"/>
  <c r="H537" i="278"/>
  <c r="H539" i="278"/>
  <c r="H540" i="278"/>
  <c r="H548" i="278"/>
  <c r="H549" i="278"/>
  <c r="E550" i="278"/>
  <c r="F550" i="278"/>
  <c r="G550" i="278"/>
  <c r="H555" i="278"/>
  <c r="E558" i="278"/>
  <c r="F558" i="278"/>
  <c r="G558" i="278"/>
  <c r="H568" i="278"/>
  <c r="H574" i="278"/>
  <c r="H576" i="278"/>
  <c r="E577" i="278"/>
  <c r="F577" i="278"/>
  <c r="G577" i="278"/>
  <c r="H595" i="278"/>
  <c r="E596" i="278"/>
  <c r="F596" i="278"/>
  <c r="G596" i="278"/>
  <c r="H602" i="278"/>
  <c r="H603" i="278"/>
  <c r="H604" i="278"/>
  <c r="H605" i="278"/>
  <c r="I605" i="278"/>
  <c r="J605" i="278"/>
  <c r="K605" i="278"/>
  <c r="H606" i="278"/>
  <c r="J606" i="278"/>
  <c r="K606" i="278"/>
  <c r="E607" i="278"/>
  <c r="F607" i="278"/>
  <c r="G607" i="278"/>
  <c r="J613" i="278"/>
  <c r="K613" i="278"/>
  <c r="C198" i="20"/>
  <c r="D198" i="20"/>
  <c r="L613" i="278"/>
  <c r="C199" i="20"/>
  <c r="D199" i="20"/>
  <c r="C200" i="20"/>
  <c r="D200" i="20"/>
  <c r="H14" i="277"/>
  <c r="H15" i="277"/>
  <c r="H16" i="277"/>
  <c r="H17" i="277"/>
  <c r="H18" i="277"/>
  <c r="H19" i="277"/>
  <c r="E20" i="277"/>
  <c r="F20" i="277"/>
  <c r="G20" i="277"/>
  <c r="H27" i="277"/>
  <c r="H28" i="277"/>
  <c r="H29" i="277"/>
  <c r="E30" i="277"/>
  <c r="F30" i="277"/>
  <c r="G30" i="277"/>
  <c r="H37" i="277"/>
  <c r="H38" i="277"/>
  <c r="H39" i="277"/>
  <c r="H40" i="277"/>
  <c r="E41" i="277"/>
  <c r="F41" i="277"/>
  <c r="G41" i="277"/>
  <c r="H48" i="277"/>
  <c r="H49" i="277"/>
  <c r="H50" i="277"/>
  <c r="H51" i="277"/>
  <c r="H52" i="277"/>
  <c r="E53" i="277"/>
  <c r="F53" i="277"/>
  <c r="G53" i="277"/>
  <c r="H60" i="277"/>
  <c r="H61" i="277"/>
  <c r="H62" i="277"/>
  <c r="H63" i="277"/>
  <c r="H64" i="277"/>
  <c r="H65" i="277"/>
  <c r="H66" i="277"/>
  <c r="H67" i="277"/>
  <c r="H68" i="277"/>
  <c r="H69" i="277"/>
  <c r="H70" i="277"/>
  <c r="H71" i="277"/>
  <c r="E73" i="277"/>
  <c r="F73" i="277"/>
  <c r="G73" i="277"/>
  <c r="H79" i="277"/>
  <c r="H80" i="277"/>
  <c r="H81" i="277"/>
  <c r="H82" i="277"/>
  <c r="H83" i="277"/>
  <c r="H84" i="277"/>
  <c r="E85" i="277"/>
  <c r="F85" i="277"/>
  <c r="G85" i="277"/>
  <c r="H91" i="277"/>
  <c r="H92" i="277"/>
  <c r="H93" i="277"/>
  <c r="H94" i="277"/>
  <c r="H95" i="277"/>
  <c r="H96" i="277"/>
  <c r="E97" i="277"/>
  <c r="F97" i="277"/>
  <c r="G97" i="277"/>
  <c r="H97" i="277" s="1"/>
  <c r="H105" i="277"/>
  <c r="H106" i="277"/>
  <c r="H107" i="277"/>
  <c r="H108" i="277"/>
  <c r="H109" i="277"/>
  <c r="H110" i="277"/>
  <c r="H111" i="277"/>
  <c r="E113" i="277"/>
  <c r="F113" i="277"/>
  <c r="G113" i="277"/>
  <c r="H119" i="277"/>
  <c r="H120" i="277"/>
  <c r="H121" i="277"/>
  <c r="H122" i="277"/>
  <c r="H123" i="277"/>
  <c r="H124" i="277"/>
  <c r="E125" i="277"/>
  <c r="F125" i="277"/>
  <c r="G125" i="277"/>
  <c r="H131" i="277"/>
  <c r="H132" i="277"/>
  <c r="H133" i="277"/>
  <c r="H134" i="277"/>
  <c r="H135" i="277"/>
  <c r="H136" i="277"/>
  <c r="H137" i="277"/>
  <c r="H138" i="277"/>
  <c r="H139" i="277"/>
  <c r="E141" i="277"/>
  <c r="F141" i="277"/>
  <c r="G141" i="277"/>
  <c r="H147" i="277"/>
  <c r="H148" i="277"/>
  <c r="H149" i="277"/>
  <c r="H150" i="277"/>
  <c r="H151" i="277"/>
  <c r="H152" i="277"/>
  <c r="H153" i="277"/>
  <c r="H154" i="277"/>
  <c r="E156" i="277"/>
  <c r="F156" i="277"/>
  <c r="G156" i="277"/>
  <c r="H162" i="277"/>
  <c r="H163" i="277"/>
  <c r="H164" i="277"/>
  <c r="H165" i="277"/>
  <c r="H166" i="277"/>
  <c r="H167" i="277"/>
  <c r="E169" i="277"/>
  <c r="F169" i="277"/>
  <c r="G169" i="277"/>
  <c r="H175" i="277"/>
  <c r="H176" i="277"/>
  <c r="H177" i="277"/>
  <c r="H178" i="277"/>
  <c r="H179" i="277"/>
  <c r="E181" i="277"/>
  <c r="F181" i="277"/>
  <c r="G181" i="277"/>
  <c r="H187" i="277"/>
  <c r="H188" i="277"/>
  <c r="H189" i="277"/>
  <c r="H190" i="277"/>
  <c r="H191" i="277"/>
  <c r="H192" i="277"/>
  <c r="E194" i="277"/>
  <c r="F194" i="277"/>
  <c r="G194" i="277"/>
  <c r="H200" i="277"/>
  <c r="H202" i="277"/>
  <c r="H203" i="277"/>
  <c r="H204" i="277"/>
  <c r="H205" i="277"/>
  <c r="H206" i="277"/>
  <c r="E208" i="277"/>
  <c r="F208" i="277"/>
  <c r="G208" i="277"/>
  <c r="H214" i="277"/>
  <c r="H215" i="277"/>
  <c r="H216" i="277"/>
  <c r="H217" i="277"/>
  <c r="H218" i="277"/>
  <c r="H219" i="277"/>
  <c r="H220" i="277"/>
  <c r="E221" i="277"/>
  <c r="F221" i="277"/>
  <c r="G221" i="277"/>
  <c r="H227" i="277"/>
  <c r="H228" i="277"/>
  <c r="H229" i="277"/>
  <c r="H230" i="277"/>
  <c r="H231" i="277"/>
  <c r="H232" i="277"/>
  <c r="H233" i="277"/>
  <c r="H234" i="277"/>
  <c r="H235" i="277"/>
  <c r="H236" i="277"/>
  <c r="E238" i="277"/>
  <c r="F238" i="277"/>
  <c r="G238" i="277"/>
  <c r="H238" i="277" s="1"/>
  <c r="H244" i="277"/>
  <c r="H245" i="277"/>
  <c r="H246" i="277"/>
  <c r="H247" i="277"/>
  <c r="H248" i="277"/>
  <c r="H249" i="277"/>
  <c r="H250" i="277"/>
  <c r="E252" i="277"/>
  <c r="F252" i="277"/>
  <c r="G252" i="277"/>
  <c r="H259" i="277"/>
  <c r="H260" i="277"/>
  <c r="H261" i="277"/>
  <c r="H262" i="277"/>
  <c r="H263" i="277"/>
  <c r="E265" i="277"/>
  <c r="F265" i="277"/>
  <c r="G265" i="277"/>
  <c r="H271" i="277"/>
  <c r="H272" i="277"/>
  <c r="H273" i="277"/>
  <c r="E275" i="277"/>
  <c r="F275" i="277"/>
  <c r="G275" i="277"/>
  <c r="H293" i="277"/>
  <c r="H294" i="277"/>
  <c r="E295" i="277"/>
  <c r="F295" i="277"/>
  <c r="G295" i="277"/>
  <c r="H301" i="277"/>
  <c r="H302" i="277"/>
  <c r="H303" i="277"/>
  <c r="H304" i="277"/>
  <c r="H305" i="277"/>
  <c r="H306" i="277"/>
  <c r="H307" i="277"/>
  <c r="H308" i="277"/>
  <c r="H309" i="277"/>
  <c r="E310" i="277"/>
  <c r="F310" i="277"/>
  <c r="G310" i="277"/>
  <c r="H316" i="277"/>
  <c r="H317" i="277"/>
  <c r="H318" i="277"/>
  <c r="E320" i="277"/>
  <c r="F320" i="277"/>
  <c r="G320" i="277"/>
  <c r="H327" i="277"/>
  <c r="H328" i="277"/>
  <c r="H329" i="277"/>
  <c r="H330" i="277"/>
  <c r="E331" i="277"/>
  <c r="F331" i="277"/>
  <c r="G331" i="277"/>
  <c r="H338" i="277"/>
  <c r="H339" i="277"/>
  <c r="H340" i="277"/>
  <c r="E342" i="277"/>
  <c r="F342" i="277"/>
  <c r="G342" i="277"/>
  <c r="H348" i="277"/>
  <c r="H349" i="277"/>
  <c r="H350" i="277"/>
  <c r="E352" i="277"/>
  <c r="F352" i="277"/>
  <c r="G352" i="277"/>
  <c r="H352" i="277" s="1"/>
  <c r="H359" i="277"/>
  <c r="H360" i="277"/>
  <c r="H361" i="277"/>
  <c r="H362" i="277"/>
  <c r="H363" i="277"/>
  <c r="E364" i="277"/>
  <c r="F364" i="277"/>
  <c r="G364" i="277"/>
  <c r="H370" i="277"/>
  <c r="H371" i="277"/>
  <c r="H372" i="277"/>
  <c r="H373" i="277"/>
  <c r="E374" i="277"/>
  <c r="F374" i="277"/>
  <c r="G374" i="277"/>
  <c r="H380" i="277"/>
  <c r="H381" i="277"/>
  <c r="H382" i="277"/>
  <c r="H383" i="277"/>
  <c r="E384" i="277"/>
  <c r="F384" i="277"/>
  <c r="G384" i="277"/>
  <c r="H390" i="277"/>
  <c r="H391" i="277"/>
  <c r="H393" i="277"/>
  <c r="E394" i="277"/>
  <c r="F394" i="277"/>
  <c r="G394" i="277"/>
  <c r="H400" i="277"/>
  <c r="H401" i="277"/>
  <c r="H402" i="277"/>
  <c r="H403" i="277"/>
  <c r="E404" i="277"/>
  <c r="F404" i="277"/>
  <c r="G404" i="277"/>
  <c r="H410" i="277"/>
  <c r="H411" i="277"/>
  <c r="H412" i="277"/>
  <c r="E414" i="277"/>
  <c r="F414" i="277"/>
  <c r="G414" i="277"/>
  <c r="H420" i="277"/>
  <c r="H421" i="277"/>
  <c r="H422" i="277"/>
  <c r="H423" i="277"/>
  <c r="H424" i="277"/>
  <c r="H425" i="277"/>
  <c r="H426" i="277"/>
  <c r="E428" i="277"/>
  <c r="F428" i="277"/>
  <c r="G428" i="277"/>
  <c r="H434" i="277"/>
  <c r="H435" i="277"/>
  <c r="H436" i="277"/>
  <c r="H437" i="277"/>
  <c r="H439" i="277"/>
  <c r="H440" i="277"/>
  <c r="H441" i="277"/>
  <c r="H442" i="277"/>
  <c r="H443" i="277"/>
  <c r="E444" i="277"/>
  <c r="F444" i="277"/>
  <c r="H450" i="277"/>
  <c r="H451" i="277"/>
  <c r="H452" i="277"/>
  <c r="H453" i="277"/>
  <c r="H454" i="277"/>
  <c r="H455" i="277"/>
  <c r="E456" i="277"/>
  <c r="F456" i="277"/>
  <c r="G456" i="277"/>
  <c r="H462" i="277"/>
  <c r="H463" i="277"/>
  <c r="H465" i="277"/>
  <c r="H466" i="277"/>
  <c r="H467" i="277"/>
  <c r="H468" i="277"/>
  <c r="H469" i="277"/>
  <c r="H470" i="277"/>
  <c r="E471" i="277"/>
  <c r="F471" i="277"/>
  <c r="G471" i="277"/>
  <c r="H477" i="277"/>
  <c r="H478" i="277"/>
  <c r="H481" i="277"/>
  <c r="H482" i="277"/>
  <c r="H483" i="277"/>
  <c r="H484" i="277"/>
  <c r="H485" i="277"/>
  <c r="E487" i="277"/>
  <c r="F487" i="277"/>
  <c r="G487" i="277"/>
  <c r="H493" i="277"/>
  <c r="H494" i="277"/>
  <c r="H495" i="277"/>
  <c r="E497" i="277"/>
  <c r="F497" i="277"/>
  <c r="G497" i="277"/>
  <c r="H503" i="277"/>
  <c r="H504" i="277"/>
  <c r="H505" i="277"/>
  <c r="H506" i="277"/>
  <c r="H507" i="277"/>
  <c r="E508" i="277"/>
  <c r="F508" i="277"/>
  <c r="G508" i="277"/>
  <c r="H514" i="277"/>
  <c r="H515" i="277"/>
  <c r="H516" i="277"/>
  <c r="E518" i="277"/>
  <c r="F518" i="277"/>
  <c r="G518" i="277"/>
  <c r="H524" i="277"/>
  <c r="H525" i="277"/>
  <c r="H526" i="277"/>
  <c r="E528" i="277"/>
  <c r="F528" i="277"/>
  <c r="G528" i="277"/>
  <c r="H534" i="277"/>
  <c r="H535" i="277"/>
  <c r="H536" i="277"/>
  <c r="H537" i="277"/>
  <c r="H539" i="277"/>
  <c r="H540" i="277"/>
  <c r="H541" i="277"/>
  <c r="E542" i="277"/>
  <c r="F542" i="277"/>
  <c r="G542" i="277"/>
  <c r="H548" i="277"/>
  <c r="H549" i="277"/>
  <c r="H551" i="277"/>
  <c r="H552" i="277"/>
  <c r="H553" i="277"/>
  <c r="H554" i="277"/>
  <c r="H555" i="277"/>
  <c r="E556" i="277"/>
  <c r="F556" i="277"/>
  <c r="G556" i="277"/>
  <c r="H562" i="277"/>
  <c r="H563" i="277"/>
  <c r="H564" i="277"/>
  <c r="H565" i="277"/>
  <c r="H566" i="277"/>
  <c r="E567" i="277"/>
  <c r="F567" i="277"/>
  <c r="G567" i="277"/>
  <c r="E1037" i="277"/>
  <c r="F1037" i="277"/>
  <c r="G1037" i="277"/>
  <c r="J1041" i="277"/>
  <c r="K1041" i="277"/>
  <c r="L1041" i="277"/>
  <c r="C190" i="20"/>
  <c r="D190" i="20"/>
  <c r="C191" i="20"/>
  <c r="D191" i="20"/>
  <c r="E191" i="20"/>
  <c r="H13" i="276"/>
  <c r="H14" i="276"/>
  <c r="E16" i="276"/>
  <c r="F16" i="276"/>
  <c r="G16" i="276"/>
  <c r="H22" i="276"/>
  <c r="H24" i="276"/>
  <c r="H25" i="276"/>
  <c r="E26" i="276"/>
  <c r="F26" i="276"/>
  <c r="G26" i="276"/>
  <c r="H32" i="276"/>
  <c r="H34" i="276"/>
  <c r="E36" i="276"/>
  <c r="F36" i="276"/>
  <c r="G36" i="276"/>
  <c r="H145" i="276"/>
  <c r="H146" i="276"/>
  <c r="H147" i="276"/>
  <c r="H148" i="276"/>
  <c r="H149" i="276"/>
  <c r="E150" i="276"/>
  <c r="F150" i="276"/>
  <c r="G150" i="276"/>
  <c r="H157" i="276"/>
  <c r="H160" i="276"/>
  <c r="E169" i="276"/>
  <c r="F169" i="276"/>
  <c r="G169" i="276"/>
  <c r="H175" i="276"/>
  <c r="E176" i="276"/>
  <c r="F176" i="276"/>
  <c r="G176" i="276"/>
  <c r="H182" i="276"/>
  <c r="E183" i="276"/>
  <c r="F183" i="276"/>
  <c r="G183" i="276"/>
  <c r="H189" i="276"/>
  <c r="H190" i="276"/>
  <c r="H191" i="276"/>
  <c r="H192" i="276"/>
  <c r="H193" i="276"/>
  <c r="E194" i="276"/>
  <c r="F194" i="276"/>
  <c r="G194" i="276"/>
  <c r="E209" i="276"/>
  <c r="F209" i="276"/>
  <c r="G209" i="276"/>
  <c r="K218" i="276"/>
  <c r="L218" i="276"/>
  <c r="E184" i="20"/>
  <c r="M218" i="276"/>
  <c r="C185" i="20"/>
  <c r="D185" i="20"/>
  <c r="C186" i="20"/>
  <c r="D186" i="20"/>
  <c r="E186" i="20"/>
  <c r="H11" i="275"/>
  <c r="E15" i="275"/>
  <c r="F15" i="275"/>
  <c r="G15" i="275"/>
  <c r="J43" i="275"/>
  <c r="K43" i="275"/>
  <c r="E44" i="275"/>
  <c r="E43" i="275" s="1"/>
  <c r="E48" i="275" s="1"/>
  <c r="F44" i="275"/>
  <c r="F43" i="275" s="1"/>
  <c r="F48" i="275" s="1"/>
  <c r="G44" i="275"/>
  <c r="E46" i="275"/>
  <c r="F46" i="275"/>
  <c r="E169" i="20"/>
  <c r="L43" i="275"/>
  <c r="H16" i="274"/>
  <c r="H19" i="274"/>
  <c r="E22" i="274"/>
  <c r="F22" i="274"/>
  <c r="G22" i="274"/>
  <c r="H31" i="274"/>
  <c r="H33" i="274"/>
  <c r="H34" i="274"/>
  <c r="E37" i="274"/>
  <c r="F37" i="274"/>
  <c r="G37" i="274"/>
  <c r="H37" i="274" s="1"/>
  <c r="J44" i="274"/>
  <c r="K44" i="274"/>
  <c r="E45" i="274"/>
  <c r="E44" i="274" s="1"/>
  <c r="E49" i="274" s="1"/>
  <c r="F45" i="274"/>
  <c r="G45" i="274"/>
  <c r="L44" i="274"/>
  <c r="E47" i="274"/>
  <c r="C165" i="20" s="1"/>
  <c r="F47" i="274"/>
  <c r="D165" i="20" s="1"/>
  <c r="G47" i="274"/>
  <c r="E165" i="20" s="1"/>
  <c r="E283" i="289" l="1"/>
  <c r="E288" i="289" s="1"/>
  <c r="R206" i="20"/>
  <c r="K239" i="20"/>
  <c r="M238" i="20"/>
  <c r="S213" i="20"/>
  <c r="L237" i="20"/>
  <c r="K238" i="20"/>
  <c r="L238" i="20"/>
  <c r="T213" i="20"/>
  <c r="S212" i="20"/>
  <c r="M239" i="20"/>
  <c r="K237" i="20"/>
  <c r="L239" i="20"/>
  <c r="H145" i="278"/>
  <c r="H17" i="292"/>
  <c r="H153" i="291"/>
  <c r="H227" i="289"/>
  <c r="H172" i="289"/>
  <c r="H90" i="281"/>
  <c r="H39" i="281"/>
  <c r="C208" i="20"/>
  <c r="G52" i="280"/>
  <c r="G57" i="280" s="1"/>
  <c r="H57" i="280" s="1"/>
  <c r="D208" i="20"/>
  <c r="H82" i="278"/>
  <c r="H476" i="278"/>
  <c r="H322" i="278"/>
  <c r="H488" i="278"/>
  <c r="H429" i="278"/>
  <c r="H46" i="278"/>
  <c r="H550" i="278"/>
  <c r="H365" i="278"/>
  <c r="H295" i="278"/>
  <c r="H239" i="278"/>
  <c r="H542" i="278"/>
  <c r="H397" i="278"/>
  <c r="I198" i="20"/>
  <c r="H311" i="278"/>
  <c r="H32" i="278"/>
  <c r="H276" i="278"/>
  <c r="H210" i="278"/>
  <c r="H502" i="278"/>
  <c r="H461" i="278"/>
  <c r="H381" i="278"/>
  <c r="H286" i="278"/>
  <c r="H39" i="278"/>
  <c r="H569" i="278"/>
  <c r="H558" i="278"/>
  <c r="H340" i="278"/>
  <c r="H254" i="278"/>
  <c r="H24" i="278"/>
  <c r="H186" i="278"/>
  <c r="H175" i="278"/>
  <c r="H155" i="278"/>
  <c r="K607" i="278"/>
  <c r="H116" i="278"/>
  <c r="H181" i="277"/>
  <c r="H141" i="277"/>
  <c r="H125" i="277"/>
  <c r="H20" i="277"/>
  <c r="H487" i="277"/>
  <c r="H252" i="277"/>
  <c r="H208" i="277"/>
  <c r="H113" i="277"/>
  <c r="H73" i="277"/>
  <c r="H528" i="277"/>
  <c r="H456" i="277"/>
  <c r="H428" i="277"/>
  <c r="H265" i="277"/>
  <c r="H169" i="277"/>
  <c r="H85" i="277"/>
  <c r="H53" i="277"/>
  <c r="I189" i="20"/>
  <c r="H556" i="277"/>
  <c r="H518" i="277"/>
  <c r="H320" i="277"/>
  <c r="H156" i="277"/>
  <c r="H275" i="277"/>
  <c r="H471" i="277"/>
  <c r="H310" i="277"/>
  <c r="H295" i="277"/>
  <c r="H221" i="277"/>
  <c r="H194" i="277"/>
  <c r="H542" i="277"/>
  <c r="H508" i="277"/>
  <c r="H404" i="277"/>
  <c r="H1042" i="277"/>
  <c r="H384" i="277"/>
  <c r="H374" i="277"/>
  <c r="H567" i="277"/>
  <c r="H444" i="277"/>
  <c r="H183" i="276"/>
  <c r="H150" i="276"/>
  <c r="H36" i="276"/>
  <c r="H176" i="276"/>
  <c r="H194" i="276"/>
  <c r="I184" i="20"/>
  <c r="G43" i="275"/>
  <c r="G48" i="275" s="1"/>
  <c r="H22" i="274"/>
  <c r="E41" i="292"/>
  <c r="E46" i="292" s="1"/>
  <c r="H43" i="292"/>
  <c r="C253" i="20"/>
  <c r="E254" i="20"/>
  <c r="T212" i="20" s="1"/>
  <c r="G41" i="292"/>
  <c r="G46" i="292" s="1"/>
  <c r="F41" i="292"/>
  <c r="F46" i="292" s="1"/>
  <c r="E253" i="20"/>
  <c r="E25" i="290"/>
  <c r="E30" i="290" s="1"/>
  <c r="C246" i="20"/>
  <c r="R294" i="20" s="1"/>
  <c r="G25" i="290"/>
  <c r="H26" i="290"/>
  <c r="F25" i="290"/>
  <c r="F30" i="290" s="1"/>
  <c r="E244" i="20"/>
  <c r="H108" i="289"/>
  <c r="C239" i="20"/>
  <c r="G283" i="289"/>
  <c r="H284" i="289"/>
  <c r="H55" i="289"/>
  <c r="E239" i="20"/>
  <c r="F283" i="289"/>
  <c r="F288" i="289" s="1"/>
  <c r="H54" i="288"/>
  <c r="D289" i="20"/>
  <c r="H48" i="288"/>
  <c r="G66" i="287"/>
  <c r="E284" i="20"/>
  <c r="C284" i="20"/>
  <c r="D284" i="20"/>
  <c r="G35" i="286"/>
  <c r="E279" i="20"/>
  <c r="C230" i="20"/>
  <c r="R212" i="20" s="1"/>
  <c r="F39" i="284"/>
  <c r="F44" i="284" s="1"/>
  <c r="D229" i="20"/>
  <c r="G39" i="284"/>
  <c r="G44" i="284" s="1"/>
  <c r="H44" i="284" s="1"/>
  <c r="E229" i="20"/>
  <c r="G66" i="283"/>
  <c r="E223" i="20"/>
  <c r="F66" i="283"/>
  <c r="F71" i="283" s="1"/>
  <c r="D223" i="20"/>
  <c r="E66" i="283"/>
  <c r="E71" i="283" s="1"/>
  <c r="G59" i="282"/>
  <c r="F59" i="282"/>
  <c r="F64" i="282" s="1"/>
  <c r="E218" i="20"/>
  <c r="E59" i="282"/>
  <c r="E64" i="282" s="1"/>
  <c r="C218" i="20"/>
  <c r="D218" i="20"/>
  <c r="G120" i="281"/>
  <c r="F120" i="281"/>
  <c r="F125" i="281" s="1"/>
  <c r="E120" i="281"/>
  <c r="E125" i="281" s="1"/>
  <c r="E213" i="20"/>
  <c r="C213" i="20"/>
  <c r="D213" i="20"/>
  <c r="H33" i="280"/>
  <c r="E208" i="20"/>
  <c r="F208" i="20" s="1"/>
  <c r="G143" i="279"/>
  <c r="H143" i="279" s="1"/>
  <c r="H133" i="279"/>
  <c r="H124" i="279"/>
  <c r="C203" i="20"/>
  <c r="D203" i="20"/>
  <c r="H67" i="279"/>
  <c r="E203" i="20"/>
  <c r="H577" i="278"/>
  <c r="H445" i="278"/>
  <c r="H615" i="278"/>
  <c r="J607" i="278"/>
  <c r="G613" i="278"/>
  <c r="E199" i="20"/>
  <c r="T206" i="20" s="1"/>
  <c r="H133" i="278"/>
  <c r="H101" i="278"/>
  <c r="F613" i="278"/>
  <c r="F618" i="278" s="1"/>
  <c r="E613" i="278"/>
  <c r="E618" i="278" s="1"/>
  <c r="E198" i="20"/>
  <c r="H497" i="277"/>
  <c r="H414" i="277"/>
  <c r="H394" i="277"/>
  <c r="H1043" i="277"/>
  <c r="F1041" i="277"/>
  <c r="F1046" i="277" s="1"/>
  <c r="E1041" i="277"/>
  <c r="E1046" i="277" s="1"/>
  <c r="E189" i="20"/>
  <c r="D189" i="20"/>
  <c r="C189" i="20"/>
  <c r="H162" i="276"/>
  <c r="H220" i="276"/>
  <c r="G218" i="276"/>
  <c r="G223" i="276" s="1"/>
  <c r="H26" i="276"/>
  <c r="F218" i="276"/>
  <c r="F223" i="276" s="1"/>
  <c r="E218" i="276"/>
  <c r="E223" i="276" s="1"/>
  <c r="E185" i="20"/>
  <c r="C184" i="20"/>
  <c r="D184" i="20"/>
  <c r="E167" i="20"/>
  <c r="G44" i="274"/>
  <c r="G49" i="274" s="1"/>
  <c r="E163" i="20"/>
  <c r="F44" i="274"/>
  <c r="F49" i="274" s="1"/>
  <c r="C163" i="20"/>
  <c r="D163" i="20"/>
  <c r="G152" i="291"/>
  <c r="H77" i="291"/>
  <c r="E249" i="20"/>
  <c r="F152" i="291"/>
  <c r="F157" i="291" s="1"/>
  <c r="D249" i="20"/>
  <c r="I249" i="20"/>
  <c r="E152" i="291"/>
  <c r="E157" i="291" s="1"/>
  <c r="S206" i="20"/>
  <c r="S207" i="20"/>
  <c r="R207" i="20"/>
  <c r="G1041" i="277"/>
  <c r="E190" i="20"/>
  <c r="T207" i="20"/>
  <c r="S294" i="20"/>
  <c r="G59" i="288"/>
  <c r="H59" i="288" s="1"/>
  <c r="G64" i="282"/>
  <c r="H64" i="282" s="1"/>
  <c r="H59" i="282"/>
  <c r="H66" i="283"/>
  <c r="G71" i="283"/>
  <c r="H71" i="283" s="1"/>
  <c r="H39" i="284"/>
  <c r="G71" i="287"/>
  <c r="H71" i="287" s="1"/>
  <c r="H66" i="287"/>
  <c r="H52" i="280"/>
  <c r="H35" i="286"/>
  <c r="G40" i="286"/>
  <c r="H40" i="286" s="1"/>
  <c r="H45" i="274"/>
  <c r="H607" i="278"/>
  <c r="H121" i="281"/>
  <c r="H36" i="286"/>
  <c r="H219" i="276"/>
  <c r="H144" i="279"/>
  <c r="H53" i="280"/>
  <c r="H40" i="284"/>
  <c r="H67" i="287"/>
  <c r="H60" i="282"/>
  <c r="H55" i="288"/>
  <c r="H42" i="292"/>
  <c r="H614" i="278"/>
  <c r="F254" i="20" l="1"/>
  <c r="S244" i="20"/>
  <c r="R244" i="20"/>
  <c r="R211" i="20"/>
  <c r="R205" i="20"/>
  <c r="S211" i="20"/>
  <c r="R213" i="20"/>
  <c r="T244" i="20"/>
  <c r="T211" i="20"/>
  <c r="M237" i="20"/>
  <c r="H120" i="281"/>
  <c r="G125" i="281"/>
  <c r="H125" i="281" s="1"/>
  <c r="G148" i="279"/>
  <c r="H148" i="279" s="1"/>
  <c r="T205" i="20"/>
  <c r="H223" i="276"/>
  <c r="T188" i="20"/>
  <c r="H49" i="274"/>
  <c r="H44" i="274"/>
  <c r="H41" i="292"/>
  <c r="H46" i="292"/>
  <c r="G157" i="291"/>
  <c r="H157" i="291" s="1"/>
  <c r="H152" i="291"/>
  <c r="G30" i="290"/>
  <c r="H30" i="290" s="1"/>
  <c r="H25" i="290"/>
  <c r="G288" i="289"/>
  <c r="H288" i="289" s="1"/>
  <c r="H283" i="289"/>
  <c r="S205" i="20"/>
  <c r="H613" i="278"/>
  <c r="G618" i="278"/>
  <c r="H618" i="278" s="1"/>
  <c r="H1041" i="277"/>
  <c r="G1046" i="277"/>
  <c r="H1046" i="277" s="1"/>
  <c r="S188" i="20"/>
  <c r="H218" i="276"/>
  <c r="F249" i="20"/>
  <c r="G159" i="20"/>
  <c r="D157" i="20"/>
  <c r="E157" i="20"/>
  <c r="D158" i="20"/>
  <c r="E158" i="20"/>
  <c r="C157" i="20"/>
  <c r="C158" i="20"/>
  <c r="D151" i="20"/>
  <c r="E151" i="20"/>
  <c r="D152" i="20"/>
  <c r="E152" i="20"/>
  <c r="D153" i="20"/>
  <c r="E153" i="20"/>
  <c r="C151" i="20"/>
  <c r="C152" i="20"/>
  <c r="C153" i="20"/>
  <c r="I146" i="20"/>
  <c r="G146" i="20"/>
  <c r="H138" i="20"/>
  <c r="I138" i="20"/>
  <c r="H139" i="20"/>
  <c r="I139" i="20"/>
  <c r="G138" i="20"/>
  <c r="G139" i="20"/>
  <c r="D138" i="20"/>
  <c r="E138" i="20"/>
  <c r="D139" i="20"/>
  <c r="E139" i="20"/>
  <c r="C138" i="20"/>
  <c r="C139" i="20"/>
  <c r="H133" i="20"/>
  <c r="I133" i="20"/>
  <c r="G133" i="20"/>
  <c r="D129" i="20"/>
  <c r="E129" i="20"/>
  <c r="H124" i="20"/>
  <c r="I124" i="20"/>
  <c r="H125" i="20"/>
  <c r="I125" i="20"/>
  <c r="H126" i="20"/>
  <c r="I126" i="20"/>
  <c r="G124" i="20"/>
  <c r="G125" i="20"/>
  <c r="G126" i="20"/>
  <c r="D124" i="20"/>
  <c r="E124" i="20"/>
  <c r="D126" i="20"/>
  <c r="E126" i="20"/>
  <c r="C124" i="20"/>
  <c r="C126" i="20"/>
  <c r="H112" i="20"/>
  <c r="I112" i="20"/>
  <c r="H113" i="20"/>
  <c r="I113" i="20"/>
  <c r="H114" i="20"/>
  <c r="I114" i="20"/>
  <c r="H115" i="20"/>
  <c r="I115" i="20"/>
  <c r="G113" i="20"/>
  <c r="G114" i="20"/>
  <c r="G115" i="20"/>
  <c r="G112" i="20"/>
  <c r="D113" i="20"/>
  <c r="E113" i="20"/>
  <c r="D114" i="20"/>
  <c r="E114" i="20"/>
  <c r="D115" i="20"/>
  <c r="E115" i="20"/>
  <c r="C113" i="20"/>
  <c r="C114" i="20"/>
  <c r="C115" i="20"/>
  <c r="H109" i="20"/>
  <c r="G109" i="20"/>
  <c r="D105" i="20"/>
  <c r="E105" i="20"/>
  <c r="C107" i="20"/>
  <c r="C108" i="20"/>
  <c r="D102" i="20"/>
  <c r="E102" i="20"/>
  <c r="D103" i="20"/>
  <c r="E103" i="20"/>
  <c r="C102" i="20"/>
  <c r="C103" i="20"/>
  <c r="T275" i="20" l="1"/>
  <c r="S275" i="20"/>
  <c r="K158" i="20"/>
  <c r="H93" i="20"/>
  <c r="I93" i="20"/>
  <c r="H94" i="20"/>
  <c r="I94" i="20"/>
  <c r="H95" i="20"/>
  <c r="I95" i="20"/>
  <c r="H96" i="20"/>
  <c r="I96" i="20"/>
  <c r="G94" i="20"/>
  <c r="G95" i="20"/>
  <c r="G96" i="20"/>
  <c r="G93" i="20"/>
  <c r="C96" i="20"/>
  <c r="H88" i="20"/>
  <c r="I88" i="20"/>
  <c r="H90" i="20"/>
  <c r="I90" i="20"/>
  <c r="H91" i="20"/>
  <c r="I91" i="20"/>
  <c r="G88" i="20"/>
  <c r="G89" i="20"/>
  <c r="G90" i="20"/>
  <c r="G91" i="20"/>
  <c r="G87" i="20"/>
  <c r="D88" i="20"/>
  <c r="E88" i="20"/>
  <c r="D90" i="20"/>
  <c r="E90" i="20"/>
  <c r="D91" i="20"/>
  <c r="E91" i="20"/>
  <c r="C88" i="20"/>
  <c r="C89" i="20"/>
  <c r="C90" i="20"/>
  <c r="C91" i="20"/>
  <c r="D80" i="20"/>
  <c r="E80" i="20"/>
  <c r="D81" i="20"/>
  <c r="E81" i="20"/>
  <c r="D83" i="20"/>
  <c r="E83" i="20"/>
  <c r="C81" i="20"/>
  <c r="C82" i="20"/>
  <c r="C83" i="20"/>
  <c r="H75" i="20"/>
  <c r="I75" i="20"/>
  <c r="H76" i="20"/>
  <c r="I76" i="20"/>
  <c r="H78" i="20"/>
  <c r="I78" i="20"/>
  <c r="G76" i="20"/>
  <c r="G78" i="20"/>
  <c r="G75" i="20"/>
  <c r="D75" i="20"/>
  <c r="E75" i="20"/>
  <c r="D76" i="20"/>
  <c r="E76" i="20"/>
  <c r="D78" i="20"/>
  <c r="E78" i="20"/>
  <c r="C76" i="20"/>
  <c r="C77" i="20"/>
  <c r="C78" i="20"/>
  <c r="H73" i="20"/>
  <c r="I73" i="20"/>
  <c r="G73" i="20"/>
  <c r="D73" i="20"/>
  <c r="E73" i="20"/>
  <c r="C71" i="20"/>
  <c r="C72" i="20"/>
  <c r="C73" i="20"/>
  <c r="H65" i="20"/>
  <c r="I65" i="20"/>
  <c r="H66" i="20"/>
  <c r="I66" i="20"/>
  <c r="H67" i="20"/>
  <c r="I67" i="20"/>
  <c r="H68" i="20"/>
  <c r="I68" i="20"/>
  <c r="G65" i="20"/>
  <c r="G66" i="20"/>
  <c r="G67" i="20"/>
  <c r="G68" i="20"/>
  <c r="E65" i="20"/>
  <c r="E66" i="20"/>
  <c r="E67" i="20"/>
  <c r="E68" i="20"/>
  <c r="D65" i="20"/>
  <c r="D66" i="20"/>
  <c r="D67" i="20"/>
  <c r="D68" i="20"/>
  <c r="C65" i="20"/>
  <c r="C66" i="20"/>
  <c r="C67" i="20"/>
  <c r="C68" i="20"/>
  <c r="R108" i="20" l="1"/>
  <c r="G86" i="20"/>
  <c r="H54" i="20"/>
  <c r="I54" i="20"/>
  <c r="H55" i="20"/>
  <c r="I55" i="20"/>
  <c r="H56" i="20"/>
  <c r="I56" i="20"/>
  <c r="G54" i="20"/>
  <c r="G55" i="20"/>
  <c r="G56" i="20"/>
  <c r="E54" i="20"/>
  <c r="E56" i="20"/>
  <c r="D54" i="20"/>
  <c r="D56" i="20"/>
  <c r="C54" i="20"/>
  <c r="C55" i="20"/>
  <c r="C56" i="20"/>
  <c r="G50" i="20"/>
  <c r="H43" i="20"/>
  <c r="I43" i="20"/>
  <c r="G43" i="20"/>
  <c r="I33" i="20"/>
  <c r="I34" i="20"/>
  <c r="I35" i="20"/>
  <c r="H33" i="20"/>
  <c r="H34" i="20"/>
  <c r="H35" i="20"/>
  <c r="G33" i="20"/>
  <c r="G34" i="20"/>
  <c r="G35" i="20"/>
  <c r="H32" i="20"/>
  <c r="I32" i="20"/>
  <c r="G32" i="20"/>
  <c r="E34" i="20"/>
  <c r="E35" i="20"/>
  <c r="D35" i="20"/>
  <c r="C34" i="20"/>
  <c r="C35" i="20"/>
  <c r="H27" i="20"/>
  <c r="I27" i="20"/>
  <c r="G27" i="20"/>
  <c r="E28" i="20"/>
  <c r="E29" i="20"/>
  <c r="E30" i="20"/>
  <c r="D28" i="20"/>
  <c r="D29" i="20"/>
  <c r="D30" i="20"/>
  <c r="C28" i="20"/>
  <c r="C29" i="20"/>
  <c r="C30" i="20"/>
  <c r="I23" i="20"/>
  <c r="I24" i="20"/>
  <c r="I25" i="20"/>
  <c r="H23" i="20"/>
  <c r="H24" i="20"/>
  <c r="H25" i="20"/>
  <c r="H22" i="20"/>
  <c r="I22" i="20"/>
  <c r="G23" i="20"/>
  <c r="G24" i="20"/>
  <c r="G25" i="20"/>
  <c r="G22" i="20"/>
  <c r="E24" i="20"/>
  <c r="E25" i="20"/>
  <c r="D24" i="20"/>
  <c r="D25" i="20"/>
  <c r="C24" i="20"/>
  <c r="C25" i="20"/>
  <c r="H20" i="20"/>
  <c r="I20" i="20"/>
  <c r="G20" i="20"/>
  <c r="E18" i="20"/>
  <c r="D18" i="20"/>
  <c r="C17" i="20"/>
  <c r="C18" i="20"/>
  <c r="I9" i="20"/>
  <c r="I10" i="20"/>
  <c r="I11" i="20"/>
  <c r="I12" i="20"/>
  <c r="H9" i="20"/>
  <c r="H10" i="20"/>
  <c r="H11" i="20"/>
  <c r="H12" i="20"/>
  <c r="G9" i="20"/>
  <c r="G10" i="20"/>
  <c r="G11" i="20"/>
  <c r="G12" i="20"/>
  <c r="H8" i="20"/>
  <c r="I8" i="20"/>
  <c r="G8" i="20"/>
  <c r="E10" i="20"/>
  <c r="E11" i="20"/>
  <c r="D10" i="20"/>
  <c r="D11" i="20"/>
  <c r="C10" i="20"/>
  <c r="C11" i="20"/>
  <c r="F25" i="20" l="1"/>
  <c r="I31" i="20"/>
  <c r="G31" i="20"/>
  <c r="H31" i="20"/>
  <c r="H50" i="20" l="1"/>
  <c r="K215" i="9"/>
  <c r="K223" i="9" s="1"/>
  <c r="L215" i="9"/>
  <c r="J215" i="9"/>
  <c r="J223" i="9" s="1"/>
  <c r="L289" i="54"/>
  <c r="L298" i="54" s="1"/>
  <c r="F139" i="247"/>
  <c r="G139" i="247"/>
  <c r="E139" i="247"/>
  <c r="H129" i="247"/>
  <c r="G128" i="247"/>
  <c r="G130" i="247" s="1"/>
  <c r="F128" i="247"/>
  <c r="F130" i="247" s="1"/>
  <c r="E128" i="247"/>
  <c r="E130" i="247" s="1"/>
  <c r="H109" i="247"/>
  <c r="G110" i="247"/>
  <c r="F110" i="247"/>
  <c r="E108" i="247"/>
  <c r="E110" i="247" s="1"/>
  <c r="H88" i="247"/>
  <c r="G87" i="247"/>
  <c r="G89" i="247" s="1"/>
  <c r="G173" i="247" s="1"/>
  <c r="F87" i="247"/>
  <c r="F89" i="247" s="1"/>
  <c r="F173" i="247" s="1"/>
  <c r="E87" i="247"/>
  <c r="E89" i="247" s="1"/>
  <c r="E91" i="247" s="1"/>
  <c r="H124" i="247"/>
  <c r="H123" i="247"/>
  <c r="H122" i="247"/>
  <c r="H121" i="247"/>
  <c r="H120" i="247"/>
  <c r="F107" i="247"/>
  <c r="G107" i="247"/>
  <c r="E107" i="247"/>
  <c r="H105" i="247"/>
  <c r="H99" i="247"/>
  <c r="H106" i="247"/>
  <c r="H104" i="247"/>
  <c r="H103" i="247"/>
  <c r="H102" i="247"/>
  <c r="H101" i="247"/>
  <c r="H100" i="247"/>
  <c r="E112" i="247" l="1"/>
  <c r="E172" i="247"/>
  <c r="G112" i="247"/>
  <c r="F112" i="247"/>
  <c r="H112" i="247" s="1"/>
  <c r="H130" i="247"/>
  <c r="H128" i="247"/>
  <c r="H108" i="247"/>
  <c r="H110" i="247"/>
  <c r="H89" i="247"/>
  <c r="H87" i="247"/>
  <c r="H119" i="247"/>
  <c r="H107" i="247"/>
  <c r="H98" i="247"/>
  <c r="H84" i="247"/>
  <c r="H82" i="247"/>
  <c r="H78" i="247"/>
  <c r="H79" i="247"/>
  <c r="H80" i="247"/>
  <c r="H132" i="247" l="1"/>
  <c r="H127" i="247"/>
  <c r="H85" i="247"/>
  <c r="H83" i="247"/>
  <c r="H81" i="247"/>
  <c r="H77" i="247"/>
  <c r="F86" i="247"/>
  <c r="F91" i="247" s="1"/>
  <c r="H66" i="247"/>
  <c r="G67" i="247"/>
  <c r="F67" i="247"/>
  <c r="H62" i="247"/>
  <c r="H61" i="247"/>
  <c r="H60" i="247"/>
  <c r="H59" i="247"/>
  <c r="F64" i="247"/>
  <c r="F47" i="247"/>
  <c r="G47" i="247"/>
  <c r="E47" i="247"/>
  <c r="H48" i="247"/>
  <c r="E156" i="20" l="1"/>
  <c r="E173" i="247"/>
  <c r="C156" i="20" s="1"/>
  <c r="H76" i="247"/>
  <c r="G86" i="247"/>
  <c r="G91" i="247" s="1"/>
  <c r="H47" i="247"/>
  <c r="H58" i="247"/>
  <c r="E69" i="247"/>
  <c r="H67" i="247"/>
  <c r="F69" i="247"/>
  <c r="G64" i="247"/>
  <c r="G69" i="247" s="1"/>
  <c r="H65" i="247"/>
  <c r="H49" i="247"/>
  <c r="K177" i="247"/>
  <c r="H159" i="20" s="1"/>
  <c r="L177" i="247"/>
  <c r="I159" i="20" s="1"/>
  <c r="M158" i="20" s="1"/>
  <c r="J177" i="247"/>
  <c r="H150" i="247"/>
  <c r="G152" i="247"/>
  <c r="G154" i="247" s="1"/>
  <c r="F152" i="247"/>
  <c r="F154" i="247" s="1"/>
  <c r="F177" i="247" s="1"/>
  <c r="D159" i="20" s="1"/>
  <c r="E152" i="247"/>
  <c r="E154" i="247" s="1"/>
  <c r="E177" i="247" s="1"/>
  <c r="C159" i="20" s="1"/>
  <c r="H44" i="247"/>
  <c r="H43" i="247"/>
  <c r="H42" i="247"/>
  <c r="H41" i="247"/>
  <c r="H40" i="247"/>
  <c r="H39" i="247"/>
  <c r="H10" i="247"/>
  <c r="H21" i="247"/>
  <c r="H19" i="247"/>
  <c r="H14" i="247"/>
  <c r="J199" i="246"/>
  <c r="J207" i="246" s="1"/>
  <c r="K199" i="246"/>
  <c r="L199" i="246"/>
  <c r="L207" i="246" s="1"/>
  <c r="H146" i="20"/>
  <c r="E65" i="246"/>
  <c r="E72" i="246"/>
  <c r="H174" i="246"/>
  <c r="H175" i="246"/>
  <c r="H176" i="246"/>
  <c r="H182" i="246"/>
  <c r="H181" i="246"/>
  <c r="H180" i="246"/>
  <c r="H179" i="246"/>
  <c r="H173" i="246"/>
  <c r="H166" i="246"/>
  <c r="H165" i="246"/>
  <c r="H164" i="246"/>
  <c r="H163" i="246"/>
  <c r="H162" i="246"/>
  <c r="H149" i="246"/>
  <c r="H150" i="246"/>
  <c r="H152" i="246"/>
  <c r="H155" i="246"/>
  <c r="H154" i="246"/>
  <c r="H153" i="246"/>
  <c r="H148" i="246"/>
  <c r="H147" i="246"/>
  <c r="H140" i="246"/>
  <c r="H139" i="246"/>
  <c r="H138" i="246"/>
  <c r="H137" i="246"/>
  <c r="H136" i="246"/>
  <c r="H135" i="246"/>
  <c r="H121" i="246"/>
  <c r="H123" i="246"/>
  <c r="H124" i="246"/>
  <c r="H128" i="246"/>
  <c r="H125" i="246"/>
  <c r="H120" i="246"/>
  <c r="E98" i="246"/>
  <c r="F98" i="246"/>
  <c r="G98" i="246"/>
  <c r="G96" i="246"/>
  <c r="F96" i="246"/>
  <c r="E96" i="246"/>
  <c r="H95" i="246"/>
  <c r="G93" i="246"/>
  <c r="F93" i="246"/>
  <c r="E93" i="246"/>
  <c r="F91" i="246"/>
  <c r="G91" i="246"/>
  <c r="E91" i="246"/>
  <c r="E89" i="246"/>
  <c r="F89" i="246"/>
  <c r="G89" i="246"/>
  <c r="F86" i="246"/>
  <c r="G86" i="246"/>
  <c r="E86" i="246"/>
  <c r="E77" i="246"/>
  <c r="F77" i="246"/>
  <c r="G77" i="246"/>
  <c r="G58" i="246"/>
  <c r="F58" i="246"/>
  <c r="H56" i="246"/>
  <c r="E54" i="246"/>
  <c r="F54" i="246"/>
  <c r="G54" i="246"/>
  <c r="H52" i="246"/>
  <c r="F51" i="246"/>
  <c r="G51" i="246"/>
  <c r="H50" i="246"/>
  <c r="F49" i="246"/>
  <c r="G49" i="246"/>
  <c r="E45" i="246"/>
  <c r="F45" i="246"/>
  <c r="G45" i="246"/>
  <c r="G43" i="246"/>
  <c r="F43" i="246"/>
  <c r="E43" i="246"/>
  <c r="E40" i="246"/>
  <c r="F110" i="246"/>
  <c r="F112" i="246" s="1"/>
  <c r="F201" i="246" s="1"/>
  <c r="G110" i="246"/>
  <c r="G112" i="246" s="1"/>
  <c r="F35" i="246"/>
  <c r="G35" i="246"/>
  <c r="E35" i="246"/>
  <c r="G32" i="246"/>
  <c r="F32" i="246"/>
  <c r="H33" i="246"/>
  <c r="H34" i="246"/>
  <c r="E30" i="246"/>
  <c r="F30" i="246"/>
  <c r="G30" i="246"/>
  <c r="F28" i="246"/>
  <c r="G28" i="246"/>
  <c r="F22" i="246"/>
  <c r="G22" i="246"/>
  <c r="E20" i="246"/>
  <c r="F20" i="246"/>
  <c r="G20" i="246"/>
  <c r="F18" i="246"/>
  <c r="G18" i="246"/>
  <c r="F16" i="246"/>
  <c r="G16" i="246"/>
  <c r="G14" i="246"/>
  <c r="F14" i="246"/>
  <c r="E14" i="246"/>
  <c r="H11" i="246"/>
  <c r="G10" i="246"/>
  <c r="F10" i="246"/>
  <c r="E101" i="246" l="1"/>
  <c r="L158" i="20"/>
  <c r="H83" i="246"/>
  <c r="D156" i="20"/>
  <c r="G195" i="246"/>
  <c r="G205" i="246" s="1"/>
  <c r="E146" i="20" s="1"/>
  <c r="E205" i="246"/>
  <c r="C146" i="20" s="1"/>
  <c r="F195" i="246"/>
  <c r="H91" i="247"/>
  <c r="H86" i="247"/>
  <c r="H69" i="247"/>
  <c r="H64" i="247"/>
  <c r="G177" i="247"/>
  <c r="H154" i="247"/>
  <c r="H152" i="247"/>
  <c r="K207" i="246"/>
  <c r="H49" i="246"/>
  <c r="H184" i="246"/>
  <c r="H167" i="246"/>
  <c r="H93" i="246"/>
  <c r="H51" i="246"/>
  <c r="H156" i="246"/>
  <c r="H141" i="246"/>
  <c r="H129" i="246"/>
  <c r="H32" i="246"/>
  <c r="H10" i="246"/>
  <c r="H57" i="242"/>
  <c r="H58" i="242"/>
  <c r="H177" i="247" l="1"/>
  <c r="E159" i="20"/>
  <c r="F159" i="20" s="1"/>
  <c r="H195" i="246"/>
  <c r="F205" i="246"/>
  <c r="D146" i="20" s="1"/>
  <c r="F203" i="245"/>
  <c r="G203" i="245"/>
  <c r="E203" i="245"/>
  <c r="H202" i="245"/>
  <c r="G201" i="245"/>
  <c r="F201" i="245"/>
  <c r="H200" i="245"/>
  <c r="G199" i="245"/>
  <c r="H199" i="245" s="1"/>
  <c r="F199" i="245"/>
  <c r="E197" i="245"/>
  <c r="F197" i="245"/>
  <c r="G197" i="245"/>
  <c r="E193" i="245"/>
  <c r="F193" i="245"/>
  <c r="G193" i="245"/>
  <c r="F191" i="245"/>
  <c r="G191" i="245"/>
  <c r="E189" i="245"/>
  <c r="F189" i="245"/>
  <c r="G189" i="245"/>
  <c r="E187" i="245"/>
  <c r="F187" i="245"/>
  <c r="G187" i="245"/>
  <c r="H186" i="245"/>
  <c r="G185" i="245"/>
  <c r="F185" i="245"/>
  <c r="F183" i="245"/>
  <c r="G183" i="245"/>
  <c r="E181" i="245"/>
  <c r="F181" i="245"/>
  <c r="F205" i="245" s="1"/>
  <c r="G181" i="245"/>
  <c r="E179" i="245"/>
  <c r="F179" i="245"/>
  <c r="G179" i="245"/>
  <c r="H172" i="245"/>
  <c r="G171" i="245"/>
  <c r="F171" i="245"/>
  <c r="H167" i="245"/>
  <c r="F166" i="245"/>
  <c r="G166" i="245"/>
  <c r="E164" i="245"/>
  <c r="F164" i="245"/>
  <c r="G164" i="245"/>
  <c r="H163" i="245"/>
  <c r="E162" i="245"/>
  <c r="F162" i="245"/>
  <c r="G162" i="245"/>
  <c r="H161" i="245"/>
  <c r="G160" i="245"/>
  <c r="F160" i="245"/>
  <c r="H159" i="245"/>
  <c r="E158" i="245"/>
  <c r="F158" i="245"/>
  <c r="G158" i="245"/>
  <c r="H157" i="245"/>
  <c r="E156" i="245"/>
  <c r="F156" i="245"/>
  <c r="G156" i="245"/>
  <c r="E154" i="245"/>
  <c r="F154" i="245"/>
  <c r="G154" i="245"/>
  <c r="F152" i="245"/>
  <c r="G152" i="245"/>
  <c r="E152" i="245"/>
  <c r="E148" i="245"/>
  <c r="F148" i="245"/>
  <c r="G148" i="245"/>
  <c r="H145" i="245"/>
  <c r="H144" i="245"/>
  <c r="E142" i="245"/>
  <c r="F142" i="245"/>
  <c r="G142" i="245"/>
  <c r="H141" i="245"/>
  <c r="G140" i="245"/>
  <c r="F140" i="245"/>
  <c r="E136" i="245"/>
  <c r="F136" i="245"/>
  <c r="G136" i="245"/>
  <c r="H135" i="245"/>
  <c r="G134" i="245"/>
  <c r="F134" i="245"/>
  <c r="E134" i="245"/>
  <c r="E124" i="245"/>
  <c r="E130" i="245"/>
  <c r="F130" i="245"/>
  <c r="G130" i="245"/>
  <c r="G126" i="245"/>
  <c r="F126" i="245"/>
  <c r="G124" i="245"/>
  <c r="F124" i="245"/>
  <c r="F122" i="245"/>
  <c r="G122" i="245"/>
  <c r="E122" i="245"/>
  <c r="F120" i="245"/>
  <c r="G120" i="245"/>
  <c r="G205" i="245" s="1"/>
  <c r="E120" i="245"/>
  <c r="H102" i="245"/>
  <c r="H101" i="245"/>
  <c r="G100" i="245"/>
  <c r="F100" i="245"/>
  <c r="E98" i="245"/>
  <c r="F98" i="245"/>
  <c r="G98" i="245"/>
  <c r="H97" i="245"/>
  <c r="F96" i="245"/>
  <c r="G96" i="245"/>
  <c r="H95" i="245"/>
  <c r="G94" i="245"/>
  <c r="F94" i="245"/>
  <c r="F92" i="245"/>
  <c r="G92" i="245"/>
  <c r="F90" i="245"/>
  <c r="G90" i="245"/>
  <c r="H90" i="245" s="1"/>
  <c r="E90" i="245"/>
  <c r="E86" i="245"/>
  <c r="F86" i="245"/>
  <c r="G86" i="245"/>
  <c r="G82" i="245"/>
  <c r="F82" i="245"/>
  <c r="E82" i="245"/>
  <c r="F78" i="245"/>
  <c r="G78" i="245"/>
  <c r="G72" i="245"/>
  <c r="F72" i="245"/>
  <c r="E72" i="245"/>
  <c r="G70" i="245"/>
  <c r="F70" i="245"/>
  <c r="E70" i="245"/>
  <c r="H71" i="245"/>
  <c r="G68" i="245"/>
  <c r="F68" i="245"/>
  <c r="H69" i="245"/>
  <c r="H65" i="245"/>
  <c r="G64" i="245"/>
  <c r="F64" i="245"/>
  <c r="F61" i="245"/>
  <c r="G61" i="245"/>
  <c r="H62" i="245"/>
  <c r="E53" i="245"/>
  <c r="F53" i="245"/>
  <c r="G53" i="245"/>
  <c r="F51" i="245"/>
  <c r="G51" i="245"/>
  <c r="G45" i="245"/>
  <c r="F45" i="245"/>
  <c r="G43" i="245"/>
  <c r="F43" i="245"/>
  <c r="H44" i="245"/>
  <c r="H46" i="245"/>
  <c r="H52" i="245"/>
  <c r="G41" i="245"/>
  <c r="F41" i="245"/>
  <c r="E41" i="245"/>
  <c r="E39" i="245"/>
  <c r="F39" i="245"/>
  <c r="G39" i="245"/>
  <c r="G37" i="245"/>
  <c r="F37" i="245"/>
  <c r="G35" i="245"/>
  <c r="F35" i="245"/>
  <c r="H36" i="245"/>
  <c r="E33" i="245"/>
  <c r="F33" i="245"/>
  <c r="G33" i="245"/>
  <c r="G31" i="245"/>
  <c r="F31" i="245"/>
  <c r="E31" i="245"/>
  <c r="G29" i="245"/>
  <c r="F29" i="245"/>
  <c r="H30" i="245"/>
  <c r="H28" i="245"/>
  <c r="G27" i="245"/>
  <c r="E25" i="245"/>
  <c r="F25" i="245"/>
  <c r="G25" i="245"/>
  <c r="G23" i="245"/>
  <c r="F23" i="245"/>
  <c r="H24" i="245"/>
  <c r="H22" i="245"/>
  <c r="G21" i="245"/>
  <c r="F21" i="245"/>
  <c r="F19" i="245"/>
  <c r="G19" i="245"/>
  <c r="E19" i="245"/>
  <c r="H20" i="245"/>
  <c r="F17" i="245"/>
  <c r="G17" i="245"/>
  <c r="G15" i="245"/>
  <c r="F15" i="245"/>
  <c r="G11" i="245"/>
  <c r="F11" i="245"/>
  <c r="D131" i="20"/>
  <c r="E131" i="20"/>
  <c r="E210" i="242"/>
  <c r="C131" i="20" s="1"/>
  <c r="F209" i="242"/>
  <c r="G209" i="242"/>
  <c r="E209" i="242"/>
  <c r="C130" i="20" s="1"/>
  <c r="E205" i="245" l="1"/>
  <c r="E211" i="245" s="1"/>
  <c r="C137" i="20" s="1"/>
  <c r="E109" i="245"/>
  <c r="F109" i="245"/>
  <c r="G109" i="245"/>
  <c r="H134" i="245"/>
  <c r="H78" i="245"/>
  <c r="H185" i="245"/>
  <c r="H201" i="245"/>
  <c r="H166" i="245"/>
  <c r="D130" i="20"/>
  <c r="E130" i="20"/>
  <c r="H171" i="245"/>
  <c r="H160" i="245"/>
  <c r="F146" i="20"/>
  <c r="F211" i="245"/>
  <c r="D137" i="20" s="1"/>
  <c r="H19" i="245"/>
  <c r="G211" i="245"/>
  <c r="E137" i="20" s="1"/>
  <c r="H140" i="245"/>
  <c r="H162" i="245"/>
  <c r="H205" i="246"/>
  <c r="H156" i="245"/>
  <c r="H158" i="245"/>
  <c r="H94" i="245"/>
  <c r="H27" i="245"/>
  <c r="H29" i="245"/>
  <c r="H45" i="245"/>
  <c r="H100" i="245"/>
  <c r="H64" i="245"/>
  <c r="H21" i="245"/>
  <c r="H70" i="245"/>
  <c r="H68" i="245"/>
  <c r="H61" i="245"/>
  <c r="H51" i="245"/>
  <c r="H43" i="245"/>
  <c r="H35" i="245"/>
  <c r="H23" i="245"/>
  <c r="F211" i="242"/>
  <c r="D132" i="20" s="1"/>
  <c r="G211" i="242"/>
  <c r="E132" i="20" s="1"/>
  <c r="E211" i="242"/>
  <c r="C132" i="20" s="1"/>
  <c r="I123" i="20"/>
  <c r="I122" i="20" s="1"/>
  <c r="H123" i="20"/>
  <c r="H122" i="20" s="1"/>
  <c r="G123" i="20"/>
  <c r="G122" i="20" s="1"/>
  <c r="G194" i="242"/>
  <c r="F194" i="242"/>
  <c r="E194" i="242"/>
  <c r="H193" i="242"/>
  <c r="H185" i="242"/>
  <c r="H178" i="242"/>
  <c r="H177" i="242"/>
  <c r="G170" i="242"/>
  <c r="F170" i="242"/>
  <c r="E170" i="242"/>
  <c r="H169" i="242"/>
  <c r="H168" i="242"/>
  <c r="H167" i="242"/>
  <c r="G161" i="242"/>
  <c r="F161" i="242"/>
  <c r="E161" i="242"/>
  <c r="H159" i="242"/>
  <c r="H160" i="242"/>
  <c r="H158" i="242"/>
  <c r="H150" i="242"/>
  <c r="G152" i="242"/>
  <c r="F152" i="242"/>
  <c r="E152" i="242"/>
  <c r="H151" i="242"/>
  <c r="H143" i="242"/>
  <c r="G144" i="242"/>
  <c r="F144" i="242"/>
  <c r="G136" i="242"/>
  <c r="F136" i="242"/>
  <c r="E136" i="242"/>
  <c r="H134" i="242"/>
  <c r="H133" i="242"/>
  <c r="H126" i="242"/>
  <c r="H124" i="242"/>
  <c r="H123" i="242"/>
  <c r="H122" i="242"/>
  <c r="G114" i="242"/>
  <c r="F114" i="242"/>
  <c r="E114" i="242"/>
  <c r="H112" i="242"/>
  <c r="H111" i="242"/>
  <c r="H103" i="242"/>
  <c r="H104" i="242"/>
  <c r="H97" i="242"/>
  <c r="G105" i="242"/>
  <c r="F105" i="242"/>
  <c r="E52" i="242"/>
  <c r="H55" i="242"/>
  <c r="F52" i="242"/>
  <c r="H53" i="242"/>
  <c r="G207" i="242" l="1"/>
  <c r="E196" i="242"/>
  <c r="E213" i="242" s="1"/>
  <c r="C133" i="20" s="1"/>
  <c r="R153" i="20" s="1"/>
  <c r="F207" i="242"/>
  <c r="G196" i="242"/>
  <c r="G213" i="242" s="1"/>
  <c r="E133" i="20" s="1"/>
  <c r="F196" i="242"/>
  <c r="F213" i="242" s="1"/>
  <c r="D133" i="20" s="1"/>
  <c r="S153" i="20" s="1"/>
  <c r="F132" i="20"/>
  <c r="F216" i="245"/>
  <c r="E216" i="245"/>
  <c r="G216" i="245"/>
  <c r="H194" i="242"/>
  <c r="H187" i="242"/>
  <c r="H105" i="242"/>
  <c r="H179" i="242"/>
  <c r="H170" i="242"/>
  <c r="H161" i="242"/>
  <c r="H152" i="242"/>
  <c r="H54" i="242"/>
  <c r="H144" i="242"/>
  <c r="H136" i="242"/>
  <c r="H127" i="242"/>
  <c r="H114" i="242"/>
  <c r="G52" i="242"/>
  <c r="H52" i="242" s="1"/>
  <c r="G84" i="242"/>
  <c r="F84" i="242"/>
  <c r="E83" i="242"/>
  <c r="G80" i="242"/>
  <c r="G83" i="242" s="1"/>
  <c r="F80" i="242"/>
  <c r="F83" i="242" s="1"/>
  <c r="E72" i="242"/>
  <c r="G69" i="242"/>
  <c r="G72" i="242" s="1"/>
  <c r="F69" i="242"/>
  <c r="F72" i="242" s="1"/>
  <c r="G56" i="242"/>
  <c r="F56" i="242"/>
  <c r="F59" i="242" s="1"/>
  <c r="C125" i="20"/>
  <c r="F31" i="242"/>
  <c r="G31" i="242"/>
  <c r="E31" i="242"/>
  <c r="G16" i="242"/>
  <c r="F16" i="242"/>
  <c r="G59" i="241"/>
  <c r="F59" i="241"/>
  <c r="E59" i="241"/>
  <c r="G52" i="241"/>
  <c r="F52" i="241"/>
  <c r="E52" i="241"/>
  <c r="G45" i="241"/>
  <c r="F45" i="241"/>
  <c r="E45" i="241"/>
  <c r="G38" i="241"/>
  <c r="F38" i="241"/>
  <c r="E38" i="241"/>
  <c r="G31" i="241"/>
  <c r="F31" i="241"/>
  <c r="E31" i="241"/>
  <c r="F24" i="241"/>
  <c r="G24" i="241"/>
  <c r="E24" i="241"/>
  <c r="F13" i="241"/>
  <c r="G13" i="241"/>
  <c r="E13" i="241"/>
  <c r="H12" i="241"/>
  <c r="H196" i="242" l="1"/>
  <c r="H213" i="242"/>
  <c r="F133" i="20"/>
  <c r="T153" i="20"/>
  <c r="H56" i="242"/>
  <c r="G61" i="241"/>
  <c r="N57" i="241" s="1"/>
  <c r="N59" i="241" s="1"/>
  <c r="E61" i="241"/>
  <c r="E71" i="241" s="1"/>
  <c r="C116" i="20" s="1"/>
  <c r="F61" i="241"/>
  <c r="M57" i="241" s="1"/>
  <c r="M59" i="241" s="1"/>
  <c r="F71" i="241"/>
  <c r="D116" i="20" s="1"/>
  <c r="G59" i="242"/>
  <c r="H59" i="242" s="1"/>
  <c r="K109" i="240"/>
  <c r="L109" i="240"/>
  <c r="I109" i="20"/>
  <c r="G100" i="240"/>
  <c r="F100" i="240"/>
  <c r="E100" i="240"/>
  <c r="H99" i="240"/>
  <c r="E43" i="240"/>
  <c r="E117" i="240" s="1"/>
  <c r="G40" i="240"/>
  <c r="G43" i="240" s="1"/>
  <c r="G117" i="240" s="1"/>
  <c r="E107" i="20" s="1"/>
  <c r="F40" i="240"/>
  <c r="F43" i="240" s="1"/>
  <c r="F117" i="240" s="1"/>
  <c r="D107" i="20" s="1"/>
  <c r="F26" i="240"/>
  <c r="G26" i="240"/>
  <c r="F54" i="240"/>
  <c r="G54" i="240"/>
  <c r="E54" i="240"/>
  <c r="E115" i="240" s="1"/>
  <c r="C105" i="20" s="1"/>
  <c r="H30" i="240"/>
  <c r="G28" i="240"/>
  <c r="F28" i="240"/>
  <c r="E28" i="240"/>
  <c r="H84" i="240"/>
  <c r="F78" i="240"/>
  <c r="G78" i="240"/>
  <c r="E78" i="240"/>
  <c r="H92" i="240"/>
  <c r="G85" i="240"/>
  <c r="F85" i="240"/>
  <c r="E85" i="240"/>
  <c r="H77" i="240"/>
  <c r="H76" i="240"/>
  <c r="H74" i="240"/>
  <c r="H73" i="240"/>
  <c r="I89" i="20"/>
  <c r="H89" i="20"/>
  <c r="J45" i="239"/>
  <c r="K64" i="239"/>
  <c r="L64" i="239"/>
  <c r="K62" i="239"/>
  <c r="L62" i="239"/>
  <c r="K60" i="239"/>
  <c r="L60" i="239"/>
  <c r="L58" i="239"/>
  <c r="K58" i="239"/>
  <c r="K56" i="239"/>
  <c r="L56" i="239"/>
  <c r="L54" i="239"/>
  <c r="K54" i="239"/>
  <c r="K51" i="239"/>
  <c r="L51" i="239"/>
  <c r="L49" i="239"/>
  <c r="K49" i="239"/>
  <c r="K41" i="239"/>
  <c r="J41" i="239"/>
  <c r="J69" i="239" s="1"/>
  <c r="J38" i="239"/>
  <c r="K38" i="239"/>
  <c r="L38" i="239"/>
  <c r="L30" i="239"/>
  <c r="K30" i="239"/>
  <c r="K28" i="239"/>
  <c r="L28" i="239"/>
  <c r="K23" i="239"/>
  <c r="L23" i="239"/>
  <c r="J23" i="239"/>
  <c r="L20" i="239"/>
  <c r="K20" i="239"/>
  <c r="L12" i="239"/>
  <c r="K12" i="239"/>
  <c r="L17" i="239"/>
  <c r="K17" i="239"/>
  <c r="G71" i="241" l="1"/>
  <c r="E116" i="20" s="1"/>
  <c r="F107" i="20"/>
  <c r="L69" i="239"/>
  <c r="K495" i="239"/>
  <c r="K69" i="239"/>
  <c r="H87" i="20"/>
  <c r="I87" i="20"/>
  <c r="L57" i="241"/>
  <c r="L59" i="241" s="1"/>
  <c r="F31" i="240"/>
  <c r="F102" i="240"/>
  <c r="F120" i="240" s="1"/>
  <c r="D109" i="20" s="1"/>
  <c r="E102" i="240"/>
  <c r="E120" i="240" s="1"/>
  <c r="C109" i="20" s="1"/>
  <c r="G102" i="240"/>
  <c r="G120" i="240" s="1"/>
  <c r="H117" i="240"/>
  <c r="H100" i="240"/>
  <c r="G63" i="240"/>
  <c r="G116" i="240" s="1"/>
  <c r="G114" i="240" s="1"/>
  <c r="H28" i="240"/>
  <c r="F63" i="240"/>
  <c r="F116" i="240" s="1"/>
  <c r="H93" i="240"/>
  <c r="H78" i="240"/>
  <c r="H85" i="240"/>
  <c r="L408" i="239"/>
  <c r="L391" i="239"/>
  <c r="K508" i="239"/>
  <c r="H97" i="20" s="1"/>
  <c r="L508" i="239"/>
  <c r="I97" i="20" s="1"/>
  <c r="J508" i="239"/>
  <c r="G97" i="20" s="1"/>
  <c r="G12" i="239"/>
  <c r="F12" i="239"/>
  <c r="C94" i="20"/>
  <c r="C95" i="20"/>
  <c r="R107" i="20" s="1"/>
  <c r="H120" i="240" l="1"/>
  <c r="E109" i="20"/>
  <c r="F109" i="20" s="1"/>
  <c r="H102" i="240"/>
  <c r="E502" i="239"/>
  <c r="C93" i="20"/>
  <c r="F65" i="240"/>
  <c r="G65" i="240"/>
  <c r="E89" i="20"/>
  <c r="D89" i="20"/>
  <c r="E159" i="239"/>
  <c r="J413" i="239" s="1"/>
  <c r="G486" i="239"/>
  <c r="F486" i="239"/>
  <c r="E486" i="239"/>
  <c r="H485" i="239"/>
  <c r="H484" i="239"/>
  <c r="H483" i="239"/>
  <c r="H481" i="239"/>
  <c r="F475" i="239"/>
  <c r="G475" i="239"/>
  <c r="E475" i="239"/>
  <c r="H473" i="239"/>
  <c r="H467" i="239"/>
  <c r="H468" i="239"/>
  <c r="H470" i="239"/>
  <c r="H472" i="239"/>
  <c r="H471" i="239"/>
  <c r="H458" i="239"/>
  <c r="H457" i="239"/>
  <c r="H444" i="239"/>
  <c r="H446" i="239"/>
  <c r="H447" i="239"/>
  <c r="H425" i="239"/>
  <c r="H421" i="239"/>
  <c r="H436" i="239"/>
  <c r="G427" i="239"/>
  <c r="F427" i="239"/>
  <c r="E427" i="239"/>
  <c r="H426" i="239"/>
  <c r="H423" i="239"/>
  <c r="H420" i="239"/>
  <c r="H419" i="239"/>
  <c r="G154" i="239"/>
  <c r="F154" i="239"/>
  <c r="H155" i="239"/>
  <c r="G400" i="239"/>
  <c r="F400" i="239"/>
  <c r="H401" i="239"/>
  <c r="G383" i="239"/>
  <c r="F383" i="239"/>
  <c r="H384" i="239"/>
  <c r="H146" i="239"/>
  <c r="G145" i="239"/>
  <c r="F145" i="239"/>
  <c r="F504" i="239" l="1"/>
  <c r="D94" i="20" s="1"/>
  <c r="G504" i="239"/>
  <c r="E94" i="20" s="1"/>
  <c r="E489" i="239"/>
  <c r="E508" i="239" s="1"/>
  <c r="C97" i="20" s="1"/>
  <c r="E93" i="20"/>
  <c r="D93" i="20"/>
  <c r="F489" i="239"/>
  <c r="F508" i="239" s="1"/>
  <c r="D97" i="20" s="1"/>
  <c r="G489" i="239"/>
  <c r="H475" i="239"/>
  <c r="H145" i="239"/>
  <c r="H486" i="239"/>
  <c r="H461" i="239"/>
  <c r="H383" i="239"/>
  <c r="H449" i="239"/>
  <c r="H438" i="239"/>
  <c r="H427" i="239"/>
  <c r="H154" i="239"/>
  <c r="H400" i="239"/>
  <c r="H489" i="239" l="1"/>
  <c r="G508" i="239"/>
  <c r="H508" i="239" l="1"/>
  <c r="E97" i="20"/>
  <c r="F97" i="20" s="1"/>
  <c r="E408" i="239"/>
  <c r="G406" i="239"/>
  <c r="F406" i="239"/>
  <c r="G389" i="239"/>
  <c r="F389" i="239"/>
  <c r="G391" i="239"/>
  <c r="E374" i="239"/>
  <c r="G372" i="239"/>
  <c r="G374" i="239" s="1"/>
  <c r="F372" i="239"/>
  <c r="F374" i="239" s="1"/>
  <c r="E363" i="239"/>
  <c r="G361" i="239"/>
  <c r="G363" i="239" s="1"/>
  <c r="F361" i="239"/>
  <c r="F363" i="239" s="1"/>
  <c r="E352" i="239"/>
  <c r="E354" i="239" s="1"/>
  <c r="G350" i="239"/>
  <c r="G352" i="239" s="1"/>
  <c r="G354" i="239" s="1"/>
  <c r="F350" i="239"/>
  <c r="F352" i="239" s="1"/>
  <c r="F354" i="239" s="1"/>
  <c r="E341" i="239"/>
  <c r="G339" i="239"/>
  <c r="G341" i="239" s="1"/>
  <c r="F339" i="239"/>
  <c r="F341" i="239" s="1"/>
  <c r="E330" i="239"/>
  <c r="E332" i="239" s="1"/>
  <c r="G328" i="239"/>
  <c r="G330" i="239" s="1"/>
  <c r="G332" i="239" s="1"/>
  <c r="F328" i="239"/>
  <c r="F330" i="239" s="1"/>
  <c r="F332" i="239" s="1"/>
  <c r="E319" i="239"/>
  <c r="G317" i="239"/>
  <c r="G319" i="239" s="1"/>
  <c r="F317" i="239"/>
  <c r="F319" i="239" s="1"/>
  <c r="E308" i="239"/>
  <c r="G306" i="239"/>
  <c r="G308" i="239" s="1"/>
  <c r="F306" i="239"/>
  <c r="F308" i="239" s="1"/>
  <c r="E297" i="239"/>
  <c r="E299" i="239" s="1"/>
  <c r="G295" i="239"/>
  <c r="G297" i="239" s="1"/>
  <c r="G299" i="239" s="1"/>
  <c r="F295" i="239"/>
  <c r="F297" i="239" s="1"/>
  <c r="F299" i="239" s="1"/>
  <c r="E286" i="239"/>
  <c r="G284" i="239"/>
  <c r="G286" i="239" s="1"/>
  <c r="F284" i="239"/>
  <c r="F286" i="239" s="1"/>
  <c r="E275" i="239"/>
  <c r="F273" i="239"/>
  <c r="F275" i="239" s="1"/>
  <c r="G273" i="239"/>
  <c r="G275" i="239" s="1"/>
  <c r="F262" i="239"/>
  <c r="G262" i="239"/>
  <c r="E247" i="239"/>
  <c r="E249" i="239" s="1"/>
  <c r="G245" i="239"/>
  <c r="G247" i="239" s="1"/>
  <c r="G249" i="239" s="1"/>
  <c r="F245" i="239"/>
  <c r="F247" i="239" s="1"/>
  <c r="F249" i="239" s="1"/>
  <c r="F234" i="239"/>
  <c r="G234" i="239"/>
  <c r="E219" i="239"/>
  <c r="F217" i="239"/>
  <c r="G217" i="239"/>
  <c r="G214" i="239"/>
  <c r="F214" i="239"/>
  <c r="E205" i="239"/>
  <c r="G203" i="239"/>
  <c r="G205" i="239" s="1"/>
  <c r="F203" i="239"/>
  <c r="F205" i="239" s="1"/>
  <c r="E194" i="239"/>
  <c r="G192" i="239"/>
  <c r="G194" i="239" s="1"/>
  <c r="F192" i="239"/>
  <c r="F194" i="239" s="1"/>
  <c r="E183" i="239"/>
  <c r="F505" i="239" l="1"/>
  <c r="F264" i="239"/>
  <c r="G505" i="239"/>
  <c r="G264" i="239"/>
  <c r="F391" i="239"/>
  <c r="E410" i="239"/>
  <c r="F219" i="239"/>
  <c r="G219" i="239"/>
  <c r="G170" i="239"/>
  <c r="G172" i="239" s="1"/>
  <c r="F170" i="239"/>
  <c r="F172" i="239" s="1"/>
  <c r="G156" i="239"/>
  <c r="G506" i="239" s="1"/>
  <c r="F156" i="239"/>
  <c r="F506" i="239" s="1"/>
  <c r="D96" i="20" s="1"/>
  <c r="G151" i="239"/>
  <c r="F151" i="239"/>
  <c r="E136" i="239"/>
  <c r="G134" i="239"/>
  <c r="G136" i="239" s="1"/>
  <c r="F134" i="239"/>
  <c r="F136" i="239" s="1"/>
  <c r="E125" i="239"/>
  <c r="G123" i="239"/>
  <c r="G125" i="239" s="1"/>
  <c r="F123" i="239"/>
  <c r="F125" i="239" s="1"/>
  <c r="E114" i="239"/>
  <c r="E116" i="239" s="1"/>
  <c r="G112" i="239"/>
  <c r="G114" i="239" s="1"/>
  <c r="F112" i="239"/>
  <c r="F114" i="239" s="1"/>
  <c r="E102" i="239"/>
  <c r="G100" i="239"/>
  <c r="F100" i="239"/>
  <c r="E91" i="239"/>
  <c r="G89" i="239"/>
  <c r="G91" i="239" s="1"/>
  <c r="F89" i="239"/>
  <c r="F91" i="239" s="1"/>
  <c r="E80" i="239"/>
  <c r="G78" i="239"/>
  <c r="G80" i="239" s="1"/>
  <c r="F78" i="239"/>
  <c r="F80" i="239" s="1"/>
  <c r="F64" i="239"/>
  <c r="G64" i="239"/>
  <c r="F62" i="239"/>
  <c r="G62" i="239"/>
  <c r="F60" i="239"/>
  <c r="G60" i="239"/>
  <c r="G56" i="239"/>
  <c r="F56" i="239"/>
  <c r="G54" i="239"/>
  <c r="F54" i="239"/>
  <c r="G51" i="239"/>
  <c r="F51" i="239"/>
  <c r="G49" i="239"/>
  <c r="F49" i="239"/>
  <c r="F41" i="239"/>
  <c r="G41" i="239"/>
  <c r="E41" i="239"/>
  <c r="E38" i="239"/>
  <c r="F38" i="239"/>
  <c r="G38" i="239"/>
  <c r="G34" i="239"/>
  <c r="F34" i="239"/>
  <c r="G30" i="239"/>
  <c r="F30" i="239"/>
  <c r="H29" i="239"/>
  <c r="G28" i="239"/>
  <c r="F28" i="239"/>
  <c r="H27" i="239"/>
  <c r="J492" i="7"/>
  <c r="M112" i="7"/>
  <c r="L112" i="7"/>
  <c r="G112" i="7"/>
  <c r="F112" i="7"/>
  <c r="G118" i="7" l="1"/>
  <c r="G476" i="7"/>
  <c r="M485" i="7"/>
  <c r="L118" i="7"/>
  <c r="R476" i="7"/>
  <c r="M118" i="7"/>
  <c r="S476" i="7"/>
  <c r="F118" i="7"/>
  <c r="F476" i="7"/>
  <c r="L485" i="7"/>
  <c r="E96" i="20"/>
  <c r="H114" i="7"/>
  <c r="G102" i="239"/>
  <c r="F102" i="239"/>
  <c r="F159" i="239"/>
  <c r="K413" i="239" s="1"/>
  <c r="G159" i="239"/>
  <c r="L413" i="239" s="1"/>
  <c r="G153" i="239"/>
  <c r="F153" i="239"/>
  <c r="H28" i="239"/>
  <c r="H267" i="7"/>
  <c r="R489" i="7" l="1"/>
  <c r="Q476" i="7"/>
  <c r="G71" i="20" s="1"/>
  <c r="H71" i="20"/>
  <c r="L70" i="7"/>
  <c r="L105" i="7" s="1"/>
  <c r="Q489" i="7"/>
  <c r="H70" i="20"/>
  <c r="G70" i="20"/>
  <c r="G77" i="20"/>
  <c r="Q477" i="7"/>
  <c r="G72" i="20" s="1"/>
  <c r="L462" i="7"/>
  <c r="M462" i="7"/>
  <c r="K462" i="7"/>
  <c r="L446" i="7"/>
  <c r="M446" i="7"/>
  <c r="K446" i="7"/>
  <c r="L378" i="7"/>
  <c r="M378" i="7"/>
  <c r="K378" i="7"/>
  <c r="L361" i="7"/>
  <c r="M361" i="7"/>
  <c r="K361" i="7"/>
  <c r="L349" i="7"/>
  <c r="M349" i="7"/>
  <c r="K349" i="7"/>
  <c r="L342" i="7"/>
  <c r="M342" i="7"/>
  <c r="K342" i="7"/>
  <c r="L332" i="7"/>
  <c r="M332" i="7"/>
  <c r="K332" i="7"/>
  <c r="L324" i="7"/>
  <c r="M324" i="7"/>
  <c r="K324" i="7"/>
  <c r="L317" i="7"/>
  <c r="M317" i="7"/>
  <c r="K317" i="7"/>
  <c r="M464" i="7" l="1"/>
  <c r="L464" i="7"/>
  <c r="K464" i="7"/>
  <c r="R477" i="7"/>
  <c r="H72" i="20" s="1"/>
  <c r="Q468" i="7"/>
  <c r="G64" i="20" s="1"/>
  <c r="G63" i="20" s="1"/>
  <c r="H77" i="20"/>
  <c r="Q492" i="7"/>
  <c r="G84" i="20" s="1"/>
  <c r="H458" i="7"/>
  <c r="H455" i="7"/>
  <c r="H456" i="7"/>
  <c r="H457" i="7"/>
  <c r="H460" i="7"/>
  <c r="H461" i="7"/>
  <c r="H459" i="7"/>
  <c r="H453" i="7"/>
  <c r="I71" i="20"/>
  <c r="M70" i="7"/>
  <c r="M105" i="7" s="1"/>
  <c r="I70" i="20"/>
  <c r="H87" i="7"/>
  <c r="H385" i="7"/>
  <c r="H384" i="7"/>
  <c r="G378" i="7"/>
  <c r="F378" i="7"/>
  <c r="E378" i="7"/>
  <c r="H377" i="7"/>
  <c r="H376" i="7"/>
  <c r="R468" i="7" l="1"/>
  <c r="H64" i="20" s="1"/>
  <c r="R492" i="7"/>
  <c r="H84" i="20" s="1"/>
  <c r="S468" i="7"/>
  <c r="I64" i="20" s="1"/>
  <c r="K115" i="20"/>
  <c r="S492" i="7"/>
  <c r="I84" i="20" s="1"/>
  <c r="S477" i="7"/>
  <c r="I72" i="20" s="1"/>
  <c r="S489" i="7"/>
  <c r="H462" i="7"/>
  <c r="I77" i="20"/>
  <c r="H387" i="7"/>
  <c r="H378" i="7"/>
  <c r="L115" i="20" l="1"/>
  <c r="M115" i="20"/>
  <c r="H444" i="7" l="1"/>
  <c r="H443" i="7"/>
  <c r="H442" i="7"/>
  <c r="H441" i="7"/>
  <c r="H440" i="7"/>
  <c r="H439" i="7"/>
  <c r="H438" i="7"/>
  <c r="H437" i="7"/>
  <c r="H436" i="7"/>
  <c r="H435" i="7"/>
  <c r="H434" i="7"/>
  <c r="H433" i="7"/>
  <c r="H432" i="7"/>
  <c r="H430" i="7"/>
  <c r="H429" i="7"/>
  <c r="H424" i="7"/>
  <c r="H423" i="7"/>
  <c r="H422" i="7"/>
  <c r="H420" i="7"/>
  <c r="H419" i="7"/>
  <c r="H418" i="7"/>
  <c r="H414" i="7"/>
  <c r="H393" i="7"/>
  <c r="H394" i="7"/>
  <c r="H395" i="7"/>
  <c r="H396" i="7"/>
  <c r="H397" i="7"/>
  <c r="H398" i="7"/>
  <c r="H399" i="7"/>
  <c r="H401" i="7"/>
  <c r="H402" i="7"/>
  <c r="H403" i="7"/>
  <c r="H405" i="7"/>
  <c r="H406" i="7"/>
  <c r="H407" i="7"/>
  <c r="H408" i="7"/>
  <c r="H410" i="7"/>
  <c r="H411" i="7"/>
  <c r="H445" i="7"/>
  <c r="H412" i="7"/>
  <c r="H44" i="7"/>
  <c r="H369" i="7"/>
  <c r="H368" i="7"/>
  <c r="H367" i="7"/>
  <c r="H48" i="7"/>
  <c r="H46" i="7"/>
  <c r="F361" i="7"/>
  <c r="G361" i="7"/>
  <c r="E361" i="7"/>
  <c r="H356" i="7"/>
  <c r="H358" i="7"/>
  <c r="H359" i="7"/>
  <c r="H360" i="7"/>
  <c r="H355" i="7"/>
  <c r="G349" i="7"/>
  <c r="F349" i="7"/>
  <c r="E349" i="7"/>
  <c r="H348" i="7"/>
  <c r="G342" i="7"/>
  <c r="F342" i="7"/>
  <c r="E342" i="7"/>
  <c r="H341" i="7"/>
  <c r="H340" i="7"/>
  <c r="H338" i="7"/>
  <c r="H331" i="7"/>
  <c r="H330" i="7"/>
  <c r="G324" i="7"/>
  <c r="F324" i="7"/>
  <c r="E324" i="7"/>
  <c r="H323" i="7"/>
  <c r="F317" i="7"/>
  <c r="G317" i="7"/>
  <c r="E317" i="7"/>
  <c r="H27" i="7"/>
  <c r="H18" i="7"/>
  <c r="H14" i="7"/>
  <c r="H250" i="7"/>
  <c r="H253" i="7"/>
  <c r="H57" i="20"/>
  <c r="H305" i="20" s="1"/>
  <c r="I57" i="20"/>
  <c r="G57" i="20"/>
  <c r="G305" i="20" s="1"/>
  <c r="G154" i="8"/>
  <c r="F154" i="8"/>
  <c r="E154" i="8"/>
  <c r="G145" i="8"/>
  <c r="F145" i="8"/>
  <c r="E145" i="8"/>
  <c r="G136" i="8"/>
  <c r="F136" i="8"/>
  <c r="E136" i="8"/>
  <c r="H135" i="8"/>
  <c r="G464" i="7" l="1"/>
  <c r="F464" i="7"/>
  <c r="G53" i="20"/>
  <c r="G52" i="20" s="1"/>
  <c r="J172" i="8"/>
  <c r="J180" i="8" s="1"/>
  <c r="K57" i="20"/>
  <c r="K292" i="20" s="1"/>
  <c r="H53" i="20"/>
  <c r="H52" i="20" s="1"/>
  <c r="K172" i="8"/>
  <c r="K180" i="8" s="1"/>
  <c r="I53" i="20"/>
  <c r="I52" i="20" s="1"/>
  <c r="L180" i="8"/>
  <c r="L57" i="20"/>
  <c r="L292" i="20" s="1"/>
  <c r="H446" i="7"/>
  <c r="H361" i="7"/>
  <c r="H349" i="7"/>
  <c r="H342" i="7"/>
  <c r="H332" i="7"/>
  <c r="H324" i="7"/>
  <c r="H317" i="7"/>
  <c r="H308" i="7"/>
  <c r="H24" i="7"/>
  <c r="H289" i="7"/>
  <c r="H295" i="7"/>
  <c r="H286" i="7"/>
  <c r="H294" i="7"/>
  <c r="H297" i="7"/>
  <c r="H287" i="7"/>
  <c r="H292" i="7"/>
  <c r="H296" i="7"/>
  <c r="H154" i="8"/>
  <c r="H145" i="8"/>
  <c r="H136" i="8"/>
  <c r="F125" i="8"/>
  <c r="G125" i="8"/>
  <c r="E125" i="8"/>
  <c r="H112" i="8"/>
  <c r="G114" i="8"/>
  <c r="F114" i="8"/>
  <c r="E114" i="8"/>
  <c r="F97" i="8"/>
  <c r="G97" i="8"/>
  <c r="E97" i="8"/>
  <c r="F90" i="8"/>
  <c r="G90" i="8"/>
  <c r="E90" i="8"/>
  <c r="G51" i="20" l="1"/>
  <c r="H51" i="20"/>
  <c r="I51" i="20"/>
  <c r="G168" i="8"/>
  <c r="E168" i="8"/>
  <c r="F168" i="8"/>
  <c r="H97" i="8"/>
  <c r="H125" i="8"/>
  <c r="H90" i="8"/>
  <c r="H168" i="8" l="1"/>
  <c r="E178" i="8"/>
  <c r="C57" i="20" s="1"/>
  <c r="F184" i="9"/>
  <c r="G184" i="9"/>
  <c r="E184" i="9"/>
  <c r="G177" i="9"/>
  <c r="F177" i="9"/>
  <c r="E177" i="9"/>
  <c r="F54" i="9"/>
  <c r="G54" i="9"/>
  <c r="E54" i="9"/>
  <c r="G170" i="9"/>
  <c r="F170" i="9"/>
  <c r="E170" i="9"/>
  <c r="H169" i="9"/>
  <c r="F158" i="9"/>
  <c r="I50" i="20" l="1"/>
  <c r="I305" i="20" s="1"/>
  <c r="H208" i="9"/>
  <c r="H184" i="9"/>
  <c r="H197" i="9"/>
  <c r="H177" i="9"/>
  <c r="H170" i="9"/>
  <c r="G158" i="9"/>
  <c r="E158" i="9"/>
  <c r="G130" i="9"/>
  <c r="F130" i="9"/>
  <c r="E130" i="9"/>
  <c r="H129" i="9"/>
  <c r="F99" i="9"/>
  <c r="G99" i="9"/>
  <c r="E99" i="9"/>
  <c r="H95" i="9"/>
  <c r="G89" i="9"/>
  <c r="F89" i="9"/>
  <c r="E89" i="9"/>
  <c r="G80" i="9"/>
  <c r="F80" i="9"/>
  <c r="E80" i="9"/>
  <c r="G73" i="9"/>
  <c r="F73" i="9"/>
  <c r="H72" i="9"/>
  <c r="G36" i="9"/>
  <c r="F36" i="9"/>
  <c r="E210" i="9" l="1"/>
  <c r="E221" i="9" s="1"/>
  <c r="C50" i="20" s="1"/>
  <c r="G210" i="9"/>
  <c r="G221" i="9" s="1"/>
  <c r="F210" i="9"/>
  <c r="M57" i="20"/>
  <c r="M292" i="20" s="1"/>
  <c r="H156" i="9"/>
  <c r="H130" i="9"/>
  <c r="H119" i="9"/>
  <c r="H110" i="9"/>
  <c r="H99" i="9"/>
  <c r="H89" i="9"/>
  <c r="H80" i="9"/>
  <c r="H63" i="9"/>
  <c r="H210" i="9" l="1"/>
  <c r="E50" i="20"/>
  <c r="F221" i="9"/>
  <c r="H73" i="9"/>
  <c r="L63" i="10"/>
  <c r="K54" i="10"/>
  <c r="K63" i="10" s="1"/>
  <c r="J54" i="10"/>
  <c r="J63" i="10" s="1"/>
  <c r="H49" i="10"/>
  <c r="G51" i="10"/>
  <c r="M48" i="10" s="1"/>
  <c r="M50" i="10" s="1"/>
  <c r="F51" i="10"/>
  <c r="E51" i="10"/>
  <c r="F61" i="10" l="1"/>
  <c r="D43" i="20" s="1"/>
  <c r="L48" i="10"/>
  <c r="L50" i="10" s="1"/>
  <c r="E61" i="10"/>
  <c r="C43" i="20" s="1"/>
  <c r="K48" i="10"/>
  <c r="K50" i="10" s="1"/>
  <c r="D50" i="20"/>
  <c r="F50" i="20" s="1"/>
  <c r="H221" i="9"/>
  <c r="G61" i="10"/>
  <c r="K289" i="54"/>
  <c r="K298" i="54" s="1"/>
  <c r="F249" i="54"/>
  <c r="G249" i="54"/>
  <c r="E249" i="54"/>
  <c r="E281" i="54"/>
  <c r="F281" i="54"/>
  <c r="G281" i="54"/>
  <c r="H279" i="54"/>
  <c r="H278" i="54"/>
  <c r="H271" i="54"/>
  <c r="H268" i="54"/>
  <c r="G257" i="54"/>
  <c r="F257" i="54"/>
  <c r="F283" i="54" l="1"/>
  <c r="F296" i="54" s="1"/>
  <c r="G283" i="54"/>
  <c r="G296" i="54" s="1"/>
  <c r="E43" i="20"/>
  <c r="H281" i="54"/>
  <c r="F105" i="54"/>
  <c r="G105" i="54"/>
  <c r="H105" i="54" l="1"/>
  <c r="H25" i="54"/>
  <c r="H39" i="54"/>
  <c r="H36" i="54"/>
  <c r="H33" i="54"/>
  <c r="H316" i="7" l="1"/>
  <c r="H28" i="7"/>
  <c r="J490" i="7" l="1"/>
  <c r="H282" i="7"/>
  <c r="H266" i="7"/>
  <c r="H42" i="7" l="1"/>
  <c r="H40" i="7"/>
  <c r="H291" i="7" l="1"/>
  <c r="H275" i="7"/>
  <c r="H264" i="7"/>
  <c r="H257" i="7"/>
  <c r="H262" i="7"/>
  <c r="H268" i="7"/>
  <c r="H281" i="7"/>
  <c r="H280" i="7"/>
  <c r="H273" i="7"/>
  <c r="H272" i="7"/>
  <c r="H277" i="7"/>
  <c r="H271" i="7"/>
  <c r="H276" i="7"/>
  <c r="H260" i="7"/>
  <c r="H261" i="7"/>
  <c r="H259" i="7"/>
  <c r="H117" i="7" l="1"/>
  <c r="H113" i="7"/>
  <c r="D71" i="20"/>
  <c r="K486" i="7" l="1"/>
  <c r="H112" i="7"/>
  <c r="E492" i="7" l="1"/>
  <c r="J493" i="7" s="1"/>
  <c r="J489" i="7" s="1"/>
  <c r="H118" i="7"/>
  <c r="H102" i="7"/>
  <c r="H101" i="7"/>
  <c r="H100" i="7"/>
  <c r="H99" i="7"/>
  <c r="H98" i="7"/>
  <c r="H96" i="7"/>
  <c r="C84" i="20" l="1"/>
  <c r="H476" i="7"/>
  <c r="E71" i="20"/>
  <c r="F71" i="20" s="1"/>
  <c r="R110" i="20" l="1"/>
  <c r="F489" i="7"/>
  <c r="G489" i="7"/>
  <c r="E82" i="20" s="1"/>
  <c r="F49" i="8"/>
  <c r="G49" i="8"/>
  <c r="H42" i="8"/>
  <c r="G39" i="8"/>
  <c r="G51" i="8" s="1"/>
  <c r="G180" i="8" s="1"/>
  <c r="F39" i="8"/>
  <c r="F51" i="8" s="1"/>
  <c r="F180" i="8" s="1"/>
  <c r="E39" i="8"/>
  <c r="E51" i="8" s="1"/>
  <c r="G37" i="8"/>
  <c r="F37" i="8"/>
  <c r="H38" i="8"/>
  <c r="H33" i="8"/>
  <c r="G32" i="8"/>
  <c r="F32" i="8"/>
  <c r="H122" i="8"/>
  <c r="H132" i="8"/>
  <c r="G178" i="8"/>
  <c r="E57" i="20" s="1"/>
  <c r="F178" i="8"/>
  <c r="D57" i="20" s="1"/>
  <c r="H103" i="8"/>
  <c r="H20" i="8"/>
  <c r="H19" i="8"/>
  <c r="H15" i="8"/>
  <c r="H13" i="8"/>
  <c r="G26" i="9"/>
  <c r="H142" i="9"/>
  <c r="H43" i="9"/>
  <c r="G40" i="9"/>
  <c r="G45" i="9" s="1"/>
  <c r="F40" i="9"/>
  <c r="F45" i="9" s="1"/>
  <c r="G34" i="9"/>
  <c r="F34" i="9"/>
  <c r="H35" i="9"/>
  <c r="E24" i="9"/>
  <c r="F24" i="9"/>
  <c r="G24" i="9"/>
  <c r="H196" i="9"/>
  <c r="H66" i="9"/>
  <c r="H195" i="9"/>
  <c r="H193" i="9"/>
  <c r="H192" i="9"/>
  <c r="H12" i="9"/>
  <c r="H97" i="9"/>
  <c r="H96" i="9"/>
  <c r="H10" i="9"/>
  <c r="H125" i="9"/>
  <c r="H176" i="9"/>
  <c r="H117" i="9"/>
  <c r="E173" i="8" l="1"/>
  <c r="E172" i="8" s="1"/>
  <c r="E180" i="8"/>
  <c r="F57" i="20"/>
  <c r="F486" i="7"/>
  <c r="D82" i="20"/>
  <c r="H178" i="8"/>
  <c r="E223" i="9"/>
  <c r="H106" i="8"/>
  <c r="H144" i="8"/>
  <c r="H32" i="8"/>
  <c r="H37" i="8"/>
  <c r="H123" i="8"/>
  <c r="H124" i="8"/>
  <c r="H120" i="8"/>
  <c r="H86" i="9"/>
  <c r="H34" i="9"/>
  <c r="H152" i="9"/>
  <c r="H88" i="9"/>
  <c r="H87" i="9"/>
  <c r="H138" i="9"/>
  <c r="H154" i="9"/>
  <c r="H207" i="9"/>
  <c r="H191" i="9"/>
  <c r="H151" i="9"/>
  <c r="H194" i="9"/>
  <c r="H205" i="9"/>
  <c r="H204" i="9"/>
  <c r="H127" i="9"/>
  <c r="H183" i="9"/>
  <c r="N42" i="10"/>
  <c r="M42" i="10"/>
  <c r="L42" i="10"/>
  <c r="G57" i="10"/>
  <c r="H36" i="10"/>
  <c r="H37" i="10"/>
  <c r="H38" i="10"/>
  <c r="G31" i="10"/>
  <c r="F31" i="10"/>
  <c r="H28" i="10"/>
  <c r="H17" i="10"/>
  <c r="F11" i="10"/>
  <c r="F55" i="10" s="1"/>
  <c r="F38" i="11"/>
  <c r="D34" i="20" s="1"/>
  <c r="F32" i="11"/>
  <c r="G32" i="11"/>
  <c r="E32" i="11"/>
  <c r="H19" i="11"/>
  <c r="F12" i="11"/>
  <c r="G12" i="11"/>
  <c r="E12" i="11"/>
  <c r="H13" i="11"/>
  <c r="H14" i="11"/>
  <c r="F13" i="4"/>
  <c r="G13" i="4"/>
  <c r="E13" i="4"/>
  <c r="G41" i="5"/>
  <c r="F41" i="5"/>
  <c r="G38" i="5"/>
  <c r="F38" i="5"/>
  <c r="H39" i="5"/>
  <c r="H29" i="5"/>
  <c r="H23" i="5"/>
  <c r="G17" i="5"/>
  <c r="F17" i="5"/>
  <c r="E17" i="5"/>
  <c r="H19" i="5"/>
  <c r="H18" i="5"/>
  <c r="J289" i="54"/>
  <c r="J298" i="54" s="1"/>
  <c r="C53" i="20" l="1"/>
  <c r="C52" i="20" s="1"/>
  <c r="C51" i="20" s="1"/>
  <c r="G216" i="9"/>
  <c r="G223" i="9"/>
  <c r="F216" i="9"/>
  <c r="F223" i="9"/>
  <c r="G63" i="10"/>
  <c r="H158" i="9"/>
  <c r="H34" i="10"/>
  <c r="F63" i="10" l="1"/>
  <c r="F109" i="54"/>
  <c r="E17" i="20"/>
  <c r="D17" i="20"/>
  <c r="F17" i="20" l="1"/>
  <c r="H206" i="54"/>
  <c r="G205" i="54"/>
  <c r="F205" i="54"/>
  <c r="H194" i="54"/>
  <c r="H193" i="54"/>
  <c r="H172" i="54"/>
  <c r="F164" i="54"/>
  <c r="G164" i="54"/>
  <c r="E164" i="54"/>
  <c r="H158" i="54"/>
  <c r="F151" i="54"/>
  <c r="G151" i="54"/>
  <c r="E151" i="54"/>
  <c r="H156" i="54"/>
  <c r="H155" i="54"/>
  <c r="H154" i="54"/>
  <c r="H150" i="54"/>
  <c r="H148" i="54"/>
  <c r="H145" i="54"/>
  <c r="F137" i="54"/>
  <c r="G137" i="54"/>
  <c r="E137" i="54"/>
  <c r="H139" i="54"/>
  <c r="H138" i="54"/>
  <c r="G130" i="54"/>
  <c r="F130" i="54"/>
  <c r="H132" i="54"/>
  <c r="G117" i="54"/>
  <c r="F117" i="54"/>
  <c r="G109" i="54"/>
  <c r="E109" i="54"/>
  <c r="G98" i="54"/>
  <c r="F98" i="54"/>
  <c r="G72" i="54"/>
  <c r="F72" i="54"/>
  <c r="H75" i="54"/>
  <c r="G48" i="54"/>
  <c r="F48" i="54"/>
  <c r="G40" i="54"/>
  <c r="F40" i="54"/>
  <c r="H32" i="54"/>
  <c r="E291" i="54" l="1"/>
  <c r="C16" i="20" s="1"/>
  <c r="H205" i="54"/>
  <c r="H46" i="54"/>
  <c r="H29" i="54"/>
  <c r="H10" i="54"/>
  <c r="F58" i="52"/>
  <c r="G58" i="52"/>
  <c r="G63" i="52" s="1"/>
  <c r="E9" i="20" s="1"/>
  <c r="E58" i="52"/>
  <c r="E63" i="52" s="1"/>
  <c r="C9" i="20" s="1"/>
  <c r="H57" i="52"/>
  <c r="H49" i="52"/>
  <c r="H44" i="52"/>
  <c r="F42" i="52"/>
  <c r="G42" i="52"/>
  <c r="E42" i="52"/>
  <c r="H39" i="52"/>
  <c r="H40" i="52"/>
  <c r="F38" i="52"/>
  <c r="G38" i="52"/>
  <c r="E38" i="52"/>
  <c r="H30" i="52"/>
  <c r="F51" i="52" l="1"/>
  <c r="F62" i="52" s="1"/>
  <c r="D8" i="20" s="1"/>
  <c r="E51" i="52"/>
  <c r="E67" i="52" s="1"/>
  <c r="G51" i="52"/>
  <c r="G62" i="52" s="1"/>
  <c r="E8" i="20" s="1"/>
  <c r="H58" i="52"/>
  <c r="H249" i="54"/>
  <c r="F63" i="52"/>
  <c r="D9" i="20" s="1"/>
  <c r="F9" i="20" s="1"/>
  <c r="H38" i="52"/>
  <c r="E62" i="52" l="1"/>
  <c r="C8" i="20" s="1"/>
  <c r="F67" i="52"/>
  <c r="H63" i="52"/>
  <c r="G67" i="52"/>
  <c r="H62" i="52"/>
  <c r="I1254" i="17"/>
  <c r="I148" i="17"/>
  <c r="I2294" i="17"/>
  <c r="I1576" i="17"/>
  <c r="I249" i="17"/>
  <c r="F2277" i="17" l="1"/>
  <c r="G2497" i="17"/>
  <c r="H2497" i="17"/>
  <c r="F2497" i="17"/>
  <c r="I2484" i="17"/>
  <c r="I2482" i="17"/>
  <c r="H2468" i="17"/>
  <c r="G2468" i="17"/>
  <c r="I2470" i="17"/>
  <c r="H2464" i="17"/>
  <c r="G2464" i="17"/>
  <c r="F2464" i="17"/>
  <c r="H2455" i="17"/>
  <c r="G2455" i="17"/>
  <c r="I2457" i="17"/>
  <c r="G2453" i="17"/>
  <c r="H2453" i="17"/>
  <c r="F2453" i="17"/>
  <c r="H2443" i="17"/>
  <c r="G2443" i="17"/>
  <c r="I2445" i="17"/>
  <c r="H2431" i="17"/>
  <c r="G2431" i="17"/>
  <c r="I2433" i="17"/>
  <c r="H2420" i="17"/>
  <c r="G2420" i="17"/>
  <c r="H2416" i="17"/>
  <c r="G2416" i="17"/>
  <c r="I2418" i="17"/>
  <c r="H2395" i="17"/>
  <c r="G2395" i="17"/>
  <c r="I2397" i="17"/>
  <c r="H2382" i="17"/>
  <c r="G2382" i="17"/>
  <c r="I2384" i="17"/>
  <c r="H2369" i="17"/>
  <c r="G2369" i="17"/>
  <c r="I2371" i="17"/>
  <c r="I2358" i="17"/>
  <c r="I2354" i="17"/>
  <c r="H2352" i="17"/>
  <c r="H2360" i="17" s="1"/>
  <c r="G2352" i="17"/>
  <c r="G2360" i="17" s="1"/>
  <c r="F2360" i="17"/>
  <c r="I2351" i="17"/>
  <c r="H2340" i="17"/>
  <c r="G2340" i="17"/>
  <c r="I2342" i="17"/>
  <c r="I2331" i="17"/>
  <c r="H2330" i="17"/>
  <c r="H2332" i="17" s="1"/>
  <c r="G2330" i="17"/>
  <c r="G2332" i="17" s="1"/>
  <c r="I2325" i="17"/>
  <c r="I2324" i="17"/>
  <c r="I2311" i="17"/>
  <c r="H2292" i="17"/>
  <c r="G2292" i="17"/>
  <c r="I2274" i="17"/>
  <c r="H2259" i="17"/>
  <c r="G2259" i="17"/>
  <c r="I2261" i="17"/>
  <c r="H2246" i="17"/>
  <c r="G2246" i="17"/>
  <c r="I2248" i="17"/>
  <c r="I2236" i="17"/>
  <c r="H2235" i="17"/>
  <c r="G2235" i="17"/>
  <c r="H2231" i="17"/>
  <c r="G2231" i="17"/>
  <c r="I2233" i="17"/>
  <c r="H2219" i="17"/>
  <c r="G2219" i="17"/>
  <c r="I2221" i="17"/>
  <c r="H2237" i="17" l="1"/>
  <c r="G2237" i="17"/>
  <c r="G2472" i="17"/>
  <c r="H2472" i="17"/>
  <c r="I2330" i="17"/>
  <c r="I2356" i="17"/>
  <c r="I2235" i="17"/>
  <c r="H2204" i="17"/>
  <c r="G2204" i="17"/>
  <c r="I2206" i="17"/>
  <c r="G2202" i="17"/>
  <c r="H2202" i="17"/>
  <c r="F2202" i="17"/>
  <c r="H2195" i="17"/>
  <c r="G2195" i="17"/>
  <c r="I2196" i="17"/>
  <c r="H2191" i="17"/>
  <c r="G2191" i="17"/>
  <c r="I2193" i="17"/>
  <c r="H2180" i="17"/>
  <c r="G2180" i="17"/>
  <c r="H2176" i="17"/>
  <c r="G2176" i="17"/>
  <c r="I2178" i="17"/>
  <c r="H2162" i="17"/>
  <c r="G2162" i="17"/>
  <c r="I2164" i="17"/>
  <c r="G2160" i="17"/>
  <c r="H2160" i="17"/>
  <c r="F2160" i="17"/>
  <c r="H2149" i="17"/>
  <c r="G2149" i="17"/>
  <c r="I2151" i="17"/>
  <c r="H2138" i="17"/>
  <c r="G2138" i="17"/>
  <c r="H2134" i="17"/>
  <c r="G2134" i="17"/>
  <c r="I2136" i="17"/>
  <c r="G2132" i="17"/>
  <c r="H2132" i="17"/>
  <c r="F2132" i="17"/>
  <c r="H2123" i="17"/>
  <c r="G2123" i="17"/>
  <c r="I2125" i="17"/>
  <c r="H2110" i="17"/>
  <c r="G2110" i="17"/>
  <c r="I2112" i="17"/>
  <c r="H2098" i="17"/>
  <c r="G2098" i="17"/>
  <c r="I2100" i="17"/>
  <c r="G2096" i="17"/>
  <c r="H2096" i="17"/>
  <c r="F2096" i="17"/>
  <c r="I2087" i="17"/>
  <c r="G2083" i="17"/>
  <c r="H2083" i="17"/>
  <c r="F2083" i="17"/>
  <c r="I2074" i="17"/>
  <c r="I2071" i="17"/>
  <c r="I2070" i="17"/>
  <c r="G2066" i="17"/>
  <c r="G2077" i="17" s="1"/>
  <c r="H2066" i="17"/>
  <c r="H2077" i="17" s="1"/>
  <c r="F2066" i="17"/>
  <c r="F2077" i="17" s="1"/>
  <c r="H2057" i="17"/>
  <c r="G2057" i="17"/>
  <c r="I2059" i="17"/>
  <c r="G2055" i="17"/>
  <c r="H2055" i="17"/>
  <c r="F2055" i="17"/>
  <c r="H2045" i="17"/>
  <c r="G2045" i="17"/>
  <c r="H2043" i="17"/>
  <c r="G2043" i="17"/>
  <c r="H2041" i="17"/>
  <c r="G2041" i="17"/>
  <c r="F2049" i="17"/>
  <c r="H2028" i="17"/>
  <c r="G2028" i="17"/>
  <c r="H2026" i="17"/>
  <c r="G2026" i="17"/>
  <c r="H2017" i="17"/>
  <c r="G2017" i="17"/>
  <c r="H2015" i="17"/>
  <c r="G2015" i="17"/>
  <c r="H2013" i="17"/>
  <c r="G2013" i="17"/>
  <c r="I2004" i="17"/>
  <c r="I2007" i="17"/>
  <c r="H1978" i="17"/>
  <c r="G1978" i="17"/>
  <c r="I1970" i="17"/>
  <c r="I1971" i="17"/>
  <c r="I1972" i="17"/>
  <c r="I1973" i="17"/>
  <c r="I1974" i="17"/>
  <c r="I1968" i="17"/>
  <c r="H1965" i="17"/>
  <c r="G1965" i="17"/>
  <c r="H1963" i="17"/>
  <c r="G1963" i="17"/>
  <c r="H1961" i="17"/>
  <c r="G1961" i="17"/>
  <c r="H1952" i="17"/>
  <c r="G1952" i="17"/>
  <c r="I1953" i="17"/>
  <c r="H1950" i="17"/>
  <c r="G1950" i="17"/>
  <c r="H1944" i="17"/>
  <c r="G1944" i="17"/>
  <c r="I1946" i="17"/>
  <c r="H1930" i="17"/>
  <c r="G1930" i="17"/>
  <c r="H1926" i="17"/>
  <c r="G1926" i="17"/>
  <c r="I1922" i="17"/>
  <c r="F1936" i="17"/>
  <c r="H1897" i="17"/>
  <c r="G1897" i="17"/>
  <c r="I1890" i="17"/>
  <c r="I1891" i="17"/>
  <c r="I1892" i="17"/>
  <c r="I1888" i="17"/>
  <c r="F1901" i="17"/>
  <c r="H1885" i="17"/>
  <c r="G1885" i="17"/>
  <c r="H1883" i="17"/>
  <c r="G1883" i="17"/>
  <c r="I1866" i="17"/>
  <c r="I1867" i="17"/>
  <c r="I1872" i="17"/>
  <c r="I1864" i="17"/>
  <c r="F1877" i="17"/>
  <c r="H1861" i="17"/>
  <c r="G1861" i="17"/>
  <c r="H1859" i="17"/>
  <c r="G1859" i="17"/>
  <c r="I1852" i="17"/>
  <c r="H1851" i="17"/>
  <c r="G1851" i="17"/>
  <c r="H1849" i="17"/>
  <c r="G1849" i="17"/>
  <c r="H1847" i="17"/>
  <c r="G1847" i="17"/>
  <c r="H1845" i="17"/>
  <c r="G1845" i="17"/>
  <c r="I1838" i="17"/>
  <c r="I1839" i="17"/>
  <c r="I1840" i="17"/>
  <c r="I1843" i="17"/>
  <c r="I1844" i="17"/>
  <c r="F1853" i="17"/>
  <c r="I1836" i="17"/>
  <c r="H1833" i="17"/>
  <c r="G1833" i="17"/>
  <c r="H1831" i="17"/>
  <c r="G1831" i="17"/>
  <c r="H1815" i="17"/>
  <c r="G1815" i="17"/>
  <c r="H1813" i="17"/>
  <c r="G1813" i="17"/>
  <c r="I1806" i="17"/>
  <c r="I1807" i="17"/>
  <c r="I1808" i="17"/>
  <c r="I1811" i="17"/>
  <c r="I1812" i="17"/>
  <c r="I1805" i="17"/>
  <c r="I1802" i="17"/>
  <c r="F1821" i="17"/>
  <c r="H1797" i="17"/>
  <c r="G1797" i="17"/>
  <c r="H1795" i="17"/>
  <c r="G1795" i="17"/>
  <c r="H1785" i="17"/>
  <c r="G1785" i="17"/>
  <c r="H1783" i="17"/>
  <c r="G1783" i="17"/>
  <c r="I1776" i="17"/>
  <c r="I1777" i="17"/>
  <c r="I1778" i="17"/>
  <c r="I1781" i="17"/>
  <c r="I1782" i="17"/>
  <c r="I1774" i="17"/>
  <c r="F1789" i="17"/>
  <c r="H1771" i="17"/>
  <c r="G1771" i="17"/>
  <c r="H1769" i="17"/>
  <c r="G1769" i="17"/>
  <c r="H1761" i="17"/>
  <c r="G1761" i="17"/>
  <c r="I1754" i="17"/>
  <c r="I1756" i="17"/>
  <c r="I1757" i="17"/>
  <c r="I1758" i="17"/>
  <c r="I1759" i="17"/>
  <c r="I1760" i="17"/>
  <c r="I1752" i="17"/>
  <c r="F1763" i="17"/>
  <c r="H1749" i="17"/>
  <c r="G1749" i="17"/>
  <c r="H1747" i="17"/>
  <c r="G1747" i="17"/>
  <c r="G2140" i="17" l="1"/>
  <c r="H2140" i="17"/>
  <c r="H1936" i="17"/>
  <c r="G2210" i="17"/>
  <c r="H1956" i="17"/>
  <c r="G2049" i="17"/>
  <c r="G1877" i="17"/>
  <c r="G1984" i="17"/>
  <c r="H2049" i="17"/>
  <c r="H2210" i="17"/>
  <c r="G2021" i="17"/>
  <c r="H2021" i="17"/>
  <c r="H1984" i="17"/>
  <c r="G1936" i="17"/>
  <c r="G1956" i="17"/>
  <c r="G1901" i="17"/>
  <c r="H1877" i="17"/>
  <c r="H1901" i="17"/>
  <c r="H1853" i="17"/>
  <c r="G1853" i="17"/>
  <c r="G1821" i="17"/>
  <c r="H1821" i="17"/>
  <c r="G1789" i="17"/>
  <c r="H1789" i="17"/>
  <c r="G1763" i="17"/>
  <c r="H1763" i="17"/>
  <c r="I2195" i="17"/>
  <c r="I2180" i="17"/>
  <c r="I1967" i="17"/>
  <c r="I1969" i="17"/>
  <c r="I1952" i="17"/>
  <c r="I1887" i="17"/>
  <c r="I1889" i="17"/>
  <c r="I1835" i="17"/>
  <c r="I1863" i="17"/>
  <c r="I1865" i="17"/>
  <c r="I1851" i="17"/>
  <c r="I1837" i="17"/>
  <c r="I1801" i="17"/>
  <c r="I1773" i="17"/>
  <c r="I1753" i="17"/>
  <c r="I1751" i="17"/>
  <c r="H1733" i="17"/>
  <c r="G1733" i="17"/>
  <c r="H1731" i="17"/>
  <c r="G1731" i="17"/>
  <c r="I1720" i="17"/>
  <c r="I1721" i="17"/>
  <c r="I1722" i="17"/>
  <c r="I1725" i="17"/>
  <c r="I1726" i="17"/>
  <c r="I1718" i="17"/>
  <c r="F1739" i="17"/>
  <c r="H1715" i="17"/>
  <c r="G1715" i="17"/>
  <c r="H1709" i="17"/>
  <c r="G1709" i="17"/>
  <c r="H1701" i="17"/>
  <c r="G1701" i="17"/>
  <c r="H1699" i="17"/>
  <c r="G1699" i="17"/>
  <c r="H1697" i="17"/>
  <c r="G1697" i="17"/>
  <c r="I1689" i="17"/>
  <c r="I1691" i="17"/>
  <c r="I1692" i="17"/>
  <c r="I1695" i="17"/>
  <c r="I1696" i="17"/>
  <c r="I1688" i="17"/>
  <c r="I1686" i="17"/>
  <c r="F1703" i="17"/>
  <c r="H1683" i="17"/>
  <c r="G1683" i="17"/>
  <c r="H1678" i="17"/>
  <c r="G1678" i="17"/>
  <c r="H1676" i="17"/>
  <c r="G1676" i="17"/>
  <c r="H1665" i="17"/>
  <c r="G1665" i="17"/>
  <c r="I1659" i="17"/>
  <c r="I1660" i="17"/>
  <c r="I1657" i="17"/>
  <c r="I1654" i="17"/>
  <c r="G1739" i="17" l="1"/>
  <c r="H1739" i="17"/>
  <c r="G1703" i="17"/>
  <c r="H1703" i="17"/>
  <c r="I1717" i="17"/>
  <c r="I1719" i="17"/>
  <c r="I1685" i="17"/>
  <c r="I1687" i="17"/>
  <c r="H1648" i="17"/>
  <c r="H1669" i="17" s="1"/>
  <c r="G1648" i="17"/>
  <c r="G1669" i="17" s="1"/>
  <c r="H1624" i="17"/>
  <c r="G1624" i="17"/>
  <c r="H1622" i="17"/>
  <c r="G1622" i="17"/>
  <c r="I1615" i="17"/>
  <c r="I1616" i="17"/>
  <c r="I1621" i="17"/>
  <c r="I1613" i="17"/>
  <c r="F1628" i="17"/>
  <c r="H1610" i="17"/>
  <c r="G1610" i="17"/>
  <c r="H1608" i="17"/>
  <c r="G1608" i="17"/>
  <c r="H1599" i="17"/>
  <c r="G1599" i="17"/>
  <c r="H1597" i="17"/>
  <c r="G1597" i="17"/>
  <c r="H1588" i="17"/>
  <c r="G1588" i="17"/>
  <c r="I1593" i="17"/>
  <c r="F1577" i="17"/>
  <c r="H1573" i="17"/>
  <c r="G1573" i="17"/>
  <c r="H1571" i="17"/>
  <c r="G1571" i="17"/>
  <c r="I1563" i="17"/>
  <c r="I1564" i="17"/>
  <c r="I1565" i="17"/>
  <c r="I1568" i="17"/>
  <c r="I1569" i="17"/>
  <c r="I1560" i="17"/>
  <c r="I1561" i="17"/>
  <c r="H1557" i="17"/>
  <c r="G1557" i="17"/>
  <c r="H1552" i="17"/>
  <c r="G1552" i="17"/>
  <c r="H1550" i="17"/>
  <c r="G1550" i="17"/>
  <c r="H1537" i="17"/>
  <c r="G1537" i="17"/>
  <c r="H1535" i="17"/>
  <c r="G1535" i="17"/>
  <c r="I1529" i="17"/>
  <c r="I1530" i="17"/>
  <c r="I1531" i="17"/>
  <c r="I1534" i="17"/>
  <c r="F1543" i="17"/>
  <c r="H1524" i="17"/>
  <c r="G1524" i="17"/>
  <c r="H1522" i="17"/>
  <c r="G1522" i="17"/>
  <c r="G1577" i="17" l="1"/>
  <c r="G1628" i="17"/>
  <c r="H1628" i="17"/>
  <c r="G1543" i="17"/>
  <c r="H1577" i="17"/>
  <c r="H1543" i="17"/>
  <c r="I1612" i="17"/>
  <c r="I1614" i="17"/>
  <c r="I1562" i="17"/>
  <c r="I1559" i="17"/>
  <c r="I1528" i="17"/>
  <c r="I1522" i="17"/>
  <c r="H1513" i="17"/>
  <c r="G1513" i="17"/>
  <c r="H1511" i="17"/>
  <c r="G1511" i="17"/>
  <c r="H1501" i="17"/>
  <c r="G1501" i="17"/>
  <c r="H1499" i="17"/>
  <c r="G1499" i="17"/>
  <c r="H1497" i="17"/>
  <c r="G1497" i="17"/>
  <c r="H1486" i="17"/>
  <c r="G1486" i="17"/>
  <c r="H1480" i="17"/>
  <c r="G1480" i="17"/>
  <c r="I1484" i="17"/>
  <c r="I1485" i="17"/>
  <c r="I1482" i="17"/>
  <c r="I1469" i="17"/>
  <c r="I1470" i="17"/>
  <c r="I1471" i="17"/>
  <c r="I1472" i="17"/>
  <c r="G1464" i="17"/>
  <c r="H1464" i="17"/>
  <c r="F1464" i="17"/>
  <c r="I1465" i="17"/>
  <c r="I1466" i="17"/>
  <c r="H1462" i="17"/>
  <c r="G1462" i="17"/>
  <c r="H1460" i="17"/>
  <c r="G1460" i="17"/>
  <c r="I1445" i="17"/>
  <c r="I1446" i="17"/>
  <c r="H1440" i="17"/>
  <c r="I1443" i="17"/>
  <c r="H1429" i="17"/>
  <c r="G1429" i="17"/>
  <c r="H1427" i="17"/>
  <c r="G1427" i="17"/>
  <c r="G1492" i="17" l="1"/>
  <c r="H1492" i="17"/>
  <c r="G1517" i="17"/>
  <c r="H1517" i="17"/>
  <c r="G1473" i="17"/>
  <c r="H1473" i="17"/>
  <c r="I1464" i="17"/>
  <c r="I1467" i="17"/>
  <c r="H1425" i="17"/>
  <c r="G1425" i="17"/>
  <c r="H1423" i="17"/>
  <c r="G1423" i="17"/>
  <c r="H1417" i="17"/>
  <c r="G1417" i="17"/>
  <c r="I1421" i="17"/>
  <c r="I1422" i="17"/>
  <c r="I1419" i="17"/>
  <c r="G1413" i="17"/>
  <c r="H1413" i="17"/>
  <c r="F1413" i="17"/>
  <c r="F1431" i="17" s="1"/>
  <c r="I1416" i="17"/>
  <c r="I1404" i="17"/>
  <c r="H1431" i="17" l="1"/>
  <c r="G1431" i="17"/>
  <c r="H1391" i="17"/>
  <c r="G1391" i="17"/>
  <c r="H1389" i="17"/>
  <c r="G1389" i="17"/>
  <c r="I1388" i="17"/>
  <c r="I1383" i="17"/>
  <c r="I1381" i="17"/>
  <c r="H1369" i="17"/>
  <c r="H1371" i="17" s="1"/>
  <c r="G1369" i="17"/>
  <c r="G1371" i="17" s="1"/>
  <c r="I1370" i="17"/>
  <c r="I1367" i="17"/>
  <c r="I1368" i="17"/>
  <c r="I1365" i="17"/>
  <c r="I1364" i="17"/>
  <c r="I1349" i="17"/>
  <c r="I1350" i="17"/>
  <c r="I1347" i="17"/>
  <c r="H1334" i="17"/>
  <c r="H1336" i="17" s="1"/>
  <c r="G1334" i="17"/>
  <c r="G1336" i="17" s="1"/>
  <c r="I1327" i="17"/>
  <c r="H1315" i="17"/>
  <c r="G1315" i="17"/>
  <c r="H1313" i="17"/>
  <c r="G1313" i="17"/>
  <c r="H1311" i="17"/>
  <c r="G1311" i="17"/>
  <c r="I1304" i="17"/>
  <c r="I1305" i="17"/>
  <c r="I1306" i="17"/>
  <c r="I1309" i="17"/>
  <c r="I1310" i="17"/>
  <c r="I1302" i="17"/>
  <c r="F1317" i="17"/>
  <c r="H1299" i="17"/>
  <c r="G1299" i="17"/>
  <c r="H1297" i="17"/>
  <c r="G1297" i="17"/>
  <c r="H1295" i="17"/>
  <c r="G1295" i="17"/>
  <c r="I1277" i="17"/>
  <c r="I1278" i="17"/>
  <c r="I1279" i="17"/>
  <c r="I1283" i="17"/>
  <c r="I1274" i="17"/>
  <c r="I1275" i="17"/>
  <c r="G1273" i="17"/>
  <c r="H1273" i="17"/>
  <c r="F1273" i="17"/>
  <c r="F1289" i="17" s="1"/>
  <c r="H1271" i="17"/>
  <c r="G1271" i="17"/>
  <c r="H1269" i="17"/>
  <c r="G1269" i="17"/>
  <c r="H1267" i="17"/>
  <c r="G1267" i="17"/>
  <c r="I1268" i="17"/>
  <c r="H1259" i="17"/>
  <c r="G1259" i="17"/>
  <c r="H1257" i="17"/>
  <c r="G1257" i="17"/>
  <c r="H1255" i="17"/>
  <c r="G1255" i="17"/>
  <c r="I1249" i="17"/>
  <c r="I1247" i="17"/>
  <c r="H1235" i="17"/>
  <c r="G1235" i="17"/>
  <c r="H1229" i="17"/>
  <c r="G1229" i="17"/>
  <c r="I1234" i="17"/>
  <c r="I1233" i="17"/>
  <c r="I1231" i="17"/>
  <c r="I1228" i="17"/>
  <c r="H1237" i="17" l="1"/>
  <c r="G1261" i="17"/>
  <c r="H1261" i="17"/>
  <c r="G1393" i="17"/>
  <c r="G1237" i="17"/>
  <c r="H1393" i="17"/>
  <c r="G1317" i="17"/>
  <c r="H1317" i="17"/>
  <c r="H1289" i="17"/>
  <c r="G1289" i="17"/>
  <c r="I1369" i="17"/>
  <c r="I1276" i="17"/>
  <c r="I1273" i="17"/>
  <c r="I1267" i="17"/>
  <c r="H1219" i="17"/>
  <c r="G1219" i="17"/>
  <c r="H1217" i="17"/>
  <c r="G1217" i="17"/>
  <c r="H1213" i="17"/>
  <c r="G1213" i="17"/>
  <c r="I1210" i="17"/>
  <c r="I1211" i="17"/>
  <c r="I1212" i="17"/>
  <c r="I1207" i="17" l="1"/>
  <c r="H1199" i="17"/>
  <c r="H1221" i="17" s="1"/>
  <c r="G1199" i="17"/>
  <c r="G1221" i="17" s="1"/>
  <c r="H1191" i="17"/>
  <c r="G1191" i="17"/>
  <c r="H1189" i="17"/>
  <c r="G1189" i="17"/>
  <c r="H1187" i="17"/>
  <c r="G1187" i="17"/>
  <c r="I1184" i="17"/>
  <c r="I1185" i="17"/>
  <c r="I1174" i="17"/>
  <c r="H1145" i="17"/>
  <c r="G1145" i="17"/>
  <c r="I1146" i="17"/>
  <c r="H1143" i="17"/>
  <c r="G1143" i="17"/>
  <c r="I1144" i="17"/>
  <c r="H1141" i="17"/>
  <c r="G1141" i="17"/>
  <c r="H1139" i="17"/>
  <c r="G1139" i="17"/>
  <c r="I1132" i="17"/>
  <c r="I1133" i="17"/>
  <c r="I1138" i="17"/>
  <c r="G1128" i="17"/>
  <c r="H1128" i="17"/>
  <c r="F1128" i="17"/>
  <c r="F1147" i="17" s="1"/>
  <c r="R1157" i="17" s="1"/>
  <c r="I1129" i="17"/>
  <c r="H1126" i="17"/>
  <c r="G1126" i="17"/>
  <c r="H1124" i="17"/>
  <c r="G1124" i="17"/>
  <c r="G1193" i="17" l="1"/>
  <c r="H1193" i="17"/>
  <c r="G1147" i="17"/>
  <c r="S1157" i="17" s="1"/>
  <c r="H1147" i="17"/>
  <c r="T1157" i="17" s="1"/>
  <c r="I1145" i="17"/>
  <c r="I1143" i="17"/>
  <c r="I1131" i="17"/>
  <c r="I1128" i="17"/>
  <c r="H1117" i="17"/>
  <c r="G1117" i="17"/>
  <c r="I1116" i="17"/>
  <c r="I1115" i="17"/>
  <c r="I1112" i="17"/>
  <c r="I1113" i="17"/>
  <c r="I1114" i="17"/>
  <c r="G1108" i="17"/>
  <c r="H1108" i="17"/>
  <c r="F1108" i="17"/>
  <c r="F1119" i="17" s="1"/>
  <c r="I1110" i="17"/>
  <c r="I1109" i="17"/>
  <c r="H1101" i="17"/>
  <c r="G1101" i="17"/>
  <c r="H1077" i="17"/>
  <c r="G1077" i="17"/>
  <c r="H1075" i="17"/>
  <c r="G1075" i="17"/>
  <c r="H1073" i="17"/>
  <c r="G1073" i="17"/>
  <c r="H1071" i="17"/>
  <c r="G1071" i="17"/>
  <c r="I1069" i="17"/>
  <c r="I1070" i="17"/>
  <c r="I1084" i="17"/>
  <c r="I1085" i="17"/>
  <c r="H1065" i="17"/>
  <c r="G1065" i="17"/>
  <c r="F1065" i="17"/>
  <c r="F1079" i="17" s="1"/>
  <c r="R1088" i="17" s="1"/>
  <c r="H1044" i="17"/>
  <c r="G1044" i="17"/>
  <c r="I1043" i="17"/>
  <c r="H1042" i="17"/>
  <c r="G1042" i="17"/>
  <c r="H1040" i="17"/>
  <c r="G1040" i="17"/>
  <c r="I1041" i="17"/>
  <c r="I1039" i="17"/>
  <c r="I1038" i="17"/>
  <c r="I1036" i="17"/>
  <c r="I1037" i="17"/>
  <c r="I1032" i="17"/>
  <c r="I1033" i="17"/>
  <c r="G1031" i="17"/>
  <c r="H1031" i="17"/>
  <c r="F1031" i="17"/>
  <c r="F1046" i="17" s="1"/>
  <c r="H1029" i="17"/>
  <c r="G1029" i="17"/>
  <c r="H1025" i="17"/>
  <c r="G1025" i="17"/>
  <c r="I1027" i="17"/>
  <c r="I1028" i="17"/>
  <c r="G1079" i="17" l="1"/>
  <c r="H1079" i="17"/>
  <c r="T1088" i="17" s="1"/>
  <c r="G1119" i="17"/>
  <c r="H1119" i="17"/>
  <c r="S1088" i="17"/>
  <c r="I1108" i="17"/>
  <c r="I1042" i="17"/>
  <c r="I1111" i="17"/>
  <c r="I1031" i="17"/>
  <c r="H1046" i="17"/>
  <c r="G1046" i="17"/>
  <c r="I1040" i="17"/>
  <c r="I1034" i="17"/>
  <c r="H1016" i="17"/>
  <c r="G1016" i="17"/>
  <c r="I1012" i="17"/>
  <c r="I1010" i="17"/>
  <c r="I1009" i="17"/>
  <c r="I1007" i="17"/>
  <c r="H997" i="17"/>
  <c r="H1001" i="17" s="1"/>
  <c r="G997" i="17"/>
  <c r="I991" i="17"/>
  <c r="I989" i="17"/>
  <c r="I986" i="17"/>
  <c r="H975" i="17"/>
  <c r="G975" i="17"/>
  <c r="H973" i="17"/>
  <c r="G973" i="17"/>
  <c r="I965" i="17"/>
  <c r="I966" i="17"/>
  <c r="I967" i="17"/>
  <c r="I968" i="17"/>
  <c r="I971" i="17"/>
  <c r="I972" i="17"/>
  <c r="F979" i="17"/>
  <c r="I963" i="17"/>
  <c r="H960" i="17"/>
  <c r="G960" i="17"/>
  <c r="H947" i="17"/>
  <c r="G947" i="17"/>
  <c r="H945" i="17"/>
  <c r="G945" i="17"/>
  <c r="I942" i="17"/>
  <c r="I941" i="17"/>
  <c r="I940" i="17"/>
  <c r="I939" i="17"/>
  <c r="I937" i="17"/>
  <c r="F951" i="17"/>
  <c r="I935" i="17"/>
  <c r="H932" i="17"/>
  <c r="G932" i="17"/>
  <c r="H930" i="17"/>
  <c r="G930" i="17"/>
  <c r="G979" i="17" l="1"/>
  <c r="H979" i="17"/>
  <c r="H1020" i="17"/>
  <c r="G1020" i="17"/>
  <c r="I962" i="17"/>
  <c r="I964" i="17"/>
  <c r="I936" i="17"/>
  <c r="I934" i="17"/>
  <c r="I919" i="17"/>
  <c r="H918" i="17"/>
  <c r="G918" i="17"/>
  <c r="I915" i="17"/>
  <c r="I914" i="17"/>
  <c r="I913" i="17"/>
  <c r="I912" i="17"/>
  <c r="I911" i="17"/>
  <c r="I909" i="17"/>
  <c r="H906" i="17"/>
  <c r="G906" i="17"/>
  <c r="I918" i="17" l="1"/>
  <c r="I903" i="17"/>
  <c r="G920" i="17"/>
  <c r="H920" i="17"/>
  <c r="G20" i="5" l="1"/>
  <c r="I293" i="20" l="1"/>
  <c r="I262" i="20"/>
  <c r="H262" i="20"/>
  <c r="G262" i="20"/>
  <c r="C247" i="20" l="1"/>
  <c r="E252" i="20"/>
  <c r="I242" i="20"/>
  <c r="D252" i="20"/>
  <c r="G252" i="20"/>
  <c r="H252" i="20"/>
  <c r="G247" i="20"/>
  <c r="C252" i="20"/>
  <c r="I252" i="20"/>
  <c r="E247" i="20"/>
  <c r="H247" i="20"/>
  <c r="I247" i="20"/>
  <c r="F184" i="20"/>
  <c r="G242" i="20"/>
  <c r="H242" i="20"/>
  <c r="F189" i="20"/>
  <c r="F252" i="20" l="1"/>
  <c r="D247" i="20"/>
  <c r="F247" i="20" s="1"/>
  <c r="F253" i="20"/>
  <c r="G28" i="250" l="1"/>
  <c r="S28" i="250" s="1"/>
  <c r="I25" i="250"/>
  <c r="I26" i="250"/>
  <c r="I27" i="250"/>
  <c r="F28" i="250"/>
  <c r="R28" i="250" s="1"/>
  <c r="I35" i="250"/>
  <c r="I36" i="250"/>
  <c r="G37" i="250"/>
  <c r="S37" i="250" s="1"/>
  <c r="H37" i="250"/>
  <c r="T37" i="250" s="1"/>
  <c r="R37" i="250"/>
  <c r="G44" i="250"/>
  <c r="G50" i="250" s="1"/>
  <c r="H44" i="250"/>
  <c r="H50" i="250" s="1"/>
  <c r="T50" i="250" s="1"/>
  <c r="T54" i="250" s="1"/>
  <c r="I45" i="250"/>
  <c r="I46" i="250"/>
  <c r="I47" i="250"/>
  <c r="I48" i="250"/>
  <c r="I49" i="250"/>
  <c r="R50" i="250"/>
  <c r="R54" i="250" s="1"/>
  <c r="G59" i="250"/>
  <c r="G63" i="250" s="1"/>
  <c r="S63" i="250" s="1"/>
  <c r="H59" i="250"/>
  <c r="H63" i="250" s="1"/>
  <c r="T63" i="250" s="1"/>
  <c r="I60" i="250"/>
  <c r="I61" i="250"/>
  <c r="I62" i="250"/>
  <c r="R63" i="250"/>
  <c r="H77" i="250"/>
  <c r="T77" i="250" s="1"/>
  <c r="T79" i="250" s="1"/>
  <c r="I71" i="250"/>
  <c r="I72" i="250"/>
  <c r="I73" i="250"/>
  <c r="I74" i="250"/>
  <c r="I76" i="250"/>
  <c r="R77" i="250"/>
  <c r="G87" i="250"/>
  <c r="G91" i="250" s="1"/>
  <c r="H87" i="250"/>
  <c r="I88" i="250"/>
  <c r="I89" i="250"/>
  <c r="I90" i="250"/>
  <c r="R91" i="250"/>
  <c r="G104" i="250"/>
  <c r="H104" i="250"/>
  <c r="T104" i="250" s="1"/>
  <c r="I100" i="250"/>
  <c r="I103" i="250"/>
  <c r="R104" i="250"/>
  <c r="I111" i="250"/>
  <c r="I112" i="250"/>
  <c r="F113" i="250"/>
  <c r="R113" i="250" s="1"/>
  <c r="G113" i="250"/>
  <c r="S113" i="250" s="1"/>
  <c r="H113" i="250"/>
  <c r="I120" i="250"/>
  <c r="I121" i="250"/>
  <c r="G122" i="250"/>
  <c r="S122" i="250" s="1"/>
  <c r="H122" i="250"/>
  <c r="R122" i="250"/>
  <c r="G129" i="250"/>
  <c r="G132" i="250" s="1"/>
  <c r="S132" i="250" s="1"/>
  <c r="H129" i="250"/>
  <c r="I130" i="250"/>
  <c r="I131" i="250"/>
  <c r="R132" i="250"/>
  <c r="G138" i="250"/>
  <c r="H138" i="250"/>
  <c r="H141" i="250" s="1"/>
  <c r="L141" i="250" s="1"/>
  <c r="I139" i="250"/>
  <c r="I140" i="250"/>
  <c r="J141" i="250"/>
  <c r="R141" i="250"/>
  <c r="I148" i="250"/>
  <c r="I149" i="250"/>
  <c r="G150" i="250"/>
  <c r="H150" i="250"/>
  <c r="T150" i="250" s="1"/>
  <c r="R150" i="250"/>
  <c r="G161" i="250"/>
  <c r="S161" i="250" s="1"/>
  <c r="H161" i="250"/>
  <c r="I158" i="250"/>
  <c r="I160" i="250"/>
  <c r="R161" i="250"/>
  <c r="G172" i="250"/>
  <c r="S172" i="250" s="1"/>
  <c r="S174" i="250" s="1"/>
  <c r="I169" i="250"/>
  <c r="I170" i="250"/>
  <c r="I171" i="250"/>
  <c r="R172" i="250"/>
  <c r="R174" i="250" s="1"/>
  <c r="G181" i="250"/>
  <c r="H181" i="250"/>
  <c r="I182" i="250"/>
  <c r="I183" i="250"/>
  <c r="G184" i="250"/>
  <c r="S184" i="250" s="1"/>
  <c r="R184" i="250"/>
  <c r="I192" i="250"/>
  <c r="I195" i="250"/>
  <c r="G196" i="250"/>
  <c r="S196" i="250" s="1"/>
  <c r="H196" i="250"/>
  <c r="T196" i="250" s="1"/>
  <c r="K196" i="250"/>
  <c r="L196" i="250"/>
  <c r="M196" i="250"/>
  <c r="R196" i="250"/>
  <c r="I202" i="250"/>
  <c r="I203" i="250"/>
  <c r="G205" i="250"/>
  <c r="S205" i="250" s="1"/>
  <c r="R205" i="250"/>
  <c r="G213" i="250"/>
  <c r="G217" i="250" s="1"/>
  <c r="S217" i="250" s="1"/>
  <c r="H213" i="250"/>
  <c r="H217" i="250" s="1"/>
  <c r="I214" i="250"/>
  <c r="I215" i="250"/>
  <c r="I216" i="250"/>
  <c r="R217" i="250"/>
  <c r="H227" i="250"/>
  <c r="T227" i="250" s="1"/>
  <c r="I223" i="250"/>
  <c r="R227" i="250"/>
  <c r="G236" i="250"/>
  <c r="S236" i="250" s="1"/>
  <c r="I233" i="250"/>
  <c r="I235" i="250"/>
  <c r="R236" i="250"/>
  <c r="G250" i="250"/>
  <c r="S250" i="250" s="1"/>
  <c r="I248" i="250"/>
  <c r="I249" i="250"/>
  <c r="R250" i="250"/>
  <c r="G258" i="250"/>
  <c r="G261" i="250" s="1"/>
  <c r="S261" i="250" s="1"/>
  <c r="H258" i="250"/>
  <c r="H261" i="250" s="1"/>
  <c r="I259" i="250"/>
  <c r="I260" i="250"/>
  <c r="R261" i="250"/>
  <c r="G266" i="250"/>
  <c r="G271" i="250" s="1"/>
  <c r="S271" i="250" s="1"/>
  <c r="H266" i="250"/>
  <c r="I267" i="250"/>
  <c r="I268" i="250"/>
  <c r="I269" i="250"/>
  <c r="I270" i="250"/>
  <c r="R271" i="250"/>
  <c r="G276" i="250"/>
  <c r="H276" i="250"/>
  <c r="H280" i="250" s="1"/>
  <c r="T280" i="250" s="1"/>
  <c r="R280" i="250"/>
  <c r="G288" i="250"/>
  <c r="H288" i="250"/>
  <c r="H292" i="250" s="1"/>
  <c r="T292" i="250" s="1"/>
  <c r="I289" i="250"/>
  <c r="I290" i="250"/>
  <c r="I291" i="250"/>
  <c r="R292" i="250"/>
  <c r="I300" i="250"/>
  <c r="I302" i="250"/>
  <c r="I303" i="250"/>
  <c r="T304" i="250"/>
  <c r="T306" i="250" s="1"/>
  <c r="R304" i="250"/>
  <c r="R306" i="250" s="1"/>
  <c r="H319" i="250"/>
  <c r="T319" i="250" s="1"/>
  <c r="I316" i="250"/>
  <c r="I317" i="250"/>
  <c r="R319" i="250"/>
  <c r="G320" i="250"/>
  <c r="H320" i="250"/>
  <c r="H322" i="250" s="1"/>
  <c r="W322" i="250" s="1"/>
  <c r="I321" i="250"/>
  <c r="F322" i="250"/>
  <c r="U322" i="250" s="1"/>
  <c r="G327" i="250"/>
  <c r="G330" i="250" s="1"/>
  <c r="S330" i="250" s="1"/>
  <c r="H327" i="250"/>
  <c r="H330" i="250" s="1"/>
  <c r="T330" i="250" s="1"/>
  <c r="I328" i="250"/>
  <c r="I329" i="250"/>
  <c r="R330" i="250"/>
  <c r="I337" i="250"/>
  <c r="I338" i="250"/>
  <c r="G339" i="250"/>
  <c r="S339" i="250" s="1"/>
  <c r="R339" i="250"/>
  <c r="H348" i="250"/>
  <c r="T348" i="250" s="1"/>
  <c r="I346" i="250"/>
  <c r="I347" i="250"/>
  <c r="R348" i="250"/>
  <c r="G353" i="250"/>
  <c r="G356" i="250" s="1"/>
  <c r="S356" i="250" s="1"/>
  <c r="H353" i="250"/>
  <c r="I354" i="250"/>
  <c r="I355" i="250"/>
  <c r="R356" i="250"/>
  <c r="G362" i="250"/>
  <c r="H362" i="250"/>
  <c r="H365" i="250" s="1"/>
  <c r="I363" i="250"/>
  <c r="I364" i="250"/>
  <c r="K365" i="250"/>
  <c r="L365" i="250"/>
  <c r="M365" i="250"/>
  <c r="R365" i="250"/>
  <c r="G370" i="250"/>
  <c r="H370" i="250"/>
  <c r="H374" i="250" s="1"/>
  <c r="I371" i="250"/>
  <c r="I372" i="250"/>
  <c r="I373" i="250"/>
  <c r="R374" i="250"/>
  <c r="G379" i="250"/>
  <c r="G383" i="250" s="1"/>
  <c r="S383" i="250" s="1"/>
  <c r="H379" i="250"/>
  <c r="I380" i="250"/>
  <c r="I381" i="250"/>
  <c r="R383" i="250"/>
  <c r="G394" i="250"/>
  <c r="S394" i="250" s="1"/>
  <c r="I391" i="250"/>
  <c r="I392" i="250"/>
  <c r="R394" i="250"/>
  <c r="H403" i="250"/>
  <c r="I400" i="250"/>
  <c r="I401" i="250"/>
  <c r="R403" i="250"/>
  <c r="G412" i="250"/>
  <c r="G417" i="250" s="1"/>
  <c r="S412" i="250" s="1"/>
  <c r="S414" i="250" s="1"/>
  <c r="H412" i="250"/>
  <c r="I413" i="250"/>
  <c r="I414" i="250"/>
  <c r="I415" i="250"/>
  <c r="I416" i="250"/>
  <c r="R412" i="250"/>
  <c r="R414" i="250" s="1"/>
  <c r="G426" i="250"/>
  <c r="G430" i="250" s="1"/>
  <c r="S430" i="250" s="1"/>
  <c r="H426" i="250"/>
  <c r="H430" i="250" s="1"/>
  <c r="I427" i="250"/>
  <c r="I428" i="250"/>
  <c r="I429" i="250"/>
  <c r="R430" i="250"/>
  <c r="G435" i="250"/>
  <c r="G439" i="250" s="1"/>
  <c r="S435" i="250" s="1"/>
  <c r="H435" i="250"/>
  <c r="I436" i="250"/>
  <c r="I437" i="250"/>
  <c r="I438" i="250"/>
  <c r="R435" i="250"/>
  <c r="R437" i="250" s="1"/>
  <c r="I440" i="250"/>
  <c r="I441" i="250"/>
  <c r="G442" i="250"/>
  <c r="S436" i="250" s="1"/>
  <c r="H442" i="250"/>
  <c r="T436" i="250" s="1"/>
  <c r="G448" i="250"/>
  <c r="G451" i="250" s="1"/>
  <c r="S451" i="250" s="1"/>
  <c r="H448" i="250"/>
  <c r="I449" i="250"/>
  <c r="I450" i="250"/>
  <c r="R451" i="250"/>
  <c r="G461" i="250"/>
  <c r="S461" i="250" s="1"/>
  <c r="I459" i="250"/>
  <c r="I460" i="250"/>
  <c r="R461" i="250"/>
  <c r="G466" i="250"/>
  <c r="G471" i="250" s="1"/>
  <c r="S471" i="250" s="1"/>
  <c r="H466" i="250"/>
  <c r="I467" i="250"/>
  <c r="I468" i="250"/>
  <c r="I470" i="250"/>
  <c r="R471" i="250"/>
  <c r="G476" i="250"/>
  <c r="G480" i="250" s="1"/>
  <c r="S480" i="250" s="1"/>
  <c r="H476" i="250"/>
  <c r="I477" i="250"/>
  <c r="I478" i="250"/>
  <c r="I479" i="250"/>
  <c r="R480" i="250"/>
  <c r="G492" i="250"/>
  <c r="S492" i="250" s="1"/>
  <c r="I490" i="250"/>
  <c r="I491" i="250"/>
  <c r="R492" i="250"/>
  <c r="G501" i="250"/>
  <c r="S501" i="250" s="1"/>
  <c r="I498" i="250"/>
  <c r="I499" i="250"/>
  <c r="R501" i="250"/>
  <c r="G506" i="250"/>
  <c r="H506" i="250"/>
  <c r="H509" i="250" s="1"/>
  <c r="T509" i="250" s="1"/>
  <c r="I507" i="250"/>
  <c r="I508" i="250"/>
  <c r="R509" i="250"/>
  <c r="G515" i="250"/>
  <c r="G519" i="250" s="1"/>
  <c r="S519" i="250" s="1"/>
  <c r="H515" i="250"/>
  <c r="H519" i="250" s="1"/>
  <c r="T519" i="250" s="1"/>
  <c r="I516" i="250"/>
  <c r="I517" i="250"/>
  <c r="I518" i="250"/>
  <c r="R519" i="250"/>
  <c r="G524" i="250"/>
  <c r="G527" i="250" s="1"/>
  <c r="S527" i="250" s="1"/>
  <c r="H524" i="250"/>
  <c r="I525" i="250"/>
  <c r="I526" i="250"/>
  <c r="R527" i="250"/>
  <c r="H538" i="250"/>
  <c r="T538" i="250" s="1"/>
  <c r="T540" i="250" s="1"/>
  <c r="I533" i="250"/>
  <c r="I535" i="250"/>
  <c r="I536" i="250"/>
  <c r="R538" i="250"/>
  <c r="R540" i="250" s="1"/>
  <c r="G551" i="250"/>
  <c r="S547" i="250" s="1"/>
  <c r="S549" i="250" s="1"/>
  <c r="I549" i="250"/>
  <c r="I550" i="250"/>
  <c r="R547" i="250"/>
  <c r="R549" i="250" s="1"/>
  <c r="I552" i="250"/>
  <c r="I553" i="250"/>
  <c r="G564" i="250"/>
  <c r="S564" i="250" s="1"/>
  <c r="I560" i="250"/>
  <c r="I561" i="250"/>
  <c r="I562" i="250"/>
  <c r="R564" i="250"/>
  <c r="I570" i="250"/>
  <c r="I574" i="250"/>
  <c r="G576" i="250"/>
  <c r="S576" i="250" s="1"/>
  <c r="R576" i="250"/>
  <c r="H589" i="250"/>
  <c r="I587" i="250"/>
  <c r="I588" i="250"/>
  <c r="R589" i="250"/>
  <c r="I590" i="250"/>
  <c r="I591" i="250"/>
  <c r="V592" i="250"/>
  <c r="U592" i="250"/>
  <c r="G602" i="250"/>
  <c r="S602" i="250" s="1"/>
  <c r="I598" i="250"/>
  <c r="I600" i="250"/>
  <c r="R602" i="250"/>
  <c r="G607" i="250"/>
  <c r="G611" i="250" s="1"/>
  <c r="S611" i="250" s="1"/>
  <c r="S613" i="250" s="1"/>
  <c r="H607" i="250"/>
  <c r="H611" i="250" s="1"/>
  <c r="I608" i="250"/>
  <c r="I609" i="250"/>
  <c r="I610" i="250"/>
  <c r="R611" i="250"/>
  <c r="R613" i="250" s="1"/>
  <c r="G624" i="250"/>
  <c r="S624" i="250" s="1"/>
  <c r="I621" i="250"/>
  <c r="I623" i="250"/>
  <c r="R624" i="250"/>
  <c r="I625" i="250"/>
  <c r="I626" i="250"/>
  <c r="G627" i="250"/>
  <c r="H627" i="250"/>
  <c r="W627" i="250" s="1"/>
  <c r="U627" i="250"/>
  <c r="G632" i="250"/>
  <c r="G636" i="250" s="1"/>
  <c r="S631" i="250" s="1"/>
  <c r="S633" i="250" s="1"/>
  <c r="H632" i="250"/>
  <c r="H636" i="250" s="1"/>
  <c r="I633" i="250"/>
  <c r="I634" i="250"/>
  <c r="I635" i="250"/>
  <c r="R631" i="250"/>
  <c r="R633" i="250" s="1"/>
  <c r="G645" i="250"/>
  <c r="G649" i="250" s="1"/>
  <c r="S649" i="250" s="1"/>
  <c r="H645" i="250"/>
  <c r="I646" i="250"/>
  <c r="I647" i="250"/>
  <c r="I648" i="250"/>
  <c r="R649" i="250"/>
  <c r="I650" i="250"/>
  <c r="I651" i="250"/>
  <c r="G652" i="250"/>
  <c r="H652" i="250"/>
  <c r="W652" i="250" s="1"/>
  <c r="U652" i="250"/>
  <c r="G657" i="250"/>
  <c r="H657" i="250"/>
  <c r="H661" i="250" s="1"/>
  <c r="T661" i="250" s="1"/>
  <c r="I658" i="250"/>
  <c r="I659" i="250"/>
  <c r="I660" i="250"/>
  <c r="R661" i="250"/>
  <c r="G669" i="250"/>
  <c r="G673" i="250" s="1"/>
  <c r="S673" i="250" s="1"/>
  <c r="H669" i="250"/>
  <c r="H673" i="250" s="1"/>
  <c r="I670" i="250"/>
  <c r="I671" i="250"/>
  <c r="I672" i="250"/>
  <c r="R673" i="250"/>
  <c r="G684" i="250"/>
  <c r="S684" i="250" s="1"/>
  <c r="S686" i="250" s="1"/>
  <c r="I681" i="250"/>
  <c r="I682" i="250"/>
  <c r="I683" i="250"/>
  <c r="R684" i="250"/>
  <c r="R686" i="250" s="1"/>
  <c r="G695" i="250"/>
  <c r="G698" i="250" s="1"/>
  <c r="S698" i="250" s="1"/>
  <c r="H695" i="250"/>
  <c r="I696" i="250"/>
  <c r="I697" i="250"/>
  <c r="R698" i="250"/>
  <c r="G703" i="250"/>
  <c r="G707" i="250" s="1"/>
  <c r="S707" i="250" s="1"/>
  <c r="H703" i="250"/>
  <c r="I704" i="250"/>
  <c r="I705" i="250"/>
  <c r="I706" i="250"/>
  <c r="R707" i="250"/>
  <c r="G715" i="250"/>
  <c r="G718" i="250" s="1"/>
  <c r="S718" i="250" s="1"/>
  <c r="H715" i="250"/>
  <c r="I716" i="250"/>
  <c r="I717" i="250"/>
  <c r="R718" i="250"/>
  <c r="G723" i="250"/>
  <c r="G726" i="250" s="1"/>
  <c r="S726" i="250" s="1"/>
  <c r="H723" i="250"/>
  <c r="H726" i="250" s="1"/>
  <c r="R726" i="250"/>
  <c r="G737" i="250"/>
  <c r="S737" i="250" s="1"/>
  <c r="I733" i="250"/>
  <c r="I734" i="250"/>
  <c r="I735" i="250"/>
  <c r="I736" i="250"/>
  <c r="R737" i="250"/>
  <c r="I738" i="250"/>
  <c r="I739" i="250"/>
  <c r="G740" i="250"/>
  <c r="V740" i="250" s="1"/>
  <c r="H740" i="250"/>
  <c r="W740" i="250" s="1"/>
  <c r="U740" i="250"/>
  <c r="G749" i="250"/>
  <c r="S749" i="250" s="1"/>
  <c r="I746" i="250"/>
  <c r="I747" i="250"/>
  <c r="R749" i="250"/>
  <c r="G759" i="250"/>
  <c r="S759" i="250" s="1"/>
  <c r="I756" i="250"/>
  <c r="R759" i="250"/>
  <c r="G764" i="250"/>
  <c r="G767" i="250" s="1"/>
  <c r="S767" i="250" s="1"/>
  <c r="S769" i="250" s="1"/>
  <c r="H764" i="250"/>
  <c r="H767" i="250" s="1"/>
  <c r="T767" i="250" s="1"/>
  <c r="T769" i="250" s="1"/>
  <c r="I765" i="250"/>
  <c r="I766" i="250"/>
  <c r="R767" i="250"/>
  <c r="R769" i="250" s="1"/>
  <c r="I768" i="250"/>
  <c r="I769" i="250"/>
  <c r="R780" i="250"/>
  <c r="G790" i="250"/>
  <c r="S790" i="250" s="1"/>
  <c r="I786" i="250"/>
  <c r="I787" i="250"/>
  <c r="I788" i="250"/>
  <c r="R790" i="250"/>
  <c r="I791" i="250"/>
  <c r="I792" i="250"/>
  <c r="G793" i="250"/>
  <c r="V793" i="250" s="1"/>
  <c r="H793" i="250"/>
  <c r="U793" i="250"/>
  <c r="G798" i="250"/>
  <c r="G803" i="250" s="1"/>
  <c r="H798" i="250"/>
  <c r="I799" i="250"/>
  <c r="I800" i="250"/>
  <c r="I801" i="250"/>
  <c r="I802" i="250"/>
  <c r="J803" i="250"/>
  <c r="R797" i="250"/>
  <c r="R799" i="250" s="1"/>
  <c r="G815" i="250"/>
  <c r="G819" i="250" s="1"/>
  <c r="K819" i="250" s="1"/>
  <c r="H815" i="250"/>
  <c r="I816" i="250"/>
  <c r="I817" i="250"/>
  <c r="I818" i="250"/>
  <c r="J819" i="250"/>
  <c r="R819" i="250"/>
  <c r="G830" i="250"/>
  <c r="S830" i="250" s="1"/>
  <c r="H830" i="250"/>
  <c r="I826" i="250"/>
  <c r="I827" i="250"/>
  <c r="I829" i="250"/>
  <c r="R830" i="250"/>
  <c r="G842" i="250"/>
  <c r="S842" i="250" s="1"/>
  <c r="I839" i="250"/>
  <c r="I840" i="250"/>
  <c r="R842" i="250"/>
  <c r="G852" i="250"/>
  <c r="S852" i="250" s="1"/>
  <c r="H852" i="250"/>
  <c r="I848" i="250"/>
  <c r="I850" i="250"/>
  <c r="R852" i="250"/>
  <c r="G865" i="250"/>
  <c r="S865" i="250" s="1"/>
  <c r="I863" i="250"/>
  <c r="I864" i="250"/>
  <c r="R865" i="250"/>
  <c r="I866" i="250"/>
  <c r="I867" i="250"/>
  <c r="V868" i="250"/>
  <c r="W868" i="250"/>
  <c r="U868" i="250"/>
  <c r="I874" i="250"/>
  <c r="I875" i="250"/>
  <c r="G877" i="250"/>
  <c r="K877" i="250" s="1"/>
  <c r="J877" i="250"/>
  <c r="R877" i="250"/>
  <c r="G882" i="250"/>
  <c r="H882" i="250"/>
  <c r="H886" i="250" s="1"/>
  <c r="T886" i="250" s="1"/>
  <c r="I883" i="250"/>
  <c r="I884" i="250"/>
  <c r="I885" i="250"/>
  <c r="R886" i="250"/>
  <c r="I889" i="250"/>
  <c r="I890" i="250"/>
  <c r="V891" i="250"/>
  <c r="W891" i="250"/>
  <c r="U891" i="250"/>
  <c r="G896" i="250"/>
  <c r="G899" i="250" s="1"/>
  <c r="S899" i="250" s="1"/>
  <c r="H896" i="250"/>
  <c r="H899" i="250" s="1"/>
  <c r="I897" i="250"/>
  <c r="I898" i="250"/>
  <c r="F899" i="250"/>
  <c r="R899" i="250" s="1"/>
  <c r="G909" i="250"/>
  <c r="S909" i="250" s="1"/>
  <c r="S911" i="250" s="1"/>
  <c r="H909" i="250"/>
  <c r="I905" i="250"/>
  <c r="I906" i="250"/>
  <c r="I907" i="250"/>
  <c r="R909" i="250"/>
  <c r="R911" i="250" s="1"/>
  <c r="I910" i="250"/>
  <c r="I911" i="250"/>
  <c r="G917" i="250"/>
  <c r="H917" i="250"/>
  <c r="H923" i="250" s="1"/>
  <c r="I918" i="250"/>
  <c r="I919" i="250"/>
  <c r="I920" i="250"/>
  <c r="R923" i="250"/>
  <c r="G931" i="250"/>
  <c r="G936" i="250" s="1"/>
  <c r="S936" i="250" s="1"/>
  <c r="H931" i="250"/>
  <c r="H936" i="250" s="1"/>
  <c r="I932" i="250"/>
  <c r="I933" i="250"/>
  <c r="I935" i="250"/>
  <c r="R936" i="250"/>
  <c r="R938" i="250" s="1"/>
  <c r="I937" i="250"/>
  <c r="I938" i="250"/>
  <c r="G939" i="250"/>
  <c r="S937" i="250" s="1"/>
  <c r="H939" i="250"/>
  <c r="T937" i="250" s="1"/>
  <c r="G945" i="250"/>
  <c r="G948" i="250" s="1"/>
  <c r="S948" i="250" s="1"/>
  <c r="H945" i="250"/>
  <c r="H948" i="250" s="1"/>
  <c r="T948" i="250" s="1"/>
  <c r="I946" i="250"/>
  <c r="I947" i="250"/>
  <c r="F948" i="250"/>
  <c r="R948" i="250" s="1"/>
  <c r="I956" i="250"/>
  <c r="I957" i="250"/>
  <c r="F958" i="250"/>
  <c r="R958" i="250" s="1"/>
  <c r="G958" i="250"/>
  <c r="S958" i="250" s="1"/>
  <c r="H958" i="250"/>
  <c r="T958" i="250" s="1"/>
  <c r="I963" i="250"/>
  <c r="I964" i="250"/>
  <c r="F965" i="250"/>
  <c r="R965" i="250" s="1"/>
  <c r="I965" i="250"/>
  <c r="S965" i="250"/>
  <c r="T965" i="250"/>
  <c r="I970" i="250"/>
  <c r="I971" i="250"/>
  <c r="I972" i="250"/>
  <c r="R972" i="250"/>
  <c r="S972" i="250"/>
  <c r="T972" i="250"/>
  <c r="G977" i="250"/>
  <c r="G980" i="250" s="1"/>
  <c r="S980" i="250" s="1"/>
  <c r="H977" i="250"/>
  <c r="H980" i="250" s="1"/>
  <c r="T980" i="250" s="1"/>
  <c r="I978" i="250"/>
  <c r="I979" i="250"/>
  <c r="R980" i="250"/>
  <c r="G985" i="250"/>
  <c r="G988" i="250" s="1"/>
  <c r="S988" i="250" s="1"/>
  <c r="H985" i="250"/>
  <c r="H988" i="250" s="1"/>
  <c r="T988" i="250" s="1"/>
  <c r="I986" i="250"/>
  <c r="I987" i="250"/>
  <c r="F988" i="250"/>
  <c r="R988" i="250" s="1"/>
  <c r="I993" i="250"/>
  <c r="I994" i="250"/>
  <c r="I995" i="250"/>
  <c r="R995" i="250"/>
  <c r="S995" i="250"/>
  <c r="T995" i="250"/>
  <c r="G1001" i="250"/>
  <c r="G1004" i="250" s="1"/>
  <c r="H1001" i="250"/>
  <c r="H1004" i="250" s="1"/>
  <c r="T1004" i="250" s="1"/>
  <c r="I1002" i="250"/>
  <c r="I1003" i="250"/>
  <c r="R1004" i="250"/>
  <c r="I1010" i="250"/>
  <c r="F1012" i="250"/>
  <c r="R1012" i="250" s="1"/>
  <c r="I1012" i="250"/>
  <c r="S1012" i="250"/>
  <c r="T1012" i="250"/>
  <c r="I1021" i="250"/>
  <c r="I1022" i="250"/>
  <c r="I1024" i="250"/>
  <c r="R1020" i="250"/>
  <c r="R1022" i="250" s="1"/>
  <c r="S1020" i="250"/>
  <c r="S1022" i="250" s="1"/>
  <c r="T1020" i="250"/>
  <c r="T1022" i="250" s="1"/>
  <c r="G1036" i="250"/>
  <c r="G1039" i="250" s="1"/>
  <c r="S1039" i="250" s="1"/>
  <c r="H1036" i="250"/>
  <c r="H1039" i="250" s="1"/>
  <c r="T1039" i="250" s="1"/>
  <c r="I1037" i="250"/>
  <c r="I1038" i="250"/>
  <c r="R1039" i="250"/>
  <c r="G1044" i="250"/>
  <c r="G1047" i="250" s="1"/>
  <c r="S1047" i="250" s="1"/>
  <c r="H1044" i="250"/>
  <c r="H1047" i="250" s="1"/>
  <c r="I1045" i="250"/>
  <c r="I1046" i="250"/>
  <c r="R1047" i="250"/>
  <c r="G1052" i="250"/>
  <c r="G1055" i="250" s="1"/>
  <c r="H1052" i="250"/>
  <c r="H1055" i="250" s="1"/>
  <c r="T1055" i="250" s="1"/>
  <c r="I1053" i="250"/>
  <c r="I1054" i="250"/>
  <c r="F1055" i="250"/>
  <c r="R1055" i="250" s="1"/>
  <c r="G1060" i="250"/>
  <c r="G1064" i="250" s="1"/>
  <c r="S1064" i="250" s="1"/>
  <c r="H1060" i="250"/>
  <c r="I1061" i="250"/>
  <c r="I1062" i="250"/>
  <c r="I1063" i="250"/>
  <c r="F1064" i="250"/>
  <c r="R1064" i="250" s="1"/>
  <c r="G1069" i="250"/>
  <c r="G1072" i="250" s="1"/>
  <c r="H1069" i="250"/>
  <c r="H1072" i="250" s="1"/>
  <c r="T1072" i="250" s="1"/>
  <c r="I1070" i="250"/>
  <c r="I1071" i="250"/>
  <c r="F1072" i="250"/>
  <c r="R1072" i="250" s="1"/>
  <c r="G1077" i="250"/>
  <c r="G1080" i="250" s="1"/>
  <c r="H1077" i="250"/>
  <c r="H1080" i="250" s="1"/>
  <c r="T1080" i="250" s="1"/>
  <c r="I1078" i="250"/>
  <c r="I1079" i="250"/>
  <c r="F1080" i="250"/>
  <c r="R1080" i="250" s="1"/>
  <c r="G1085" i="250"/>
  <c r="G1089" i="250" s="1"/>
  <c r="H1085" i="250"/>
  <c r="H1089" i="250" s="1"/>
  <c r="T1089" i="250" s="1"/>
  <c r="I1086" i="250"/>
  <c r="I1087" i="250"/>
  <c r="I1088" i="250"/>
  <c r="R1089" i="250"/>
  <c r="G1094" i="250"/>
  <c r="G1097" i="250" s="1"/>
  <c r="H1094" i="250"/>
  <c r="H1097" i="250" s="1"/>
  <c r="T1097" i="250" s="1"/>
  <c r="I1095" i="250"/>
  <c r="I1096" i="250"/>
  <c r="F1097" i="250"/>
  <c r="R1097" i="250" s="1"/>
  <c r="G1102" i="250"/>
  <c r="G1105" i="250" s="1"/>
  <c r="H1102" i="250"/>
  <c r="H1105" i="250" s="1"/>
  <c r="T1105" i="250" s="1"/>
  <c r="I1103" i="250"/>
  <c r="I1104" i="250"/>
  <c r="F1105" i="250"/>
  <c r="R1105" i="250" s="1"/>
  <c r="G1114" i="250"/>
  <c r="H1114" i="250"/>
  <c r="T1114" i="250" s="1"/>
  <c r="I1111" i="250"/>
  <c r="I1112" i="250"/>
  <c r="R1114" i="250"/>
  <c r="G1119" i="250"/>
  <c r="G1122" i="250" s="1"/>
  <c r="S1122" i="250" s="1"/>
  <c r="H1119" i="250"/>
  <c r="H1122" i="250" s="1"/>
  <c r="T1122" i="250" s="1"/>
  <c r="I1120" i="250"/>
  <c r="I1121" i="250"/>
  <c r="F1122" i="250"/>
  <c r="R1122" i="250" s="1"/>
  <c r="G1131" i="250"/>
  <c r="S1131" i="250" s="1"/>
  <c r="H1131" i="250"/>
  <c r="I1128" i="250"/>
  <c r="I1129" i="250"/>
  <c r="R1131" i="250"/>
  <c r="R1133" i="250" s="1"/>
  <c r="I1132" i="250"/>
  <c r="I1133" i="250"/>
  <c r="G1134" i="250"/>
  <c r="S1132" i="250" s="1"/>
  <c r="H1134" i="250"/>
  <c r="T1132" i="250" s="1"/>
  <c r="G1139" i="250"/>
  <c r="G1142" i="250" s="1"/>
  <c r="H1139" i="250"/>
  <c r="H1142" i="250" s="1"/>
  <c r="T1142" i="250" s="1"/>
  <c r="I1140" i="250"/>
  <c r="I1141" i="250"/>
  <c r="R1142" i="250"/>
  <c r="G1151" i="250"/>
  <c r="S1151" i="250" s="1"/>
  <c r="H1151" i="250"/>
  <c r="I1148" i="250"/>
  <c r="I1149" i="250"/>
  <c r="F1151" i="250"/>
  <c r="R1151" i="250" s="1"/>
  <c r="G1159" i="250"/>
  <c r="G1162" i="250" s="1"/>
  <c r="S1162" i="250" s="1"/>
  <c r="H1159" i="250"/>
  <c r="H1162" i="250" s="1"/>
  <c r="I1160" i="250"/>
  <c r="I1161" i="250"/>
  <c r="F1162" i="250"/>
  <c r="R1162" i="250" s="1"/>
  <c r="G1170" i="250"/>
  <c r="G1173" i="250" s="1"/>
  <c r="S1173" i="250" s="1"/>
  <c r="H1170" i="250"/>
  <c r="H1173" i="250" s="1"/>
  <c r="I1171" i="250"/>
  <c r="I1172" i="250"/>
  <c r="F1173" i="250"/>
  <c r="R1173" i="250" s="1"/>
  <c r="G1185" i="250"/>
  <c r="G1189" i="250" s="1"/>
  <c r="S1189" i="250" s="1"/>
  <c r="H1185" i="250"/>
  <c r="H1189" i="250" s="1"/>
  <c r="I1186" i="250"/>
  <c r="I1187" i="250"/>
  <c r="F1189" i="250"/>
  <c r="R1189" i="250" s="1"/>
  <c r="H1198" i="250"/>
  <c r="I1195" i="250"/>
  <c r="I1197" i="250"/>
  <c r="F1198" i="250"/>
  <c r="R1198" i="250" s="1"/>
  <c r="R1200" i="250" s="1"/>
  <c r="I1209" i="250"/>
  <c r="F1211" i="250"/>
  <c r="R1211" i="250" s="1"/>
  <c r="I1211" i="250"/>
  <c r="S1211" i="250"/>
  <c r="T1211" i="250"/>
  <c r="G1217" i="250"/>
  <c r="G1221" i="250" s="1"/>
  <c r="S1221" i="250" s="1"/>
  <c r="H1217" i="250"/>
  <c r="F1221" i="250"/>
  <c r="R1221" i="250" s="1"/>
  <c r="G1231" i="250"/>
  <c r="H1231" i="250"/>
  <c r="T1231" i="250" s="1"/>
  <c r="I1228" i="250"/>
  <c r="I1229" i="250"/>
  <c r="F1231" i="250"/>
  <c r="R1231" i="250" s="1"/>
  <c r="T1249" i="250"/>
  <c r="J1249" i="250"/>
  <c r="R1250" i="250" l="1"/>
  <c r="R79" i="250"/>
  <c r="G923" i="250"/>
  <c r="S923" i="250" s="1"/>
  <c r="S1133" i="250"/>
  <c r="S938" i="250"/>
  <c r="S437" i="250"/>
  <c r="I1072" i="250"/>
  <c r="I1055" i="250"/>
  <c r="I1047" i="250"/>
  <c r="I1097" i="250"/>
  <c r="I1080" i="250"/>
  <c r="S1072" i="250"/>
  <c r="I1105" i="250"/>
  <c r="S1105" i="250"/>
  <c r="S1097" i="250"/>
  <c r="S1080" i="250"/>
  <c r="S1055" i="250"/>
  <c r="T1047" i="250"/>
  <c r="I1039" i="250"/>
  <c r="I1004" i="250"/>
  <c r="S1004" i="250"/>
  <c r="I988" i="250"/>
  <c r="I980" i="250"/>
  <c r="I592" i="250"/>
  <c r="I559" i="250"/>
  <c r="I457" i="250"/>
  <c r="I412" i="250"/>
  <c r="I150" i="250"/>
  <c r="I327" i="250"/>
  <c r="I636" i="250"/>
  <c r="I113" i="250"/>
  <c r="I1077" i="250"/>
  <c r="I985" i="250"/>
  <c r="I793" i="250"/>
  <c r="I1134" i="250"/>
  <c r="I1052" i="250"/>
  <c r="I1036" i="250"/>
  <c r="I1020" i="250"/>
  <c r="I196" i="250"/>
  <c r="I899" i="250"/>
  <c r="W793" i="250"/>
  <c r="I1151" i="250"/>
  <c r="I723" i="250"/>
  <c r="I1069" i="250"/>
  <c r="I931" i="250"/>
  <c r="I896" i="250"/>
  <c r="I847" i="250"/>
  <c r="I798" i="250"/>
  <c r="I726" i="250"/>
  <c r="I547" i="250"/>
  <c r="I379" i="250"/>
  <c r="I157" i="250"/>
  <c r="W592" i="250"/>
  <c r="R1249" i="250"/>
  <c r="I657" i="250"/>
  <c r="H461" i="250"/>
  <c r="I461" i="250" s="1"/>
  <c r="I44" i="250"/>
  <c r="I936" i="250"/>
  <c r="I70" i="250"/>
  <c r="L1249" i="250"/>
  <c r="I904" i="250"/>
  <c r="I882" i="250"/>
  <c r="I838" i="250"/>
  <c r="I770" i="250"/>
  <c r="I632" i="250"/>
  <c r="I597" i="250"/>
  <c r="I466" i="250"/>
  <c r="I435" i="250"/>
  <c r="I258" i="250"/>
  <c r="I50" i="250"/>
  <c r="I1189" i="250"/>
  <c r="I1185" i="250"/>
  <c r="I1060" i="250"/>
  <c r="I945" i="250"/>
  <c r="I917" i="250"/>
  <c r="I868" i="250"/>
  <c r="I861" i="250"/>
  <c r="I745" i="250"/>
  <c r="I703" i="250"/>
  <c r="I695" i="250"/>
  <c r="I679" i="250"/>
  <c r="I669" i="250"/>
  <c r="I607" i="250"/>
  <c r="H564" i="250"/>
  <c r="I564" i="250" s="1"/>
  <c r="I232" i="250"/>
  <c r="I99" i="250"/>
  <c r="I37" i="250"/>
  <c r="I1194" i="250"/>
  <c r="I909" i="250"/>
  <c r="I652" i="250"/>
  <c r="I977" i="250"/>
  <c r="H698" i="250"/>
  <c r="I698" i="250" s="1"/>
  <c r="T673" i="250"/>
  <c r="G661" i="250"/>
  <c r="I661" i="250" s="1"/>
  <c r="V652" i="250"/>
  <c r="H551" i="250"/>
  <c r="T547" i="250" s="1"/>
  <c r="T549" i="250" s="1"/>
  <c r="H383" i="250"/>
  <c r="T383" i="250" s="1"/>
  <c r="I87" i="250"/>
  <c r="I59" i="250"/>
  <c r="S91" i="250"/>
  <c r="I1173" i="250"/>
  <c r="T1173" i="250"/>
  <c r="T852" i="250"/>
  <c r="I852" i="250"/>
  <c r="H749" i="250"/>
  <c r="T749" i="250" s="1"/>
  <c r="H439" i="250"/>
  <c r="I439" i="250" s="1"/>
  <c r="H236" i="250"/>
  <c r="I236" i="250" s="1"/>
  <c r="T1189" i="250"/>
  <c r="S877" i="250"/>
  <c r="H602" i="250"/>
  <c r="I602" i="250" s="1"/>
  <c r="S50" i="250"/>
  <c r="S54" i="250" s="1"/>
  <c r="T1198" i="250"/>
  <c r="T1200" i="250" s="1"/>
  <c r="G1198" i="250"/>
  <c r="S1198" i="250" s="1"/>
  <c r="S1200" i="250" s="1"/>
  <c r="I1114" i="250"/>
  <c r="T923" i="250"/>
  <c r="G886" i="250"/>
  <c r="S886" i="250" s="1"/>
  <c r="S819" i="250"/>
  <c r="I740" i="250"/>
  <c r="T726" i="250"/>
  <c r="I554" i="250"/>
  <c r="U1250" i="250"/>
  <c r="I213" i="250"/>
  <c r="I122" i="250"/>
  <c r="T113" i="250"/>
  <c r="H91" i="250"/>
  <c r="T91" i="250" s="1"/>
  <c r="I104" i="250"/>
  <c r="I673" i="250"/>
  <c r="I1243" i="250"/>
  <c r="I1227" i="250"/>
  <c r="S1114" i="250"/>
  <c r="I939" i="250"/>
  <c r="I767" i="250"/>
  <c r="I764" i="250"/>
  <c r="T631" i="250"/>
  <c r="T633" i="250" s="1"/>
  <c r="I627" i="250"/>
  <c r="I488" i="250"/>
  <c r="I476" i="250"/>
  <c r="H471" i="250"/>
  <c r="I471" i="250" s="1"/>
  <c r="I442" i="250"/>
  <c r="I426" i="250"/>
  <c r="I167" i="250"/>
  <c r="S1249" i="250"/>
  <c r="I1249" i="250"/>
  <c r="K1249" i="250"/>
  <c r="S1231" i="250"/>
  <c r="I1231" i="250"/>
  <c r="S1142" i="250"/>
  <c r="I1142" i="250"/>
  <c r="T1162" i="250"/>
  <c r="I1162" i="250"/>
  <c r="I1131" i="250"/>
  <c r="T1131" i="250"/>
  <c r="T1133" i="250" s="1"/>
  <c r="S1089" i="250"/>
  <c r="I1089" i="250"/>
  <c r="T830" i="250"/>
  <c r="I830" i="250"/>
  <c r="I448" i="250"/>
  <c r="H451" i="250"/>
  <c r="G365" i="250"/>
  <c r="S365" i="250" s="1"/>
  <c r="I362" i="250"/>
  <c r="I298" i="250"/>
  <c r="I222" i="250"/>
  <c r="G227" i="250"/>
  <c r="T217" i="250"/>
  <c r="I217" i="250"/>
  <c r="I201" i="250"/>
  <c r="H205" i="250"/>
  <c r="T1151" i="250"/>
  <c r="T936" i="250"/>
  <c r="T938" i="250" s="1"/>
  <c r="S797" i="250"/>
  <c r="S799" i="250" s="1"/>
  <c r="K803" i="250"/>
  <c r="I755" i="250"/>
  <c r="H759" i="250"/>
  <c r="I611" i="250"/>
  <c r="T611" i="250"/>
  <c r="T613" i="250" s="1"/>
  <c r="I430" i="250"/>
  <c r="T430" i="250"/>
  <c r="I288" i="250"/>
  <c r="G292" i="250"/>
  <c r="I261" i="250"/>
  <c r="T261" i="250"/>
  <c r="I244" i="250"/>
  <c r="H250" i="250"/>
  <c r="S150" i="250"/>
  <c r="S104" i="250"/>
  <c r="H1064" i="250"/>
  <c r="I1044" i="250"/>
  <c r="I1001" i="250"/>
  <c r="I958" i="250"/>
  <c r="I948" i="250"/>
  <c r="I912" i="250"/>
  <c r="T909" i="250"/>
  <c r="T911" i="250" s="1"/>
  <c r="I873" i="250"/>
  <c r="H877" i="250"/>
  <c r="H842" i="250"/>
  <c r="V627" i="250"/>
  <c r="I620" i="250"/>
  <c r="H624" i="250"/>
  <c r="T589" i="250"/>
  <c r="G589" i="250"/>
  <c r="S589" i="250" s="1"/>
  <c r="I584" i="250"/>
  <c r="H492" i="250"/>
  <c r="T374" i="250"/>
  <c r="G348" i="250"/>
  <c r="S348" i="250" s="1"/>
  <c r="I344" i="250"/>
  <c r="G322" i="250"/>
  <c r="V322" i="250" s="1"/>
  <c r="I320" i="250"/>
  <c r="I276" i="250"/>
  <c r="G280" i="250"/>
  <c r="H271" i="250"/>
  <c r="I266" i="250"/>
  <c r="H172" i="250"/>
  <c r="I161" i="250"/>
  <c r="T161" i="250"/>
  <c r="G141" i="250"/>
  <c r="I141" i="250" s="1"/>
  <c r="I138" i="250"/>
  <c r="T122" i="250"/>
  <c r="G77" i="250"/>
  <c r="I569" i="250"/>
  <c r="H576" i="250"/>
  <c r="H1221" i="250"/>
  <c r="I1122" i="250"/>
  <c r="T899" i="250"/>
  <c r="I815" i="250"/>
  <c r="H819" i="250"/>
  <c r="H417" i="250"/>
  <c r="I891" i="250"/>
  <c r="I825" i="250"/>
  <c r="H803" i="250"/>
  <c r="I785" i="250"/>
  <c r="H790" i="250"/>
  <c r="I715" i="250"/>
  <c r="H718" i="250"/>
  <c r="I532" i="250"/>
  <c r="G538" i="250"/>
  <c r="I506" i="250"/>
  <c r="G509" i="250"/>
  <c r="T403" i="250"/>
  <c r="G403" i="250"/>
  <c r="S403" i="250" s="1"/>
  <c r="I399" i="250"/>
  <c r="I370" i="250"/>
  <c r="G374" i="250"/>
  <c r="S374" i="250" s="1"/>
  <c r="I314" i="250"/>
  <c r="G319" i="250"/>
  <c r="I63" i="250"/>
  <c r="H865" i="250"/>
  <c r="H780" i="250"/>
  <c r="H707" i="250"/>
  <c r="H684" i="250"/>
  <c r="H480" i="250"/>
  <c r="I389" i="250"/>
  <c r="H394" i="250"/>
  <c r="H28" i="250"/>
  <c r="I23" i="250"/>
  <c r="I731" i="250"/>
  <c r="H737" i="250"/>
  <c r="H649" i="250"/>
  <c r="I645" i="250"/>
  <c r="I524" i="250"/>
  <c r="H527" i="250"/>
  <c r="I519" i="250"/>
  <c r="I497" i="250"/>
  <c r="H501" i="250"/>
  <c r="T365" i="250"/>
  <c r="I353" i="250"/>
  <c r="H356" i="250"/>
  <c r="I335" i="250"/>
  <c r="H339" i="250"/>
  <c r="I330" i="250"/>
  <c r="I181" i="250"/>
  <c r="H184" i="250"/>
  <c r="T141" i="250"/>
  <c r="I129" i="250"/>
  <c r="H132" i="250"/>
  <c r="I749" i="250" l="1"/>
  <c r="I923" i="250"/>
  <c r="I551" i="250"/>
  <c r="T564" i="250"/>
  <c r="I322" i="250"/>
  <c r="T236" i="250"/>
  <c r="T602" i="250"/>
  <c r="T698" i="250"/>
  <c r="T461" i="250"/>
  <c r="S661" i="250"/>
  <c r="I348" i="250"/>
  <c r="I365" i="250"/>
  <c r="I383" i="250"/>
  <c r="I403" i="250"/>
  <c r="V1250" i="250"/>
  <c r="W1250" i="250"/>
  <c r="T471" i="250"/>
  <c r="T435" i="250"/>
  <c r="T437" i="250" s="1"/>
  <c r="I886" i="250"/>
  <c r="I1198" i="250"/>
  <c r="I91" i="250"/>
  <c r="T356" i="250"/>
  <c r="I356" i="250"/>
  <c r="T501" i="250"/>
  <c r="I501" i="250"/>
  <c r="T394" i="250"/>
  <c r="I394" i="250"/>
  <c r="I707" i="250"/>
  <c r="T707" i="250"/>
  <c r="S319" i="250"/>
  <c r="I319" i="250"/>
  <c r="S509" i="250"/>
  <c r="I509" i="250"/>
  <c r="T790" i="250"/>
  <c r="I790" i="250"/>
  <c r="T819" i="250"/>
  <c r="L819" i="250"/>
  <c r="I819" i="250"/>
  <c r="T1221" i="250"/>
  <c r="S280" i="250"/>
  <c r="I280" i="250"/>
  <c r="T250" i="250"/>
  <c r="I250" i="250"/>
  <c r="S292" i="250"/>
  <c r="I292" i="250"/>
  <c r="I759" i="250"/>
  <c r="T759" i="250"/>
  <c r="T132" i="250"/>
  <c r="I132" i="250"/>
  <c r="T184" i="250"/>
  <c r="I184" i="250"/>
  <c r="T339" i="250"/>
  <c r="I339" i="250"/>
  <c r="T780" i="250"/>
  <c r="T576" i="250"/>
  <c r="I576" i="250"/>
  <c r="I172" i="250"/>
  <c r="T172" i="250"/>
  <c r="T174" i="250" s="1"/>
  <c r="T1064" i="250"/>
  <c r="I1064" i="250"/>
  <c r="T649" i="250"/>
  <c r="I649" i="250"/>
  <c r="T28" i="250"/>
  <c r="I28" i="250"/>
  <c r="I480" i="250"/>
  <c r="T480" i="250"/>
  <c r="T865" i="250"/>
  <c r="I865" i="250"/>
  <c r="S538" i="250"/>
  <c r="S540" i="250" s="1"/>
  <c r="I538" i="250"/>
  <c r="T718" i="250"/>
  <c r="I718" i="250"/>
  <c r="T797" i="250"/>
  <c r="T799" i="250" s="1"/>
  <c r="I803" i="250"/>
  <c r="L803" i="250"/>
  <c r="I417" i="250"/>
  <c r="T412" i="250"/>
  <c r="T414" i="250" s="1"/>
  <c r="K141" i="250"/>
  <c r="S141" i="250"/>
  <c r="I374" i="250"/>
  <c r="I492" i="250"/>
  <c r="T492" i="250"/>
  <c r="I589" i="250"/>
  <c r="I842" i="250"/>
  <c r="T842" i="250"/>
  <c r="T205" i="250"/>
  <c r="I205" i="250"/>
  <c r="S227" i="250"/>
  <c r="I227" i="250"/>
  <c r="S304" i="250"/>
  <c r="S306" i="250" s="1"/>
  <c r="I304" i="250"/>
  <c r="T451" i="250"/>
  <c r="I451" i="250"/>
  <c r="T527" i="250"/>
  <c r="I527" i="250"/>
  <c r="T737" i="250"/>
  <c r="I737" i="250"/>
  <c r="I684" i="250"/>
  <c r="T684" i="250"/>
  <c r="T686" i="250" s="1"/>
  <c r="I77" i="250"/>
  <c r="S77" i="250"/>
  <c r="S79" i="250" s="1"/>
  <c r="T271" i="250"/>
  <c r="I271" i="250"/>
  <c r="T624" i="250"/>
  <c r="I624" i="250"/>
  <c r="L877" i="250"/>
  <c r="I877" i="250"/>
  <c r="T877" i="250"/>
  <c r="T1250" i="250" l="1"/>
  <c r="U1252" i="250" s="1"/>
  <c r="I294" i="20" l="1"/>
  <c r="H294" i="20"/>
  <c r="H293" i="20"/>
  <c r="G294" i="20"/>
  <c r="G293" i="20"/>
  <c r="E294" i="20"/>
  <c r="D294" i="20"/>
  <c r="C294" i="20"/>
  <c r="H9" i="249"/>
  <c r="H10" i="249"/>
  <c r="H13" i="249"/>
  <c r="H14" i="249"/>
  <c r="H15" i="249"/>
  <c r="F26" i="249"/>
  <c r="H17" i="249"/>
  <c r="H19" i="249"/>
  <c r="H20" i="249"/>
  <c r="H21" i="249"/>
  <c r="G26" i="249"/>
  <c r="E293" i="20" s="1"/>
  <c r="J25" i="249"/>
  <c r="J30" i="249" s="1"/>
  <c r="K25" i="249"/>
  <c r="K30" i="249" s="1"/>
  <c r="L25" i="249"/>
  <c r="L30" i="249" s="1"/>
  <c r="I263" i="20"/>
  <c r="I261" i="20" s="1"/>
  <c r="I260" i="20" s="1"/>
  <c r="H263" i="20"/>
  <c r="H261" i="20" s="1"/>
  <c r="H260" i="20" s="1"/>
  <c r="G263" i="20"/>
  <c r="G261" i="20" s="1"/>
  <c r="G260" i="20" s="1"/>
  <c r="E14" i="248"/>
  <c r="E50" i="248" s="1"/>
  <c r="C262" i="20" s="1"/>
  <c r="F14" i="248"/>
  <c r="F50" i="248" s="1"/>
  <c r="D262" i="20" s="1"/>
  <c r="G14" i="248"/>
  <c r="G50" i="248" s="1"/>
  <c r="E262" i="20" s="1"/>
  <c r="C263" i="20"/>
  <c r="D263" i="20"/>
  <c r="K48" i="248"/>
  <c r="K55" i="248" s="1"/>
  <c r="L48" i="248"/>
  <c r="L55" i="248" s="1"/>
  <c r="I157" i="20"/>
  <c r="I158" i="20"/>
  <c r="H157" i="20"/>
  <c r="H158" i="20"/>
  <c r="G157" i="20"/>
  <c r="G158" i="20"/>
  <c r="I151" i="20"/>
  <c r="I152" i="20"/>
  <c r="I153" i="20"/>
  <c r="H151" i="20"/>
  <c r="H152" i="20"/>
  <c r="H153" i="20"/>
  <c r="G151" i="20"/>
  <c r="G152" i="20"/>
  <c r="G153" i="20"/>
  <c r="H15" i="247"/>
  <c r="H16" i="247"/>
  <c r="H20" i="247"/>
  <c r="F165" i="247"/>
  <c r="G165" i="247"/>
  <c r="E150" i="20" s="1"/>
  <c r="H37" i="247"/>
  <c r="H38" i="247"/>
  <c r="C150" i="20"/>
  <c r="J164" i="247"/>
  <c r="K164" i="247"/>
  <c r="I150" i="20"/>
  <c r="G155" i="20"/>
  <c r="I155" i="20"/>
  <c r="G156" i="20"/>
  <c r="H156" i="20"/>
  <c r="I143" i="20"/>
  <c r="I144" i="20"/>
  <c r="I145" i="20"/>
  <c r="H143" i="20"/>
  <c r="H144" i="20"/>
  <c r="H145" i="20"/>
  <c r="G143" i="20"/>
  <c r="G144" i="20"/>
  <c r="G145" i="20"/>
  <c r="H142" i="20"/>
  <c r="I142" i="20"/>
  <c r="G142" i="20"/>
  <c r="E144" i="20"/>
  <c r="E145" i="20"/>
  <c r="D144" i="20"/>
  <c r="D145" i="20"/>
  <c r="C144" i="20"/>
  <c r="C145" i="20"/>
  <c r="H14" i="246"/>
  <c r="H15" i="246"/>
  <c r="H16" i="246"/>
  <c r="H17" i="246"/>
  <c r="H19" i="246"/>
  <c r="H20" i="246"/>
  <c r="H21" i="246"/>
  <c r="H24" i="246"/>
  <c r="E25" i="246"/>
  <c r="F25" i="246"/>
  <c r="G25" i="246"/>
  <c r="H26" i="246"/>
  <c r="H27" i="246"/>
  <c r="H28" i="246"/>
  <c r="H29" i="246"/>
  <c r="H31" i="246"/>
  <c r="F40" i="246"/>
  <c r="F101" i="246" s="1"/>
  <c r="F200" i="246" s="1"/>
  <c r="G40" i="246"/>
  <c r="G101" i="246" s="1"/>
  <c r="G200" i="246" s="1"/>
  <c r="H41" i="246"/>
  <c r="H42" i="246"/>
  <c r="H43" i="246"/>
  <c r="H44" i="246"/>
  <c r="H45" i="246"/>
  <c r="H46" i="246"/>
  <c r="H53" i="246"/>
  <c r="H55" i="246"/>
  <c r="H57" i="246"/>
  <c r="H61" i="246"/>
  <c r="H63" i="246"/>
  <c r="H64" i="246"/>
  <c r="F65" i="246"/>
  <c r="G65" i="246"/>
  <c r="H67" i="246"/>
  <c r="H68" i="246"/>
  <c r="F72" i="246"/>
  <c r="G72" i="246"/>
  <c r="H73" i="246"/>
  <c r="H74" i="246"/>
  <c r="H75" i="246"/>
  <c r="H76" i="246"/>
  <c r="H77" i="246"/>
  <c r="H78" i="246"/>
  <c r="E79" i="246"/>
  <c r="F79" i="246"/>
  <c r="G79" i="246"/>
  <c r="H80" i="246"/>
  <c r="H81" i="246"/>
  <c r="H82" i="246"/>
  <c r="H85" i="246"/>
  <c r="H86" i="246"/>
  <c r="H88" i="246"/>
  <c r="H91" i="246"/>
  <c r="H92" i="246"/>
  <c r="H96" i="246"/>
  <c r="H97" i="246"/>
  <c r="H98" i="246"/>
  <c r="H99" i="246"/>
  <c r="H100" i="246"/>
  <c r="H110" i="246"/>
  <c r="H111" i="246"/>
  <c r="G201" i="246"/>
  <c r="E201" i="246"/>
  <c r="C143" i="20" s="1"/>
  <c r="R149" i="20" s="1"/>
  <c r="R157" i="20" l="1"/>
  <c r="R151" i="20"/>
  <c r="R150" i="20"/>
  <c r="R293" i="20"/>
  <c r="F164" i="247"/>
  <c r="D150" i="20"/>
  <c r="E26" i="249"/>
  <c r="T292" i="20"/>
  <c r="E200" i="246"/>
  <c r="E199" i="246" s="1"/>
  <c r="E207" i="246" s="1"/>
  <c r="D260" i="20"/>
  <c r="D261" i="20"/>
  <c r="I141" i="20"/>
  <c r="I140" i="20" s="1"/>
  <c r="C261" i="20"/>
  <c r="C260" i="20"/>
  <c r="C310" i="20" s="1"/>
  <c r="C16" i="31" s="1"/>
  <c r="S293" i="20"/>
  <c r="E260" i="20"/>
  <c r="H14" i="248"/>
  <c r="H141" i="20"/>
  <c r="H140" i="20" s="1"/>
  <c r="G141" i="20"/>
  <c r="G140" i="20" s="1"/>
  <c r="L171" i="247"/>
  <c r="K171" i="247"/>
  <c r="K179" i="247" s="1"/>
  <c r="H150" i="20"/>
  <c r="H149" i="20" s="1"/>
  <c r="L164" i="247"/>
  <c r="H40" i="246"/>
  <c r="H30" i="246"/>
  <c r="H112" i="246"/>
  <c r="D143" i="20"/>
  <c r="S149" i="20" s="1"/>
  <c r="H65" i="246"/>
  <c r="F25" i="249"/>
  <c r="F30" i="249" s="1"/>
  <c r="D293" i="20"/>
  <c r="S292" i="20" s="1"/>
  <c r="H155" i="20"/>
  <c r="H154" i="20" s="1"/>
  <c r="H306" i="20" s="1"/>
  <c r="F48" i="248"/>
  <c r="F55" i="248" s="1"/>
  <c r="J171" i="247"/>
  <c r="J179" i="247" s="1"/>
  <c r="I156" i="20"/>
  <c r="I154" i="20" s="1"/>
  <c r="I306" i="20" s="1"/>
  <c r="E263" i="20"/>
  <c r="T293" i="20" s="1"/>
  <c r="H16" i="249"/>
  <c r="H72" i="246"/>
  <c r="H79" i="246"/>
  <c r="H60" i="246"/>
  <c r="H25" i="246"/>
  <c r="E164" i="247"/>
  <c r="G150" i="20"/>
  <c r="G149" i="20" s="1"/>
  <c r="H54" i="246"/>
  <c r="H22" i="246"/>
  <c r="E143" i="20"/>
  <c r="T149" i="20" s="1"/>
  <c r="H22" i="247"/>
  <c r="H36" i="247"/>
  <c r="C149" i="20"/>
  <c r="E149" i="20"/>
  <c r="G154" i="20"/>
  <c r="G306" i="20" s="1"/>
  <c r="I149" i="20"/>
  <c r="G25" i="249"/>
  <c r="H26" i="249"/>
  <c r="H22" i="249"/>
  <c r="E48" i="248"/>
  <c r="E55" i="248" s="1"/>
  <c r="G48" i="248"/>
  <c r="G55" i="248" s="1"/>
  <c r="H50" i="248"/>
  <c r="G164" i="247"/>
  <c r="H165" i="247"/>
  <c r="H18" i="246"/>
  <c r="S157" i="20" l="1"/>
  <c r="T157" i="20"/>
  <c r="T295" i="20"/>
  <c r="E25" i="249"/>
  <c r="E30" i="249" s="1"/>
  <c r="C293" i="20"/>
  <c r="R292" i="20" s="1"/>
  <c r="R295" i="20" s="1"/>
  <c r="E261" i="20"/>
  <c r="F261" i="20" s="1"/>
  <c r="S295" i="20"/>
  <c r="G147" i="20"/>
  <c r="I147" i="20"/>
  <c r="H147" i="20"/>
  <c r="H51" i="247"/>
  <c r="L179" i="247"/>
  <c r="F199" i="246"/>
  <c r="F207" i="246" s="1"/>
  <c r="H201" i="246"/>
  <c r="F143" i="20"/>
  <c r="D142" i="20"/>
  <c r="C142" i="20"/>
  <c r="F150" i="20"/>
  <c r="D149" i="20"/>
  <c r="G30" i="249"/>
  <c r="H30" i="249" s="1"/>
  <c r="H25" i="249"/>
  <c r="H55" i="248"/>
  <c r="H48" i="248"/>
  <c r="H46" i="247"/>
  <c r="H164" i="247"/>
  <c r="G199" i="246"/>
  <c r="H101" i="246"/>
  <c r="D141" i="20" l="1"/>
  <c r="D140" i="20" s="1"/>
  <c r="F149" i="20"/>
  <c r="C141" i="20"/>
  <c r="C140" i="20" s="1"/>
  <c r="H199" i="246"/>
  <c r="G207" i="246"/>
  <c r="E142" i="20"/>
  <c r="F156" i="20"/>
  <c r="H173" i="247"/>
  <c r="H200" i="246"/>
  <c r="E141" i="20" l="1"/>
  <c r="F141" i="20" s="1"/>
  <c r="H207" i="246"/>
  <c r="E140" i="20" l="1"/>
  <c r="H11" i="245"/>
  <c r="H12" i="245"/>
  <c r="H15" i="245"/>
  <c r="H16" i="245"/>
  <c r="H17" i="245"/>
  <c r="H18" i="245"/>
  <c r="H25" i="245"/>
  <c r="H26" i="245"/>
  <c r="H33" i="245"/>
  <c r="H34" i="245"/>
  <c r="H37" i="245"/>
  <c r="H38" i="245"/>
  <c r="H39" i="245"/>
  <c r="H40" i="245"/>
  <c r="H53" i="245"/>
  <c r="H54" i="245"/>
  <c r="H63" i="245"/>
  <c r="H82" i="245"/>
  <c r="H83" i="245"/>
  <c r="H86" i="245"/>
  <c r="H87" i="245"/>
  <c r="H92" i="245"/>
  <c r="H93" i="245"/>
  <c r="H96" i="245"/>
  <c r="H98" i="245"/>
  <c r="H99" i="245"/>
  <c r="H103" i="245"/>
  <c r="H104" i="245"/>
  <c r="H105" i="245"/>
  <c r="H108" i="245"/>
  <c r="E210" i="245"/>
  <c r="F210" i="245"/>
  <c r="D136" i="20" s="1"/>
  <c r="H121" i="245"/>
  <c r="H122" i="245"/>
  <c r="H123" i="245"/>
  <c r="H124" i="245"/>
  <c r="H125" i="245"/>
  <c r="H126" i="245"/>
  <c r="H127" i="245"/>
  <c r="H130" i="245"/>
  <c r="H131" i="245"/>
  <c r="H136" i="245"/>
  <c r="H137" i="245"/>
  <c r="H142" i="245"/>
  <c r="H143" i="245"/>
  <c r="H148" i="245"/>
  <c r="H149" i="245"/>
  <c r="H154" i="245"/>
  <c r="H155" i="245"/>
  <c r="H164" i="245"/>
  <c r="H165" i="245"/>
  <c r="H169" i="245"/>
  <c r="H181" i="245"/>
  <c r="H182" i="245"/>
  <c r="H183" i="245"/>
  <c r="H184" i="245"/>
  <c r="H187" i="245"/>
  <c r="H188" i="245"/>
  <c r="H189" i="245"/>
  <c r="H190" i="245"/>
  <c r="H191" i="245"/>
  <c r="H192" i="245"/>
  <c r="H193" i="245"/>
  <c r="H194" i="245"/>
  <c r="H197" i="245"/>
  <c r="H198" i="245"/>
  <c r="J210" i="245"/>
  <c r="G136" i="20" s="1"/>
  <c r="K210" i="245"/>
  <c r="H136" i="20" s="1"/>
  <c r="L210" i="245"/>
  <c r="I136" i="20" s="1"/>
  <c r="J211" i="245"/>
  <c r="G137" i="20" s="1"/>
  <c r="K211" i="245"/>
  <c r="H137" i="20" s="1"/>
  <c r="L211" i="245"/>
  <c r="I137" i="20" s="1"/>
  <c r="H134" i="20"/>
  <c r="I134" i="20"/>
  <c r="G134" i="20"/>
  <c r="E11" i="244"/>
  <c r="E15" i="244" s="1"/>
  <c r="C134" i="20" s="1"/>
  <c r="F11" i="244"/>
  <c r="F15" i="244" s="1"/>
  <c r="D134" i="20" s="1"/>
  <c r="G11" i="244"/>
  <c r="G15" i="244" s="1"/>
  <c r="E134" i="20" s="1"/>
  <c r="I130" i="20"/>
  <c r="I131" i="20"/>
  <c r="M155" i="20" s="1"/>
  <c r="I132" i="20"/>
  <c r="M156" i="20" s="1"/>
  <c r="H130" i="20"/>
  <c r="H131" i="20"/>
  <c r="L155" i="20" s="1"/>
  <c r="H132" i="20"/>
  <c r="L156" i="20" s="1"/>
  <c r="H129" i="20"/>
  <c r="I129" i="20"/>
  <c r="M153" i="20" s="1"/>
  <c r="G130" i="20"/>
  <c r="G131" i="20"/>
  <c r="K155" i="20" s="1"/>
  <c r="G132" i="20"/>
  <c r="K156" i="20" s="1"/>
  <c r="G129" i="20"/>
  <c r="E201" i="242"/>
  <c r="H11" i="242"/>
  <c r="H12" i="242"/>
  <c r="F14" i="242"/>
  <c r="G14" i="242"/>
  <c r="H15" i="242"/>
  <c r="H17" i="242"/>
  <c r="H28" i="242"/>
  <c r="H29" i="242"/>
  <c r="H30" i="242"/>
  <c r="H32" i="242"/>
  <c r="H33" i="242"/>
  <c r="H34" i="242"/>
  <c r="H35" i="242"/>
  <c r="E51" i="242"/>
  <c r="F51" i="242"/>
  <c r="G51" i="242"/>
  <c r="H49" i="242"/>
  <c r="H50" i="242"/>
  <c r="E56" i="242"/>
  <c r="E59" i="242" s="1"/>
  <c r="G74" i="242"/>
  <c r="H69" i="242"/>
  <c r="H70" i="242"/>
  <c r="H80" i="242"/>
  <c r="H81" i="242"/>
  <c r="G87" i="242"/>
  <c r="H85" i="242"/>
  <c r="E87" i="242"/>
  <c r="J200" i="242"/>
  <c r="K200" i="242"/>
  <c r="D125" i="20"/>
  <c r="E125" i="20"/>
  <c r="J207" i="242"/>
  <c r="K207" i="242"/>
  <c r="K215" i="242" s="1"/>
  <c r="L207" i="242"/>
  <c r="J65" i="241"/>
  <c r="K65" i="241"/>
  <c r="L65" i="241"/>
  <c r="I106" i="20"/>
  <c r="I107" i="20"/>
  <c r="I108" i="20"/>
  <c r="H106" i="20"/>
  <c r="H107" i="20"/>
  <c r="H108" i="20"/>
  <c r="H105" i="20"/>
  <c r="I105" i="20"/>
  <c r="G106" i="20"/>
  <c r="G107" i="20"/>
  <c r="G108" i="20"/>
  <c r="G105" i="20"/>
  <c r="I101" i="20"/>
  <c r="I102" i="20"/>
  <c r="I103" i="20"/>
  <c r="H101" i="20"/>
  <c r="H102" i="20"/>
  <c r="H103" i="20"/>
  <c r="H100" i="20"/>
  <c r="I100" i="20"/>
  <c r="G101" i="20"/>
  <c r="G102" i="20"/>
  <c r="G103" i="20"/>
  <c r="G100" i="20"/>
  <c r="H10" i="240"/>
  <c r="H13" i="240"/>
  <c r="H18" i="240"/>
  <c r="E109" i="240"/>
  <c r="C100" i="20" s="1"/>
  <c r="F109" i="240"/>
  <c r="D100" i="20" s="1"/>
  <c r="E31" i="240"/>
  <c r="G31" i="240"/>
  <c r="G110" i="240" s="1"/>
  <c r="E101" i="20" s="1"/>
  <c r="H27" i="240"/>
  <c r="H41" i="240"/>
  <c r="E63" i="240"/>
  <c r="H57" i="240"/>
  <c r="H60" i="240"/>
  <c r="H61" i="240"/>
  <c r="J108" i="240"/>
  <c r="K108" i="240"/>
  <c r="L108" i="240"/>
  <c r="J114" i="240"/>
  <c r="K114" i="240"/>
  <c r="D108" i="20"/>
  <c r="E108" i="20"/>
  <c r="H12" i="239"/>
  <c r="H13" i="239"/>
  <c r="H16" i="239"/>
  <c r="F17" i="239"/>
  <c r="G17" i="239"/>
  <c r="H18" i="239"/>
  <c r="H19" i="239"/>
  <c r="F20" i="239"/>
  <c r="G20" i="239"/>
  <c r="H21" i="239"/>
  <c r="H22" i="239"/>
  <c r="E23" i="239"/>
  <c r="E69" i="239" s="1"/>
  <c r="F23" i="239"/>
  <c r="G23" i="239"/>
  <c r="H24" i="239"/>
  <c r="H26" i="239"/>
  <c r="H31" i="239"/>
  <c r="H38" i="239"/>
  <c r="H40" i="239"/>
  <c r="H46" i="239"/>
  <c r="H47" i="239"/>
  <c r="H50" i="239"/>
  <c r="H53" i="239"/>
  <c r="H55" i="239"/>
  <c r="H57" i="239"/>
  <c r="F58" i="239"/>
  <c r="G58" i="239"/>
  <c r="H59" i="239"/>
  <c r="H60" i="239"/>
  <c r="H61" i="239"/>
  <c r="H62" i="239"/>
  <c r="H63" i="239"/>
  <c r="H64" i="239"/>
  <c r="H65" i="239"/>
  <c r="H66" i="239"/>
  <c r="E82" i="239"/>
  <c r="F82" i="239"/>
  <c r="H78" i="239"/>
  <c r="H79" i="239"/>
  <c r="H89" i="239"/>
  <c r="H90" i="239"/>
  <c r="E93" i="239"/>
  <c r="F93" i="239"/>
  <c r="E104" i="239"/>
  <c r="F104" i="239"/>
  <c r="G104" i="239"/>
  <c r="H100" i="239"/>
  <c r="H101" i="239"/>
  <c r="F116" i="239"/>
  <c r="H112" i="239"/>
  <c r="H113" i="239"/>
  <c r="E127" i="239"/>
  <c r="F127" i="239"/>
  <c r="G127" i="239"/>
  <c r="H123" i="239"/>
  <c r="H124" i="239"/>
  <c r="E138" i="239"/>
  <c r="F138" i="239"/>
  <c r="G138" i="239"/>
  <c r="H134" i="239"/>
  <c r="H135" i="239"/>
  <c r="E161" i="239"/>
  <c r="F161" i="239"/>
  <c r="H149" i="239"/>
  <c r="H150" i="239"/>
  <c r="H151" i="239"/>
  <c r="H152" i="239"/>
  <c r="F174" i="239"/>
  <c r="H170" i="239"/>
  <c r="H171" i="239"/>
  <c r="E185" i="239"/>
  <c r="F181" i="239"/>
  <c r="F183" i="239" s="1"/>
  <c r="G181" i="239"/>
  <c r="G183" i="239" s="1"/>
  <c r="H182" i="239"/>
  <c r="E196" i="239"/>
  <c r="F196" i="239"/>
  <c r="G196" i="239"/>
  <c r="H192" i="239"/>
  <c r="H193" i="239"/>
  <c r="E207" i="239"/>
  <c r="H203" i="239"/>
  <c r="H204" i="239"/>
  <c r="E221" i="239"/>
  <c r="F221" i="239"/>
  <c r="H214" i="239"/>
  <c r="H215" i="239"/>
  <c r="H217" i="239"/>
  <c r="H218" i="239"/>
  <c r="E238" i="239"/>
  <c r="F230" i="239"/>
  <c r="F236" i="239" s="1"/>
  <c r="G230" i="239"/>
  <c r="G236" i="239" s="1"/>
  <c r="H232" i="239"/>
  <c r="H233" i="239"/>
  <c r="H234" i="239"/>
  <c r="H235" i="239"/>
  <c r="H245" i="239"/>
  <c r="H246" i="239"/>
  <c r="H260" i="239"/>
  <c r="H261" i="239"/>
  <c r="H262" i="239"/>
  <c r="H263" i="239"/>
  <c r="E277" i="239"/>
  <c r="F277" i="239"/>
  <c r="H273" i="239"/>
  <c r="H274" i="239"/>
  <c r="E288" i="239"/>
  <c r="F288" i="239"/>
  <c r="H284" i="239"/>
  <c r="H285" i="239"/>
  <c r="H295" i="239"/>
  <c r="H296" i="239"/>
  <c r="H306" i="239"/>
  <c r="H307" i="239"/>
  <c r="E310" i="239"/>
  <c r="F310" i="239"/>
  <c r="E321" i="239"/>
  <c r="F321" i="239"/>
  <c r="H317" i="239"/>
  <c r="H318" i="239"/>
  <c r="H328" i="239"/>
  <c r="H329" i="239"/>
  <c r="E343" i="239"/>
  <c r="F343" i="239"/>
  <c r="H339" i="239"/>
  <c r="H340" i="239"/>
  <c r="H350" i="239"/>
  <c r="H351" i="239"/>
  <c r="E365" i="239"/>
  <c r="H361" i="239"/>
  <c r="H362" i="239"/>
  <c r="E376" i="239"/>
  <c r="F376" i="239"/>
  <c r="G376" i="239"/>
  <c r="H372" i="239"/>
  <c r="H373" i="239"/>
  <c r="E391" i="239"/>
  <c r="F393" i="239"/>
  <c r="H388" i="239"/>
  <c r="H389" i="239"/>
  <c r="H390" i="239"/>
  <c r="H404" i="239"/>
  <c r="H405" i="239"/>
  <c r="H406" i="239"/>
  <c r="H407" i="239"/>
  <c r="J495" i="239"/>
  <c r="L495" i="239"/>
  <c r="J502" i="239"/>
  <c r="S503" i="239"/>
  <c r="S108" i="20" l="1"/>
  <c r="L153" i="20"/>
  <c r="T108" i="20"/>
  <c r="K153" i="20"/>
  <c r="M154" i="20"/>
  <c r="L215" i="242"/>
  <c r="J215" i="242"/>
  <c r="J510" i="239"/>
  <c r="G69" i="239"/>
  <c r="F69" i="239"/>
  <c r="C87" i="20"/>
  <c r="C86" i="20" s="1"/>
  <c r="H23" i="239"/>
  <c r="L154" i="20"/>
  <c r="J414" i="239"/>
  <c r="G408" i="239"/>
  <c r="G410" i="239" s="1"/>
  <c r="E95" i="20"/>
  <c r="F408" i="239"/>
  <c r="K414" i="239" s="1"/>
  <c r="D95" i="20"/>
  <c r="K154" i="20"/>
  <c r="C136" i="20"/>
  <c r="E208" i="245"/>
  <c r="L208" i="245"/>
  <c r="L216" i="245" s="1"/>
  <c r="H168" i="245"/>
  <c r="H109" i="245"/>
  <c r="H14" i="242"/>
  <c r="G61" i="242"/>
  <c r="E61" i="242"/>
  <c r="H84" i="242"/>
  <c r="H31" i="242"/>
  <c r="J75" i="241"/>
  <c r="K122" i="240"/>
  <c r="E106" i="20"/>
  <c r="T106" i="20" s="1"/>
  <c r="J122" i="240"/>
  <c r="E65" i="240"/>
  <c r="J63" i="240" s="1"/>
  <c r="E116" i="240"/>
  <c r="C106" i="20" s="1"/>
  <c r="D106" i="20"/>
  <c r="S113" i="20" s="1"/>
  <c r="L122" i="240"/>
  <c r="F45" i="240"/>
  <c r="E45" i="240"/>
  <c r="K510" i="239"/>
  <c r="K513" i="239" s="1"/>
  <c r="E393" i="239"/>
  <c r="F266" i="239"/>
  <c r="E266" i="239"/>
  <c r="D87" i="20"/>
  <c r="F207" i="239"/>
  <c r="H211" i="242"/>
  <c r="H16" i="242"/>
  <c r="K208" i="245"/>
  <c r="K216" i="245" s="1"/>
  <c r="J208" i="245"/>
  <c r="J216" i="245" s="1"/>
  <c r="H120" i="245"/>
  <c r="F87" i="242"/>
  <c r="F89" i="242" s="1"/>
  <c r="H210" i="242"/>
  <c r="E89" i="242"/>
  <c r="H10" i="242"/>
  <c r="T151" i="20"/>
  <c r="H203" i="242"/>
  <c r="H83" i="242"/>
  <c r="F61" i="242"/>
  <c r="H47" i="242"/>
  <c r="S151" i="20"/>
  <c r="T150" i="20"/>
  <c r="L75" i="241"/>
  <c r="K75" i="241"/>
  <c r="E66" i="241"/>
  <c r="C112" i="20" s="1"/>
  <c r="H56" i="240"/>
  <c r="E110" i="240"/>
  <c r="C101" i="20" s="1"/>
  <c r="H118" i="240"/>
  <c r="H26" i="240"/>
  <c r="H40" i="240"/>
  <c r="F238" i="239"/>
  <c r="H56" i="239"/>
  <c r="H51" i="239"/>
  <c r="H402" i="239"/>
  <c r="H341" i="239"/>
  <c r="H30" i="239"/>
  <c r="H385" i="239"/>
  <c r="F365" i="239"/>
  <c r="G343" i="239"/>
  <c r="H343" i="239" s="1"/>
  <c r="H275" i="239"/>
  <c r="H258" i="239"/>
  <c r="H181" i="239"/>
  <c r="H172" i="239"/>
  <c r="G174" i="239"/>
  <c r="H174" i="239" s="1"/>
  <c r="H80" i="239"/>
  <c r="H376" i="239"/>
  <c r="H330" i="239"/>
  <c r="G82" i="239"/>
  <c r="H82" i="239" s="1"/>
  <c r="H196" i="239"/>
  <c r="H230" i="239"/>
  <c r="F185" i="239"/>
  <c r="H58" i="239"/>
  <c r="H49" i="239"/>
  <c r="H45" i="239"/>
  <c r="H34" i="239"/>
  <c r="H20" i="239"/>
  <c r="H17" i="239"/>
  <c r="L502" i="239"/>
  <c r="L510" i="239" s="1"/>
  <c r="H374" i="239"/>
  <c r="H194" i="239"/>
  <c r="G128" i="20"/>
  <c r="S150" i="20"/>
  <c r="G210" i="245"/>
  <c r="E136" i="20" s="1"/>
  <c r="F74" i="242"/>
  <c r="H74" i="242" s="1"/>
  <c r="H72" i="242"/>
  <c r="E74" i="242"/>
  <c r="E208" i="242"/>
  <c r="C129" i="20" s="1"/>
  <c r="H51" i="242"/>
  <c r="G89" i="242"/>
  <c r="F110" i="240"/>
  <c r="D101" i="20" s="1"/>
  <c r="H127" i="239"/>
  <c r="H498" i="239"/>
  <c r="H147" i="239"/>
  <c r="G161" i="239"/>
  <c r="G393" i="239"/>
  <c r="H102" i="239"/>
  <c r="H54" i="239"/>
  <c r="H138" i="239"/>
  <c r="H125" i="239"/>
  <c r="H136" i="239"/>
  <c r="H104" i="239"/>
  <c r="H41" i="239"/>
  <c r="G116" i="239"/>
  <c r="R113" i="20" l="1"/>
  <c r="T113" i="20"/>
  <c r="M159" i="20"/>
  <c r="L159" i="20"/>
  <c r="C123" i="20"/>
  <c r="E200" i="242"/>
  <c r="E123" i="20"/>
  <c r="G200" i="242"/>
  <c r="G215" i="242" s="1"/>
  <c r="K159" i="20"/>
  <c r="F410" i="239"/>
  <c r="H410" i="239" s="1"/>
  <c r="R106" i="20"/>
  <c r="S106" i="20"/>
  <c r="H496" i="239"/>
  <c r="E87" i="20"/>
  <c r="L414" i="239"/>
  <c r="G121" i="20"/>
  <c r="H216" i="245"/>
  <c r="F208" i="245"/>
  <c r="H61" i="242"/>
  <c r="H89" i="242"/>
  <c r="H87" i="242"/>
  <c r="F201" i="242"/>
  <c r="H38" i="242"/>
  <c r="F66" i="241"/>
  <c r="E114" i="240"/>
  <c r="G266" i="239"/>
  <c r="H266" i="239" s="1"/>
  <c r="H354" i="239"/>
  <c r="H205" i="239"/>
  <c r="G207" i="239"/>
  <c r="H207" i="239" s="1"/>
  <c r="H352" i="239"/>
  <c r="E495" i="239"/>
  <c r="E207" i="242"/>
  <c r="E65" i="241"/>
  <c r="E75" i="241" s="1"/>
  <c r="E108" i="240"/>
  <c r="F108" i="240"/>
  <c r="F114" i="240"/>
  <c r="G277" i="239"/>
  <c r="H277" i="239" s="1"/>
  <c r="H332" i="239"/>
  <c r="H505" i="239"/>
  <c r="F495" i="239"/>
  <c r="H264" i="239"/>
  <c r="G365" i="239"/>
  <c r="H365" i="239" s="1"/>
  <c r="H363" i="239"/>
  <c r="H205" i="245"/>
  <c r="H210" i="245"/>
  <c r="H13" i="241"/>
  <c r="G66" i="241"/>
  <c r="E112" i="20" s="1"/>
  <c r="G109" i="240"/>
  <c r="H20" i="240"/>
  <c r="H43" i="240"/>
  <c r="G45" i="240"/>
  <c r="H45" i="240" s="1"/>
  <c r="H31" i="240"/>
  <c r="H63" i="240"/>
  <c r="H391" i="239"/>
  <c r="H393" i="239"/>
  <c r="H297" i="239"/>
  <c r="H299" i="239"/>
  <c r="H236" i="239"/>
  <c r="G238" i="239"/>
  <c r="H238" i="239" s="1"/>
  <c r="H161" i="239"/>
  <c r="H153" i="239"/>
  <c r="H286" i="239"/>
  <c r="G288" i="239"/>
  <c r="H288" i="239" s="1"/>
  <c r="G321" i="239"/>
  <c r="H321" i="239" s="1"/>
  <c r="H319" i="239"/>
  <c r="H408" i="239"/>
  <c r="G185" i="239"/>
  <c r="H185" i="239" s="1"/>
  <c r="H183" i="239"/>
  <c r="H69" i="239"/>
  <c r="H116" i="239"/>
  <c r="H114" i="239"/>
  <c r="G221" i="239"/>
  <c r="H221" i="239" s="1"/>
  <c r="H219" i="239"/>
  <c r="G310" i="239"/>
  <c r="H310" i="239" s="1"/>
  <c r="H308" i="239"/>
  <c r="G93" i="239"/>
  <c r="H93" i="239" s="1"/>
  <c r="H91" i="239"/>
  <c r="H247" i="239"/>
  <c r="H249" i="239"/>
  <c r="E122" i="20" l="1"/>
  <c r="C122" i="20"/>
  <c r="E215" i="242"/>
  <c r="D123" i="20"/>
  <c r="F200" i="242"/>
  <c r="H200" i="242" s="1"/>
  <c r="E122" i="240"/>
  <c r="F65" i="241"/>
  <c r="F75" i="241" s="1"/>
  <c r="D112" i="20"/>
  <c r="F122" i="240"/>
  <c r="E100" i="20"/>
  <c r="H109" i="240"/>
  <c r="H207" i="242"/>
  <c r="H201" i="242"/>
  <c r="H211" i="245"/>
  <c r="H116" i="240"/>
  <c r="E510" i="239"/>
  <c r="H504" i="239"/>
  <c r="G208" i="245"/>
  <c r="H208" i="245" s="1"/>
  <c r="G65" i="241"/>
  <c r="G75" i="241" s="1"/>
  <c r="H66" i="241"/>
  <c r="G108" i="240"/>
  <c r="G122" i="240" s="1"/>
  <c r="H114" i="240"/>
  <c r="H65" i="240"/>
  <c r="G495" i="239"/>
  <c r="H495" i="239" s="1"/>
  <c r="D122" i="20" l="1"/>
  <c r="F215" i="242"/>
  <c r="H215" i="242" s="1"/>
  <c r="H65" i="241"/>
  <c r="H75" i="241"/>
  <c r="H108" i="240"/>
  <c r="H122" i="240"/>
  <c r="F502" i="239" l="1"/>
  <c r="F510" i="239" s="1"/>
  <c r="G502" i="239"/>
  <c r="G510" i="239" s="1"/>
  <c r="H503" i="239"/>
  <c r="H502" i="239" l="1"/>
  <c r="H510" i="239"/>
  <c r="I81" i="20" l="1"/>
  <c r="M111" i="20" s="1"/>
  <c r="I82" i="20"/>
  <c r="M112" i="20" s="1"/>
  <c r="I83" i="20"/>
  <c r="M113" i="20" s="1"/>
  <c r="H81" i="20"/>
  <c r="L111" i="20" s="1"/>
  <c r="H82" i="20"/>
  <c r="H83" i="20"/>
  <c r="L113" i="20" s="1"/>
  <c r="H80" i="20"/>
  <c r="L110" i="20" s="1"/>
  <c r="I80" i="20"/>
  <c r="M110" i="20" s="1"/>
  <c r="G81" i="20"/>
  <c r="K111" i="20" s="1"/>
  <c r="G82" i="20"/>
  <c r="K112" i="20" s="1"/>
  <c r="G83" i="20"/>
  <c r="K113" i="20" s="1"/>
  <c r="G80" i="20"/>
  <c r="K110" i="20" s="1"/>
  <c r="M114" i="20"/>
  <c r="I47" i="20"/>
  <c r="I48" i="20"/>
  <c r="I49" i="20"/>
  <c r="H47" i="20"/>
  <c r="H48" i="20"/>
  <c r="H49" i="20"/>
  <c r="H46" i="20"/>
  <c r="I46" i="20"/>
  <c r="G47" i="20"/>
  <c r="G48" i="20"/>
  <c r="G49" i="20"/>
  <c r="G46" i="20"/>
  <c r="L112" i="20" l="1"/>
  <c r="G45" i="20"/>
  <c r="G44" i="20" s="1"/>
  <c r="K82" i="20"/>
  <c r="I45" i="20"/>
  <c r="I44" i="20" s="1"/>
  <c r="H45" i="20"/>
  <c r="H44" i="20" s="1"/>
  <c r="F54" i="10"/>
  <c r="I39" i="20"/>
  <c r="I40" i="20"/>
  <c r="I41" i="20"/>
  <c r="H39" i="20"/>
  <c r="H40" i="20"/>
  <c r="H41" i="20"/>
  <c r="G39" i="20"/>
  <c r="G40" i="20"/>
  <c r="G41" i="20"/>
  <c r="I38" i="20"/>
  <c r="G38" i="20"/>
  <c r="I28" i="20"/>
  <c r="I29" i="20"/>
  <c r="I30" i="20"/>
  <c r="H28" i="20"/>
  <c r="H29" i="20"/>
  <c r="H30" i="20"/>
  <c r="G28" i="20"/>
  <c r="G29" i="20"/>
  <c r="G30" i="20"/>
  <c r="I16" i="20"/>
  <c r="I17" i="20"/>
  <c r="I18" i="20"/>
  <c r="I19" i="20"/>
  <c r="I312" i="20" s="1"/>
  <c r="H16" i="20"/>
  <c r="H17" i="20"/>
  <c r="H18" i="20"/>
  <c r="H19" i="20"/>
  <c r="L56" i="20" s="1"/>
  <c r="G16" i="20"/>
  <c r="G17" i="20"/>
  <c r="G18" i="20"/>
  <c r="G19" i="20"/>
  <c r="K56" i="20" s="1"/>
  <c r="K61" i="52"/>
  <c r="K67" i="52" s="1"/>
  <c r="I15" i="20"/>
  <c r="M52" i="20" s="1"/>
  <c r="G312" i="20" l="1"/>
  <c r="H312" i="20"/>
  <c r="M56" i="20"/>
  <c r="M264" i="20" s="1"/>
  <c r="M295" i="20" s="1"/>
  <c r="I296" i="20"/>
  <c r="K55" i="20"/>
  <c r="K54" i="20"/>
  <c r="L305" i="20"/>
  <c r="L306" i="20" s="1"/>
  <c r="M305" i="20"/>
  <c r="M306" i="20" s="1"/>
  <c r="I14" i="20"/>
  <c r="G37" i="20"/>
  <c r="I37" i="20"/>
  <c r="I13" i="20" l="1"/>
  <c r="I304" i="20"/>
  <c r="I36" i="20"/>
  <c r="G36" i="20"/>
  <c r="Q486" i="7"/>
  <c r="Q480" i="7"/>
  <c r="Q474" i="7"/>
  <c r="R467" i="7"/>
  <c r="S467" i="7"/>
  <c r="Q467" i="7"/>
  <c r="S486" i="7"/>
  <c r="R486" i="7"/>
  <c r="S480" i="7"/>
  <c r="R480" i="7"/>
  <c r="S474" i="7"/>
  <c r="R474" i="7"/>
  <c r="H256" i="7"/>
  <c r="S494" i="7" l="1"/>
  <c r="R494" i="7"/>
  <c r="Q494" i="7"/>
  <c r="H254" i="7"/>
  <c r="L490" i="7" l="1"/>
  <c r="K490" i="7"/>
  <c r="H302" i="7"/>
  <c r="H15" i="7" l="1"/>
  <c r="H239" i="7"/>
  <c r="H238" i="7"/>
  <c r="H219" i="7"/>
  <c r="H212" i="7"/>
  <c r="H211" i="7"/>
  <c r="H210" i="7"/>
  <c r="E468" i="7" l="1"/>
  <c r="G468" i="7"/>
  <c r="E64" i="20" s="1"/>
  <c r="F468" i="7"/>
  <c r="F467" i="7" l="1"/>
  <c r="D64" i="20"/>
  <c r="E63" i="20"/>
  <c r="E467" i="7"/>
  <c r="C64" i="20"/>
  <c r="G467" i="7"/>
  <c r="H468" i="7"/>
  <c r="H104" i="7"/>
  <c r="H86" i="7"/>
  <c r="H370" i="7" l="1"/>
  <c r="E77" i="20"/>
  <c r="E72" i="20"/>
  <c r="D63" i="20"/>
  <c r="F63" i="20" s="1"/>
  <c r="C63" i="20"/>
  <c r="H467" i="7"/>
  <c r="G883" i="17"/>
  <c r="H883" i="17"/>
  <c r="I879" i="17"/>
  <c r="I880" i="17"/>
  <c r="H881" i="17"/>
  <c r="G881" i="17"/>
  <c r="H873" i="17"/>
  <c r="I877" i="17"/>
  <c r="I876" i="17"/>
  <c r="I855" i="17"/>
  <c r="H854" i="17"/>
  <c r="G854" i="17"/>
  <c r="I849" i="17"/>
  <c r="I848" i="17"/>
  <c r="I847" i="17"/>
  <c r="I846" i="17"/>
  <c r="H841" i="17"/>
  <c r="G841" i="17"/>
  <c r="H839" i="17"/>
  <c r="G839" i="17"/>
  <c r="H837" i="17"/>
  <c r="G837" i="17"/>
  <c r="I824" i="17"/>
  <c r="I823" i="17"/>
  <c r="I822" i="17"/>
  <c r="I821" i="17"/>
  <c r="H814" i="17"/>
  <c r="G814" i="17"/>
  <c r="H812" i="17"/>
  <c r="G812" i="17"/>
  <c r="I791" i="17"/>
  <c r="I792" i="17"/>
  <c r="I789" i="17"/>
  <c r="H774" i="17"/>
  <c r="H776" i="17" s="1"/>
  <c r="G774" i="17"/>
  <c r="G776" i="17" s="1"/>
  <c r="I770" i="17"/>
  <c r="I771" i="17"/>
  <c r="I768" i="17"/>
  <c r="I764" i="17"/>
  <c r="I746" i="17"/>
  <c r="I747" i="17"/>
  <c r="I743" i="17"/>
  <c r="I721" i="17"/>
  <c r="I699" i="17"/>
  <c r="I700" i="17"/>
  <c r="I694" i="17"/>
  <c r="I676" i="17"/>
  <c r="I660" i="17"/>
  <c r="I664" i="17"/>
  <c r="I657" i="17"/>
  <c r="I640" i="17"/>
  <c r="I639" i="17"/>
  <c r="I626" i="17"/>
  <c r="I625" i="17"/>
  <c r="I618" i="17"/>
  <c r="I622" i="17"/>
  <c r="I615" i="17"/>
  <c r="I598" i="17"/>
  <c r="G831" i="17" l="1"/>
  <c r="G858" i="17"/>
  <c r="H858" i="17"/>
  <c r="H831" i="17"/>
  <c r="L486" i="7"/>
  <c r="D77" i="20"/>
  <c r="L492" i="7"/>
  <c r="T107" i="20"/>
  <c r="I854" i="17"/>
  <c r="I587" i="17"/>
  <c r="I583" i="17"/>
  <c r="F492" i="7" l="1"/>
  <c r="K493" i="7" s="1"/>
  <c r="H309" i="7"/>
  <c r="M486" i="7"/>
  <c r="I561" i="17"/>
  <c r="I562" i="17"/>
  <c r="I557" i="17"/>
  <c r="I556" i="17"/>
  <c r="H544" i="17"/>
  <c r="G544" i="17"/>
  <c r="I545" i="17"/>
  <c r="I531" i="17"/>
  <c r="G524" i="17"/>
  <c r="H524" i="17"/>
  <c r="F524" i="17"/>
  <c r="F546" i="17" s="1"/>
  <c r="I509" i="17"/>
  <c r="I510" i="17"/>
  <c r="I503" i="17"/>
  <c r="I488" i="17"/>
  <c r="I489" i="17"/>
  <c r="I486" i="17"/>
  <c r="I478" i="17"/>
  <c r="I464" i="17"/>
  <c r="I465" i="17"/>
  <c r="I459" i="17"/>
  <c r="H437" i="17"/>
  <c r="G437" i="17"/>
  <c r="I442" i="17"/>
  <c r="I441" i="17"/>
  <c r="I439" i="17"/>
  <c r="I438" i="17"/>
  <c r="G430" i="17"/>
  <c r="H430" i="17"/>
  <c r="G425" i="17"/>
  <c r="H425" i="17"/>
  <c r="H394" i="17"/>
  <c r="G394" i="17"/>
  <c r="I392" i="17"/>
  <c r="H385" i="17"/>
  <c r="G385" i="17"/>
  <c r="H371" i="17"/>
  <c r="G371" i="17"/>
  <c r="I369" i="17"/>
  <c r="I370" i="17"/>
  <c r="I362" i="17"/>
  <c r="H338" i="17"/>
  <c r="G338" i="17"/>
  <c r="I343" i="17"/>
  <c r="I344" i="17"/>
  <c r="I341" i="17"/>
  <c r="I339" i="17"/>
  <c r="G335" i="17"/>
  <c r="H335" i="17"/>
  <c r="F335" i="17"/>
  <c r="F351" i="17" s="1"/>
  <c r="H316" i="17"/>
  <c r="I319" i="17"/>
  <c r="I317" i="17"/>
  <c r="H311" i="17"/>
  <c r="G311" i="17"/>
  <c r="H296" i="17"/>
  <c r="H305" i="17" s="1"/>
  <c r="G296" i="17"/>
  <c r="G305" i="17" s="1"/>
  <c r="I301" i="17"/>
  <c r="I302" i="17"/>
  <c r="I299" i="17"/>
  <c r="I297" i="17"/>
  <c r="H282" i="17"/>
  <c r="I283" i="17"/>
  <c r="I284" i="17"/>
  <c r="I285" i="17"/>
  <c r="I280" i="17"/>
  <c r="I281" i="17"/>
  <c r="G279" i="17"/>
  <c r="H279" i="17"/>
  <c r="F279" i="17"/>
  <c r="F288" i="17" s="1"/>
  <c r="I263" i="17"/>
  <c r="H244" i="17"/>
  <c r="H252" i="17" s="1"/>
  <c r="G244" i="17"/>
  <c r="G252" i="17" s="1"/>
  <c r="I246" i="17"/>
  <c r="H234" i="17"/>
  <c r="H238" i="17" s="1"/>
  <c r="G234" i="17"/>
  <c r="G238" i="17" s="1"/>
  <c r="I236" i="17"/>
  <c r="H222" i="17"/>
  <c r="H226" i="17" s="1"/>
  <c r="G222" i="17"/>
  <c r="G226" i="17" s="1"/>
  <c r="I224" i="17"/>
  <c r="H193" i="17"/>
  <c r="G193" i="17"/>
  <c r="I192" i="17"/>
  <c r="I190" i="17"/>
  <c r="I181" i="17"/>
  <c r="H172" i="17"/>
  <c r="H158" i="17"/>
  <c r="G158" i="17"/>
  <c r="H143" i="17"/>
  <c r="G143" i="17"/>
  <c r="G162" i="17" l="1"/>
  <c r="H162" i="17"/>
  <c r="G351" i="17"/>
  <c r="H351" i="17"/>
  <c r="H404" i="17"/>
  <c r="G447" i="17"/>
  <c r="H447" i="17"/>
  <c r="G404" i="17"/>
  <c r="D84" i="20"/>
  <c r="S110" i="20" s="1"/>
  <c r="G174" i="17"/>
  <c r="H174" i="17"/>
  <c r="H464" i="7"/>
  <c r="G492" i="7"/>
  <c r="I544" i="17"/>
  <c r="H288" i="17"/>
  <c r="G288" i="17"/>
  <c r="I279" i="17"/>
  <c r="I282" i="17"/>
  <c r="I189" i="17"/>
  <c r="I180" i="17"/>
  <c r="I136" i="17"/>
  <c r="I135" i="17"/>
  <c r="I132" i="17"/>
  <c r="H129" i="17"/>
  <c r="G129" i="17"/>
  <c r="I126" i="17"/>
  <c r="H125" i="17"/>
  <c r="G125" i="17"/>
  <c r="I115" i="17"/>
  <c r="H114" i="17"/>
  <c r="G114" i="17"/>
  <c r="I112" i="17"/>
  <c r="I113" i="17"/>
  <c r="H137" i="17" l="1"/>
  <c r="G137" i="17"/>
  <c r="L493" i="7"/>
  <c r="H492" i="7"/>
  <c r="E84" i="20"/>
  <c r="I125" i="17"/>
  <c r="I114" i="17"/>
  <c r="H75" i="17"/>
  <c r="G75" i="17"/>
  <c r="H73" i="17"/>
  <c r="G73" i="17"/>
  <c r="H71" i="17"/>
  <c r="G71" i="17"/>
  <c r="I66" i="17"/>
  <c r="I64" i="17"/>
  <c r="H61" i="17"/>
  <c r="G61" i="17"/>
  <c r="H47" i="17"/>
  <c r="G47" i="17"/>
  <c r="I49" i="17"/>
  <c r="I37" i="17"/>
  <c r="H39" i="17"/>
  <c r="G39" i="17"/>
  <c r="H35" i="17"/>
  <c r="H16" i="17"/>
  <c r="I15" i="17" s="1"/>
  <c r="G16" i="17"/>
  <c r="I19" i="17"/>
  <c r="G82" i="17" l="1"/>
  <c r="H82" i="17"/>
  <c r="F84" i="20"/>
  <c r="T110" i="20"/>
  <c r="I63" i="17"/>
  <c r="H31" i="8" l="1"/>
  <c r="H29" i="8"/>
  <c r="H134" i="8"/>
  <c r="H151" i="8"/>
  <c r="H69" i="8"/>
  <c r="F173" i="8" l="1"/>
  <c r="F172" i="8" s="1"/>
  <c r="D55" i="20"/>
  <c r="G173" i="8"/>
  <c r="G172" i="8" s="1"/>
  <c r="E55" i="20"/>
  <c r="H86" i="8"/>
  <c r="H113" i="8"/>
  <c r="H157" i="9"/>
  <c r="H143" i="9"/>
  <c r="H79" i="9"/>
  <c r="H26" i="9"/>
  <c r="E53" i="20" l="1"/>
  <c r="E52" i="20" s="1"/>
  <c r="H173" i="8"/>
  <c r="D53" i="20"/>
  <c r="D52" i="20" s="1"/>
  <c r="F217" i="9"/>
  <c r="F215" i="9" s="1"/>
  <c r="H206" i="9"/>
  <c r="H11" i="9"/>
  <c r="H109" i="9"/>
  <c r="H38" i="20"/>
  <c r="H37" i="20" s="1"/>
  <c r="D51" i="20" l="1"/>
  <c r="E51" i="20"/>
  <c r="F52" i="20"/>
  <c r="H36" i="20"/>
  <c r="H223" i="9"/>
  <c r="L35" i="11"/>
  <c r="L42" i="11" s="1"/>
  <c r="K35" i="11"/>
  <c r="K42" i="11" s="1"/>
  <c r="J35" i="11"/>
  <c r="J42" i="11" s="1"/>
  <c r="L16" i="4"/>
  <c r="L23" i="4" s="1"/>
  <c r="K16" i="4"/>
  <c r="K23" i="4" s="1"/>
  <c r="J16" i="4"/>
  <c r="J23" i="4" s="1"/>
  <c r="H216" i="9" l="1"/>
  <c r="J56" i="5"/>
  <c r="J63" i="5" s="1"/>
  <c r="G54" i="5"/>
  <c r="G58" i="5" s="1"/>
  <c r="G56" i="5" s="1"/>
  <c r="F54" i="5"/>
  <c r="F58" i="5" s="1"/>
  <c r="F20" i="5"/>
  <c r="E20" i="5"/>
  <c r="H40" i="5"/>
  <c r="F25" i="5"/>
  <c r="G25" i="5"/>
  <c r="G32" i="5" s="1"/>
  <c r="E25" i="5"/>
  <c r="E32" i="5" l="1"/>
  <c r="F32" i="5"/>
  <c r="E22" i="20"/>
  <c r="E55" i="10"/>
  <c r="E54" i="10" s="1"/>
  <c r="E63" i="10"/>
  <c r="L56" i="5"/>
  <c r="L63" i="5" s="1"/>
  <c r="H28" i="5"/>
  <c r="K56" i="5"/>
  <c r="K63" i="5" s="1"/>
  <c r="H38" i="5"/>
  <c r="L61" i="52"/>
  <c r="L67" i="52" s="1"/>
  <c r="J61" i="52"/>
  <c r="J67" i="52" s="1"/>
  <c r="H15" i="20"/>
  <c r="G291" i="54"/>
  <c r="E16" i="20" s="1"/>
  <c r="H14" i="20" l="1"/>
  <c r="G15" i="20"/>
  <c r="H226" i="54"/>
  <c r="H199" i="54"/>
  <c r="H196" i="54"/>
  <c r="G184" i="54"/>
  <c r="F184" i="54"/>
  <c r="H187" i="54"/>
  <c r="H171" i="54"/>
  <c r="H173" i="54"/>
  <c r="G170" i="54"/>
  <c r="F170" i="54"/>
  <c r="E170" i="54"/>
  <c r="H165" i="54"/>
  <c r="H163" i="54"/>
  <c r="G134" i="54"/>
  <c r="F134" i="54"/>
  <c r="H133" i="54"/>
  <c r="H131" i="54"/>
  <c r="H129" i="54"/>
  <c r="H123" i="54"/>
  <c r="H122" i="54"/>
  <c r="H121" i="54"/>
  <c r="H120" i="54"/>
  <c r="E117" i="54"/>
  <c r="H116" i="54"/>
  <c r="H115" i="54"/>
  <c r="H114" i="54"/>
  <c r="H113" i="54"/>
  <c r="H13" i="20" l="1"/>
  <c r="H304" i="20"/>
  <c r="K52" i="20"/>
  <c r="K260" i="20" s="1"/>
  <c r="G14" i="20"/>
  <c r="G304" i="20" s="1"/>
  <c r="H104" i="54"/>
  <c r="H103" i="54"/>
  <c r="H102" i="54"/>
  <c r="H101" i="54"/>
  <c r="H50" i="54"/>
  <c r="H248" i="54"/>
  <c r="H48" i="54"/>
  <c r="H49" i="54"/>
  <c r="H270" i="54"/>
  <c r="H41" i="54"/>
  <c r="H38" i="54"/>
  <c r="H40" i="54"/>
  <c r="G13" i="20" l="1"/>
  <c r="H37" i="54"/>
  <c r="H267" i="54"/>
  <c r="H247" i="54"/>
  <c r="H35" i="54"/>
  <c r="H31" i="54"/>
  <c r="H28" i="54"/>
  <c r="H24" i="54"/>
  <c r="H23" i="54"/>
  <c r="H34" i="54" l="1"/>
  <c r="H263" i="54" l="1"/>
  <c r="H14" i="54"/>
  <c r="H19" i="54"/>
  <c r="H20" i="54"/>
  <c r="M55" i="20" l="1"/>
  <c r="M263" i="20" s="1"/>
  <c r="L55" i="20"/>
  <c r="L263" i="20" s="1"/>
  <c r="K262" i="20"/>
  <c r="K263" i="20"/>
  <c r="H32" i="52"/>
  <c r="H31" i="52"/>
  <c r="H16" i="52"/>
  <c r="H10" i="52"/>
  <c r="K53" i="20" l="1"/>
  <c r="K261" i="20" s="1"/>
  <c r="L54" i="20"/>
  <c r="L262" i="20" s="1"/>
  <c r="L52" i="20"/>
  <c r="L260" i="20" s="1"/>
  <c r="L53" i="20"/>
  <c r="L261" i="20" s="1"/>
  <c r="L294" i="20" s="1"/>
  <c r="M54" i="20"/>
  <c r="M262" i="20" s="1"/>
  <c r="M260" i="20"/>
  <c r="M53" i="20"/>
  <c r="M261" i="20" s="1"/>
  <c r="M294" i="20" s="1"/>
  <c r="K264" i="20"/>
  <c r="K295" i="20" s="1"/>
  <c r="L264" i="20"/>
  <c r="L295" i="20" s="1"/>
  <c r="G7" i="20"/>
  <c r="S2515" i="17"/>
  <c r="I2483" i="17"/>
  <c r="H2478" i="17"/>
  <c r="H2492" i="17" s="1"/>
  <c r="G2478" i="17"/>
  <c r="G2492" i="17" s="1"/>
  <c r="I2469" i="17"/>
  <c r="I2467" i="17"/>
  <c r="I2456" i="17"/>
  <c r="I2444" i="17"/>
  <c r="I2432" i="17"/>
  <c r="I2417" i="17"/>
  <c r="I2396" i="17"/>
  <c r="I2385" i="17"/>
  <c r="I2383" i="17"/>
  <c r="I2370" i="17"/>
  <c r="I2353" i="17"/>
  <c r="I2341" i="17"/>
  <c r="I2323" i="17"/>
  <c r="I2326" i="17"/>
  <c r="I2310" i="17"/>
  <c r="I2293" i="17"/>
  <c r="G2282" i="17"/>
  <c r="I2273" i="17"/>
  <c r="H2282" i="17"/>
  <c r="F2282" i="17"/>
  <c r="I2275" i="17"/>
  <c r="I2260" i="17"/>
  <c r="I2247" i="17"/>
  <c r="I2232" i="17"/>
  <c r="I2220" i="17"/>
  <c r="H2216" i="17"/>
  <c r="G2216" i="17"/>
  <c r="F2216" i="17"/>
  <c r="K293" i="20" l="1"/>
  <c r="L293" i="20"/>
  <c r="L296" i="20" s="1"/>
  <c r="L297" i="20" s="1"/>
  <c r="M293" i="20"/>
  <c r="M296" i="20" s="1"/>
  <c r="K294" i="20"/>
  <c r="R2515" i="17"/>
  <c r="I2205" i="17"/>
  <c r="I2192" i="17"/>
  <c r="I2177" i="17"/>
  <c r="M297" i="20" l="1"/>
  <c r="K296" i="20"/>
  <c r="K297" i="20" s="1"/>
  <c r="I2204" i="17"/>
  <c r="I2163" i="17"/>
  <c r="I2165" i="17"/>
  <c r="I2150" i="17"/>
  <c r="H2146" i="17"/>
  <c r="G2146" i="17"/>
  <c r="F2146" i="17"/>
  <c r="I2152" i="17"/>
  <c r="I2135" i="17"/>
  <c r="F2120" i="17"/>
  <c r="I2124" i="17"/>
  <c r="I2111" i="17"/>
  <c r="I2099" i="17"/>
  <c r="I2086" i="17"/>
  <c r="I2073" i="17"/>
  <c r="I2069" i="17"/>
  <c r="I2058" i="17"/>
  <c r="I2006" i="17"/>
  <c r="I2005" i="17"/>
  <c r="I1951" i="17"/>
  <c r="I1950" i="17"/>
  <c r="I1945" i="17"/>
  <c r="I1921" i="17"/>
  <c r="I1796" i="17" l="1"/>
  <c r="I1679" i="17" l="1"/>
  <c r="I1656" i="17"/>
  <c r="I1655" i="17"/>
  <c r="I1592" i="17"/>
  <c r="H1585" i="17"/>
  <c r="H1601" i="17" s="1"/>
  <c r="G1585" i="17"/>
  <c r="G1601" i="17" s="1"/>
  <c r="F1585" i="17"/>
  <c r="F1601" i="17" s="1"/>
  <c r="I1575" i="17"/>
  <c r="I1499" i="17"/>
  <c r="I1481" i="17"/>
  <c r="I1462" i="17"/>
  <c r="I1463" i="17"/>
  <c r="I1442" i="17"/>
  <c r="H1437" i="17"/>
  <c r="G1437" i="17"/>
  <c r="F1437" i="17"/>
  <c r="I1441" i="17"/>
  <c r="I1429" i="17"/>
  <c r="I1430" i="17"/>
  <c r="I1418" i="17"/>
  <c r="I1403" i="17" l="1"/>
  <c r="H1398" i="17"/>
  <c r="G1398" i="17"/>
  <c r="F1398" i="17"/>
  <c r="I1402" i="17"/>
  <c r="I1382" i="17"/>
  <c r="I1362" i="17"/>
  <c r="I1363" i="17"/>
  <c r="F1371" i="17"/>
  <c r="I1346" i="17"/>
  <c r="I1348" i="17"/>
  <c r="I1326" i="17"/>
  <c r="F1336" i="17"/>
  <c r="I1325" i="17"/>
  <c r="I1248" i="17"/>
  <c r="F1261" i="17"/>
  <c r="I1235" i="17"/>
  <c r="I1236" i="17"/>
  <c r="I1230" i="17"/>
  <c r="I1202" i="17" l="1"/>
  <c r="I1181" i="17"/>
  <c r="I1180" i="17"/>
  <c r="F1193" i="17"/>
  <c r="I1179" i="17"/>
  <c r="I1176" i="17"/>
  <c r="I1107" i="17"/>
  <c r="I1106" i="17"/>
  <c r="I1102" i="17"/>
  <c r="I1057" i="17"/>
  <c r="I1055" i="17"/>
  <c r="I1011" i="17" l="1"/>
  <c r="I990" i="17"/>
  <c r="I988" i="17"/>
  <c r="H926" i="17" l="1"/>
  <c r="H951" i="17" s="1"/>
  <c r="G926" i="17"/>
  <c r="G951" i="17" s="1"/>
  <c r="I908" i="17" l="1"/>
  <c r="I875" i="17"/>
  <c r="I874" i="17"/>
  <c r="I815" i="17"/>
  <c r="I788" i="17"/>
  <c r="I785" i="17"/>
  <c r="I787" i="17"/>
  <c r="I767" i="17"/>
  <c r="I766" i="17"/>
  <c r="I754" i="17"/>
  <c r="I742" i="17"/>
  <c r="I741" i="17"/>
  <c r="I728" i="17"/>
  <c r="I720" i="17"/>
  <c r="H715" i="17"/>
  <c r="G715" i="17"/>
  <c r="I693" i="17"/>
  <c r="H688" i="17"/>
  <c r="G688" i="17"/>
  <c r="F688" i="17"/>
  <c r="I692" i="17"/>
  <c r="H670" i="17" l="1"/>
  <c r="G670" i="17"/>
  <c r="I675" i="17"/>
  <c r="I674" i="17"/>
  <c r="I656" i="17"/>
  <c r="I655" i="17"/>
  <c r="I638" i="17"/>
  <c r="H633" i="17"/>
  <c r="H647" i="17" s="1"/>
  <c r="G633" i="17"/>
  <c r="G647" i="17" s="1"/>
  <c r="F633" i="17"/>
  <c r="F647" i="17" s="1"/>
  <c r="I637" i="17"/>
  <c r="I627" i="17"/>
  <c r="I628" i="17"/>
  <c r="I614" i="17"/>
  <c r="I613" i="17"/>
  <c r="I597" i="17"/>
  <c r="I596" i="17"/>
  <c r="I582" i="17" l="1"/>
  <c r="H577" i="17"/>
  <c r="H588" i="17" s="1"/>
  <c r="G577" i="17"/>
  <c r="G588" i="17" s="1"/>
  <c r="F577" i="17"/>
  <c r="I581" i="17"/>
  <c r="H565" i="17"/>
  <c r="H568" i="17" s="1"/>
  <c r="G565" i="17"/>
  <c r="G568" i="17" s="1"/>
  <c r="I555" i="17"/>
  <c r="T572" i="17" l="1"/>
  <c r="S572" i="17"/>
  <c r="I554" i="17"/>
  <c r="I530" i="17"/>
  <c r="H513" i="17"/>
  <c r="G513" i="17"/>
  <c r="I514" i="17"/>
  <c r="I504" i="17"/>
  <c r="I529" i="17"/>
  <c r="I528" i="17"/>
  <c r="I502" i="17"/>
  <c r="I500" i="17"/>
  <c r="G476" i="17"/>
  <c r="F476" i="17"/>
  <c r="F490" i="17" s="1"/>
  <c r="I460" i="17"/>
  <c r="I458" i="17"/>
  <c r="I457" i="17"/>
  <c r="H453" i="17"/>
  <c r="H470" i="17" s="1"/>
  <c r="G453" i="17"/>
  <c r="G470" i="17" s="1"/>
  <c r="I461" i="17"/>
  <c r="G490" i="17" l="1"/>
  <c r="S490" i="17" s="1"/>
  <c r="I391" i="17"/>
  <c r="I366" i="17"/>
  <c r="I363" i="17"/>
  <c r="I361" i="17"/>
  <c r="I350" i="17"/>
  <c r="I349" i="17"/>
  <c r="I340" i="17"/>
  <c r="I321" i="17"/>
  <c r="G313" i="17"/>
  <c r="G327" i="17" s="1"/>
  <c r="I318" i="17"/>
  <c r="I298" i="17"/>
  <c r="I262" i="17"/>
  <c r="I245" i="17"/>
  <c r="I235" i="17" l="1"/>
  <c r="I223" i="17"/>
  <c r="I204" i="17"/>
  <c r="I172" i="17"/>
  <c r="I173" i="17"/>
  <c r="I169" i="17"/>
  <c r="I120" i="17" l="1"/>
  <c r="I119" i="17"/>
  <c r="I89" i="17"/>
  <c r="I48" i="17" l="1"/>
  <c r="I36" i="17"/>
  <c r="H12" i="17"/>
  <c r="G12" i="17"/>
  <c r="H21" i="17"/>
  <c r="G21" i="17"/>
  <c r="I22" i="17"/>
  <c r="I18" i="17"/>
  <c r="I17" i="17"/>
  <c r="I13" i="17"/>
  <c r="H26" i="17" l="1"/>
  <c r="G26" i="17"/>
  <c r="G170" i="20"/>
  <c r="H170" i="20"/>
  <c r="I170" i="20"/>
  <c r="C174" i="20"/>
  <c r="D174" i="20"/>
  <c r="E174" i="20"/>
  <c r="C175" i="20"/>
  <c r="D175" i="20"/>
  <c r="E175" i="20"/>
  <c r="G176" i="20"/>
  <c r="H176" i="20"/>
  <c r="I176" i="20"/>
  <c r="C180" i="20"/>
  <c r="R245" i="20" s="1"/>
  <c r="D180" i="20"/>
  <c r="E180" i="20"/>
  <c r="C181" i="20"/>
  <c r="D181" i="20"/>
  <c r="S246" i="20" s="1"/>
  <c r="E181" i="20"/>
  <c r="T246" i="20" s="1"/>
  <c r="T297" i="20" s="1"/>
  <c r="S245" i="20" l="1"/>
  <c r="R246" i="20"/>
  <c r="R189" i="20"/>
  <c r="R237" i="20" s="1"/>
  <c r="T245" i="20"/>
  <c r="R190" i="20"/>
  <c r="R238" i="20" s="1"/>
  <c r="S190" i="20"/>
  <c r="S238" i="20" s="1"/>
  <c r="T189" i="20"/>
  <c r="T237" i="20" s="1"/>
  <c r="T190" i="20"/>
  <c r="S189" i="20"/>
  <c r="D170" i="20"/>
  <c r="E176" i="20"/>
  <c r="D176" i="20"/>
  <c r="E170" i="20"/>
  <c r="R276" i="20" l="1"/>
  <c r="S277" i="20"/>
  <c r="R277" i="20"/>
  <c r="S276" i="20"/>
  <c r="S237" i="20"/>
  <c r="T277" i="20"/>
  <c r="U277" i="20" s="1"/>
  <c r="T238" i="20"/>
  <c r="R247" i="20"/>
  <c r="S247" i="20"/>
  <c r="T191" i="20"/>
  <c r="S191" i="20"/>
  <c r="T247" i="20"/>
  <c r="T276" i="20"/>
  <c r="H255" i="7" l="1"/>
  <c r="H290" i="7"/>
  <c r="H315" i="7" l="1"/>
  <c r="H97" i="7" l="1"/>
  <c r="H93" i="7"/>
  <c r="H92" i="7"/>
  <c r="H91" i="7"/>
  <c r="H90" i="7"/>
  <c r="H85" i="7"/>
  <c r="H82" i="7"/>
  <c r="H81" i="7"/>
  <c r="H80" i="7"/>
  <c r="H78" i="7"/>
  <c r="H76" i="7"/>
  <c r="H74" i="7"/>
  <c r="H72" i="7"/>
  <c r="D72" i="20" l="1"/>
  <c r="K492" i="7"/>
  <c r="H199" i="7"/>
  <c r="S107" i="20" l="1"/>
  <c r="I86" i="20" l="1"/>
  <c r="T114" i="20" l="1"/>
  <c r="T109" i="20"/>
  <c r="I99" i="20" l="1"/>
  <c r="H43" i="8" l="1"/>
  <c r="H143" i="8"/>
  <c r="H68" i="8"/>
  <c r="H16" i="9" l="1"/>
  <c r="H41" i="9"/>
  <c r="H40" i="9"/>
  <c r="H15" i="9"/>
  <c r="E216" i="9"/>
  <c r="H30" i="9"/>
  <c r="H27" i="10"/>
  <c r="H26" i="10"/>
  <c r="E57" i="5"/>
  <c r="C22" i="20" s="1"/>
  <c r="H30" i="5"/>
  <c r="H84" i="54" l="1"/>
  <c r="H78" i="54"/>
  <c r="H225" i="54"/>
  <c r="H182" i="54"/>
  <c r="H174" i="54"/>
  <c r="H128" i="54"/>
  <c r="H107" i="54"/>
  <c r="H86" i="54" l="1"/>
  <c r="H20" i="52" l="1"/>
  <c r="H15" i="52"/>
  <c r="H2500" i="17" l="1"/>
  <c r="G2500" i="17"/>
  <c r="F2500" i="17"/>
  <c r="I2421" i="17"/>
  <c r="I2420" i="17"/>
  <c r="H2379" i="17"/>
  <c r="G2379" i="17"/>
  <c r="F2379" i="17"/>
  <c r="G2306" i="17"/>
  <c r="G2315" i="17" s="1"/>
  <c r="H2154" i="17"/>
  <c r="G2154" i="17"/>
  <c r="I2149" i="17"/>
  <c r="I2139" i="17"/>
  <c r="I2138" i="17"/>
  <c r="F2021" i="17" l="1"/>
  <c r="F1393" i="17" l="1"/>
  <c r="I1351" i="17"/>
  <c r="H1341" i="17"/>
  <c r="H1353" i="17" s="1"/>
  <c r="G1341" i="17"/>
  <c r="G1353" i="17" s="1"/>
  <c r="I1352" i="17"/>
  <c r="I1260" i="17"/>
  <c r="I1259" i="17"/>
  <c r="I1191" i="17"/>
  <c r="I976" i="17"/>
  <c r="I975" i="17"/>
  <c r="H737" i="17" l="1"/>
  <c r="G737" i="17"/>
  <c r="F737" i="17"/>
  <c r="H542" i="17"/>
  <c r="H546" i="17" s="1"/>
  <c r="G542" i="17"/>
  <c r="G546" i="17" s="1"/>
  <c r="F453" i="17"/>
  <c r="F470" i="17" s="1"/>
  <c r="I426" i="17"/>
  <c r="I425" i="17" l="1"/>
  <c r="I365" i="17"/>
  <c r="I360" i="17"/>
  <c r="I374" i="17"/>
  <c r="I373" i="17"/>
  <c r="H357" i="17"/>
  <c r="H379" i="17" s="1"/>
  <c r="G357" i="17"/>
  <c r="G379" i="17" s="1"/>
  <c r="F357" i="17"/>
  <c r="F379" i="17" s="1"/>
  <c r="I266" i="17" l="1"/>
  <c r="I265" i="17"/>
  <c r="H53" i="17" l="1"/>
  <c r="G53" i="17"/>
  <c r="I324" i="20" l="1"/>
  <c r="H324" i="20"/>
  <c r="G324" i="20"/>
  <c r="I63" i="20" l="1"/>
  <c r="H63" i="20"/>
  <c r="G296" i="20" l="1"/>
  <c r="M240" i="20" l="1"/>
  <c r="K240" i="20"/>
  <c r="L240" i="20"/>
  <c r="L14" i="215" l="1"/>
  <c r="K14" i="215"/>
  <c r="J14" i="215"/>
  <c r="E324" i="20" l="1"/>
  <c r="D324" i="20"/>
  <c r="C324" i="20"/>
  <c r="E242" i="20" l="1"/>
  <c r="C242" i="20"/>
  <c r="F190" i="20"/>
  <c r="G11" i="215" l="1"/>
  <c r="H11" i="215" s="1"/>
  <c r="F11" i="215"/>
  <c r="F15" i="215" s="1"/>
  <c r="F14" i="215" s="1"/>
  <c r="F19" i="215" s="1"/>
  <c r="E11" i="215"/>
  <c r="E15" i="215" s="1"/>
  <c r="H10" i="215"/>
  <c r="E14" i="215" l="1"/>
  <c r="E19" i="215" s="1"/>
  <c r="C173" i="20"/>
  <c r="G15" i="215"/>
  <c r="C170" i="20" l="1"/>
  <c r="H15" i="215"/>
  <c r="G14" i="215"/>
  <c r="H14" i="215" l="1"/>
  <c r="G19" i="215"/>
  <c r="H19" i="215" s="1"/>
  <c r="H11" i="193" l="1"/>
  <c r="E12" i="193"/>
  <c r="F12" i="193"/>
  <c r="G12" i="193"/>
  <c r="E15" i="193"/>
  <c r="E20" i="193" s="1"/>
  <c r="J15" i="193"/>
  <c r="K15" i="193"/>
  <c r="L15" i="193"/>
  <c r="E16" i="193"/>
  <c r="C179" i="20" s="1"/>
  <c r="R188" i="20" s="1"/>
  <c r="R275" i="20" s="1"/>
  <c r="F16" i="193"/>
  <c r="F15" i="193" s="1"/>
  <c r="F20" i="193" s="1"/>
  <c r="G16" i="193"/>
  <c r="G15" i="193" s="1"/>
  <c r="G20" i="193" s="1"/>
  <c r="H16" i="193"/>
  <c r="R191" i="20" l="1"/>
  <c r="C176" i="20"/>
  <c r="H20" i="193"/>
  <c r="H15" i="193"/>
  <c r="R278" i="20" l="1"/>
  <c r="S208" i="20"/>
  <c r="R208" i="20"/>
  <c r="T278" i="20"/>
  <c r="T208" i="20"/>
  <c r="D242" i="20"/>
  <c r="F244" i="20"/>
  <c r="F242" i="20" l="1"/>
  <c r="S278" i="20" l="1"/>
  <c r="H121" i="8" l="1"/>
  <c r="F140" i="20" l="1"/>
  <c r="H141" i="9"/>
  <c r="H25" i="9"/>
  <c r="H24" i="9"/>
  <c r="F142" i="20" l="1"/>
  <c r="G180" i="54" l="1"/>
  <c r="G210" i="54" s="1"/>
  <c r="F180" i="54"/>
  <c r="E180" i="54"/>
  <c r="H181" i="54"/>
  <c r="H136" i="54"/>
  <c r="H135" i="54"/>
  <c r="F210" i="54" l="1"/>
  <c r="F290" i="54" s="1"/>
  <c r="G298" i="54"/>
  <c r="D20" i="20"/>
  <c r="S50" i="20" s="1"/>
  <c r="H272" i="54"/>
  <c r="H83" i="54"/>
  <c r="H73" i="54"/>
  <c r="H72" i="54"/>
  <c r="H80" i="54"/>
  <c r="H76" i="54"/>
  <c r="H66" i="54"/>
  <c r="H65" i="54"/>
  <c r="D305" i="20" l="1"/>
  <c r="D11" i="31" s="1"/>
  <c r="F298" i="54"/>
  <c r="H283" i="54"/>
  <c r="G66" i="52"/>
  <c r="G61" i="52" l="1"/>
  <c r="E12" i="20"/>
  <c r="E20" i="20"/>
  <c r="F20" i="20" s="1"/>
  <c r="H296" i="54"/>
  <c r="T2515" i="17"/>
  <c r="I2499" i="17"/>
  <c r="I2498" i="17"/>
  <c r="I2490" i="17"/>
  <c r="I2489" i="17"/>
  <c r="I2488" i="17"/>
  <c r="I2487" i="17"/>
  <c r="I2486" i="17"/>
  <c r="I2481" i="17"/>
  <c r="I2480" i="17"/>
  <c r="I2479" i="17"/>
  <c r="S2492" i="17"/>
  <c r="F2478" i="17"/>
  <c r="F2492" i="17" s="1"/>
  <c r="R2492" i="17" s="1"/>
  <c r="I2471" i="17"/>
  <c r="I2468" i="17"/>
  <c r="I2466" i="17"/>
  <c r="I2465" i="17"/>
  <c r="F2472" i="17"/>
  <c r="R2472" i="17" s="1"/>
  <c r="H2459" i="17"/>
  <c r="T2459" i="17" s="1"/>
  <c r="G2459" i="17"/>
  <c r="S2459" i="17" s="1"/>
  <c r="F2459" i="17"/>
  <c r="R2459" i="17" s="1"/>
  <c r="I2458" i="17"/>
  <c r="I2455" i="17"/>
  <c r="I2454" i="17"/>
  <c r="I2446" i="17"/>
  <c r="I2443" i="17"/>
  <c r="I2442" i="17"/>
  <c r="I2441" i="17"/>
  <c r="H2440" i="17"/>
  <c r="H2447" i="17" s="1"/>
  <c r="G2440" i="17"/>
  <c r="G2447" i="17" s="1"/>
  <c r="S2447" i="17" s="1"/>
  <c r="F2440" i="17"/>
  <c r="F2447" i="17" s="1"/>
  <c r="R2447" i="17" s="1"/>
  <c r="I2434" i="17"/>
  <c r="I2431" i="17"/>
  <c r="I2430" i="17"/>
  <c r="H2435" i="17"/>
  <c r="G2435" i="17"/>
  <c r="F2435" i="17"/>
  <c r="R2435" i="17" s="1"/>
  <c r="I2419" i="17"/>
  <c r="I2416" i="17"/>
  <c r="I2415" i="17"/>
  <c r="I2414" i="17"/>
  <c r="H2413" i="17"/>
  <c r="G2413" i="17"/>
  <c r="F2413" i="17"/>
  <c r="F2423" i="17" s="1"/>
  <c r="R2423" i="17" s="1"/>
  <c r="I2398" i="17"/>
  <c r="I2395" i="17"/>
  <c r="I2394" i="17"/>
  <c r="I2393" i="17"/>
  <c r="H2392" i="17"/>
  <c r="H2399" i="17" s="1"/>
  <c r="T2399" i="17" s="1"/>
  <c r="G2392" i="17"/>
  <c r="G2399" i="17" s="1"/>
  <c r="S2399" i="17" s="1"/>
  <c r="F2392" i="17"/>
  <c r="F2399" i="17" s="1"/>
  <c r="R2399" i="17" s="1"/>
  <c r="I2382" i="17"/>
  <c r="I2381" i="17"/>
  <c r="I2380" i="17"/>
  <c r="H2386" i="17"/>
  <c r="G2386" i="17"/>
  <c r="S2386" i="17" s="1"/>
  <c r="F2386" i="17"/>
  <c r="R2386" i="17" s="1"/>
  <c r="I2372" i="17"/>
  <c r="I2369" i="17"/>
  <c r="I2368" i="17"/>
  <c r="I2367" i="17"/>
  <c r="H2366" i="17"/>
  <c r="H2373" i="17" s="1"/>
  <c r="G2366" i="17"/>
  <c r="G2373" i="17" s="1"/>
  <c r="S2373" i="17" s="1"/>
  <c r="F2366" i="17"/>
  <c r="F2373" i="17" s="1"/>
  <c r="R2373" i="17" s="1"/>
  <c r="I2355" i="17"/>
  <c r="I2352" i="17"/>
  <c r="S2360" i="17"/>
  <c r="R2360" i="17"/>
  <c r="I2350" i="17"/>
  <c r="I2343" i="17"/>
  <c r="I2340" i="17"/>
  <c r="I2339" i="17"/>
  <c r="I2338" i="17"/>
  <c r="H2337" i="17"/>
  <c r="H2344" i="17" s="1"/>
  <c r="G2337" i="17"/>
  <c r="G2344" i="17" s="1"/>
  <c r="S2344" i="17" s="1"/>
  <c r="F2337" i="17"/>
  <c r="F2344" i="17" s="1"/>
  <c r="R2344" i="17" s="1"/>
  <c r="I2327" i="17"/>
  <c r="I2322" i="17"/>
  <c r="I2321" i="17"/>
  <c r="F2332" i="17"/>
  <c r="R2332" i="17" s="1"/>
  <c r="I2312" i="17"/>
  <c r="I2309" i="17"/>
  <c r="I2308" i="17"/>
  <c r="I2307" i="17"/>
  <c r="H2306" i="17"/>
  <c r="H2315" i="17" s="1"/>
  <c r="S2315" i="17"/>
  <c r="F2306" i="17"/>
  <c r="I2295" i="17"/>
  <c r="I2292" i="17"/>
  <c r="I2291" i="17"/>
  <c r="H2289" i="17"/>
  <c r="H2298" i="17" s="1"/>
  <c r="G2289" i="17"/>
  <c r="G2298" i="17" s="1"/>
  <c r="F2289" i="17"/>
  <c r="F2298" i="17" s="1"/>
  <c r="R2298" i="17" s="1"/>
  <c r="I2272" i="17"/>
  <c r="I2271" i="17"/>
  <c r="S2282" i="17"/>
  <c r="R2282" i="17"/>
  <c r="I2262" i="17"/>
  <c r="I2259" i="17"/>
  <c r="I2258" i="17"/>
  <c r="I2257" i="17"/>
  <c r="H2256" i="17"/>
  <c r="H2265" i="17" s="1"/>
  <c r="G2256" i="17"/>
  <c r="G2265" i="17" s="1"/>
  <c r="F2256" i="17"/>
  <c r="F2265" i="17" s="1"/>
  <c r="R2265" i="17" s="1"/>
  <c r="I2249" i="17"/>
  <c r="I2246" i="17"/>
  <c r="I2245" i="17"/>
  <c r="I2244" i="17"/>
  <c r="H2243" i="17"/>
  <c r="H2250" i="17" s="1"/>
  <c r="T2250" i="17" s="1"/>
  <c r="G2243" i="17"/>
  <c r="F2243" i="17"/>
  <c r="F2250" i="17" s="1"/>
  <c r="R2250" i="17" s="1"/>
  <c r="I2234" i="17"/>
  <c r="I2231" i="17"/>
  <c r="F2237" i="17"/>
  <c r="R2237" i="17" s="1"/>
  <c r="I2222" i="17"/>
  <c r="I2219" i="17"/>
  <c r="I2218" i="17"/>
  <c r="I2217" i="17"/>
  <c r="H2223" i="17"/>
  <c r="G2223" i="17"/>
  <c r="S2223" i="17" s="1"/>
  <c r="F2223" i="17"/>
  <c r="R2223" i="17" s="1"/>
  <c r="T2210" i="17"/>
  <c r="S2210" i="17"/>
  <c r="I2207" i="17"/>
  <c r="I2203" i="17"/>
  <c r="I2202" i="17"/>
  <c r="F2210" i="17"/>
  <c r="R2210" i="17" s="1"/>
  <c r="I2194" i="17"/>
  <c r="I2191" i="17"/>
  <c r="I2190" i="17"/>
  <c r="I2189" i="17"/>
  <c r="H2188" i="17"/>
  <c r="H2197" i="17" s="1"/>
  <c r="G2188" i="17"/>
  <c r="F2188" i="17"/>
  <c r="F2197" i="17" s="1"/>
  <c r="R2197" i="17" s="1"/>
  <c r="I2179" i="17"/>
  <c r="I2176" i="17"/>
  <c r="I2175" i="17"/>
  <c r="I2174" i="17"/>
  <c r="H2173" i="17"/>
  <c r="H2182" i="17" s="1"/>
  <c r="G2173" i="17"/>
  <c r="G2182" i="17" s="1"/>
  <c r="F2173" i="17"/>
  <c r="F2182" i="17" s="1"/>
  <c r="R2182" i="17" s="1"/>
  <c r="H2166" i="17"/>
  <c r="T2166" i="17" s="1"/>
  <c r="G2166" i="17"/>
  <c r="S2166" i="17" s="1"/>
  <c r="I2160" i="17"/>
  <c r="F2166" i="17"/>
  <c r="R2166" i="17" s="1"/>
  <c r="I2153" i="17"/>
  <c r="I2148" i="17"/>
  <c r="I2147" i="17"/>
  <c r="T2154" i="17"/>
  <c r="F2154" i="17"/>
  <c r="R2154" i="17" s="1"/>
  <c r="T2140" i="17"/>
  <c r="S2140" i="17"/>
  <c r="I2137" i="17"/>
  <c r="I2134" i="17"/>
  <c r="I2133" i="17"/>
  <c r="I2132" i="17"/>
  <c r="F2140" i="17"/>
  <c r="R2140" i="17" s="1"/>
  <c r="I2126" i="17"/>
  <c r="I2123" i="17"/>
  <c r="I2122" i="17"/>
  <c r="H2120" i="17"/>
  <c r="H2127" i="17" s="1"/>
  <c r="G2120" i="17"/>
  <c r="G2127" i="17" s="1"/>
  <c r="S2127" i="17" s="1"/>
  <c r="F2127" i="17"/>
  <c r="R2127" i="17" s="1"/>
  <c r="I2113" i="17"/>
  <c r="I2110" i="17"/>
  <c r="I2109" i="17"/>
  <c r="I2108" i="17"/>
  <c r="H2107" i="17"/>
  <c r="H2114" i="17" s="1"/>
  <c r="G2107" i="17"/>
  <c r="G2114" i="17" s="1"/>
  <c r="F2107" i="17"/>
  <c r="F2114" i="17" s="1"/>
  <c r="R2114" i="17" s="1"/>
  <c r="H2102" i="17"/>
  <c r="T2102" i="17" s="1"/>
  <c r="G2102" i="17"/>
  <c r="S2102" i="17" s="1"/>
  <c r="I2101" i="17"/>
  <c r="I2098" i="17"/>
  <c r="I2097" i="17"/>
  <c r="I2096" i="17"/>
  <c r="F2102" i="17"/>
  <c r="R2102" i="17" s="1"/>
  <c r="I2089" i="17"/>
  <c r="I2085" i="17"/>
  <c r="I2084" i="17"/>
  <c r="H2090" i="17"/>
  <c r="G2090" i="17"/>
  <c r="S2090" i="17" s="1"/>
  <c r="F2090" i="17"/>
  <c r="R2090" i="17" s="1"/>
  <c r="I2068" i="17"/>
  <c r="I2067" i="17"/>
  <c r="S2077" i="17"/>
  <c r="R2077" i="17"/>
  <c r="I2060" i="17"/>
  <c r="I2057" i="17"/>
  <c r="I2056" i="17"/>
  <c r="H2061" i="17"/>
  <c r="T2061" i="17" s="1"/>
  <c r="F2061" i="17"/>
  <c r="R2061" i="17" s="1"/>
  <c r="I2046" i="17"/>
  <c r="I2045" i="17"/>
  <c r="I2044" i="17"/>
  <c r="I2043" i="17"/>
  <c r="I2026" i="17"/>
  <c r="I2018" i="17"/>
  <c r="I2017" i="17"/>
  <c r="I2016" i="17"/>
  <c r="I2015" i="17"/>
  <c r="I2014" i="17"/>
  <c r="I2013" i="17"/>
  <c r="R2021" i="17"/>
  <c r="I2008" i="17"/>
  <c r="I2002" i="17"/>
  <c r="I1979" i="17"/>
  <c r="I1978" i="17"/>
  <c r="I1977" i="17"/>
  <c r="I1976" i="17"/>
  <c r="I1966" i="17"/>
  <c r="I1965" i="17"/>
  <c r="I1964" i="17"/>
  <c r="I1963" i="17"/>
  <c r="I1962" i="17"/>
  <c r="I1947" i="17"/>
  <c r="I1943" i="17"/>
  <c r="F1956" i="17"/>
  <c r="R1956" i="17" s="1"/>
  <c r="I1933" i="17"/>
  <c r="I1932" i="17"/>
  <c r="I1931" i="17"/>
  <c r="I1930" i="17"/>
  <c r="I1927" i="17"/>
  <c r="I1926" i="17"/>
  <c r="I1923" i="17"/>
  <c r="I1917" i="17"/>
  <c r="I1898" i="17"/>
  <c r="I1897" i="17"/>
  <c r="I1886" i="17"/>
  <c r="I1885" i="17"/>
  <c r="I1884" i="17"/>
  <c r="I1874" i="17"/>
  <c r="I1873" i="17"/>
  <c r="I1862" i="17"/>
  <c r="R1877" i="17"/>
  <c r="I1860" i="17"/>
  <c r="I1859" i="17"/>
  <c r="I1850" i="17"/>
  <c r="I1849" i="17"/>
  <c r="I1848" i="17"/>
  <c r="I1847" i="17"/>
  <c r="I1846" i="17"/>
  <c r="I1845" i="17"/>
  <c r="I1834" i="17"/>
  <c r="I1832" i="17"/>
  <c r="I1831" i="17"/>
  <c r="I1816" i="17"/>
  <c r="I1815" i="17"/>
  <c r="I1814" i="17"/>
  <c r="I1813" i="17"/>
  <c r="I1800" i="17"/>
  <c r="I1798" i="17"/>
  <c r="I1795" i="17"/>
  <c r="I1786" i="17"/>
  <c r="I1785" i="17"/>
  <c r="I1784" i="17"/>
  <c r="I1783" i="17"/>
  <c r="I1772" i="17"/>
  <c r="I1770" i="17"/>
  <c r="I1769" i="17"/>
  <c r="I1762" i="17"/>
  <c r="I1761" i="17"/>
  <c r="I1750" i="17"/>
  <c r="K1763" i="17"/>
  <c r="R1763" i="17"/>
  <c r="I1748" i="17"/>
  <c r="I1747" i="17"/>
  <c r="I1734" i="17"/>
  <c r="I1733" i="17"/>
  <c r="I1732" i="17"/>
  <c r="I1731" i="17"/>
  <c r="I1716" i="17"/>
  <c r="I1715" i="17"/>
  <c r="I1714" i="17"/>
  <c r="I1710" i="17"/>
  <c r="I1709" i="17"/>
  <c r="I1702" i="17"/>
  <c r="I1701" i="17"/>
  <c r="I1700" i="17"/>
  <c r="I1699" i="17"/>
  <c r="I1698" i="17"/>
  <c r="I1697" i="17"/>
  <c r="I1684" i="17"/>
  <c r="I1683" i="17"/>
  <c r="I1682" i="17"/>
  <c r="I1677" i="17"/>
  <c r="R1703" i="17"/>
  <c r="I1666" i="17"/>
  <c r="I1665" i="17"/>
  <c r="I1658" i="17"/>
  <c r="I1652" i="17"/>
  <c r="I1651" i="17"/>
  <c r="F1669" i="17"/>
  <c r="I1649" i="17"/>
  <c r="I1648" i="17"/>
  <c r="I1625" i="17"/>
  <c r="I1624" i="17"/>
  <c r="I1623" i="17"/>
  <c r="I1611" i="17"/>
  <c r="I1609" i="17"/>
  <c r="I1608" i="17"/>
  <c r="I1600" i="17"/>
  <c r="I1598" i="17"/>
  <c r="I1597" i="17"/>
  <c r="I1586" i="17"/>
  <c r="I1574" i="17"/>
  <c r="I1573" i="17"/>
  <c r="I1572" i="17"/>
  <c r="I1571" i="17"/>
  <c r="I1558" i="17"/>
  <c r="I1557" i="17"/>
  <c r="I1556" i="17"/>
  <c r="I1553" i="17"/>
  <c r="I1551" i="17"/>
  <c r="I1550" i="17"/>
  <c r="I1538" i="17"/>
  <c r="I1537" i="17"/>
  <c r="I1536" i="17"/>
  <c r="I1535" i="17"/>
  <c r="I1527" i="17"/>
  <c r="I1526" i="17"/>
  <c r="I1525" i="17"/>
  <c r="I1523" i="17"/>
  <c r="O1499" i="17"/>
  <c r="N1499" i="17"/>
  <c r="M1499" i="17"/>
  <c r="L1499" i="17"/>
  <c r="K1499" i="17"/>
  <c r="J1499" i="17"/>
  <c r="I1497" i="17"/>
  <c r="I1489" i="17"/>
  <c r="I1488" i="17"/>
  <c r="I1487" i="17"/>
  <c r="I1486" i="17"/>
  <c r="I1483" i="17"/>
  <c r="I1479" i="17"/>
  <c r="I1461" i="17"/>
  <c r="R1473" i="17"/>
  <c r="I1444" i="17"/>
  <c r="I1439" i="17"/>
  <c r="I1438" i="17"/>
  <c r="F1447" i="17"/>
  <c r="R1447" i="17" s="1"/>
  <c r="I1428" i="17"/>
  <c r="I1427" i="17"/>
  <c r="I1426" i="17"/>
  <c r="I1425" i="17"/>
  <c r="I1424" i="17"/>
  <c r="I1423" i="17"/>
  <c r="I1420" i="17"/>
  <c r="I1415" i="17"/>
  <c r="I1414" i="17"/>
  <c r="I1405" i="17"/>
  <c r="I1400" i="17"/>
  <c r="I1399" i="17"/>
  <c r="F1408" i="17"/>
  <c r="R1408" i="17" s="1"/>
  <c r="I1392" i="17"/>
  <c r="I1391" i="17"/>
  <c r="I1390" i="17"/>
  <c r="I1389" i="17"/>
  <c r="I1384" i="17"/>
  <c r="I1378" i="17"/>
  <c r="I1366" i="17"/>
  <c r="I1360" i="17"/>
  <c r="R1371" i="17"/>
  <c r="I1343" i="17"/>
  <c r="I1342" i="17"/>
  <c r="F1341" i="17"/>
  <c r="F1353" i="17" s="1"/>
  <c r="R1353" i="17" s="1"/>
  <c r="I1335" i="17"/>
  <c r="I1334" i="17"/>
  <c r="I1323" i="17"/>
  <c r="R1336" i="17"/>
  <c r="I1316" i="17"/>
  <c r="I1315" i="17"/>
  <c r="I1314" i="17"/>
  <c r="I1313" i="17"/>
  <c r="I1312" i="17"/>
  <c r="I1311" i="17"/>
  <c r="I1303" i="17"/>
  <c r="I1301" i="17"/>
  <c r="I1300" i="17"/>
  <c r="I1298" i="17"/>
  <c r="I1296" i="17"/>
  <c r="I1295" i="17"/>
  <c r="I1286" i="17"/>
  <c r="I1272" i="17"/>
  <c r="I1270" i="17"/>
  <c r="I1269" i="17"/>
  <c r="I1258" i="17"/>
  <c r="I1257" i="17"/>
  <c r="I1256" i="17"/>
  <c r="I1255" i="17"/>
  <c r="I1250" i="17"/>
  <c r="I1244" i="17"/>
  <c r="I1232" i="17"/>
  <c r="F1237" i="17"/>
  <c r="R1237" i="17" s="1"/>
  <c r="I1220" i="17"/>
  <c r="I1219" i="17"/>
  <c r="I1218" i="17"/>
  <c r="I1217" i="17"/>
  <c r="I1216" i="17"/>
  <c r="I1215" i="17"/>
  <c r="I1214" i="17"/>
  <c r="I1213" i="17"/>
  <c r="I1204" i="17"/>
  <c r="I1201" i="17"/>
  <c r="I1200" i="17"/>
  <c r="I1192" i="17"/>
  <c r="I1190" i="17"/>
  <c r="I1189" i="17"/>
  <c r="I1188" i="17"/>
  <c r="I1187" i="17"/>
  <c r="I1183" i="17"/>
  <c r="I1173" i="17"/>
  <c r="R1193" i="17"/>
  <c r="I1142" i="17"/>
  <c r="I1141" i="17"/>
  <c r="I1140" i="17"/>
  <c r="I1139" i="17"/>
  <c r="I1127" i="17"/>
  <c r="I1126" i="17"/>
  <c r="I1125" i="17"/>
  <c r="I1118" i="17"/>
  <c r="I1117" i="17"/>
  <c r="I1105" i="17"/>
  <c r="I1098" i="17"/>
  <c r="I1096" i="17"/>
  <c r="I1072" i="17"/>
  <c r="I1071" i="17"/>
  <c r="I1067" i="17"/>
  <c r="I1066" i="17"/>
  <c r="I1062" i="17"/>
  <c r="I1045" i="17"/>
  <c r="I1044" i="17"/>
  <c r="I1030" i="17"/>
  <c r="R1046" i="17"/>
  <c r="I1026" i="17"/>
  <c r="I1025" i="17"/>
  <c r="I1017" i="17"/>
  <c r="I1013" i="17"/>
  <c r="I998" i="17"/>
  <c r="I992" i="17"/>
  <c r="R1001" i="17"/>
  <c r="I974" i="17"/>
  <c r="I973" i="17"/>
  <c r="I961" i="17"/>
  <c r="I960" i="17"/>
  <c r="I959" i="17"/>
  <c r="I948" i="17"/>
  <c r="I947" i="17"/>
  <c r="I946" i="17"/>
  <c r="I945" i="17"/>
  <c r="I933" i="17"/>
  <c r="I932" i="17"/>
  <c r="I931" i="17"/>
  <c r="I930" i="17"/>
  <c r="I929" i="17"/>
  <c r="I928" i="17"/>
  <c r="I927" i="17"/>
  <c r="I910" i="17"/>
  <c r="I907" i="17"/>
  <c r="I906" i="17"/>
  <c r="I905" i="17"/>
  <c r="I883" i="17"/>
  <c r="I882" i="17"/>
  <c r="I881" i="17"/>
  <c r="I878" i="17"/>
  <c r="I872" i="17"/>
  <c r="I871" i="17"/>
  <c r="H870" i="17"/>
  <c r="H885" i="17" s="1"/>
  <c r="G870" i="17"/>
  <c r="G885" i="17" s="1"/>
  <c r="F870" i="17"/>
  <c r="F885" i="17" s="1"/>
  <c r="I853" i="17"/>
  <c r="I852" i="17"/>
  <c r="I860" i="17"/>
  <c r="I845" i="17"/>
  <c r="I844" i="17"/>
  <c r="T863" i="17"/>
  <c r="S863" i="17"/>
  <c r="F858" i="17"/>
  <c r="I842" i="17"/>
  <c r="I841" i="17"/>
  <c r="I840" i="17"/>
  <c r="I839" i="17"/>
  <c r="I838" i="17"/>
  <c r="I828" i="17"/>
  <c r="I827" i="17"/>
  <c r="I826" i="17"/>
  <c r="I825" i="17"/>
  <c r="I820" i="17"/>
  <c r="I819" i="17"/>
  <c r="I817" i="17"/>
  <c r="I816" i="17"/>
  <c r="I813" i="17"/>
  <c r="I790" i="17"/>
  <c r="I784" i="17"/>
  <c r="R794" i="17"/>
  <c r="I775" i="17"/>
  <c r="I773" i="17"/>
  <c r="I772" i="17"/>
  <c r="I769" i="17"/>
  <c r="I755" i="17"/>
  <c r="I753" i="17"/>
  <c r="I752" i="17"/>
  <c r="I745" i="17"/>
  <c r="I739" i="17"/>
  <c r="I738" i="17"/>
  <c r="R756" i="17"/>
  <c r="I727" i="17"/>
  <c r="I726" i="17"/>
  <c r="I723" i="17"/>
  <c r="I716" i="17"/>
  <c r="F715" i="17"/>
  <c r="I706" i="17"/>
  <c r="I705" i="17"/>
  <c r="I702" i="17"/>
  <c r="H701" i="17"/>
  <c r="H709" i="17" s="1"/>
  <c r="G701" i="17"/>
  <c r="G709" i="17" s="1"/>
  <c r="I696" i="17"/>
  <c r="I690" i="17"/>
  <c r="I689" i="17"/>
  <c r="M683" i="17"/>
  <c r="L683" i="17"/>
  <c r="K683" i="17"/>
  <c r="I672" i="17"/>
  <c r="I671" i="17"/>
  <c r="F670" i="17"/>
  <c r="I658" i="17"/>
  <c r="I653" i="17"/>
  <c r="I646" i="17"/>
  <c r="I644" i="17"/>
  <c r="I643" i="17"/>
  <c r="I642" i="17"/>
  <c r="I635" i="17"/>
  <c r="I634" i="17"/>
  <c r="I624" i="17"/>
  <c r="I623" i="17"/>
  <c r="I617" i="17"/>
  <c r="I611" i="17"/>
  <c r="R629" i="17"/>
  <c r="I600" i="17"/>
  <c r="I594" i="17"/>
  <c r="I585" i="17"/>
  <c r="I579" i="17"/>
  <c r="I578" i="17"/>
  <c r="F588" i="17"/>
  <c r="R588" i="17" s="1"/>
  <c r="I567" i="17"/>
  <c r="I566" i="17"/>
  <c r="I558" i="17"/>
  <c r="I552" i="17"/>
  <c r="I543" i="17"/>
  <c r="I537" i="17"/>
  <c r="I536" i="17"/>
  <c r="I533" i="17"/>
  <c r="I526" i="17"/>
  <c r="I525" i="17"/>
  <c r="I515" i="17"/>
  <c r="I512" i="17"/>
  <c r="I511" i="17"/>
  <c r="I506" i="17"/>
  <c r="I498" i="17"/>
  <c r="I497" i="17"/>
  <c r="H496" i="17"/>
  <c r="H516" i="17" s="1"/>
  <c r="G496" i="17"/>
  <c r="G516" i="17" s="1"/>
  <c r="F496" i="17"/>
  <c r="F516" i="17" s="1"/>
  <c r="I485" i="17"/>
  <c r="I479" i="17"/>
  <c r="I477" i="17"/>
  <c r="H476" i="17"/>
  <c r="H490" i="17" s="1"/>
  <c r="T490" i="17" s="1"/>
  <c r="I469" i="17"/>
  <c r="I467" i="17"/>
  <c r="I466" i="17"/>
  <c r="I455" i="17"/>
  <c r="I454" i="17"/>
  <c r="R470" i="17"/>
  <c r="I446" i="17"/>
  <c r="I445" i="17"/>
  <c r="I444" i="17"/>
  <c r="I443" i="17"/>
  <c r="I440" i="17"/>
  <c r="I437" i="17"/>
  <c r="I433" i="17"/>
  <c r="I432" i="17"/>
  <c r="I431" i="17"/>
  <c r="I429" i="17"/>
  <c r="I428" i="17"/>
  <c r="H427" i="17"/>
  <c r="G427" i="17"/>
  <c r="F427" i="17"/>
  <c r="I403" i="17"/>
  <c r="I402" i="17"/>
  <c r="I401" i="17"/>
  <c r="I400" i="17"/>
  <c r="I399" i="17"/>
  <c r="I398" i="17"/>
  <c r="I397" i="17"/>
  <c r="I396" i="17"/>
  <c r="I395" i="17"/>
  <c r="I393" i="17"/>
  <c r="I389" i="17"/>
  <c r="I388" i="17"/>
  <c r="F387" i="17"/>
  <c r="I386" i="17"/>
  <c r="I385" i="17"/>
  <c r="I378" i="17"/>
  <c r="I377" i="17"/>
  <c r="I376" i="17"/>
  <c r="I375" i="17"/>
  <c r="I372" i="17"/>
  <c r="I371" i="17"/>
  <c r="I359" i="17"/>
  <c r="I358" i="17"/>
  <c r="R379" i="17"/>
  <c r="I348" i="17"/>
  <c r="I342" i="17"/>
  <c r="I337" i="17"/>
  <c r="R351" i="17"/>
  <c r="I334" i="17"/>
  <c r="I333" i="17"/>
  <c r="I326" i="17"/>
  <c r="I325" i="17"/>
  <c r="I324" i="17"/>
  <c r="I323" i="17"/>
  <c r="I320" i="17"/>
  <c r="I316" i="17"/>
  <c r="I315" i="17"/>
  <c r="I314" i="17"/>
  <c r="H313" i="17"/>
  <c r="H327" i="17" s="1"/>
  <c r="S327" i="17"/>
  <c r="F313" i="17"/>
  <c r="I312" i="17"/>
  <c r="I311" i="17"/>
  <c r="M305" i="17"/>
  <c r="L305" i="17"/>
  <c r="K305" i="17"/>
  <c r="I304" i="17"/>
  <c r="I303" i="17"/>
  <c r="I300" i="17"/>
  <c r="I295" i="17"/>
  <c r="F305" i="17"/>
  <c r="R305" i="17" s="1"/>
  <c r="S288" i="17"/>
  <c r="I287" i="17"/>
  <c r="I286" i="17"/>
  <c r="I278" i="17"/>
  <c r="I277" i="17"/>
  <c r="I270" i="17"/>
  <c r="I269" i="17"/>
  <c r="I268" i="17"/>
  <c r="I267" i="17"/>
  <c r="I264" i="17"/>
  <c r="I261" i="17"/>
  <c r="I260" i="17"/>
  <c r="I259" i="17"/>
  <c r="H258" i="17"/>
  <c r="H271" i="17" s="1"/>
  <c r="G258" i="17"/>
  <c r="F258" i="17"/>
  <c r="I251" i="17"/>
  <c r="I250" i="17"/>
  <c r="I248" i="17"/>
  <c r="I247" i="17"/>
  <c r="R252" i="17"/>
  <c r="T238" i="17"/>
  <c r="S238" i="17"/>
  <c r="I237" i="17"/>
  <c r="I234" i="17"/>
  <c r="I233" i="17"/>
  <c r="I232" i="17"/>
  <c r="R238" i="17"/>
  <c r="I225" i="17"/>
  <c r="I221" i="17"/>
  <c r="I220" i="17"/>
  <c r="I214" i="17"/>
  <c r="I213" i="17"/>
  <c r="I212" i="17"/>
  <c r="I211" i="17"/>
  <c r="I210" i="17"/>
  <c r="I209" i="17"/>
  <c r="I206" i="17"/>
  <c r="I199" i="17"/>
  <c r="I198" i="17"/>
  <c r="S193" i="17"/>
  <c r="I188" i="17"/>
  <c r="I187" i="17"/>
  <c r="R193" i="17"/>
  <c r="T182" i="17"/>
  <c r="S182" i="17"/>
  <c r="R182" i="17"/>
  <c r="I171" i="17"/>
  <c r="I159" i="17"/>
  <c r="I158" i="17"/>
  <c r="I157" i="17"/>
  <c r="I156" i="17"/>
  <c r="I155" i="17"/>
  <c r="I154" i="17"/>
  <c r="I153" i="17"/>
  <c r="I146" i="17"/>
  <c r="I144" i="17"/>
  <c r="I143" i="17"/>
  <c r="I131" i="17"/>
  <c r="I130" i="17"/>
  <c r="I129" i="17"/>
  <c r="I128" i="17"/>
  <c r="I127" i="17"/>
  <c r="I122" i="17"/>
  <c r="I103" i="17"/>
  <c r="I102" i="17"/>
  <c r="I99" i="17"/>
  <c r="I98" i="17"/>
  <c r="I95" i="17"/>
  <c r="I94" i="17"/>
  <c r="I91" i="17"/>
  <c r="I79" i="17"/>
  <c r="I77" i="17"/>
  <c r="I76" i="17"/>
  <c r="I75" i="17"/>
  <c r="I74" i="17"/>
  <c r="I73" i="17"/>
  <c r="I72" i="17"/>
  <c r="I68" i="17"/>
  <c r="I62" i="17"/>
  <c r="I61" i="17"/>
  <c r="I54" i="17"/>
  <c r="I52" i="17"/>
  <c r="H51" i="17"/>
  <c r="H55" i="17" s="1"/>
  <c r="G51" i="17"/>
  <c r="G55" i="17" s="1"/>
  <c r="F51" i="17"/>
  <c r="F55" i="17" s="1"/>
  <c r="I50" i="17"/>
  <c r="I47" i="17"/>
  <c r="I40" i="17"/>
  <c r="I38" i="17"/>
  <c r="I35" i="17"/>
  <c r="I34" i="17"/>
  <c r="I33" i="17"/>
  <c r="H32" i="17"/>
  <c r="G32" i="17"/>
  <c r="F41" i="17"/>
  <c r="R41" i="17" s="1"/>
  <c r="R26" i="17"/>
  <c r="I25" i="17"/>
  <c r="I24" i="17"/>
  <c r="I23" i="17"/>
  <c r="I21" i="17"/>
  <c r="I20" i="17"/>
  <c r="I16" i="17"/>
  <c r="I14" i="17"/>
  <c r="I12" i="17"/>
  <c r="T50" i="20" l="1"/>
  <c r="E305" i="20"/>
  <c r="E11" i="31" s="1"/>
  <c r="S2237" i="17"/>
  <c r="G2197" i="17"/>
  <c r="S2197" i="17" s="1"/>
  <c r="F327" i="17"/>
  <c r="R327" i="17" s="1"/>
  <c r="F271" i="17"/>
  <c r="R271" i="17" s="1"/>
  <c r="G271" i="17"/>
  <c r="S271" i="17" s="1"/>
  <c r="S2435" i="17"/>
  <c r="S2265" i="17"/>
  <c r="S2182" i="17"/>
  <c r="S1936" i="17"/>
  <c r="S1821" i="17"/>
  <c r="R920" i="17"/>
  <c r="S82" i="17"/>
  <c r="R82" i="17"/>
  <c r="T82" i="17"/>
  <c r="R55" i="17"/>
  <c r="S2472" i="17"/>
  <c r="H2423" i="17"/>
  <c r="T2423" i="17" s="1"/>
  <c r="G2423" i="17"/>
  <c r="S2423" i="17" s="1"/>
  <c r="F2315" i="17"/>
  <c r="R2315" i="17" s="1"/>
  <c r="I2332" i="17"/>
  <c r="S2298" i="17"/>
  <c r="S2114" i="17"/>
  <c r="S2021" i="17"/>
  <c r="S1577" i="17"/>
  <c r="S1543" i="17"/>
  <c r="T1577" i="17"/>
  <c r="R1577" i="17"/>
  <c r="S1289" i="17"/>
  <c r="S1317" i="17"/>
  <c r="T1317" i="17"/>
  <c r="S1261" i="17"/>
  <c r="R1221" i="17"/>
  <c r="S1221" i="17"/>
  <c r="S1119" i="17"/>
  <c r="S979" i="17"/>
  <c r="T979" i="17"/>
  <c r="R951" i="17"/>
  <c r="S951" i="17"/>
  <c r="T951" i="17"/>
  <c r="R863" i="17"/>
  <c r="T885" i="17"/>
  <c r="S831" i="17"/>
  <c r="R831" i="17"/>
  <c r="S730" i="17"/>
  <c r="S709" i="17"/>
  <c r="T605" i="17"/>
  <c r="R605" i="17"/>
  <c r="S605" i="17"/>
  <c r="R546" i="17"/>
  <c r="R516" i="17"/>
  <c r="T516" i="17"/>
  <c r="R490" i="17"/>
  <c r="S404" i="17"/>
  <c r="R404" i="17"/>
  <c r="T404" i="17"/>
  <c r="S629" i="17"/>
  <c r="R1628" i="17"/>
  <c r="H41" i="17"/>
  <c r="T41" i="17" s="1"/>
  <c r="T1020" i="17"/>
  <c r="S1193" i="17"/>
  <c r="R1317" i="17"/>
  <c r="S1353" i="17"/>
  <c r="S1371" i="17"/>
  <c r="S1739" i="17"/>
  <c r="S379" i="17"/>
  <c r="T629" i="17"/>
  <c r="R1119" i="17"/>
  <c r="S1492" i="17"/>
  <c r="S1628" i="17"/>
  <c r="T379" i="17"/>
  <c r="S1336" i="17"/>
  <c r="R1601" i="17"/>
  <c r="T1853" i="17"/>
  <c r="S885" i="17"/>
  <c r="R885" i="17"/>
  <c r="S252" i="17"/>
  <c r="G41" i="17"/>
  <c r="S41" i="17" s="1"/>
  <c r="S305" i="17"/>
  <c r="S447" i="17"/>
  <c r="L2500" i="17"/>
  <c r="I71" i="17"/>
  <c r="T106" i="17"/>
  <c r="I88" i="17"/>
  <c r="T351" i="17"/>
  <c r="I222" i="17"/>
  <c r="I387" i="17"/>
  <c r="I394" i="17"/>
  <c r="I595" i="17"/>
  <c r="S794" i="17"/>
  <c r="I786" i="17"/>
  <c r="I1016" i="17"/>
  <c r="T1046" i="17"/>
  <c r="T1237" i="17"/>
  <c r="I1229" i="17"/>
  <c r="R1261" i="17"/>
  <c r="R1289" i="17"/>
  <c r="I1322" i="17"/>
  <c r="I1344" i="17"/>
  <c r="S1393" i="17"/>
  <c r="I1379" i="17"/>
  <c r="H1408" i="17"/>
  <c r="T1408" i="17" s="1"/>
  <c r="I1401" i="17"/>
  <c r="S1431" i="17"/>
  <c r="R1431" i="17"/>
  <c r="G1447" i="17"/>
  <c r="S1447" i="17" s="1"/>
  <c r="R1492" i="17"/>
  <c r="I1599" i="17"/>
  <c r="I1622" i="17"/>
  <c r="S1669" i="17"/>
  <c r="R1669" i="17"/>
  <c r="S1703" i="17"/>
  <c r="R1789" i="17"/>
  <c r="R1821" i="17"/>
  <c r="I1799" i="17"/>
  <c r="S1877" i="17"/>
  <c r="I2003" i="17"/>
  <c r="I2055" i="17"/>
  <c r="I2243" i="17"/>
  <c r="I2256" i="17"/>
  <c r="S26" i="17"/>
  <c r="S55" i="17"/>
  <c r="I51" i="17"/>
  <c r="I118" i="17"/>
  <c r="I168" i="17"/>
  <c r="T174" i="17"/>
  <c r="T215" i="17"/>
  <c r="I203" i="17"/>
  <c r="I244" i="17"/>
  <c r="I296" i="17"/>
  <c r="I335" i="17"/>
  <c r="R447" i="17"/>
  <c r="I430" i="17"/>
  <c r="S470" i="17"/>
  <c r="I456" i="17"/>
  <c r="I480" i="17"/>
  <c r="I527" i="17"/>
  <c r="I612" i="17"/>
  <c r="S647" i="17"/>
  <c r="I645" i="17"/>
  <c r="R665" i="17"/>
  <c r="T665" i="17"/>
  <c r="S683" i="17"/>
  <c r="I673" i="17"/>
  <c r="I701" i="17"/>
  <c r="R709" i="17"/>
  <c r="S756" i="17"/>
  <c r="R776" i="17"/>
  <c r="S776" i="17"/>
  <c r="I774" i="17"/>
  <c r="I812" i="17"/>
  <c r="I843" i="17"/>
  <c r="T920" i="17"/>
  <c r="R979" i="17"/>
  <c r="I957" i="17"/>
  <c r="S1046" i="17"/>
  <c r="I1065" i="17"/>
  <c r="I1172" i="17"/>
  <c r="I1199" i="17"/>
  <c r="I1285" i="17"/>
  <c r="H1447" i="17"/>
  <c r="T1447" i="17" s="1"/>
  <c r="T1473" i="17"/>
  <c r="I1460" i="17"/>
  <c r="I1524" i="17"/>
  <c r="I1554" i="17"/>
  <c r="J1739" i="17"/>
  <c r="I1713" i="17"/>
  <c r="I1749" i="17"/>
  <c r="T1877" i="17"/>
  <c r="T1956" i="17"/>
  <c r="I1944" i="17"/>
  <c r="I2146" i="17"/>
  <c r="T162" i="17"/>
  <c r="R174" i="17"/>
  <c r="S516" i="17"/>
  <c r="S665" i="17"/>
  <c r="I39" i="17"/>
  <c r="T55" i="17"/>
  <c r="I53" i="17"/>
  <c r="I65" i="17"/>
  <c r="R106" i="17"/>
  <c r="R137" i="17"/>
  <c r="T137" i="17"/>
  <c r="I145" i="17"/>
  <c r="R162" i="17"/>
  <c r="S174" i="17"/>
  <c r="R215" i="17"/>
  <c r="R288" i="17"/>
  <c r="I338" i="17"/>
  <c r="I390" i="17"/>
  <c r="I468" i="17"/>
  <c r="I513" i="17"/>
  <c r="T546" i="17"/>
  <c r="S546" i="17"/>
  <c r="R647" i="17"/>
  <c r="T647" i="17"/>
  <c r="I636" i="17"/>
  <c r="I654" i="17"/>
  <c r="R683" i="17"/>
  <c r="I691" i="17"/>
  <c r="I718" i="17"/>
  <c r="I740" i="17"/>
  <c r="I765" i="17"/>
  <c r="I814" i="17"/>
  <c r="I837" i="17"/>
  <c r="I873" i="17"/>
  <c r="S920" i="17"/>
  <c r="T1001" i="17"/>
  <c r="I997" i="17"/>
  <c r="S1020" i="17"/>
  <c r="I1029" i="17"/>
  <c r="I1053" i="17"/>
  <c r="I1068" i="17"/>
  <c r="I1101" i="17"/>
  <c r="F1020" i="17"/>
  <c r="R1020" i="17" s="1"/>
  <c r="S1789" i="17"/>
  <c r="K1901" i="17"/>
  <c r="R2049" i="17"/>
  <c r="T2049" i="17"/>
  <c r="I1175" i="17"/>
  <c r="S1237" i="17"/>
  <c r="I1245" i="17"/>
  <c r="I1271" i="17"/>
  <c r="I1299" i="17"/>
  <c r="I1324" i="17"/>
  <c r="I1341" i="17"/>
  <c r="I1361" i="17"/>
  <c r="I1377" i="17"/>
  <c r="R1393" i="17"/>
  <c r="G1408" i="17"/>
  <c r="S1408" i="17" s="1"/>
  <c r="I1417" i="17"/>
  <c r="I1440" i="17"/>
  <c r="S1473" i="17"/>
  <c r="I1480" i="17"/>
  <c r="R1543" i="17"/>
  <c r="I1552" i="17"/>
  <c r="S1601" i="17"/>
  <c r="I1610" i="17"/>
  <c r="I1653" i="17"/>
  <c r="I1678" i="17"/>
  <c r="I1771" i="17"/>
  <c r="I1797" i="17"/>
  <c r="I1833" i="17"/>
  <c r="R1853" i="17"/>
  <c r="I1861" i="17"/>
  <c r="J1901" i="17"/>
  <c r="R1936" i="17"/>
  <c r="T1936" i="17"/>
  <c r="I1920" i="17"/>
  <c r="S1956" i="17"/>
  <c r="T1984" i="17"/>
  <c r="R1984" i="17"/>
  <c r="S2500" i="17"/>
  <c r="K226" i="17"/>
  <c r="S226" i="17"/>
  <c r="T305" i="17"/>
  <c r="I193" i="17"/>
  <c r="T193" i="17"/>
  <c r="R226" i="17"/>
  <c r="J226" i="17"/>
  <c r="T226" i="17"/>
  <c r="I226" i="17"/>
  <c r="L226" i="17"/>
  <c r="T252" i="17"/>
  <c r="T271" i="17"/>
  <c r="I288" i="17"/>
  <c r="T288" i="17"/>
  <c r="T327" i="17"/>
  <c r="I327" i="17"/>
  <c r="T447" i="17"/>
  <c r="I32" i="17"/>
  <c r="S137" i="17"/>
  <c r="I151" i="17"/>
  <c r="S162" i="17"/>
  <c r="S215" i="17"/>
  <c r="I238" i="17"/>
  <c r="I258" i="17"/>
  <c r="I294" i="17"/>
  <c r="I313" i="17"/>
  <c r="S351" i="17"/>
  <c r="I453" i="17"/>
  <c r="I496" i="17"/>
  <c r="I524" i="17"/>
  <c r="I551" i="17"/>
  <c r="I577" i="17"/>
  <c r="I593" i="17"/>
  <c r="I610" i="17"/>
  <c r="I652" i="17"/>
  <c r="I670" i="17"/>
  <c r="I688" i="17"/>
  <c r="R730" i="17"/>
  <c r="I737" i="17"/>
  <c r="I763" i="17"/>
  <c r="I818" i="17"/>
  <c r="I182" i="17"/>
  <c r="I357" i="17"/>
  <c r="I427" i="17"/>
  <c r="I476" i="17"/>
  <c r="I499" i="17"/>
  <c r="I553" i="17"/>
  <c r="I633" i="17"/>
  <c r="I715" i="17"/>
  <c r="I783" i="17"/>
  <c r="I985" i="17"/>
  <c r="I1006" i="17"/>
  <c r="I1124" i="17"/>
  <c r="I1243" i="17"/>
  <c r="I1297" i="17"/>
  <c r="I1398" i="17"/>
  <c r="R1517" i="17"/>
  <c r="S1517" i="17"/>
  <c r="I1585" i="17"/>
  <c r="I1775" i="17"/>
  <c r="I870" i="17"/>
  <c r="I1008" i="17"/>
  <c r="I1227" i="17"/>
  <c r="I1359" i="17"/>
  <c r="I1413" i="17"/>
  <c r="I1437" i="17"/>
  <c r="I1478" i="17"/>
  <c r="I1650" i="17"/>
  <c r="I1676" i="17"/>
  <c r="J1763" i="17"/>
  <c r="S1763" i="17"/>
  <c r="I1942" i="17"/>
  <c r="I2077" i="17"/>
  <c r="T2077" i="17"/>
  <c r="T2114" i="17"/>
  <c r="T2182" i="17"/>
  <c r="I2223" i="17"/>
  <c r="T2223" i="17"/>
  <c r="S1853" i="17"/>
  <c r="I1883" i="17"/>
  <c r="I1916" i="17"/>
  <c r="T2090" i="17"/>
  <c r="I2090" i="17"/>
  <c r="T2127" i="17"/>
  <c r="I2127" i="17"/>
  <c r="T2197" i="17"/>
  <c r="T2237" i="17"/>
  <c r="I1961" i="17"/>
  <c r="S1984" i="17"/>
  <c r="S2049" i="17"/>
  <c r="G2061" i="17"/>
  <c r="S2061" i="17" s="1"/>
  <c r="I2083" i="17"/>
  <c r="I2102" i="17"/>
  <c r="I2120" i="17"/>
  <c r="I2140" i="17"/>
  <c r="S2154" i="17"/>
  <c r="I2166" i="17"/>
  <c r="I2188" i="17"/>
  <c r="I2210" i="17"/>
  <c r="G2250" i="17"/>
  <c r="T2447" i="17"/>
  <c r="I2447" i="17"/>
  <c r="T2492" i="17"/>
  <c r="I2492" i="17"/>
  <c r="I2001" i="17"/>
  <c r="I2066" i="17"/>
  <c r="I2107" i="17"/>
  <c r="I2173" i="17"/>
  <c r="I2216" i="17"/>
  <c r="I2282" i="17"/>
  <c r="T2282" i="17"/>
  <c r="T2298" i="17"/>
  <c r="I2315" i="17"/>
  <c r="T2315" i="17"/>
  <c r="T2332" i="17"/>
  <c r="I2344" i="17"/>
  <c r="T2344" i="17"/>
  <c r="I2360" i="17"/>
  <c r="T2360" i="17"/>
  <c r="I2373" i="17"/>
  <c r="T2373" i="17"/>
  <c r="T2386" i="17"/>
  <c r="I2386" i="17"/>
  <c r="I2435" i="17"/>
  <c r="T2435" i="17"/>
  <c r="T2472" i="17"/>
  <c r="R2500" i="17"/>
  <c r="J2500" i="17"/>
  <c r="I2399" i="17"/>
  <c r="I2440" i="17"/>
  <c r="I2459" i="17"/>
  <c r="I2478" i="17"/>
  <c r="I2429" i="17"/>
  <c r="I2464" i="17"/>
  <c r="I2497" i="17"/>
  <c r="F11" i="31" l="1"/>
  <c r="E17" i="31"/>
  <c r="I2237" i="17"/>
  <c r="I2197" i="17"/>
  <c r="I271" i="17"/>
  <c r="I2182" i="17"/>
  <c r="I2472" i="17"/>
  <c r="I2298" i="17"/>
  <c r="I2423" i="17"/>
  <c r="I2114" i="17"/>
  <c r="S2332" i="17"/>
  <c r="I1703" i="17"/>
  <c r="I2021" i="17"/>
  <c r="I683" i="17"/>
  <c r="T2021" i="17"/>
  <c r="K1739" i="17"/>
  <c r="I379" i="17"/>
  <c r="I629" i="17"/>
  <c r="I1317" i="17"/>
  <c r="I305" i="17"/>
  <c r="I252" i="17"/>
  <c r="I885" i="17"/>
  <c r="I665" i="17"/>
  <c r="I568" i="17"/>
  <c r="T2500" i="17"/>
  <c r="S1901" i="17"/>
  <c r="I1577" i="17"/>
  <c r="I1237" i="17"/>
  <c r="K2500" i="17"/>
  <c r="I1956" i="17"/>
  <c r="R1901" i="17"/>
  <c r="T1703" i="17"/>
  <c r="I490" i="17"/>
  <c r="I447" i="17"/>
  <c r="I605" i="17"/>
  <c r="I174" i="17"/>
  <c r="I2500" i="17"/>
  <c r="I41" i="17"/>
  <c r="I470" i="17"/>
  <c r="R1739" i="17"/>
  <c r="R2583" i="17" s="1"/>
  <c r="I647" i="17"/>
  <c r="I1046" i="17"/>
  <c r="I1877" i="17"/>
  <c r="I1447" i="17"/>
  <c r="I55" i="17"/>
  <c r="I516" i="17"/>
  <c r="I979" i="17"/>
  <c r="I2154" i="17"/>
  <c r="I2061" i="17"/>
  <c r="I1079" i="17"/>
  <c r="I1020" i="17"/>
  <c r="I920" i="17"/>
  <c r="T683" i="17"/>
  <c r="T470" i="17"/>
  <c r="I82" i="17"/>
  <c r="I546" i="17"/>
  <c r="I1473" i="17"/>
  <c r="I1408" i="17"/>
  <c r="I1669" i="17"/>
  <c r="T1669" i="17"/>
  <c r="I1628" i="17"/>
  <c r="T1628" i="17"/>
  <c r="T1517" i="17"/>
  <c r="I1517" i="17"/>
  <c r="I1853" i="17"/>
  <c r="I1821" i="17"/>
  <c r="T1821" i="17"/>
  <c r="T1763" i="17"/>
  <c r="I1763" i="17"/>
  <c r="L1763" i="17"/>
  <c r="T1601" i="17"/>
  <c r="I1601" i="17"/>
  <c r="I1543" i="17"/>
  <c r="T1543" i="17"/>
  <c r="I1393" i="17"/>
  <c r="T1393" i="17"/>
  <c r="I1336" i="17"/>
  <c r="T1336" i="17"/>
  <c r="I1289" i="17"/>
  <c r="T1289" i="17"/>
  <c r="I1261" i="17"/>
  <c r="T1261" i="17"/>
  <c r="I951" i="17"/>
  <c r="T730" i="17"/>
  <c r="I730" i="17"/>
  <c r="I404" i="17"/>
  <c r="I351" i="17"/>
  <c r="I215" i="17"/>
  <c r="T26" i="17"/>
  <c r="I26" i="17"/>
  <c r="I137" i="17"/>
  <c r="I2265" i="17"/>
  <c r="T2265" i="17"/>
  <c r="L1739" i="17"/>
  <c r="I1739" i="17"/>
  <c r="T1739" i="17"/>
  <c r="I2250" i="17"/>
  <c r="S2250" i="17"/>
  <c r="I2049" i="17"/>
  <c r="I1984" i="17"/>
  <c r="I1936" i="17"/>
  <c r="I1492" i="17"/>
  <c r="T1492" i="17"/>
  <c r="I1431" i="17"/>
  <c r="T1431" i="17"/>
  <c r="I1353" i="17"/>
  <c r="T1353" i="17"/>
  <c r="I1221" i="17"/>
  <c r="T1221" i="17"/>
  <c r="I1193" i="17"/>
  <c r="T1193" i="17"/>
  <c r="I1147" i="17"/>
  <c r="T1119" i="17"/>
  <c r="I1119" i="17"/>
  <c r="L1901" i="17"/>
  <c r="T1901" i="17"/>
  <c r="I1901" i="17"/>
  <c r="T1789" i="17"/>
  <c r="I1789" i="17"/>
  <c r="T1371" i="17"/>
  <c r="I1371" i="17"/>
  <c r="I858" i="17"/>
  <c r="I831" i="17"/>
  <c r="T831" i="17"/>
  <c r="T794" i="17"/>
  <c r="I794" i="17"/>
  <c r="I709" i="17"/>
  <c r="T709" i="17"/>
  <c r="T776" i="17"/>
  <c r="I776" i="17"/>
  <c r="T756" i="17"/>
  <c r="I756" i="17"/>
  <c r="I162" i="17"/>
  <c r="H69" i="20" l="1"/>
  <c r="H287" i="20" l="1"/>
  <c r="I282" i="20"/>
  <c r="D287" i="20"/>
  <c r="I287" i="20"/>
  <c r="C237" i="20"/>
  <c r="C307" i="20" s="1"/>
  <c r="D237" i="20"/>
  <c r="D307" i="20" s="1"/>
  <c r="I237" i="20"/>
  <c r="F279" i="20"/>
  <c r="G282" i="20"/>
  <c r="H282" i="20"/>
  <c r="H237" i="20"/>
  <c r="C282" i="20"/>
  <c r="D282" i="20"/>
  <c r="E287" i="20"/>
  <c r="G287" i="20"/>
  <c r="F239" i="20"/>
  <c r="F284" i="20"/>
  <c r="C287" i="20"/>
  <c r="G237" i="20"/>
  <c r="E282" i="20"/>
  <c r="F289" i="20"/>
  <c r="E237" i="20"/>
  <c r="F237" i="20" s="1"/>
  <c r="F287" i="20" l="1"/>
  <c r="F282" i="20"/>
  <c r="H128" i="20"/>
  <c r="H121" i="20" s="1"/>
  <c r="H296" i="20" l="1"/>
  <c r="H12" i="7"/>
  <c r="H103" i="7" l="1"/>
  <c r="H95" i="7"/>
  <c r="H230" i="7" l="1"/>
  <c r="H209" i="7"/>
  <c r="F475" i="7" l="1"/>
  <c r="D70" i="20" s="1"/>
  <c r="H197" i="7"/>
  <c r="S105" i="20" l="1"/>
  <c r="S112" i="20"/>
  <c r="I292" i="20"/>
  <c r="H292" i="20"/>
  <c r="G292" i="20"/>
  <c r="H133" i="8" l="1"/>
  <c r="H152" i="8"/>
  <c r="H131" i="8"/>
  <c r="H14" i="8"/>
  <c r="H62" i="9" l="1"/>
  <c r="H98" i="9"/>
  <c r="H21" i="10" l="1"/>
  <c r="H190" i="54"/>
  <c r="H189" i="54"/>
  <c r="H153" i="54"/>
  <c r="E98" i="54"/>
  <c r="E210" i="54" s="1"/>
  <c r="F66" i="52" l="1"/>
  <c r="H50" i="52"/>
  <c r="H48" i="52"/>
  <c r="H47" i="52"/>
  <c r="H46" i="52"/>
  <c r="H45" i="52"/>
  <c r="F61" i="52" l="1"/>
  <c r="H61" i="52" s="1"/>
  <c r="D12" i="20"/>
  <c r="E66" i="52"/>
  <c r="C12" i="20" s="1"/>
  <c r="H33" i="52"/>
  <c r="G309" i="20" l="1"/>
  <c r="H309" i="20"/>
  <c r="I309" i="20"/>
  <c r="E61" i="52" l="1"/>
  <c r="G310" i="20"/>
  <c r="H279" i="7"/>
  <c r="H21" i="7"/>
  <c r="I278" i="20"/>
  <c r="I228" i="20"/>
  <c r="H228" i="20"/>
  <c r="G228" i="20"/>
  <c r="I222" i="20"/>
  <c r="H222" i="20"/>
  <c r="G222" i="20"/>
  <c r="I217" i="20"/>
  <c r="H217" i="20"/>
  <c r="H278" i="20"/>
  <c r="G278" i="20"/>
  <c r="H233" i="20"/>
  <c r="G233" i="20"/>
  <c r="G217" i="20"/>
  <c r="G207" i="20"/>
  <c r="H207" i="20"/>
  <c r="I207" i="20"/>
  <c r="I202" i="20"/>
  <c r="H202" i="20"/>
  <c r="G202" i="20"/>
  <c r="I188" i="20"/>
  <c r="H188" i="20"/>
  <c r="G188" i="20"/>
  <c r="I183" i="20"/>
  <c r="H183" i="20"/>
  <c r="G183" i="20"/>
  <c r="I166" i="20"/>
  <c r="E166" i="20"/>
  <c r="D166" i="20"/>
  <c r="C166" i="20"/>
  <c r="D161" i="20"/>
  <c r="C161" i="20"/>
  <c r="H18" i="8"/>
  <c r="H96" i="8"/>
  <c r="H31" i="9"/>
  <c r="H140" i="9"/>
  <c r="H19" i="10"/>
  <c r="G24" i="11"/>
  <c r="G36" i="11" s="1"/>
  <c r="E32" i="20" s="1"/>
  <c r="F24" i="11"/>
  <c r="F36" i="11" s="1"/>
  <c r="D32" i="20" s="1"/>
  <c r="H26" i="5"/>
  <c r="H21" i="5"/>
  <c r="H167" i="54"/>
  <c r="H36" i="52"/>
  <c r="I7" i="20"/>
  <c r="H7" i="20"/>
  <c r="H33" i="7"/>
  <c r="H23" i="7"/>
  <c r="H16" i="7"/>
  <c r="H12" i="8"/>
  <c r="H11" i="8"/>
  <c r="H53" i="9"/>
  <c r="H18" i="9"/>
  <c r="H19" i="9"/>
  <c r="H22" i="10"/>
  <c r="H20" i="10"/>
  <c r="H16" i="10"/>
  <c r="H15" i="10"/>
  <c r="H23" i="11"/>
  <c r="H22" i="11"/>
  <c r="H15" i="11"/>
  <c r="H20" i="5"/>
  <c r="H17" i="5"/>
  <c r="H124" i="54"/>
  <c r="H42" i="52"/>
  <c r="H41" i="52"/>
  <c r="H27" i="52"/>
  <c r="H28" i="52"/>
  <c r="H34" i="52"/>
  <c r="H35" i="52"/>
  <c r="H26" i="52"/>
  <c r="H24" i="52"/>
  <c r="H23" i="52"/>
  <c r="H22" i="52"/>
  <c r="H21" i="52"/>
  <c r="H19" i="52"/>
  <c r="H18" i="52"/>
  <c r="H17" i="52"/>
  <c r="H14" i="52"/>
  <c r="H13" i="52"/>
  <c r="H12" i="52"/>
  <c r="H11" i="52"/>
  <c r="D39" i="20"/>
  <c r="D41" i="20"/>
  <c r="D48" i="20"/>
  <c r="D49" i="20"/>
  <c r="E39" i="20"/>
  <c r="E41" i="20"/>
  <c r="E48" i="20"/>
  <c r="E49" i="20"/>
  <c r="C39" i="20"/>
  <c r="C40" i="20"/>
  <c r="C41" i="20"/>
  <c r="C48" i="20"/>
  <c r="C49" i="20"/>
  <c r="H212" i="20"/>
  <c r="H166" i="20"/>
  <c r="H135" i="20"/>
  <c r="H111" i="20"/>
  <c r="H110" i="20" s="1"/>
  <c r="H99" i="20"/>
  <c r="H104" i="20"/>
  <c r="H86" i="20"/>
  <c r="H92" i="20"/>
  <c r="H74" i="20"/>
  <c r="H79" i="20"/>
  <c r="H26" i="20"/>
  <c r="H21" i="20"/>
  <c r="I26" i="20"/>
  <c r="I21" i="20"/>
  <c r="I135" i="20"/>
  <c r="I128" i="20"/>
  <c r="I121" i="20" s="1"/>
  <c r="I111" i="20"/>
  <c r="I110" i="20" s="1"/>
  <c r="I104" i="20"/>
  <c r="I98" i="20" s="1"/>
  <c r="I92" i="20"/>
  <c r="I85" i="20" s="1"/>
  <c r="I69" i="20"/>
  <c r="I74" i="20"/>
  <c r="I79" i="20"/>
  <c r="G166" i="20"/>
  <c r="G135" i="20"/>
  <c r="G111" i="20"/>
  <c r="G110" i="20" s="1"/>
  <c r="G99" i="20"/>
  <c r="G104" i="20"/>
  <c r="G92" i="20"/>
  <c r="G85" i="20" s="1"/>
  <c r="G69" i="20"/>
  <c r="G74" i="20"/>
  <c r="G79" i="20"/>
  <c r="G26" i="20"/>
  <c r="G21" i="20"/>
  <c r="G294" i="54"/>
  <c r="G290" i="54" s="1"/>
  <c r="E294" i="54"/>
  <c r="D16" i="20"/>
  <c r="F16" i="20" s="1"/>
  <c r="H10" i="30"/>
  <c r="F13" i="30"/>
  <c r="H13" i="30"/>
  <c r="H18" i="30"/>
  <c r="F21" i="30"/>
  <c r="F33" i="30"/>
  <c r="H33" i="30"/>
  <c r="E39" i="30"/>
  <c r="F39" i="30"/>
  <c r="G39" i="30"/>
  <c r="H39" i="30"/>
  <c r="F9" i="29"/>
  <c r="H9" i="29" s="1"/>
  <c r="F12" i="29"/>
  <c r="H12" i="29"/>
  <c r="H16" i="29"/>
  <c r="H22" i="29"/>
  <c r="F23" i="29"/>
  <c r="H23" i="29"/>
  <c r="F26" i="29"/>
  <c r="H26" i="29" s="1"/>
  <c r="H33" i="29"/>
  <c r="F36" i="29"/>
  <c r="H36" i="29" s="1"/>
  <c r="F39" i="29"/>
  <c r="H39" i="29" s="1"/>
  <c r="F57" i="29"/>
  <c r="E65" i="29"/>
  <c r="G65" i="29"/>
  <c r="H11" i="49"/>
  <c r="H12" i="49"/>
  <c r="H13" i="49"/>
  <c r="H14" i="49"/>
  <c r="H15" i="49"/>
  <c r="H16" i="49"/>
  <c r="H17" i="49"/>
  <c r="H18" i="49"/>
  <c r="H19" i="49"/>
  <c r="H20" i="49"/>
  <c r="H21" i="49"/>
  <c r="H22" i="49"/>
  <c r="H23" i="49"/>
  <c r="E25" i="49"/>
  <c r="E27" i="49" s="1"/>
  <c r="F25" i="49"/>
  <c r="G25" i="49"/>
  <c r="H25" i="49" s="1"/>
  <c r="G26" i="49"/>
  <c r="F27" i="49"/>
  <c r="E30" i="49"/>
  <c r="F30" i="49"/>
  <c r="F29" i="49" s="1"/>
  <c r="F34" i="49" s="1"/>
  <c r="G30" i="49"/>
  <c r="G29" i="49" s="1"/>
  <c r="E32" i="49"/>
  <c r="E29" i="49" s="1"/>
  <c r="E34" i="49" s="1"/>
  <c r="F32" i="49"/>
  <c r="G32" i="49"/>
  <c r="E11" i="115"/>
  <c r="F11" i="115"/>
  <c r="E14" i="115"/>
  <c r="E13" i="115" s="1"/>
  <c r="E18" i="115" s="1"/>
  <c r="F14" i="115"/>
  <c r="F13" i="115" s="1"/>
  <c r="F18" i="115" s="1"/>
  <c r="G14" i="115"/>
  <c r="G13" i="115"/>
  <c r="G18" i="115" s="1"/>
  <c r="E13" i="114"/>
  <c r="F13" i="114"/>
  <c r="G13" i="114"/>
  <c r="E16" i="114"/>
  <c r="E15" i="114" s="1"/>
  <c r="E20" i="114" s="1"/>
  <c r="F16" i="114"/>
  <c r="F15" i="114" s="1"/>
  <c r="F20" i="114" s="1"/>
  <c r="G16" i="114"/>
  <c r="E18" i="114"/>
  <c r="F18" i="114"/>
  <c r="G18" i="114"/>
  <c r="G15" i="114" s="1"/>
  <c r="G20" i="114" s="1"/>
  <c r="E11" i="113"/>
  <c r="F11" i="113"/>
  <c r="G11" i="113"/>
  <c r="G12" i="113"/>
  <c r="G13" i="113" s="1"/>
  <c r="E13" i="113"/>
  <c r="F13" i="113"/>
  <c r="E23" i="113"/>
  <c r="E20" i="113" s="1"/>
  <c r="E25" i="113" s="1"/>
  <c r="F23" i="113"/>
  <c r="F20" i="113"/>
  <c r="F25" i="113" s="1"/>
  <c r="G23" i="113"/>
  <c r="G20" i="113" s="1"/>
  <c r="G25" i="113" s="1"/>
  <c r="E10" i="112"/>
  <c r="F10" i="112"/>
  <c r="F14" i="112" s="1"/>
  <c r="F13" i="112" s="1"/>
  <c r="F18" i="112" s="1"/>
  <c r="G10" i="112"/>
  <c r="E14" i="112"/>
  <c r="E13" i="112" s="1"/>
  <c r="E18" i="112" s="1"/>
  <c r="G14" i="112"/>
  <c r="G13" i="112" s="1"/>
  <c r="G18" i="112" s="1"/>
  <c r="H18" i="112" s="1"/>
  <c r="E11" i="111"/>
  <c r="F11" i="111"/>
  <c r="G11" i="111"/>
  <c r="E15" i="111"/>
  <c r="E14" i="111" s="1"/>
  <c r="E19" i="111" s="1"/>
  <c r="F15" i="111"/>
  <c r="F14" i="111" s="1"/>
  <c r="F19" i="111" s="1"/>
  <c r="G15" i="111"/>
  <c r="G14" i="111"/>
  <c r="G19" i="111" s="1"/>
  <c r="E11" i="109"/>
  <c r="F11" i="109"/>
  <c r="G11" i="109"/>
  <c r="E15" i="109"/>
  <c r="E14" i="109" s="1"/>
  <c r="E19" i="109" s="1"/>
  <c r="F15" i="109"/>
  <c r="F14" i="109" s="1"/>
  <c r="F19" i="109" s="1"/>
  <c r="G15" i="109"/>
  <c r="G14" i="109"/>
  <c r="G19" i="109" s="1"/>
  <c r="E11" i="108"/>
  <c r="F11" i="108"/>
  <c r="G11" i="108"/>
  <c r="G13" i="108" s="1"/>
  <c r="E12" i="108"/>
  <c r="F12" i="108"/>
  <c r="G12" i="108"/>
  <c r="E13" i="108"/>
  <c r="F13" i="108"/>
  <c r="E17" i="108"/>
  <c r="F17" i="108"/>
  <c r="F16" i="108" s="1"/>
  <c r="F21" i="108" s="1"/>
  <c r="G17" i="108"/>
  <c r="G16" i="108" s="1"/>
  <c r="G21" i="108" s="1"/>
  <c r="E19" i="108"/>
  <c r="E16" i="108" s="1"/>
  <c r="E21" i="108" s="1"/>
  <c r="F19" i="108"/>
  <c r="G19" i="108"/>
  <c r="E11" i="107"/>
  <c r="F11" i="107"/>
  <c r="F15" i="107" s="1"/>
  <c r="F14" i="107" s="1"/>
  <c r="F19" i="107" s="1"/>
  <c r="G11" i="107"/>
  <c r="E15" i="107"/>
  <c r="E14" i="107" s="1"/>
  <c r="E19" i="107" s="1"/>
  <c r="G15" i="107"/>
  <c r="G14" i="107" s="1"/>
  <c r="G19" i="107" s="1"/>
  <c r="H25" i="7"/>
  <c r="H298" i="7"/>
  <c r="H65" i="7"/>
  <c r="H69" i="7"/>
  <c r="C75" i="20"/>
  <c r="E487" i="7"/>
  <c r="C80" i="20" s="1"/>
  <c r="H84" i="8"/>
  <c r="H85" i="8"/>
  <c r="H87" i="8"/>
  <c r="H88" i="8"/>
  <c r="H89" i="8"/>
  <c r="H21" i="8"/>
  <c r="H22" i="8"/>
  <c r="H26" i="8"/>
  <c r="H30" i="8"/>
  <c r="H44" i="8"/>
  <c r="H45" i="8"/>
  <c r="H47" i="8"/>
  <c r="H49" i="8"/>
  <c r="H50" i="8"/>
  <c r="H104" i="8"/>
  <c r="H153" i="8"/>
  <c r="H175" i="8"/>
  <c r="H9" i="27"/>
  <c r="H12" i="27"/>
  <c r="H19" i="27"/>
  <c r="H22" i="27"/>
  <c r="H27" i="27"/>
  <c r="H29" i="27"/>
  <c r="H30" i="27"/>
  <c r="H35" i="27"/>
  <c r="H38" i="27"/>
  <c r="F40" i="27"/>
  <c r="G40" i="27"/>
  <c r="H40" i="27" s="1"/>
  <c r="F41" i="27"/>
  <c r="G41" i="27"/>
  <c r="H41" i="27"/>
  <c r="F42" i="27"/>
  <c r="G42" i="27"/>
  <c r="H42" i="27" s="1"/>
  <c r="F47" i="27"/>
  <c r="I11" i="25"/>
  <c r="F13" i="25"/>
  <c r="F17" i="25" s="1"/>
  <c r="G13" i="25"/>
  <c r="H13" i="25"/>
  <c r="I13" i="25" s="1"/>
  <c r="I14" i="25"/>
  <c r="I15" i="25"/>
  <c r="F16" i="25"/>
  <c r="G16" i="25"/>
  <c r="H16" i="25"/>
  <c r="G17" i="25"/>
  <c r="F24" i="25"/>
  <c r="G24" i="25"/>
  <c r="G39" i="25" s="1"/>
  <c r="H24" i="25"/>
  <c r="I24" i="25"/>
  <c r="F25" i="25"/>
  <c r="G25" i="25"/>
  <c r="H25" i="25"/>
  <c r="I25" i="25"/>
  <c r="I31" i="25"/>
  <c r="F32" i="25"/>
  <c r="G32" i="25"/>
  <c r="H32" i="25"/>
  <c r="I32" i="25" s="1"/>
  <c r="F33" i="25"/>
  <c r="G33" i="25"/>
  <c r="H33" i="25"/>
  <c r="I33" i="25" s="1"/>
  <c r="F38" i="25"/>
  <c r="F37" i="25" s="1"/>
  <c r="G38" i="25"/>
  <c r="H38" i="25"/>
  <c r="I38" i="25" s="1"/>
  <c r="F39" i="25"/>
  <c r="H39" i="25"/>
  <c r="I39" i="25" s="1"/>
  <c r="F44" i="25"/>
  <c r="H44" i="25"/>
  <c r="H108" i="9"/>
  <c r="H136" i="9"/>
  <c r="H137" i="9"/>
  <c r="H21" i="9"/>
  <c r="H32" i="9"/>
  <c r="H33" i="9"/>
  <c r="H42" i="9"/>
  <c r="H44" i="9"/>
  <c r="H144" i="9"/>
  <c r="H145" i="9"/>
  <c r="H155" i="9"/>
  <c r="E217" i="9"/>
  <c r="E215" i="9" s="1"/>
  <c r="G217" i="9"/>
  <c r="G215" i="9" s="1"/>
  <c r="H14" i="10"/>
  <c r="H23" i="10"/>
  <c r="H24" i="10"/>
  <c r="H25" i="10"/>
  <c r="H31" i="10"/>
  <c r="H32" i="10"/>
  <c r="D40" i="20"/>
  <c r="H12" i="11"/>
  <c r="H16" i="11"/>
  <c r="E24" i="11"/>
  <c r="E36" i="11" s="1"/>
  <c r="C32" i="20" s="1"/>
  <c r="H31" i="11"/>
  <c r="F37" i="11"/>
  <c r="D33" i="20" s="1"/>
  <c r="G37" i="11"/>
  <c r="E33" i="20" s="1"/>
  <c r="H12" i="4"/>
  <c r="E23" i="4"/>
  <c r="F17" i="4"/>
  <c r="D27" i="20" s="1"/>
  <c r="G23" i="4"/>
  <c r="G17" i="4"/>
  <c r="E27" i="20" s="1"/>
  <c r="E18" i="4"/>
  <c r="F18" i="4"/>
  <c r="G18" i="4"/>
  <c r="H16" i="5"/>
  <c r="H22" i="5"/>
  <c r="H25" i="5"/>
  <c r="H27" i="5"/>
  <c r="H31" i="5"/>
  <c r="H44" i="5"/>
  <c r="H45" i="5"/>
  <c r="H46" i="5"/>
  <c r="H47" i="5"/>
  <c r="H48" i="5"/>
  <c r="E63" i="5"/>
  <c r="D23" i="20"/>
  <c r="H99" i="54"/>
  <c r="H100" i="54"/>
  <c r="H106" i="54"/>
  <c r="H108" i="54"/>
  <c r="H111" i="54"/>
  <c r="H112" i="54"/>
  <c r="H118" i="54"/>
  <c r="H119" i="54"/>
  <c r="H130" i="54"/>
  <c r="H134" i="54"/>
  <c r="H137" i="54"/>
  <c r="H144" i="54"/>
  <c r="H146" i="54"/>
  <c r="H147" i="54"/>
  <c r="H149" i="54"/>
  <c r="H151" i="54"/>
  <c r="H152" i="54"/>
  <c r="H157" i="54"/>
  <c r="H159" i="54"/>
  <c r="H160" i="54"/>
  <c r="H161" i="54"/>
  <c r="H162" i="54"/>
  <c r="H164" i="54"/>
  <c r="H166" i="54"/>
  <c r="H169" i="54"/>
  <c r="H170" i="54"/>
  <c r="H176" i="54"/>
  <c r="H180" i="54"/>
  <c r="H184" i="54"/>
  <c r="H185" i="54"/>
  <c r="H186" i="54"/>
  <c r="H191" i="54"/>
  <c r="H192" i="54"/>
  <c r="H195" i="54"/>
  <c r="H197" i="54"/>
  <c r="H198" i="54"/>
  <c r="H200" i="54"/>
  <c r="H209" i="54"/>
  <c r="H224" i="54"/>
  <c r="H228" i="54"/>
  <c r="H9" i="52"/>
  <c r="H37" i="52"/>
  <c r="H98" i="54"/>
  <c r="H109" i="54"/>
  <c r="H117" i="54"/>
  <c r="H66" i="52"/>
  <c r="H292" i="54"/>
  <c r="H51" i="52"/>
  <c r="E290" i="54" l="1"/>
  <c r="E289" i="54" s="1"/>
  <c r="F27" i="20"/>
  <c r="D19" i="20"/>
  <c r="D296" i="20" s="1"/>
  <c r="F289" i="54"/>
  <c r="E19" i="20"/>
  <c r="G289" i="54"/>
  <c r="C19" i="20"/>
  <c r="R54" i="20" s="1"/>
  <c r="O305" i="20"/>
  <c r="O306" i="20" s="1"/>
  <c r="I62" i="20"/>
  <c r="H62" i="20"/>
  <c r="H98" i="20"/>
  <c r="H85" i="20"/>
  <c r="G98" i="20"/>
  <c r="G62" i="20"/>
  <c r="G37" i="25"/>
  <c r="H29" i="49"/>
  <c r="G34" i="49"/>
  <c r="H34" i="49" s="1"/>
  <c r="G44" i="25"/>
  <c r="I44" i="25" s="1"/>
  <c r="H37" i="25"/>
  <c r="I37" i="25" s="1"/>
  <c r="H17" i="25"/>
  <c r="I17" i="25" s="1"/>
  <c r="H30" i="49"/>
  <c r="F65" i="29"/>
  <c r="H65" i="29" s="1"/>
  <c r="G47" i="27"/>
  <c r="H47" i="27" s="1"/>
  <c r="G27" i="49"/>
  <c r="H27" i="49" s="1"/>
  <c r="E37" i="11"/>
  <c r="C33" i="20" s="1"/>
  <c r="E42" i="11"/>
  <c r="T48" i="20"/>
  <c r="E23" i="20"/>
  <c r="F23" i="20" s="1"/>
  <c r="S47" i="20"/>
  <c r="R48" i="20"/>
  <c r="R47" i="20"/>
  <c r="K51" i="20"/>
  <c r="M51" i="20"/>
  <c r="L51" i="20"/>
  <c r="L487" i="7"/>
  <c r="E47" i="20"/>
  <c r="C47" i="20"/>
  <c r="K487" i="7"/>
  <c r="F23" i="4"/>
  <c r="H23" i="4" s="1"/>
  <c r="E17" i="4"/>
  <c r="C27" i="20" s="1"/>
  <c r="S48" i="20"/>
  <c r="F125" i="20"/>
  <c r="E40" i="20"/>
  <c r="F40" i="20" s="1"/>
  <c r="H32" i="11"/>
  <c r="F42" i="11"/>
  <c r="H24" i="11"/>
  <c r="G42" i="11"/>
  <c r="H17" i="4"/>
  <c r="G16" i="4"/>
  <c r="H13" i="4"/>
  <c r="F16" i="4"/>
  <c r="H16" i="4" s="1"/>
  <c r="E58" i="5"/>
  <c r="H291" i="54"/>
  <c r="H294" i="54"/>
  <c r="H67" i="52"/>
  <c r="H310" i="20"/>
  <c r="I310" i="20"/>
  <c r="E99" i="20"/>
  <c r="F262" i="20"/>
  <c r="F89" i="20"/>
  <c r="E104" i="20"/>
  <c r="D26" i="20"/>
  <c r="F108" i="20"/>
  <c r="F100" i="20"/>
  <c r="E26" i="20"/>
  <c r="F55" i="20"/>
  <c r="F95" i="20"/>
  <c r="C7" i="20"/>
  <c r="D99" i="20"/>
  <c r="C99" i="20"/>
  <c r="D104" i="20"/>
  <c r="F12" i="20"/>
  <c r="F106" i="20"/>
  <c r="C278" i="20"/>
  <c r="E278" i="20"/>
  <c r="E217" i="20"/>
  <c r="C228" i="20"/>
  <c r="F218" i="20"/>
  <c r="D278" i="20"/>
  <c r="D217" i="20"/>
  <c r="C233" i="20"/>
  <c r="D228" i="20"/>
  <c r="E228" i="20"/>
  <c r="F229" i="20"/>
  <c r="F213" i="20"/>
  <c r="C217" i="20"/>
  <c r="G212" i="20"/>
  <c r="E212" i="20"/>
  <c r="I233" i="20"/>
  <c r="E233" i="20"/>
  <c r="D212" i="20"/>
  <c r="D233" i="20"/>
  <c r="D207" i="20"/>
  <c r="C202" i="20"/>
  <c r="C212" i="20"/>
  <c r="I212" i="20"/>
  <c r="D202" i="20"/>
  <c r="C207" i="20"/>
  <c r="E202" i="20"/>
  <c r="E207" i="20"/>
  <c r="F203" i="20"/>
  <c r="D183" i="20"/>
  <c r="F185" i="20"/>
  <c r="C188" i="20"/>
  <c r="D188" i="20"/>
  <c r="E188" i="20"/>
  <c r="C183" i="20"/>
  <c r="E183" i="20"/>
  <c r="I161" i="20"/>
  <c r="G161" i="20"/>
  <c r="F163" i="20"/>
  <c r="E161" i="20"/>
  <c r="F161" i="20" s="1"/>
  <c r="H161" i="20"/>
  <c r="H318" i="20"/>
  <c r="F480" i="7"/>
  <c r="H20" i="7"/>
  <c r="H285" i="7"/>
  <c r="H284" i="7"/>
  <c r="E475" i="7"/>
  <c r="E474" i="7" s="1"/>
  <c r="H63" i="7"/>
  <c r="C74" i="20"/>
  <c r="E486" i="7"/>
  <c r="F77" i="20"/>
  <c r="D79" i="20"/>
  <c r="H483" i="7"/>
  <c r="F82" i="20"/>
  <c r="C79" i="20"/>
  <c r="H489" i="7"/>
  <c r="H70" i="7"/>
  <c r="F131" i="20"/>
  <c r="H54" i="9"/>
  <c r="D46" i="20"/>
  <c r="H45" i="9"/>
  <c r="G63" i="5"/>
  <c r="H54" i="5"/>
  <c r="F63" i="5"/>
  <c r="H32" i="5"/>
  <c r="D22" i="20"/>
  <c r="D7" i="20"/>
  <c r="F198" i="20"/>
  <c r="C197" i="20"/>
  <c r="D197" i="20"/>
  <c r="G197" i="20"/>
  <c r="I197" i="20"/>
  <c r="E197" i="20"/>
  <c r="H197" i="20"/>
  <c r="I318" i="20"/>
  <c r="H51" i="8"/>
  <c r="F223" i="20"/>
  <c r="E222" i="20"/>
  <c r="D222" i="20"/>
  <c r="C222" i="20"/>
  <c r="H307" i="20" l="1"/>
  <c r="H311" i="20" s="1"/>
  <c r="H313" i="20" s="1"/>
  <c r="H326" i="20" s="1"/>
  <c r="I295" i="20"/>
  <c r="I297" i="20" s="1"/>
  <c r="I307" i="20"/>
  <c r="I311" i="20" s="1"/>
  <c r="G307" i="20"/>
  <c r="G311" i="20" s="1"/>
  <c r="G313" i="20" s="1"/>
  <c r="G326" i="20" s="1"/>
  <c r="T54" i="20"/>
  <c r="E312" i="20"/>
  <c r="E18" i="31" s="1"/>
  <c r="E296" i="20"/>
  <c r="F296" i="20" s="1"/>
  <c r="C13" i="31"/>
  <c r="E13" i="31"/>
  <c r="D13" i="31"/>
  <c r="D17" i="31" s="1"/>
  <c r="G295" i="20"/>
  <c r="H295" i="20"/>
  <c r="H297" i="20" s="1"/>
  <c r="F22" i="20"/>
  <c r="C312" i="20"/>
  <c r="C18" i="31" s="1"/>
  <c r="C296" i="20"/>
  <c r="F26" i="20"/>
  <c r="S49" i="20"/>
  <c r="E56" i="5"/>
  <c r="C23" i="20"/>
  <c r="R46" i="20" s="1"/>
  <c r="T49" i="20"/>
  <c r="F19" i="20"/>
  <c r="C70" i="20"/>
  <c r="C69" i="20" s="1"/>
  <c r="C62" i="20" s="1"/>
  <c r="H290" i="54"/>
  <c r="E15" i="20"/>
  <c r="C15" i="20"/>
  <c r="C14" i="20" s="1"/>
  <c r="C304" i="20" s="1"/>
  <c r="D15" i="20"/>
  <c r="D14" i="20" s="1"/>
  <c r="D312" i="20"/>
  <c r="D18" i="31" s="1"/>
  <c r="P305" i="20"/>
  <c r="P306" i="20" s="1"/>
  <c r="F207" i="20"/>
  <c r="D98" i="20"/>
  <c r="E98" i="20"/>
  <c r="H172" i="8"/>
  <c r="R49" i="20"/>
  <c r="H63" i="10"/>
  <c r="H41" i="10"/>
  <c r="E35" i="11"/>
  <c r="C31" i="20"/>
  <c r="M109" i="20"/>
  <c r="K109" i="20"/>
  <c r="T47" i="20"/>
  <c r="H54" i="10"/>
  <c r="C318" i="20"/>
  <c r="C31" i="31" s="1"/>
  <c r="L109" i="20"/>
  <c r="M487" i="7"/>
  <c r="E16" i="4"/>
  <c r="C26" i="20"/>
  <c r="S54" i="20"/>
  <c r="F278" i="20"/>
  <c r="C111" i="20"/>
  <c r="C110" i="20" s="1"/>
  <c r="D86" i="20"/>
  <c r="C292" i="20"/>
  <c r="H180" i="8"/>
  <c r="D31" i="20"/>
  <c r="F35" i="11"/>
  <c r="G35" i="11"/>
  <c r="H63" i="5"/>
  <c r="D310" i="20"/>
  <c r="D16" i="31" s="1"/>
  <c r="C38" i="20"/>
  <c r="G318" i="20"/>
  <c r="F104" i="20"/>
  <c r="F99" i="20"/>
  <c r="F228" i="20"/>
  <c r="F217" i="20"/>
  <c r="F212" i="20"/>
  <c r="F202" i="20"/>
  <c r="F197" i="20"/>
  <c r="F183" i="20"/>
  <c r="F188" i="20"/>
  <c r="D74" i="20"/>
  <c r="H242" i="7"/>
  <c r="H477" i="7"/>
  <c r="G475" i="7"/>
  <c r="E70" i="20" s="1"/>
  <c r="T112" i="20" s="1"/>
  <c r="E28" i="31" s="1"/>
  <c r="E79" i="20"/>
  <c r="F79" i="20" s="1"/>
  <c r="G486" i="7"/>
  <c r="C104" i="20"/>
  <c r="C98" i="20" s="1"/>
  <c r="F136" i="20"/>
  <c r="D292" i="20"/>
  <c r="E46" i="20"/>
  <c r="H215" i="9"/>
  <c r="C46" i="20"/>
  <c r="D47" i="20"/>
  <c r="D45" i="20" s="1"/>
  <c r="D44" i="20" s="1"/>
  <c r="H217" i="9"/>
  <c r="H55" i="10"/>
  <c r="E38" i="20"/>
  <c r="D38" i="20"/>
  <c r="H58" i="5"/>
  <c r="F56" i="5"/>
  <c r="H57" i="5"/>
  <c r="F8" i="20"/>
  <c r="E7" i="20"/>
  <c r="F199" i="20"/>
  <c r="G317" i="20"/>
  <c r="E86" i="20"/>
  <c r="H55" i="7"/>
  <c r="F222" i="20"/>
  <c r="D13" i="20" l="1"/>
  <c r="D304" i="20"/>
  <c r="C10" i="31"/>
  <c r="F7" i="20"/>
  <c r="S52" i="20"/>
  <c r="R52" i="20"/>
  <c r="T52" i="20"/>
  <c r="E37" i="20"/>
  <c r="E36" i="20" s="1"/>
  <c r="R53" i="20"/>
  <c r="C316" i="20" s="1"/>
  <c r="C29" i="31" s="1"/>
  <c r="F38" i="20"/>
  <c r="E14" i="20"/>
  <c r="F15" i="20"/>
  <c r="T105" i="20"/>
  <c r="R112" i="20"/>
  <c r="R105" i="20"/>
  <c r="H289" i="54"/>
  <c r="E318" i="20"/>
  <c r="E31" i="31" s="1"/>
  <c r="C45" i="20"/>
  <c r="C44" i="20" s="1"/>
  <c r="E45" i="20"/>
  <c r="F45" i="20" s="1"/>
  <c r="D37" i="20"/>
  <c r="C37" i="20"/>
  <c r="G297" i="20"/>
  <c r="E494" i="7"/>
  <c r="T46" i="20"/>
  <c r="I313" i="20"/>
  <c r="I326" i="20" s="1"/>
  <c r="D318" i="20"/>
  <c r="D31" i="31" s="1"/>
  <c r="S46" i="20"/>
  <c r="S53" i="20" s="1"/>
  <c r="S44" i="20"/>
  <c r="C309" i="20"/>
  <c r="C15" i="31" s="1"/>
  <c r="G319" i="20"/>
  <c r="C21" i="20"/>
  <c r="F72" i="20"/>
  <c r="E135" i="20"/>
  <c r="E31" i="20"/>
  <c r="H56" i="5"/>
  <c r="I317" i="20"/>
  <c r="I319" i="20" s="1"/>
  <c r="F18" i="31"/>
  <c r="C128" i="20"/>
  <c r="C121" i="20" s="1"/>
  <c r="D309" i="20"/>
  <c r="D15" i="31" s="1"/>
  <c r="F98" i="20"/>
  <c r="H317" i="20"/>
  <c r="H319" i="20" s="1"/>
  <c r="G480" i="7"/>
  <c r="H480" i="7" s="1"/>
  <c r="H486" i="7"/>
  <c r="G474" i="7"/>
  <c r="H475" i="7"/>
  <c r="E69" i="20"/>
  <c r="D69" i="20"/>
  <c r="F474" i="7"/>
  <c r="E74" i="20"/>
  <c r="F74" i="20" s="1"/>
  <c r="D128" i="20"/>
  <c r="D121" i="20" s="1"/>
  <c r="F94" i="20"/>
  <c r="E310" i="20"/>
  <c r="E16" i="31" s="1"/>
  <c r="F260" i="20"/>
  <c r="F47" i="20"/>
  <c r="F46" i="20"/>
  <c r="E21" i="20"/>
  <c r="D21" i="20"/>
  <c r="F87" i="20"/>
  <c r="F53" i="20"/>
  <c r="E292" i="20"/>
  <c r="F293" i="20"/>
  <c r="F14" i="20" l="1"/>
  <c r="E304" i="20"/>
  <c r="T53" i="20"/>
  <c r="F37" i="20"/>
  <c r="E13" i="20"/>
  <c r="F13" i="20" s="1"/>
  <c r="F21" i="20"/>
  <c r="E44" i="20"/>
  <c r="L489" i="7"/>
  <c r="F494" i="7"/>
  <c r="K489" i="7"/>
  <c r="C36" i="20"/>
  <c r="D36" i="20"/>
  <c r="F36" i="20" s="1"/>
  <c r="D62" i="20"/>
  <c r="S51" i="20"/>
  <c r="F69" i="20"/>
  <c r="E62" i="20"/>
  <c r="G494" i="7"/>
  <c r="E29" i="31"/>
  <c r="F31" i="31"/>
  <c r="R44" i="20"/>
  <c r="S55" i="20"/>
  <c r="C135" i="20"/>
  <c r="R55" i="20"/>
  <c r="D111" i="20"/>
  <c r="D110" i="20" s="1"/>
  <c r="F16" i="31"/>
  <c r="F137" i="20"/>
  <c r="D135" i="20"/>
  <c r="E309" i="20"/>
  <c r="E15" i="31" s="1"/>
  <c r="F51" i="20"/>
  <c r="F123" i="20"/>
  <c r="H474" i="7"/>
  <c r="F70" i="20"/>
  <c r="E128" i="20"/>
  <c r="E121" i="20" s="1"/>
  <c r="E111" i="20"/>
  <c r="E110" i="20" s="1"/>
  <c r="F112" i="20"/>
  <c r="C92" i="20"/>
  <c r="E92" i="20"/>
  <c r="E85" i="20" s="1"/>
  <c r="F86" i="20"/>
  <c r="F64" i="20"/>
  <c r="F13" i="31"/>
  <c r="F292" i="20"/>
  <c r="H210" i="54"/>
  <c r="F44" i="20" l="1"/>
  <c r="C85" i="20"/>
  <c r="R111" i="20" s="1"/>
  <c r="H494" i="7"/>
  <c r="T115" i="20"/>
  <c r="R115" i="20"/>
  <c r="D29" i="31"/>
  <c r="F111" i="20"/>
  <c r="T44" i="20"/>
  <c r="T51" i="20" s="1"/>
  <c r="F15" i="31"/>
  <c r="F122" i="20"/>
  <c r="F128" i="20"/>
  <c r="H298" i="54"/>
  <c r="T111" i="20" l="1"/>
  <c r="F110" i="20"/>
  <c r="D92" i="20"/>
  <c r="D10" i="31" s="1"/>
  <c r="F93" i="20"/>
  <c r="F121" i="20"/>
  <c r="F62" i="20"/>
  <c r="D85" i="20" l="1"/>
  <c r="S115" i="20"/>
  <c r="T55" i="20"/>
  <c r="F92" i="20"/>
  <c r="F29" i="31"/>
  <c r="S111" i="20" l="1"/>
  <c r="E10" i="31"/>
  <c r="F85" i="20"/>
  <c r="F10" i="31" l="1"/>
  <c r="H257" i="54" l="1"/>
  <c r="H256" i="54"/>
  <c r="E257" i="54" l="1"/>
  <c r="E283" i="54" s="1"/>
  <c r="E296" i="54" l="1"/>
  <c r="E298" i="54"/>
  <c r="H78" i="8"/>
  <c r="C155" i="20"/>
  <c r="G141" i="247"/>
  <c r="G172" i="247" s="1"/>
  <c r="E155" i="20" s="1"/>
  <c r="F141" i="247"/>
  <c r="F172" i="247" s="1"/>
  <c r="R156" i="20" l="1"/>
  <c r="C315" i="20" s="1"/>
  <c r="C28" i="31" s="1"/>
  <c r="R148" i="20"/>
  <c r="R154" i="20" s="1"/>
  <c r="T156" i="20"/>
  <c r="T148" i="20"/>
  <c r="T154" i="20" s="1"/>
  <c r="D155" i="20"/>
  <c r="F171" i="247"/>
  <c r="F179" i="247" s="1"/>
  <c r="C20" i="20"/>
  <c r="G171" i="247"/>
  <c r="G179" i="247" s="1"/>
  <c r="H172" i="247"/>
  <c r="E171" i="247"/>
  <c r="E179" i="247" s="1"/>
  <c r="C154" i="20"/>
  <c r="C306" i="20" s="1"/>
  <c r="S148" i="20" l="1"/>
  <c r="S156" i="20"/>
  <c r="S159" i="20" s="1"/>
  <c r="C13" i="20"/>
  <c r="C305" i="20"/>
  <c r="S154" i="20"/>
  <c r="R159" i="20"/>
  <c r="R50" i="20"/>
  <c r="R51" i="20" s="1"/>
  <c r="C12" i="31"/>
  <c r="C147" i="20"/>
  <c r="D154" i="20"/>
  <c r="D306" i="20" s="1"/>
  <c r="H179" i="247"/>
  <c r="H171" i="247"/>
  <c r="E154" i="20"/>
  <c r="E306" i="20" s="1"/>
  <c r="F155" i="20"/>
  <c r="C11" i="31" l="1"/>
  <c r="C17" i="31" s="1"/>
  <c r="C19" i="31" s="1"/>
  <c r="C311" i="20"/>
  <c r="C313" i="20" s="1"/>
  <c r="C326" i="20" s="1"/>
  <c r="C295" i="20"/>
  <c r="C297" i="20" s="1"/>
  <c r="C30" i="31"/>
  <c r="C32" i="31" s="1"/>
  <c r="C317" i="20"/>
  <c r="C319" i="20" s="1"/>
  <c r="E12" i="31"/>
  <c r="E311" i="20"/>
  <c r="E313" i="20" s="1"/>
  <c r="E326" i="20" s="1"/>
  <c r="D147" i="20"/>
  <c r="D295" i="20" s="1"/>
  <c r="E147" i="20"/>
  <c r="E295" i="20" s="1"/>
  <c r="E297" i="20" s="1"/>
  <c r="T159" i="20"/>
  <c r="F154" i="20"/>
  <c r="D311" i="20" l="1"/>
  <c r="D313" i="20" s="1"/>
  <c r="D326" i="20" s="1"/>
  <c r="D12" i="31"/>
  <c r="D19" i="31" s="1"/>
  <c r="F147" i="20"/>
  <c r="E30" i="31"/>
  <c r="E317" i="20"/>
  <c r="E319" i="20" s="1"/>
  <c r="D317" i="20"/>
  <c r="D319" i="20" s="1"/>
  <c r="D28" i="31"/>
  <c r="D30" i="31" l="1"/>
  <c r="D32" i="31" s="1"/>
  <c r="F12" i="31"/>
  <c r="E19" i="31"/>
  <c r="F19" i="31" s="1"/>
  <c r="F17" i="31"/>
  <c r="F28" i="31"/>
  <c r="D297" i="20"/>
  <c r="F297" i="20" s="1"/>
  <c r="F295" i="20"/>
  <c r="E32" i="31" l="1"/>
  <c r="F32" i="31" s="1"/>
  <c r="F30" i="31"/>
  <c r="I101" i="17"/>
  <c r="I100" i="17"/>
  <c r="I106" i="17"/>
  <c r="S106" i="17" l="1"/>
  <c r="I586" i="17"/>
  <c r="S588" i="17"/>
  <c r="I588" i="17" l="1"/>
  <c r="I580" i="17"/>
  <c r="T588" i="17"/>
  <c r="T2583" i="17" s="1"/>
  <c r="I996" i="17" l="1"/>
  <c r="G995" i="17"/>
  <c r="G1001" i="17" s="1"/>
  <c r="I995" i="17" l="1"/>
  <c r="I987" i="17"/>
  <c r="I1001" i="17" l="1"/>
  <c r="S1001" i="17"/>
  <c r="I777" i="250"/>
  <c r="I778" i="250"/>
  <c r="G776" i="250"/>
  <c r="I776" i="250" s="1"/>
  <c r="G780" i="250" l="1"/>
  <c r="S780" i="250" l="1"/>
  <c r="S1250" i="250" s="1"/>
  <c r="T1252" i="250" s="1"/>
  <c r="I780" i="250"/>
  <c r="G2548" i="17"/>
  <c r="G2550" i="17" l="1"/>
  <c r="I2548" i="17"/>
  <c r="I2550" i="17" l="1"/>
  <c r="S2550" i="17"/>
  <c r="S2583" i="17" s="1"/>
  <c r="I2578" i="17"/>
  <c r="I2569" i="17"/>
</calcChain>
</file>

<file path=xl/comments1.xml><?xml version="1.0" encoding="utf-8"?>
<comments xmlns="http://schemas.openxmlformats.org/spreadsheetml/2006/main">
  <authors>
    <author>Hradilová Alice</author>
  </authors>
  <commentList>
    <comment ref="G207" authorId="0" shapeId="0">
      <text>
        <r>
          <rPr>
            <sz val="9"/>
            <color indexed="81"/>
            <rFont val="Tahoma"/>
            <family val="2"/>
            <charset val="238"/>
          </rPr>
          <t xml:space="preserve">vztahuje se k ORJ 199
</t>
        </r>
      </text>
    </comment>
  </commentList>
</comments>
</file>

<file path=xl/comments2.xml><?xml version="1.0" encoding="utf-8"?>
<comments xmlns="http://schemas.openxmlformats.org/spreadsheetml/2006/main">
  <authors>
    <author>Hradilová Alice</author>
  </authors>
  <commentList>
    <comment ref="D63" authorId="0" shapeId="0">
      <text>
        <r>
          <rPr>
            <b/>
            <sz val="9"/>
            <color indexed="81"/>
            <rFont val="Tahoma"/>
            <family val="2"/>
            <charset val="238"/>
          </rPr>
          <t>OLU Paseka 1700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<sst xmlns="http://schemas.openxmlformats.org/spreadsheetml/2006/main" count="19438" uniqueCount="2027">
  <si>
    <t>Středisko sociální prevence Olomouc celkem</t>
  </si>
  <si>
    <t>Domov "Na Zámku" Nezamyslice</t>
  </si>
  <si>
    <t>Domov pro seniory Tovačov</t>
  </si>
  <si>
    <t>Domov "Na Zámku" Nezamyslice celkem</t>
  </si>
  <si>
    <t>Domov pro seniory Tovačov celkem</t>
  </si>
  <si>
    <t>Domov Na Zámečku Rokytnice</t>
  </si>
  <si>
    <t>Domov Na Zámečku Rokytnice  celkem</t>
  </si>
  <si>
    <t>Domov důchodců Šumperk</t>
  </si>
  <si>
    <t>Domov důchodců Šumperk celkem</t>
  </si>
  <si>
    <t>Domov důchodců Libina</t>
  </si>
  <si>
    <t>Domov důchodců Libina celkem</t>
  </si>
  <si>
    <t>Domov důchodců Štíty</t>
  </si>
  <si>
    <t>Domov důchodců Štíty celkem</t>
  </si>
  <si>
    <t>MŠMT - přímé nákl.na vzdělání</t>
  </si>
  <si>
    <t>ROP - Regionální dopravní infrastruktura - Silnice II. a III. třídy</t>
  </si>
  <si>
    <t xml:space="preserve">VILA DORIS ŠUMPERK - Podpora sociální integrace v Olomouckém kraji celkem </t>
  </si>
  <si>
    <t>ORJ - 48</t>
  </si>
  <si>
    <t>číslo účtu: 2441512/0800</t>
  </si>
  <si>
    <t xml:space="preserve">vedoucí odboru strategického rozvoje kraje </t>
  </si>
  <si>
    <t xml:space="preserve">Ing. Michaela Pruknerová </t>
  </si>
  <si>
    <t>BIS RTD Podpora veřejného financování výzkumu a technologického rozvoje v regionech celkem</t>
  </si>
  <si>
    <t>číslo účtu: 2309562/0800</t>
  </si>
  <si>
    <t xml:space="preserve">99) Fond na podporu výstavby a obnovy vodohospodářské infrastruktury na území Olomouckého kraje </t>
  </si>
  <si>
    <t xml:space="preserve">Odbor strategického rozvoje kraje celkem </t>
  </si>
  <si>
    <t>SOŠ a SOU stroj. a stavební, Dukelská 1240, Jeseník</t>
  </si>
  <si>
    <t>Střední lesnická škola, Jurikova 588, Hranice</t>
  </si>
  <si>
    <t>Obchodní akademie, Tř. Spojenců 11, Olomouc</t>
  </si>
  <si>
    <t>Střední škola, Základní škola a Mateřská škola, Hanácká 3, Šumperk</t>
  </si>
  <si>
    <r>
      <t>•</t>
    </r>
    <r>
      <rPr>
        <sz val="11"/>
        <rFont val="Arial"/>
        <family val="2"/>
        <charset val="238"/>
      </rPr>
      <t xml:space="preserve"> Běžné výdaje</t>
    </r>
  </si>
  <si>
    <r>
      <t xml:space="preserve">• </t>
    </r>
    <r>
      <rPr>
        <sz val="11"/>
        <rFont val="Arial"/>
        <family val="2"/>
        <charset val="238"/>
      </rPr>
      <t>Kapitálové výdaje</t>
    </r>
  </si>
  <si>
    <t>* Konsolidace je očištění údajů o rozpočtu a skutečnosti o interní přesuny peněžních prostředků uvnitř organizace mezi jednotlivými účty.</t>
  </si>
  <si>
    <t>ORG 100070</t>
  </si>
  <si>
    <t>ORG - 1704</t>
  </si>
  <si>
    <t>8=7/6</t>
  </si>
  <si>
    <t>a) dle oblastí výdajů</t>
  </si>
  <si>
    <t xml:space="preserve">Výdaje Olomouckého kraje celkem  </t>
  </si>
  <si>
    <t xml:space="preserve">b) dle druhu výdajů </t>
  </si>
  <si>
    <t>5 = 4 / 3</t>
  </si>
  <si>
    <t>provozní příspěvky zřízeným PO</t>
  </si>
  <si>
    <t>Sociální služby pro seniory Olomouc</t>
  </si>
  <si>
    <t>Sociální služby pro seniory Olomouc celkem</t>
  </si>
  <si>
    <t>Realizace energeticky úsporných opatření - Gymnázium Jeseník</t>
  </si>
  <si>
    <t>Základní škola, Fučíkova 312, Jeseník</t>
  </si>
  <si>
    <t>ORJ - 14</t>
  </si>
  <si>
    <t>Základní škola a Mateřská škola, Malá Dlážka 4, Přerov</t>
  </si>
  <si>
    <t>ORG 100473</t>
  </si>
  <si>
    <t>Realizace energeticky úsporných opatření - VOŠ a SŠ automobilní Zábřeh</t>
  </si>
  <si>
    <t>ORG 100510</t>
  </si>
  <si>
    <t>Realizace energeticky úsporných opatření - VOŠ a SPŠE - Olomouc</t>
  </si>
  <si>
    <t>ORG 100511</t>
  </si>
  <si>
    <t>ORG 100512</t>
  </si>
  <si>
    <t>Realizace energeticky úsporných opatření - SŠ Švehlova Prostějov</t>
  </si>
  <si>
    <t>ORG 100513</t>
  </si>
  <si>
    <t>ORG 100545</t>
  </si>
  <si>
    <t>Realizace energeticky úsporných opatření - SŠ zemědělská Olomouc budova školy</t>
  </si>
  <si>
    <t>ORG 100546</t>
  </si>
  <si>
    <t>Realizace energeticky úsporných opatření - SŠ zemědělská Olomouc domov mládeže</t>
  </si>
  <si>
    <t>ORG 100547</t>
  </si>
  <si>
    <t>Realizace energeticky úsporných opatření - VOŠ a SŠ automobilní Zábřeh - domov mládeže</t>
  </si>
  <si>
    <t>ORG 100548</t>
  </si>
  <si>
    <t>Realizace energeticky úsporných opatření - ZŠ a MŠ logopedická Olomouc</t>
  </si>
  <si>
    <t>ORG 100549</t>
  </si>
  <si>
    <t>Komentář:</t>
  </si>
  <si>
    <t>ORG 100575</t>
  </si>
  <si>
    <t>DDM Vila Tereza, Nádražní  530, Uničov</t>
  </si>
  <si>
    <t>DDM MAGNET, Spartakiádní 8, Mohelnice</t>
  </si>
  <si>
    <t xml:space="preserve">Výdaje Olomouckého kraje                                (po konsolidaci)                </t>
  </si>
  <si>
    <t>8b) SROP - individuální projekty</t>
  </si>
  <si>
    <t>ORJ - 30</t>
  </si>
  <si>
    <t>RZ 691/04 - přesun z ORJ 07, § 6172, pol. 5163</t>
  </si>
  <si>
    <t>ORG 3001000003 - Internetizace knihoven v Olomouckém kraji</t>
  </si>
  <si>
    <t>Ostatní nákup dlouhodob.nehm.maj.</t>
  </si>
  <si>
    <t>RZ 731/04 - přesun z ORJ 30, § 3314, pol. 6125</t>
  </si>
  <si>
    <t>Investiční  výdaje celkem</t>
  </si>
  <si>
    <t>Sigmundova střední škola strojírenská, J.Sigmunda 242, Lutín</t>
  </si>
  <si>
    <t>Provozní výdaje odboru celkem</t>
  </si>
  <si>
    <t>Služby tel. a radiokomunikací</t>
  </si>
  <si>
    <t>Fond sociálních potřeb</t>
  </si>
  <si>
    <t>Fond na podporu výstavby a obnovy vodohospodářské infrastruktury na území Olomouckého kraje</t>
  </si>
  <si>
    <t xml:space="preserve">Výdaje celkem  </t>
  </si>
  <si>
    <t>OU a praktická škola, Vodní 27, Mohelnice</t>
  </si>
  <si>
    <t>Střední škola sociální péče a služeb, 8. května 2, Zábřeh</t>
  </si>
  <si>
    <t>OU a PrŠ, Lipová-Lázně 270</t>
  </si>
  <si>
    <t>ZUŠ Miloslava Stibora - výtvarný obor, Pionýrská 4, Olomouc</t>
  </si>
  <si>
    <t>ZUŠ, Litovelská 190, Uničov</t>
  </si>
  <si>
    <t>ZUŠ, Na Příhonech 425, Konice</t>
  </si>
  <si>
    <t>ZUŠ Bedřicha Kozánka, Tř. 17. listopadu 2, Přerov</t>
  </si>
  <si>
    <t>ZUŠ Karla Ditterse, Kostelní, Vidnava</t>
  </si>
  <si>
    <t>Drobný hmotný dlouhodobý majetek</t>
  </si>
  <si>
    <t>Operační program Olomouckého kraje celkem</t>
  </si>
  <si>
    <t>Správa silnic Olomouckého kraje</t>
  </si>
  <si>
    <t>Příspěvková organizace</t>
  </si>
  <si>
    <t>v tis. Kč</t>
  </si>
  <si>
    <t>§</t>
  </si>
  <si>
    <t>pol.</t>
  </si>
  <si>
    <t>název položky</t>
  </si>
  <si>
    <t>schválený rozp.</t>
  </si>
  <si>
    <t>ORJ - 04</t>
  </si>
  <si>
    <t>ORJ - 05</t>
  </si>
  <si>
    <t>ORJ - 06</t>
  </si>
  <si>
    <t xml:space="preserve">Nákup materiálu </t>
  </si>
  <si>
    <t>Nájemné</t>
  </si>
  <si>
    <t xml:space="preserve">Programové vybavení </t>
  </si>
  <si>
    <t>Výpočetní technika</t>
  </si>
  <si>
    <t>Obchodní akademie, Olomoucká 82, Mohelnice</t>
  </si>
  <si>
    <t>SZdrŠ, Vápenice 3, Prostějov</t>
  </si>
  <si>
    <t>SZdrŠ, Studentská 1095, Hranice</t>
  </si>
  <si>
    <t>SZdrŠ, Kladská 2, Šumperk</t>
  </si>
  <si>
    <t>Příspěvkové organizace celkem - provozní výdaje</t>
  </si>
  <si>
    <t>Rekonstrukce budovy v areálu staré nemocnice v Prostějově</t>
  </si>
  <si>
    <t>ORG 100071</t>
  </si>
  <si>
    <t>ZZS OK - vozové terminály</t>
  </si>
  <si>
    <t>ORJ - 07</t>
  </si>
  <si>
    <t>ZUŠ A.Dvořáka, Havlíčkova 643, Lipník</t>
  </si>
  <si>
    <t xml:space="preserve">Výdaje odboru životního prostředí a zemědělství </t>
  </si>
  <si>
    <t xml:space="preserve">Soukromé školy </t>
  </si>
  <si>
    <t>DDM, Tř. 17. listopadu 47, Olomouc</t>
  </si>
  <si>
    <t>Platy zaměstnanců v pracovním poměru</t>
  </si>
  <si>
    <t>RZ 807/05 - přesun na ORJ 199, § 6172, pol. 5164,5139</t>
  </si>
  <si>
    <t xml:space="preserve"> -účelové neinvestiční dotace</t>
  </si>
  <si>
    <t>Neinv.transfery nefin.podn.subj.-PO</t>
  </si>
  <si>
    <t>vedoucí odboru strategického rozvoje kraje</t>
  </si>
  <si>
    <t>Ing. Stanislav Losert</t>
  </si>
  <si>
    <t>Gymnázium J.Blahoslava a SŠ pedagogická, Denisova 3, Přerov</t>
  </si>
  <si>
    <t>Neinvestiční transfery občanským sdružením</t>
  </si>
  <si>
    <t>Neinvestiční transfery krajům</t>
  </si>
  <si>
    <t>Odbor ekonomický</t>
  </si>
  <si>
    <t>ORG 100347</t>
  </si>
  <si>
    <t xml:space="preserve">Neinvestiční příspěvek zřízeným PO </t>
  </si>
  <si>
    <t>Knihy, účební pomůcky a tisk</t>
  </si>
  <si>
    <t>ORJ - 63</t>
  </si>
  <si>
    <t>číslo účtu: 3656742/0800</t>
  </si>
  <si>
    <t>Provozní výdaje  celkem</t>
  </si>
  <si>
    <t>Investiční výdaje celkem</t>
  </si>
  <si>
    <t>Provozní výdaje celkem</t>
  </si>
  <si>
    <t>účelové dotace celkem</t>
  </si>
  <si>
    <t>Investiční transfery obcím</t>
  </si>
  <si>
    <t>Ostatní výdaje</t>
  </si>
  <si>
    <t>Vincentinum-poskytovatel soc.služeb Šternberk celkem</t>
  </si>
  <si>
    <t>Středisko sociální prevence Olomouc</t>
  </si>
  <si>
    <t>ZŠ a MŠ, Náměstí 150, Město Libavá</t>
  </si>
  <si>
    <t>Švehlova SŠ, nám.Spojenců 17, Prostějov</t>
  </si>
  <si>
    <t>RZ 712/05 - přesun na ORJ 199, § 6172, pol. 5499</t>
  </si>
  <si>
    <t>RZ 712/05 - přesun z ORJ 199, § 6172, pol. 5169</t>
  </si>
  <si>
    <t>RZ 301/05 - přesun na ORJ 199, § 6172, pol. 5169, 5901</t>
  </si>
  <si>
    <t>RZ 712/05 - přesun na ORJ 199, § 6172, pol. 5137,5175</t>
  </si>
  <si>
    <t>Výdaje odboru zdravotnictví</t>
  </si>
  <si>
    <t xml:space="preserve"> -provozní výdaje</t>
  </si>
  <si>
    <t xml:space="preserve"> -investiční  výdaje</t>
  </si>
  <si>
    <t>Příspěvky příspěvkovým organizacím</t>
  </si>
  <si>
    <t xml:space="preserve">18) Fond na podporu výstavby a obnovy vodohospodářské </t>
  </si>
  <si>
    <t>Platby zaměstnanců v pracovním poměru</t>
  </si>
  <si>
    <t>Nákup materiálu jinde nezařazeného</t>
  </si>
  <si>
    <t>Kvalitnější vzdělávání řemeslníků na SŠP - nadstavba učebnového pavilonu</t>
  </si>
  <si>
    <t>RZ 301/05 - přesun z ORJ 199, § 6113, pol. 5499</t>
  </si>
  <si>
    <t>RZ 385/05 - přesun na ORJ 99, § 2399, pol. 5909</t>
  </si>
  <si>
    <t>RZ 386/05 - přesun na ORJ 99, § 2321, pol. 6341</t>
  </si>
  <si>
    <t>RZ 873/05 - přesun na ORJ 99, § 2399, pol. 5909</t>
  </si>
  <si>
    <t>Obchodní akademie, Palackého 18, Prostějov</t>
  </si>
  <si>
    <t>Elektrická energie</t>
  </si>
  <si>
    <t>Pohonné hmoty a maziva</t>
  </si>
  <si>
    <t>Investiční dotace obcím</t>
  </si>
  <si>
    <t>Služby, školení a vzdělávání</t>
  </si>
  <si>
    <t>ORJ - 59</t>
  </si>
  <si>
    <t>číslo účtu: 3344722/0800</t>
  </si>
  <si>
    <t>Projekty v rámci ROP</t>
  </si>
  <si>
    <t>60) Zajištění dostupnosti vybraných sociálních služeb v Olomouckém kraji</t>
  </si>
  <si>
    <t>ORJ - 60</t>
  </si>
  <si>
    <t>číslo účtu: 3353952/0800</t>
  </si>
  <si>
    <t>ORG - 1700</t>
  </si>
  <si>
    <t>ORG - 1702</t>
  </si>
  <si>
    <t>ZŠ a MŠ při Sanatoriu EDEL, Lázeňská 491, Zlaté Hory</t>
  </si>
  <si>
    <t>Základní škola, Olomoucká 76, Šternberk</t>
  </si>
  <si>
    <t>Základní škola, Šternberská 35, Uničov</t>
  </si>
  <si>
    <t>Střední škola polytechnická, Rooseveltova 79, Olomouc</t>
  </si>
  <si>
    <t>Střední škola polygrafická,  Střední Novosadská 55, Olomouc</t>
  </si>
  <si>
    <t>SOU obchodu a služeb, Štursova 14, Olomouc</t>
  </si>
  <si>
    <t>Střední škola technická a obchodní, Kosinova 4, Olomouc</t>
  </si>
  <si>
    <t>Střední škola řezbářská, Nádražní 146, Tovačov</t>
  </si>
  <si>
    <t>pověřená vedením odboru životního prostředí a zemědělství</t>
  </si>
  <si>
    <t>Gymnázium, Horní náměstí 5, Šternberk</t>
  </si>
  <si>
    <t>Gymnázium, Gymnazijní 257, Uničov</t>
  </si>
  <si>
    <t>Gymnázium J. Wolkera, Kollárova 3, Prostějov</t>
  </si>
  <si>
    <t>Gymnázium Jakuba Škody, Komenského 29, Přerov</t>
  </si>
  <si>
    <t>SPŠS, Tř. 17. listopadu 49, Olomouc</t>
  </si>
  <si>
    <t>SZeŠ Olomouc, U Hradiska 4, Olomouc</t>
  </si>
  <si>
    <t>Převody FKSP a SF obcí a krajů</t>
  </si>
  <si>
    <t>Mgr. Lenka Doleželová</t>
  </si>
  <si>
    <t>Mgr. Hana Kamasová</t>
  </si>
  <si>
    <t>vedoucí odboru investic a evropských programů</t>
  </si>
  <si>
    <t>Ing. Miroslav Kubín</t>
  </si>
  <si>
    <t>RZ 873/05 - přesun z ORJ 99, § 2399, pol. 6341</t>
  </si>
  <si>
    <t>Fond na podporu výstavby a obnovy vodohospodářské infrastruktury  celkem</t>
  </si>
  <si>
    <t>číslo účtu: 2246872/0800</t>
  </si>
  <si>
    <t>46) SROP 3.3 - Partnerství pro rozvoj kraje - 2. část</t>
  </si>
  <si>
    <t>ORJ - 08</t>
  </si>
  <si>
    <t>Střední škola technická, Kouřilkova 8, Přerov</t>
  </si>
  <si>
    <t>DDM, Komenského  719/6, Litovel</t>
  </si>
  <si>
    <t>Odbor sociálních věcí</t>
  </si>
  <si>
    <t>Odbor zdravotnictví</t>
  </si>
  <si>
    <t>Ing. Luděk Niče</t>
  </si>
  <si>
    <t>Správce:</t>
  </si>
  <si>
    <t>vedoucí kanceláře ředitele</t>
  </si>
  <si>
    <t>Enviromentální vzdělávání, výchova a osvěta</t>
  </si>
  <si>
    <t>Útvar interního auditu</t>
  </si>
  <si>
    <t>16) Útvar interního auditu</t>
  </si>
  <si>
    <t>ORJ - 16</t>
  </si>
  <si>
    <t>Ostatní neinvestiční transfery ob.</t>
  </si>
  <si>
    <t>17) Sociální fond</t>
  </si>
  <si>
    <t>UZ</t>
  </si>
  <si>
    <t>MŠMT-program sociální prev.a prev.kriminality</t>
  </si>
  <si>
    <t>Teplá voda</t>
  </si>
  <si>
    <t>Domov pro seniory  Radkova Lhota</t>
  </si>
  <si>
    <t>Domov Větrný mlýn Skalička</t>
  </si>
  <si>
    <t>Domov Větrný mlýn Skalička celkem</t>
  </si>
  <si>
    <t xml:space="preserve">1)  Zastupitelé                         </t>
  </si>
  <si>
    <t>ORJ - 01</t>
  </si>
  <si>
    <t>Ostatní osobní výdaje</t>
  </si>
  <si>
    <t>posíleno:</t>
  </si>
  <si>
    <t>48) BIS RTD Podpora veřejného financování výzkumu a technologického rozvoje v regionech   (6. frame programme)</t>
  </si>
  <si>
    <t>Slovanské gymnázium, Tř.J. z Poděbrad 13, Olomouc</t>
  </si>
  <si>
    <t>Ing. Josef Veselský</t>
  </si>
  <si>
    <t>Středisko pečovatelské služby Jeseník celkem</t>
  </si>
  <si>
    <t>Domov důchodců Hrubá Voda</t>
  </si>
  <si>
    <t>SPŠ stavební, Komenského sady 257, Lipník n.B.</t>
  </si>
  <si>
    <t xml:space="preserve">Odbor dopravy a silničního hospodářství celkem </t>
  </si>
  <si>
    <t>ORJ - 13</t>
  </si>
  <si>
    <t>ORG - 1649</t>
  </si>
  <si>
    <t>ORG - 1650</t>
  </si>
  <si>
    <t>Domov Paprsek Olšany</t>
  </si>
  <si>
    <t>Domov Paprsek Olšany celkem</t>
  </si>
  <si>
    <t>ORG - 1652</t>
  </si>
  <si>
    <t>ORG - 1653</t>
  </si>
  <si>
    <t>ORG - 1654</t>
  </si>
  <si>
    <t>ORG - 1656</t>
  </si>
  <si>
    <t>ORG - 1657</t>
  </si>
  <si>
    <t>ORG - 1658</t>
  </si>
  <si>
    <t>Domov Alfreda Skeneho Pavlovice u Přerova</t>
  </si>
  <si>
    <t>6=5/4</t>
  </si>
  <si>
    <t>Rezervy kapitálových výdajů</t>
  </si>
  <si>
    <t>47) OP RLZ - 3.1.: Vzdělávání učitelů v přípravě a řízení projektů SF EU na středních školách v Olomouckém kraji</t>
  </si>
  <si>
    <t>Domov seniorů POHODA Chválkovice</t>
  </si>
  <si>
    <t>ORG - 1638</t>
  </si>
  <si>
    <t>ORG - 1639</t>
  </si>
  <si>
    <t>Ost.neinv.výdaje j.n.</t>
  </si>
  <si>
    <t>ZŠ a MŠ při lázních Vel.Losiny, Lázeňská 240, Velké Losiny</t>
  </si>
  <si>
    <t>Základní škola a Mateřská škola, Masarykova 4, Mohelnice</t>
  </si>
  <si>
    <t>41) GS - 4.2.2 Podpora regionální a místní infrastruktury cestovního ruchu</t>
  </si>
  <si>
    <t xml:space="preserve"> v Olomouckém kraji</t>
  </si>
  <si>
    <t>vedoucí odboru školství, mládežě a tělovýchovy</t>
  </si>
  <si>
    <t>Mgr. Miroslav Gajdůšek, MBA</t>
  </si>
  <si>
    <t>Výdaje celkem</t>
  </si>
  <si>
    <t xml:space="preserve"> -konsolidace</t>
  </si>
  <si>
    <t>RZ 151/05 - zapojení zůstatku fin.prostředků k 31.12.2004 Fondu na podporu výstavby a obnovy vodohosp.infr.</t>
  </si>
  <si>
    <t>RZ 507/05 - přesun z ORJ 99, § 2321, pol. 6341</t>
  </si>
  <si>
    <t>RZ 149/05 - přesun z ORJ 99, § 2399, pol. 6341</t>
  </si>
  <si>
    <t>GS - 4.2.2 Podpora regionální a místní infrastruktury cestovního ruchu v Olomouckém kraji celkem</t>
  </si>
  <si>
    <t>GG - Podpora nabídky dalšího vzdělávání v Olomouckém kraji</t>
  </si>
  <si>
    <t>SPŠ, Havlíčkova 2, Přerov</t>
  </si>
  <si>
    <t>Domov důchodců Prostějov</t>
  </si>
  <si>
    <t>Domov důchodců Prostějov celkem</t>
  </si>
  <si>
    <t>Domov důchodců Jesenec</t>
  </si>
  <si>
    <t>Výdaje Zastupitelů</t>
  </si>
  <si>
    <t>Nákup ostatních paliv a energie</t>
  </si>
  <si>
    <t>Domov pro seniory Radkova Lhota celkem</t>
  </si>
  <si>
    <t>Revitalizace zámeckého parku s přilehlými plochami v Nových Zámcích</t>
  </si>
  <si>
    <t>ORG 100336</t>
  </si>
  <si>
    <t>Realizace energeticky úsporných opatření - Sociální služby pro seniory Olomouc - ubytovací část</t>
  </si>
  <si>
    <t>ORG 100470</t>
  </si>
  <si>
    <t>Realizace energeticky úsporných opatření - Domov důchodců Hrubá Voda - budova žen</t>
  </si>
  <si>
    <t>ORG 100496</t>
  </si>
  <si>
    <t>Realizace energeticky úsporných opatření - Penzion pro důchodce Loštice</t>
  </si>
  <si>
    <t>ORG 100497</t>
  </si>
  <si>
    <t>Rekonstrukce zahrady v Domově důchodců Červenka</t>
  </si>
  <si>
    <t>ORG 100530</t>
  </si>
  <si>
    <t>II/150 Vícov - obchvat obce</t>
  </si>
  <si>
    <t>Základní škola, DD a Školní jídelna, Palackého 938, Litovel</t>
  </si>
  <si>
    <t>SPŠ elektrotechnická, gen.Svobody 2, Mohelnice</t>
  </si>
  <si>
    <t>Střední odborná škola, Zemědělská 3, Šumperk</t>
  </si>
  <si>
    <t>Obecní školy celkem</t>
  </si>
  <si>
    <t xml:space="preserve"> </t>
  </si>
  <si>
    <t>8a) Operační program Olomouckého kraje</t>
  </si>
  <si>
    <t>ORJ - 88XX</t>
  </si>
  <si>
    <t>Ing. Michaela Pruknerová</t>
  </si>
  <si>
    <t>MFČR - Účelová dotace krajům - TBC</t>
  </si>
  <si>
    <t>ZŠ a MŠ při lázních Bludov, Lázeňská 573, Bludov</t>
  </si>
  <si>
    <t xml:space="preserve">VOŠ a SŠ automobilní, U Dráhy 6, Zábřeh </t>
  </si>
  <si>
    <t>OA a Jazyková škola s právem st.jazyk.zkoušky, Bartošova 24, Přerov</t>
  </si>
  <si>
    <t>Neinv.transfery regionálním radám</t>
  </si>
  <si>
    <t>EIB</t>
  </si>
  <si>
    <t>Projektové a procesní řízení na Krajském úřadě Olomouckého kraje</t>
  </si>
  <si>
    <t>Výdaje z finančního vypořádání minulých let mezi regionální radou a kraji, obcemi a dobrovolnými svazky obcí</t>
  </si>
  <si>
    <t>Investiční transfery nefinačním podnikatelským subjektům - právnickým osobám</t>
  </si>
  <si>
    <t xml:space="preserve">Investiční transfery církvím a náboženským společnostem </t>
  </si>
  <si>
    <t>Zapojení prostředků z finančního vypořádání</t>
  </si>
  <si>
    <t xml:space="preserve">Ing. Josef Veselský </t>
  </si>
  <si>
    <t>00000019</t>
  </si>
  <si>
    <t xml:space="preserve">MPSV - na výplatu st.přísp.pro zřiz.zařízení pro děti vyž.okamžitou pomoc </t>
  </si>
  <si>
    <t>Domov Alfreda Skeneho Pavlovice u Přerova celkem</t>
  </si>
  <si>
    <t>ORG - 1659</t>
  </si>
  <si>
    <t>ORG - 1660</t>
  </si>
  <si>
    <t>Centrum Dominika Kokory</t>
  </si>
  <si>
    <t>ORG - 1661</t>
  </si>
  <si>
    <t>Centrum Dominika Kokory celkem</t>
  </si>
  <si>
    <t>ORG - 1663</t>
  </si>
  <si>
    <t>investice</t>
  </si>
  <si>
    <t xml:space="preserve">32) Společný regionální operační program </t>
  </si>
  <si>
    <t xml:space="preserve">Výdaje odboru ekonomického </t>
  </si>
  <si>
    <t xml:space="preserve">Výdaje odboru strategického rozvoje kraje </t>
  </si>
  <si>
    <t>Věcné dary</t>
  </si>
  <si>
    <t>Nákup kolků</t>
  </si>
  <si>
    <t>Nespecifikované rezervy</t>
  </si>
  <si>
    <t>Budovy, haly a stavby</t>
  </si>
  <si>
    <t>Stroje, přístroje a zařízení</t>
  </si>
  <si>
    <t xml:space="preserve">Zastupitelé celkem </t>
  </si>
  <si>
    <t>Prádlo, oděv a obuv</t>
  </si>
  <si>
    <t>Knihy, učební pomůcky a tisk</t>
  </si>
  <si>
    <t>Konzultační, poradenské a právní služby</t>
  </si>
  <si>
    <t>MFČR - úhrada škod způs.kormoránem velkým</t>
  </si>
  <si>
    <t>Neinvestiční transfery vysokým školám</t>
  </si>
  <si>
    <t>Investiční transfery zřízeným PO</t>
  </si>
  <si>
    <t>ORJ 8835 celkem</t>
  </si>
  <si>
    <t>Ing. Zuzana Ochmanová</t>
  </si>
  <si>
    <t>Příspěvkové organizace</t>
  </si>
  <si>
    <t>ORG</t>
  </si>
  <si>
    <t>Nákup materiálu j.n.</t>
  </si>
  <si>
    <t>Rekapitulace</t>
  </si>
  <si>
    <t>Odbor (kancelář)</t>
  </si>
  <si>
    <t>schválený rozpočet</t>
  </si>
  <si>
    <t>upravený rozpočet</t>
  </si>
  <si>
    <t>ORJ</t>
  </si>
  <si>
    <t>Zastupitelé</t>
  </si>
  <si>
    <t xml:space="preserve"> - provozní výdaje</t>
  </si>
  <si>
    <t xml:space="preserve"> - investiční výdaje</t>
  </si>
  <si>
    <t>Gymnázium, Masarykovo nám. 8, Šumperk</t>
  </si>
  <si>
    <t>provoz</t>
  </si>
  <si>
    <t xml:space="preserve"> - účelové neinvestiční dotace</t>
  </si>
  <si>
    <t xml:space="preserve"> - účelové investiční dotace</t>
  </si>
  <si>
    <t>odbor</t>
  </si>
  <si>
    <t>příspěvkové organizace</t>
  </si>
  <si>
    <t>soukromé školy</t>
  </si>
  <si>
    <t>obecní školy</t>
  </si>
  <si>
    <t>ZUŠ, Jungmannova  740, Litovel</t>
  </si>
  <si>
    <t>Náhrady mezd v době nemoci</t>
  </si>
  <si>
    <t>Ostatní neinvestiční výdaje j.n.</t>
  </si>
  <si>
    <t xml:space="preserve">      infrastruktury na území Olomouckého kraje</t>
  </si>
  <si>
    <t>ORJ  - 99</t>
  </si>
  <si>
    <t>RZ 386/05 - přesun z ORJ 99, § 2399, pol. 6341</t>
  </si>
  <si>
    <t>RZ 507/05 - přesun na ORJ 99, § 2399, pol. 6341</t>
  </si>
  <si>
    <t>Penzion pro důchodce Loštice</t>
  </si>
  <si>
    <t>Penzion pro důchodce Loštice celkem</t>
  </si>
  <si>
    <t>Středisko volného času ATLAS a BIOS, Žižkova 12, Přerov</t>
  </si>
  <si>
    <t>Pohoštění</t>
  </si>
  <si>
    <t>RZ 301/05 - přesun z ORJ 199, 03, § 6172, pol. 5499, § 6172, pol. 5177</t>
  </si>
  <si>
    <t>Konzultační, porad.a právní služby</t>
  </si>
  <si>
    <t>číslo účtu: 1701992/0800</t>
  </si>
  <si>
    <t xml:space="preserve">celkem </t>
  </si>
  <si>
    <t>inv.</t>
  </si>
  <si>
    <t>neinv.dot.</t>
  </si>
  <si>
    <t>DD a ŠJ, U Sportovní haly 1a, Olomouc</t>
  </si>
  <si>
    <t>DD a ŠJ, Vrchlického 369, Konice</t>
  </si>
  <si>
    <t>DD a ŠJ, Balkán 333, Plumlov</t>
  </si>
  <si>
    <t>DD a ŠJ, Purgešova 4, Hranice</t>
  </si>
  <si>
    <t xml:space="preserve">Neinv.transfery obecně prospěšným  společnostem </t>
  </si>
  <si>
    <t xml:space="preserve">UZ </t>
  </si>
  <si>
    <t>9) Odbor životního prostředí a zemědělství</t>
  </si>
  <si>
    <t>ORJ - 09</t>
  </si>
  <si>
    <t>ORJ - 10</t>
  </si>
  <si>
    <t>Investiční a neinvestiční akce v obl.školství</t>
  </si>
  <si>
    <t>ORJ 8832-Podpora sportovních volnočasových aktivit</t>
  </si>
  <si>
    <t>ORJ 8832 celkem</t>
  </si>
  <si>
    <t>ORJ 8803 celkem</t>
  </si>
  <si>
    <t>ORJ - 199</t>
  </si>
  <si>
    <t>SROP - individuální projekty</t>
  </si>
  <si>
    <t>Domov důchodců Hrubá Voda celkem</t>
  </si>
  <si>
    <t>Gymnázium, Svat.Čecha 683, Kojetín</t>
  </si>
  <si>
    <t>Ostatní neinv.výdaje j.n.</t>
  </si>
  <si>
    <t>8 = 7/ 6</t>
  </si>
  <si>
    <t>Neinvestičbní transfery nefin.podnik.subj.-PO</t>
  </si>
  <si>
    <t>Investiční transfery nefin.podnik.subj.-FO</t>
  </si>
  <si>
    <t>odbor celkem</t>
  </si>
  <si>
    <t>RZ 187/05 - přesun z ORJ 99, § 2399, pol. 6341</t>
  </si>
  <si>
    <t>RZ 385/05 - přesun z ORJ 99, § 2399, pol. 6341</t>
  </si>
  <si>
    <t>Zdravotnická záchranná služba Olomouckého kraje</t>
  </si>
  <si>
    <t>MŠ a ZŠ při FN Olomouc, I.P.Pavlova 6, Olomouc</t>
  </si>
  <si>
    <t>Střední škola, ZŠ a MŠ, Komenského 10, Prostějov</t>
  </si>
  <si>
    <t>Platby daní a poplatků stát.rozpočtu</t>
  </si>
  <si>
    <t>00000000</t>
  </si>
  <si>
    <t>00000011</t>
  </si>
  <si>
    <t>Platby daní a poplatků SR</t>
  </si>
  <si>
    <t>DD a ŠJ, Tyršova 772, Lipník</t>
  </si>
  <si>
    <t>číslo účtu: 35-1843380237/0100</t>
  </si>
  <si>
    <t>položka</t>
  </si>
  <si>
    <t>9=8/7</t>
  </si>
  <si>
    <t>Celkem</t>
  </si>
  <si>
    <t>Konsolidace</t>
  </si>
  <si>
    <t>Nákup materiálu</t>
  </si>
  <si>
    <t>Převody vlastním rozpočtovým účtům</t>
  </si>
  <si>
    <t xml:space="preserve">Ostatní neinvestiční výdaje </t>
  </si>
  <si>
    <t xml:space="preserve">Celkem výdaje po konsolidaci </t>
  </si>
  <si>
    <t>GS - 1.1. Podpora malého a středního podnikání ve vybraných regionech Olomouckého kraje celkem</t>
  </si>
  <si>
    <t>38) GS - 3.2 Podpora sociální integrace v Olomouckém kraji</t>
  </si>
  <si>
    <t>GS - 3.2 Podpora sociální integrace v Olomouckém kraji celkem</t>
  </si>
  <si>
    <t>RZ 301/05 - přesun na ORJ 199, § 6113, pol. 5169</t>
  </si>
  <si>
    <t>Drobný hmotný a dlouhodobý majetek</t>
  </si>
  <si>
    <t>RZ 712/05 - přesun z ORJ 199, § 6172, pol. 5901</t>
  </si>
  <si>
    <t>Ostatní neinvestiční výdaje jinde nezařazené</t>
  </si>
  <si>
    <t>neinv.transfery na provoz škol-ZŠ Libavá</t>
  </si>
  <si>
    <t xml:space="preserve">příspěvek na odpisy </t>
  </si>
  <si>
    <t>ZŠ a MŠ logopedická, Tř. Svornosti 37/900, Olomouc</t>
  </si>
  <si>
    <t xml:space="preserve">Nespecifikované rezervy </t>
  </si>
  <si>
    <t>regionech Olomouckého kraje</t>
  </si>
  <si>
    <t>ORJ - 37</t>
  </si>
  <si>
    <t>číslo účtu: 1701482/0800</t>
  </si>
  <si>
    <t>ORJ - 38</t>
  </si>
  <si>
    <t>číslo účtu: 1701642/0800</t>
  </si>
  <si>
    <t>veřejné subjekty a neziskové organizace</t>
  </si>
  <si>
    <t>ORJ - 39</t>
  </si>
  <si>
    <t>30) Individuální projekty</t>
  </si>
  <si>
    <t>ORJ - 49</t>
  </si>
  <si>
    <t>MF - Podpora koordinátorů romských poradců</t>
  </si>
  <si>
    <t>Zajištění dostupnosti vybraných sociálních služeb v Olomouckém kraji</t>
  </si>
  <si>
    <t>číslo účtu: 2702452/0800</t>
  </si>
  <si>
    <t>49) VILA DORIS ŠUMPERK - Podpora sociální integrace v Olomouckém kraji</t>
  </si>
  <si>
    <t>číslo účtu: 1701722/0800</t>
  </si>
  <si>
    <t xml:space="preserve">39) GS - Podpora regionálních a místních služeb cestovního ruchu - </t>
  </si>
  <si>
    <t>GS - Podpora regionálních a místních služeb cestovního ruchu - veřejné subjekty a neziskové organizace celkem</t>
  </si>
  <si>
    <t xml:space="preserve">37) GS - 1.1. Podpora malého a středního podnikání ve vybraných </t>
  </si>
  <si>
    <t>ostatní příspěvky</t>
  </si>
  <si>
    <t>Dary obyvatelstvu</t>
  </si>
  <si>
    <t>Nákup ostatních služeb</t>
  </si>
  <si>
    <t>Investiční výdaje</t>
  </si>
  <si>
    <t>vedoucí odboru ekonomického</t>
  </si>
  <si>
    <t>Pozemky</t>
  </si>
  <si>
    <t>SOU, Komenského 677, Litovel</t>
  </si>
  <si>
    <t>Studená voda</t>
  </si>
  <si>
    <t xml:space="preserve">7) Odbor ekonomický </t>
  </si>
  <si>
    <t>Odbor životního prostředí a zemědělství</t>
  </si>
  <si>
    <t>Teplo</t>
  </si>
  <si>
    <t>Služby telekomunikací a radiokomunikací</t>
  </si>
  <si>
    <t>Ostatní poskytované zálohy a jistiny</t>
  </si>
  <si>
    <t>50) ROP - Regionální dopravní infrastruktura - Silnice II. a III. třídy</t>
  </si>
  <si>
    <t>ORJ - 50</t>
  </si>
  <si>
    <t>číslo účtu: 2955812/0800</t>
  </si>
  <si>
    <t>Neinvestičbní transfery nefin.podnik.subj.-FO</t>
  </si>
  <si>
    <t>11) Odbor sociálních věcí</t>
  </si>
  <si>
    <t>Střední zemědělská škola, Osmek 47, Přerov</t>
  </si>
  <si>
    <t>upravený rozp.</t>
  </si>
  <si>
    <t>skutečnost</t>
  </si>
  <si>
    <t>%</t>
  </si>
  <si>
    <t>Provozní výdaje</t>
  </si>
  <si>
    <t>ORJ - 11</t>
  </si>
  <si>
    <t>Služby peněžních ústavů</t>
  </si>
  <si>
    <t xml:space="preserve">Nájemné </t>
  </si>
  <si>
    <t>sníženo:</t>
  </si>
  <si>
    <t>Služby školení a vzdělávání</t>
  </si>
  <si>
    <t>Opravy a udržování</t>
  </si>
  <si>
    <t>Programové vybavení</t>
  </si>
  <si>
    <t>DD a ŠJ , Sušilova 25,  Přerov</t>
  </si>
  <si>
    <t>DD a ŠJ, Černá Voda 1</t>
  </si>
  <si>
    <t>celkem</t>
  </si>
  <si>
    <t>konsolidace</t>
  </si>
  <si>
    <t>ORJ - 17</t>
  </si>
  <si>
    <t>RZ 807/05 - přesun z ORJ 199, § 6172, pol. 5901</t>
  </si>
  <si>
    <t>RZ 197/05 - zapojení přebytku hospodaření za rok 2004</t>
  </si>
  <si>
    <t>Neinvestiční příspěvky zřízeným PO</t>
  </si>
  <si>
    <t>Správa silnic Olomouckého kraje celkem</t>
  </si>
  <si>
    <t>52) Implementace a péče o území soustavy Natura 2000 v Olomouckém kraji</t>
  </si>
  <si>
    <t>ORJ - 52</t>
  </si>
  <si>
    <t>číslo účtu: 3078612/0800</t>
  </si>
  <si>
    <t>Implementace a péče o území soustavy Natura 2000 v Olomouckém kraji</t>
  </si>
  <si>
    <t>MŠMT - Projekty romské komunity</t>
  </si>
  <si>
    <t>MŠMT - Spolupráce s francouzskými, vlámskými a šp.školami</t>
  </si>
  <si>
    <t>MŠMT - Asistenti pedagogů pro děti, žáky a studenty se soc.znevýhodněním</t>
  </si>
  <si>
    <t>MŠMT - Asistenti pedagogů v soukr.a církev.spec.školách</t>
  </si>
  <si>
    <t>Mateřská škola, Blanická 16, Olomouc</t>
  </si>
  <si>
    <t>ORG 3006000002 - Společný nadregionální projekt pro podporu domác.cestovního ruchu</t>
  </si>
  <si>
    <t>RZ 659/04 - přesun z ORJ 08, § 2140, pol. 5169</t>
  </si>
  <si>
    <t>Úroky vlastní</t>
  </si>
  <si>
    <t>12) Odbor dopravy a silničního hospodářství</t>
  </si>
  <si>
    <t>ORJ - 12</t>
  </si>
  <si>
    <t xml:space="preserve">Neinvestiční příspěvky zřízeným PO </t>
  </si>
  <si>
    <t>Nájemné za půdu</t>
  </si>
  <si>
    <t>neinv.transfery na provoz škol</t>
  </si>
  <si>
    <t>Ostatní neinvestiční transfery neziskovým a podobným organizacím</t>
  </si>
  <si>
    <t>Lobodice</t>
  </si>
  <si>
    <t>ORG 8446</t>
  </si>
  <si>
    <t>ORG 1040</t>
  </si>
  <si>
    <t xml:space="preserve">Výdaje odboru strategického rozvoje kraje - operační program Olomouckého kraje </t>
  </si>
  <si>
    <t>MPSV - na výplatu st.přísp.pro zřiz.zařízení pro děti vyž.okamžitou pomoc</t>
  </si>
  <si>
    <t>ORJ 8803-Příprava projektů podnikatelů na čerpání prostř.ze SF EU</t>
  </si>
  <si>
    <t>ORJ 8835 - Příprava projektů NNO na čerpání prostř.ze SF EU</t>
  </si>
  <si>
    <t>Odbory (kanceláře) Krajského úřadu Olomouckého kraje</t>
  </si>
  <si>
    <r>
      <t xml:space="preserve"> </t>
    </r>
    <r>
      <rPr>
        <b/>
        <sz val="11"/>
        <rFont val="Arial"/>
        <family val="2"/>
        <charset val="238"/>
      </rPr>
      <t>•</t>
    </r>
    <r>
      <rPr>
        <b/>
        <sz val="11"/>
        <rFont val="Arial"/>
        <family val="2"/>
        <charset val="238"/>
      </rPr>
      <t xml:space="preserve"> </t>
    </r>
  </si>
  <si>
    <t xml:space="preserve"> •</t>
  </si>
  <si>
    <t>Půjčka z EIB-projekt modernizace silniční sítě</t>
  </si>
  <si>
    <t>Půjčka z EIB - ROP</t>
  </si>
  <si>
    <t>Vratky veř.rozpočtům ústř.úr.tr.poskyt.v min.rozp.obd.</t>
  </si>
  <si>
    <t>Neinvestiční transfery nefinančním podnikatelským subjektům - právnickým osobám</t>
  </si>
  <si>
    <t>Regionální agentura pro rozvoj Střední Moravy</t>
  </si>
  <si>
    <t>ORG 3028</t>
  </si>
  <si>
    <t>64) Operační program lidské zdroje a zaměstnanost</t>
  </si>
  <si>
    <t>ORJ - 64</t>
  </si>
  <si>
    <t>číslo účtu: 4167692/0800</t>
  </si>
  <si>
    <t xml:space="preserve">Pohoštění </t>
  </si>
  <si>
    <t>Operační program lidské zdroje a zaměstnanost</t>
  </si>
  <si>
    <t>číslo účtu: 35-1843390267/0100</t>
  </si>
  <si>
    <t xml:space="preserve">42) GS - 3.3. Rozvoj kapacit dalšího profesního vzdělávání         </t>
  </si>
  <si>
    <t>GS - 3.3. Rozvoj kapacit dalšího profesního vzdělávání   celkem</t>
  </si>
  <si>
    <t>Cestování časem</t>
  </si>
  <si>
    <t>ORG 100101</t>
  </si>
  <si>
    <t>ZUŠ I.Krejčího, Na Vozovce 32, Olomouc</t>
  </si>
  <si>
    <t>ZUŠ Žerotín, Kavaleristů 6, Olomouc</t>
  </si>
  <si>
    <t>ZUŠ, Potštát 36</t>
  </si>
  <si>
    <t>ZUŠ, Školní nám. 35, Hranice</t>
  </si>
  <si>
    <t>ZUŠ, Hanusíkova 197, Kojetín</t>
  </si>
  <si>
    <t>ZUŠ, nám. Svobody 15, Mohelnice</t>
  </si>
  <si>
    <t>ZUŠ, Žerotínova 11, Šumperk</t>
  </si>
  <si>
    <t>Ing. Věra Štembírková</t>
  </si>
  <si>
    <t>Prostějov - přeložka silnice II/366 od Tesca</t>
  </si>
  <si>
    <t>Gymnázium, Komenského 281, Jeseník</t>
  </si>
  <si>
    <t>SPŠE a VOŠ, Božetěchova 3, Olomouc</t>
  </si>
  <si>
    <t>Neinvestiční příspěvky celkem</t>
  </si>
  <si>
    <t>Investiční příspěvky celkem</t>
  </si>
  <si>
    <t>OA a Jazyková škola s právem st.jazyk.skoušky, Hlavní tř. 31, Šumperk</t>
  </si>
  <si>
    <t>talent Olomouckého kraje</t>
  </si>
  <si>
    <t>PPP Olomouckého kraje , U sportovní haly 1, Olomouc</t>
  </si>
  <si>
    <t>Základní škola, Sladovní 492, Kojetín</t>
  </si>
  <si>
    <t>Ostatní neinv.transfery nezisk.a pod.org.</t>
  </si>
  <si>
    <t>ORG 3009000001 - Silnice II. Třídy č. 446 Nová Seninka</t>
  </si>
  <si>
    <t>RZ 660/04 - přesun z ORJ 08, § 3639, pol. 5166</t>
  </si>
  <si>
    <t>Individuální projekty</t>
  </si>
  <si>
    <t>Provozní  výdaje celkem</t>
  </si>
  <si>
    <t>Provozní výdaje individuálních projektů celkem</t>
  </si>
  <si>
    <t xml:space="preserve">Investiční výdaje individuálních projektů celkem </t>
  </si>
  <si>
    <t>Investiční transfery obecně prospěšným společnostem</t>
  </si>
  <si>
    <t>Investiční transfery občanským sdružením</t>
  </si>
  <si>
    <t xml:space="preserve"> -účelové investiční dotace</t>
  </si>
  <si>
    <t xml:space="preserve"> -investiční  příspěvek</t>
  </si>
  <si>
    <t>Výdaje odboru sociálních věcí</t>
  </si>
  <si>
    <t xml:space="preserve">Nákup ostatních služeb </t>
  </si>
  <si>
    <t>Cestovné (tuzemské i zahraniční)</t>
  </si>
  <si>
    <t xml:space="preserve">Odbor ekonomický celkem </t>
  </si>
  <si>
    <t>ORG 100014</t>
  </si>
  <si>
    <t>ZZS OK - přístrojové vybavení vozidel</t>
  </si>
  <si>
    <t>ORG 100015</t>
  </si>
  <si>
    <t>ZUŠ Franze Schuberta, Nádražní 280, Zlaté Hory</t>
  </si>
  <si>
    <t>Neinv.transfery nefin.podn.subj.-FO</t>
  </si>
  <si>
    <t>Ostatní povinné pojistné placené zaměstnavatelem</t>
  </si>
  <si>
    <t>Investiční transfery nefin.podnik.subj.-PO</t>
  </si>
  <si>
    <t xml:space="preserve">Inv.transfery obč.sdružením </t>
  </si>
  <si>
    <t xml:space="preserve">Investiční transfery zřízeným PO </t>
  </si>
  <si>
    <t>Povinné pojistné na sociální zabezpečení a příspěvěk na státní politiku zaměstnanosti</t>
  </si>
  <si>
    <t>Povinné pojistné na veřejné zdravotní pojištění</t>
  </si>
  <si>
    <t>Individuální projekty (před podáním výzvy)</t>
  </si>
  <si>
    <t xml:space="preserve"> - konsolidace</t>
  </si>
  <si>
    <t>ORJ - 32</t>
  </si>
  <si>
    <t xml:space="preserve">Výdaje Olomouckého kraje celkem </t>
  </si>
  <si>
    <t>14) Odbor zdravotnictví</t>
  </si>
  <si>
    <t xml:space="preserve">Odbor životního prostředí a zemědělství celkem </t>
  </si>
  <si>
    <t>Výdaje Olomouckého kraje celkem                       (po konsolidaci)</t>
  </si>
  <si>
    <t>Sociální fond celkem</t>
  </si>
  <si>
    <t>Ústav sociální péče pro mládež Jeseník celkem</t>
  </si>
  <si>
    <t>Středisko pečovatelské služby Jeseník</t>
  </si>
  <si>
    <t>ORG - 1636</t>
  </si>
  <si>
    <t>ORG - 1637</t>
  </si>
  <si>
    <t>Neinvestiční transfery obcím</t>
  </si>
  <si>
    <t>Přebytek hospodaření OK</t>
  </si>
  <si>
    <t>SOŠ průmyslová a SOU strojírenské, Lidická 4, Prostějov</t>
  </si>
  <si>
    <t>Střední škola gastronomie a služeb, Šířava 7, Přerov</t>
  </si>
  <si>
    <t>projekty romské komunity</t>
  </si>
  <si>
    <t>Střední průmyslová škola Hranice, Studentská 1384, Hranice</t>
  </si>
  <si>
    <t>individ.projekty ost.OP VK-EU</t>
  </si>
  <si>
    <t>SŠ elektrotechnická,Tyršova 781, Lipník n/B.</t>
  </si>
  <si>
    <t>ORJ - 41</t>
  </si>
  <si>
    <t>ORJ - 42</t>
  </si>
  <si>
    <t>SROP 3.3 - Partnerství pro rozvoj kraje - 2. část</t>
  </si>
  <si>
    <t>ORG 4608000040</t>
  </si>
  <si>
    <t>ORJ - 46</t>
  </si>
  <si>
    <t>OP RLZ - 3.1.: Vzdělávání učitelů v přípravě a řízení projektů SF EU na středních školách v Olomouckém kraji</t>
  </si>
  <si>
    <t>ORJ - 47</t>
  </si>
  <si>
    <t>ORJ - 03</t>
  </si>
  <si>
    <t>Plyn</t>
  </si>
  <si>
    <t>v tis.Kč</t>
  </si>
  <si>
    <t>Ostatní platy</t>
  </si>
  <si>
    <t xml:space="preserve">Opravy a udržování </t>
  </si>
  <si>
    <t>Dopravní prostředky</t>
  </si>
  <si>
    <t>Centrum sociálních služeb Prostějov</t>
  </si>
  <si>
    <t xml:space="preserve">Centrum sociálních služeb Prostějov  celkem </t>
  </si>
  <si>
    <t>ORJ - 99</t>
  </si>
  <si>
    <t>Gymnázium, Zborovská 293, Hranice</t>
  </si>
  <si>
    <t>Odborný léčebný ústav Paseka</t>
  </si>
  <si>
    <t>Odborný léčebný ústav Paseka celkem</t>
  </si>
  <si>
    <t>Účastnické poplatky na konference</t>
  </si>
  <si>
    <t>Investiční  výdaje</t>
  </si>
  <si>
    <t>OU  Křenovice 8, Kojetín</t>
  </si>
  <si>
    <t xml:space="preserve">Odbor zdravotnictví celkem </t>
  </si>
  <si>
    <t xml:space="preserve">Odbor sociálních věcí celkem </t>
  </si>
  <si>
    <t>ZŠ a MŠ při Priess.léčeb.lázních,a.s.,  Kalvodova 360, Jeseník</t>
  </si>
  <si>
    <t>VOŠ a SPŠ , gen. Krátkého 1, Šumperk</t>
  </si>
  <si>
    <t>Provoz</t>
  </si>
  <si>
    <t>Neinvestiční transfery nefininačním podnikatelským subjektům - právnickým osobám</t>
  </si>
  <si>
    <t>Neinvestiční transfery zřízeným příspěvkovým organizacím</t>
  </si>
  <si>
    <t>Investiční transfery zřízeným příspěvkovým organizacím</t>
  </si>
  <si>
    <t>Realizace energeticky úsporných opatření - Sigmundova střední škola strojírenská, Lutín - budova školy</t>
  </si>
  <si>
    <t>ORG 100553</t>
  </si>
  <si>
    <t>Realizace energeticky úsporných opatření - Sigmundova střední škola strojírenská, Lutín - domov mládeže</t>
  </si>
  <si>
    <t>ORG 100554</t>
  </si>
  <si>
    <t>Realizace energeticky úsporných opatření - Gymnázium Uničov</t>
  </si>
  <si>
    <t>ORG 100559</t>
  </si>
  <si>
    <t>Realizace energeticky úsporných opatření - VOŠ a SPŠ Šumperk - budova školy</t>
  </si>
  <si>
    <t>ORG 100561</t>
  </si>
  <si>
    <t>Realizace energeticky úsporných opatření - VOŠ a SPŠ Šumperk - domov mládeže</t>
  </si>
  <si>
    <t>ORG 100562</t>
  </si>
  <si>
    <t>Realizace energeticky úsporných opatření - VOŠ a SPŠ Šumperk - tělocvična</t>
  </si>
  <si>
    <t>ORG 100563</t>
  </si>
  <si>
    <t>Příspěvek na provoz-mzdové náklady</t>
  </si>
  <si>
    <t>Výdaje</t>
  </si>
  <si>
    <t>Evropské programy</t>
  </si>
  <si>
    <t>číslo účtu:1695262/0800</t>
  </si>
  <si>
    <t>Společný regionální operační program</t>
  </si>
  <si>
    <t>Povinné pojistné na sociální zabezpečení a příspěvek na státní politiku zaměstnanosti</t>
  </si>
  <si>
    <t xml:space="preserve">Povinné pojistné na veřejné zdravotní pojištění </t>
  </si>
  <si>
    <t>Gymnázium J. Opletala, Opletalova 189, Litovel</t>
  </si>
  <si>
    <t>Gymnázium, Čajkovského 9, Olomouc</t>
  </si>
  <si>
    <t>Gymnázium, Tomkova 45, Olomouc-Hejčín</t>
  </si>
  <si>
    <t>RZ 149/05 - přesun na ORJ 99, § 2399, pol. 5909</t>
  </si>
  <si>
    <t>RZ 187/05 - přesun na ORJ 99, § 2399, pol. 5909</t>
  </si>
  <si>
    <t>ORG - 1631</t>
  </si>
  <si>
    <t>Domov pro seniory Javorník</t>
  </si>
  <si>
    <t>Domov pro seniory Javorník celkem</t>
  </si>
  <si>
    <t>ORG - 1633</t>
  </si>
  <si>
    <t>ORG - 1634</t>
  </si>
  <si>
    <t>ORG - 1635</t>
  </si>
  <si>
    <t>59) Projekty v rámci ROP</t>
  </si>
  <si>
    <t>Ostaní neinvestiční výdaje jinde nezařazené</t>
  </si>
  <si>
    <t>Neinvestiční transfery obecně prospěšným společnostem</t>
  </si>
  <si>
    <t>Domov seniorů POHODA Chvalkovice celkem</t>
  </si>
  <si>
    <t>ORG - 1640</t>
  </si>
  <si>
    <t>ORG - 1641</t>
  </si>
  <si>
    <t>Klíč-centrum sociálních služeb celkem</t>
  </si>
  <si>
    <t>ORG - 1642</t>
  </si>
  <si>
    <t>Nové Zámky - poskytovatel sociálních služeb</t>
  </si>
  <si>
    <t>Nové Zámky-poskytovatel sociálních služeb celkem</t>
  </si>
  <si>
    <t>ORG - 1645</t>
  </si>
  <si>
    <t>ORG - 1646</t>
  </si>
  <si>
    <t>ORG - 1647</t>
  </si>
  <si>
    <t>ORG - 1644</t>
  </si>
  <si>
    <t>Útvar interního auditu celkem</t>
  </si>
  <si>
    <t>Konsolidace *</t>
  </si>
  <si>
    <t>* Konsolidace</t>
  </si>
  <si>
    <t>Konsolidace je očištění údajů  rozpočtu a skutečnosti o interní přesuny peněžních prostředků uvnitř organizace mezi jednotlivými účty.</t>
  </si>
  <si>
    <t>Domov důchodců Jesenec celkem</t>
  </si>
  <si>
    <t>Talent Olomouckého kraje</t>
  </si>
  <si>
    <t>Úvěr KB - čerpání a splátky</t>
  </si>
  <si>
    <t>Dům seniorů FRANTIŠEK  Náměšť na Hané</t>
  </si>
  <si>
    <t>Dům seniorů FRANTIŠEK  Náměšť na Hané celkem</t>
  </si>
  <si>
    <t>ORG 100324</t>
  </si>
  <si>
    <t>Domov Na zámečku Rokytnice - rekonstrukce zámeckého parku a jeho zpřístupnění veřejnosti</t>
  </si>
  <si>
    <t>38500881</t>
  </si>
  <si>
    <t>38100880</t>
  </si>
  <si>
    <t>41100880</t>
  </si>
  <si>
    <t>ORG 100016</t>
  </si>
  <si>
    <t>Revitalizace území areálu staré nemocnice v Prostějově</t>
  </si>
  <si>
    <t>Nepecifikované rezervy</t>
  </si>
  <si>
    <t>číslo účtu: 43-6947880247/0100</t>
  </si>
  <si>
    <t>ORJ - 66</t>
  </si>
  <si>
    <t>66) Zvyšování kvality ve vzdělávání v Olomouckém kraji II</t>
  </si>
  <si>
    <t>Rovné příležitosti dětí a žáků v Olomouckém kraji II</t>
  </si>
  <si>
    <t>číslo účtu: 43-6947900287/0100</t>
  </si>
  <si>
    <t>ORJ - 67</t>
  </si>
  <si>
    <t>67) Rovné  příležitosti  dětí  a  žáků v Olomouckém kraji II</t>
  </si>
  <si>
    <t>číslo účtu: 43-6947910207/0100</t>
  </si>
  <si>
    <t>ORJ - 68</t>
  </si>
  <si>
    <t>68) Další  vzdělávání pracovníků škol a  školských zařízení v Olomouckém kraji II</t>
  </si>
  <si>
    <t>OP - VK - Zvyšování kvality ve vzdělávání</t>
  </si>
  <si>
    <t>číslo účtu: 43-6948010227/0100</t>
  </si>
  <si>
    <t>ORJ - 69</t>
  </si>
  <si>
    <t>69) OP VK - Zvyšování kvality ve vzdělávání</t>
  </si>
  <si>
    <t>číslo účtu: 107-81230237/0100</t>
  </si>
  <si>
    <t>OP - VK - Řízení, kontrola, monitorování a hodnocení programu v Olomouckém kraji II</t>
  </si>
  <si>
    <t>číslo účtu: 107-83900257/0100</t>
  </si>
  <si>
    <t>ORJ - 71</t>
  </si>
  <si>
    <t>71) OP VK - Řízení, kontrola, monitorování a hodnocení programu v Olomouckém kraji II</t>
  </si>
  <si>
    <t>inv.dot.</t>
  </si>
  <si>
    <t>Zvyšování kvality ve vzdělávání v Olomouckém kraji II</t>
  </si>
  <si>
    <t>Rovné  příležitosti  dětí  a  žáků v Olomouckém kraji II</t>
  </si>
  <si>
    <t>Další  vzdělávání pracovníků škol a  školských zařízení v Olomouckém kraji II</t>
  </si>
  <si>
    <t>OP VK - Zvyšování kvality ve vzdělávání</t>
  </si>
  <si>
    <t>OP VK - Řízení, kontrola, monitorování a hodnocení programu v Olomouckém kraji II</t>
  </si>
  <si>
    <t>investice+inv.dot</t>
  </si>
  <si>
    <t>ORG - 1600</t>
  </si>
  <si>
    <t>MŠMT - Podpora organizace a ukonč.středního vzděl.maturitní zkouškou</t>
  </si>
  <si>
    <t>MŠMT - Dotace dvojjazyčným gymnáziím s výukou francouštiny</t>
  </si>
  <si>
    <t xml:space="preserve">Odbory </t>
  </si>
  <si>
    <t>Fond voda</t>
  </si>
  <si>
    <t>Kapitálové výdaje</t>
  </si>
  <si>
    <t>celkem (po konsolidaci)</t>
  </si>
  <si>
    <t>provozní</t>
  </si>
  <si>
    <t>kapitálové</t>
  </si>
  <si>
    <t>Základní škola a Mateřská škola, Nová 1820, Hranice</t>
  </si>
  <si>
    <t>Střední škola a Základní škola, Osecká 301, Lipník n/B</t>
  </si>
  <si>
    <t>dot.dvojjazyčným gymnáziím s výukou franc.</t>
  </si>
  <si>
    <t>Gymnázium, Nám.Osvobození 20, Zábřeh na Moravě</t>
  </si>
  <si>
    <t>Podpora organizace a ukončování středního vzdělávání maturitní zkouškou na vybraných školách v podzimním zkušebním období</t>
  </si>
  <si>
    <t>Střední škola designu a módy, Vápenice 1, Prostějov</t>
  </si>
  <si>
    <t>Střední škola logistiky a chemie, U Hradiska 29, Olomouc</t>
  </si>
  <si>
    <t>SOŠ strojírenská a lesnická, Opavská 8,  Šternberk</t>
  </si>
  <si>
    <t>Školní jídelna, Tomkova 45, Olomouc-Hejčín</t>
  </si>
  <si>
    <t>SCHOLA-SERVIS zařízení pro DVPP a středisko služeb, Olomoucká 25, Prostějov</t>
  </si>
  <si>
    <t>Odměny členů zastupitelstva obcí a krajů</t>
  </si>
  <si>
    <t>Povinné poj.na veřejné zdravotní pojištění</t>
  </si>
  <si>
    <t>Platby daní a poplatků státnímu rozpočtu</t>
  </si>
  <si>
    <t>Převody FKSP a sociálnímu fondu obcí a krajů</t>
  </si>
  <si>
    <t>Cestovní ruch</t>
  </si>
  <si>
    <t>Povinný podíl kraje - uzn.náklady (z rozpočtu kraje)</t>
  </si>
  <si>
    <t>Předfinancování SR (z rozpočtu kraje)</t>
  </si>
  <si>
    <t xml:space="preserve">Předfinancování EU (z rozpočtu OK) </t>
  </si>
  <si>
    <t>Poplatky dluhové služby</t>
  </si>
  <si>
    <t>Příspěvek na provoz PO - mzdové náklady</t>
  </si>
  <si>
    <t>Koordinátor Integrovaného dopravního systému Olomouckého kraje</t>
  </si>
  <si>
    <t xml:space="preserve"> ORG 1599</t>
  </si>
  <si>
    <t>Koordinátor Integrovaného dopravního systému Olomouckého kraje celkem</t>
  </si>
  <si>
    <t>MŠMT - Excelence středních škol</t>
  </si>
  <si>
    <t>Realizace energeticky úsporných opatření - SOŠ Šumperk - domov mládeže</t>
  </si>
  <si>
    <t>ORG 100694</t>
  </si>
  <si>
    <t>Podpora technického vybavení dílen - 1. část</t>
  </si>
  <si>
    <t>ORG 100792</t>
  </si>
  <si>
    <t>Podpora technického vybavení dílen - 2. část</t>
  </si>
  <si>
    <t>ORG 100793</t>
  </si>
  <si>
    <t>Domov seniorů POHODA Chválkovice - rekonstrukce budovy B</t>
  </si>
  <si>
    <t>ORG 100317</t>
  </si>
  <si>
    <t>Domov Sněženka Jeseník - Rekonstrukce soc. zařízení a vodoléčby</t>
  </si>
  <si>
    <t>ORG 100518</t>
  </si>
  <si>
    <t>Realizace energeticky úsporných opatření - Domov seniorů POHODA Chválkovice - pavilony A a B</t>
  </si>
  <si>
    <t>ORG 100550</t>
  </si>
  <si>
    <t>Rozvoj služeb eGovernmentu</t>
  </si>
  <si>
    <t>ORG 100558</t>
  </si>
  <si>
    <t>Individuální projekty celkem</t>
  </si>
  <si>
    <t>Úhrady sankcí jiným rozpočtům</t>
  </si>
  <si>
    <t>Transformace Vincentina Šternberk - II. Etapa</t>
  </si>
  <si>
    <t>ORG 100814</t>
  </si>
  <si>
    <t>ORG 1100</t>
  </si>
  <si>
    <t>Hranice</t>
  </si>
  <si>
    <t>ORG 8401</t>
  </si>
  <si>
    <t>SŠ, ZŠ a MŠ, Hanácká 3, Šumperk</t>
  </si>
  <si>
    <t xml:space="preserve">Štěpánov </t>
  </si>
  <si>
    <t>ORG 8374</t>
  </si>
  <si>
    <t>Další vzdělávání pracovníků škol a školských zařízení v Olomouckém kraji II</t>
  </si>
  <si>
    <t>72) Informovanost a publicita programu v Olomouckém kraji II</t>
  </si>
  <si>
    <t>ORJ - 72</t>
  </si>
  <si>
    <t>Informovanost a publicita programu v Olomouckém kraji II</t>
  </si>
  <si>
    <t>ORG 0050001000000</t>
  </si>
  <si>
    <t>73) Zvýšení absorpční kapacity subjektů v Olomouckém kraji II</t>
  </si>
  <si>
    <t>ORJ - 73</t>
  </si>
  <si>
    <t>číslo účtu: 107-106030267/0100</t>
  </si>
  <si>
    <t>Zvýšení absorpční kapacity subjektů v Olomouckém kraji II</t>
  </si>
  <si>
    <t>74) Podpora rozvoje Olomouckého kraje 2012 - 2015</t>
  </si>
  <si>
    <t>ORJ - 74</t>
  </si>
  <si>
    <t>číslo účtu: 107-110270247/0100</t>
  </si>
  <si>
    <t>Ostatní činnosti jinde nezařazené</t>
  </si>
  <si>
    <t>37) Podpora malého a středního podnikání ve vybraných regionech Olomouckého kraje</t>
  </si>
  <si>
    <t>Podpora malého a středního podnikání ve vybraných regionech Olomouckého kraje</t>
  </si>
  <si>
    <t xml:space="preserve"> Informovanost a publicita programu v Olomouckém kraji II</t>
  </si>
  <si>
    <t>Podpora rozvoje Olomouckého kraje 2012 - 2015</t>
  </si>
  <si>
    <t>Podrobnější údaje o celém fondu, ORJ - 99, tedy příjmy, výdaje a zůstatek na zvláštním bankovním účtu, jsou uvedeny v Příloze č. 7.</t>
  </si>
  <si>
    <t>Podrobnější údaje o celém fondu, ORJ - 199, tedy příjmy, výdaje a zůstatek na zvláštním bankovním účtu, jsou uvedeny v Příloze č. 6.</t>
  </si>
  <si>
    <t>Vybav.škol pomůckami kompenz.a rehab.char.</t>
  </si>
  <si>
    <t>Projekty romské komunity</t>
  </si>
  <si>
    <t>Excelence středních škol</t>
  </si>
  <si>
    <t>Realizace energeticky úsporných opatření - SŠ designu a módy Prostějov - domov mládeže Palečkova</t>
  </si>
  <si>
    <t>Gymnázium Jana Opletala, Opletalova 189, Litovel</t>
  </si>
  <si>
    <t>Ing. Ladislav Růžička</t>
  </si>
  <si>
    <t>ORJ - 18</t>
  </si>
  <si>
    <t>Komunikační, publikační a propagační činnost</t>
  </si>
  <si>
    <t>Koordinační služby</t>
  </si>
  <si>
    <t>Produkční služby</t>
  </si>
  <si>
    <t xml:space="preserve">Výdaje Fondu sociálních potřeb Olomouckého kraje </t>
  </si>
  <si>
    <t xml:space="preserve">Výdaje Fondu na podporu výstavby a obnovy vodohospodářské infrastruktury na území Olomouckého kraje </t>
  </si>
  <si>
    <t>Fond na podporu výstavby a obnovy vodohospodářské infrastruktury na území Olomouckého kraje  celkem</t>
  </si>
  <si>
    <t>Mgr. Irena Sonntagová</t>
  </si>
  <si>
    <t>Ing. Radek Dosoudil</t>
  </si>
  <si>
    <t>Domov Sněženka Jeseník</t>
  </si>
  <si>
    <t>Ing. Bohuslav Kolář, MBA</t>
  </si>
  <si>
    <t>Dětské centrum Ostrůvek Olomouc</t>
  </si>
  <si>
    <t>Dětské centrum Ostrůvek celkem</t>
  </si>
  <si>
    <t>investice celkem</t>
  </si>
  <si>
    <t>provoz celkem</t>
  </si>
  <si>
    <t>Realizace energeticky úsporných opatření – Střední škola polytechnická Olomouc</t>
  </si>
  <si>
    <t>ORG 100821</t>
  </si>
  <si>
    <t>Energetická úspora na objektu Gymnázia Šternberk</t>
  </si>
  <si>
    <t>ORG 100822</t>
  </si>
  <si>
    <t>ORG 100828</t>
  </si>
  <si>
    <t>Realizace energeticky úsporných opatření - Gymnázium,Olomouc, Čajkovského 9</t>
  </si>
  <si>
    <t>Modernizace dílen Střední školy železniční a stavební, Šumperk, Bulharská 8</t>
  </si>
  <si>
    <t>53500881</t>
  </si>
  <si>
    <t xml:space="preserve">„Léto v pohraničí“ </t>
  </si>
  <si>
    <t>ORG 100836</t>
  </si>
  <si>
    <t>53100880</t>
  </si>
  <si>
    <t>IP a NP - oblast cestovního ruchu</t>
  </si>
  <si>
    <t>Neinvestiční transfery spolkům</t>
  </si>
  <si>
    <t>Neinvestiční transfery cizím příspěvkovým organizacím</t>
  </si>
  <si>
    <t>75) Podpora technického a přírodovědného vzdělávání v Olomouckém kraji</t>
  </si>
  <si>
    <t>ORJ - 75</t>
  </si>
  <si>
    <t>číslo účtu: 107-5424970258/0100</t>
  </si>
  <si>
    <t>Jiné investiční transfery zřízeným příspěvkovým organizacím</t>
  </si>
  <si>
    <t>Podpora technického a přírodovědného vzdělávání v Olomouckém kraji</t>
  </si>
  <si>
    <t xml:space="preserve">36) GS - 1.1. Podpora drobného podnikání ve vybraných regionech </t>
  </si>
  <si>
    <t>Olomouckého kraje</t>
  </si>
  <si>
    <t>ORJ - 36</t>
  </si>
  <si>
    <t>vratky veřejným rozpočtům ústření úrovně transferů poskytnutých v minulých rozpočtových obdobích</t>
  </si>
  <si>
    <t>GS - 1.1. Podpora drobného podnikání ve vybraných regionech Olomouckého kraje celkem</t>
  </si>
  <si>
    <t>Podpora drobného podnikání ve vybraných regionech Olomouckého kraje celkem</t>
  </si>
  <si>
    <t>splátky</t>
  </si>
  <si>
    <t>splátky celkem</t>
  </si>
  <si>
    <t>Podpora zavádění diagnostických nástrojů</t>
  </si>
  <si>
    <t xml:space="preserve">na výplatu st.přísp.pro zřiz.zařízení pro děti vyž.okamžitou pomoc </t>
  </si>
  <si>
    <t>Podpora odborného vzdělávání</t>
  </si>
  <si>
    <t xml:space="preserve">Odbor dopravy a silničního hospodářství </t>
  </si>
  <si>
    <t xml:space="preserve">Fond na podporu výstavby a obnovy vodohospodářské infrastruktury na území Olomouckého kraje </t>
  </si>
  <si>
    <t>Kursové rozdíly ve výdajích</t>
  </si>
  <si>
    <t>Zpracování dat a služby související s inform.a komunikač.technologiemi</t>
  </si>
  <si>
    <t>Poštovní služby</t>
  </si>
  <si>
    <t>MF-Účelové dotace na výdaje spojené s volbami do zastupitelstev v obcích</t>
  </si>
  <si>
    <t>Odstupné</t>
  </si>
  <si>
    <t>Ochranné pomůcky</t>
  </si>
  <si>
    <t>Poskytnuté náhrady</t>
  </si>
  <si>
    <t>Nákup materiálu jinde nezařazený</t>
  </si>
  <si>
    <t>Pohotění</t>
  </si>
  <si>
    <t>38100884</t>
  </si>
  <si>
    <t>Akce NNO</t>
  </si>
  <si>
    <t>Neinvestiční transfery státnímu rozpočtu</t>
  </si>
  <si>
    <t>Předfinancování PO - z rozpočtu kraje</t>
  </si>
  <si>
    <t xml:space="preserve">Investiční a neinvestiční akce v oblasti dopravy  </t>
  </si>
  <si>
    <t>dotace celkem</t>
  </si>
  <si>
    <t>Environmentální vzdělávání, výchova a osvěta (EVVO)</t>
  </si>
  <si>
    <t>MŠMT-Rozvojový program na podporu školních psychologů, speciálních pedagogů a metodiků - specialistů</t>
  </si>
  <si>
    <t>Stipendia pro žáky technických oborů</t>
  </si>
  <si>
    <t>Zpracování dat a služby související s informačními a komunikačními technologiemi</t>
  </si>
  <si>
    <t>celkem inv.+provoz</t>
  </si>
  <si>
    <t>Realizace energeticky úsporných opatření - SOŠ gastronomie a potravinářství Jeseník</t>
  </si>
  <si>
    <t>Realizace energeticky úsporných opatření - SPŠ Hranice</t>
  </si>
  <si>
    <t>ORG 100661</t>
  </si>
  <si>
    <t>Realizace energeticky úsporných opatření – OU a praktická škola Lipová - lázně</t>
  </si>
  <si>
    <t>ORG 100876</t>
  </si>
  <si>
    <t>Realizace energeticky úsporných opatření – Nemocnice Prostějov – budova LDN</t>
  </si>
  <si>
    <t>ORG 100887</t>
  </si>
  <si>
    <t>Zaplacené sankce</t>
  </si>
  <si>
    <t>Stroje, přaístroje a zařízení</t>
  </si>
  <si>
    <t>Zajištění vybraných služeb sociální prevence v Olomouckém kraji</t>
  </si>
  <si>
    <t>ORG 100922</t>
  </si>
  <si>
    <t>Neinvestiční příspěvky církvím a náboženským společnostem</t>
  </si>
  <si>
    <t>ORJ 30-52</t>
  </si>
  <si>
    <t>ORJ 99,199</t>
  </si>
  <si>
    <t>dotace ostatní</t>
  </si>
  <si>
    <t>Zvýšení platů pracovníků regionálního školství</t>
  </si>
  <si>
    <t xml:space="preserve">Neinvestiční transfery zřízeným PO </t>
  </si>
  <si>
    <t xml:space="preserve">Asistenti pedagogů pro děti, žáky a studenty se sociálním znevýhodněním </t>
  </si>
  <si>
    <t>Program podpory vzdělávání národnostních menšin</t>
  </si>
  <si>
    <t>Střední škola, Základní škola, Mateřská škola  a Dětský domov, Sušilova 40, Zábřeh</t>
  </si>
  <si>
    <t>Rozvojový program na podporu školních psychologů, speciálních pedagogů a metodiků - specialistů</t>
  </si>
  <si>
    <t>SPŠ a SOA Uničov, Školní 164, Uničov</t>
  </si>
  <si>
    <t>Příspěvek na ekologické a k přírodě šetrné technologie, podle písm. D pravidel</t>
  </si>
  <si>
    <t>Příspěvek na podporu ohrožených druhů zvířat, podle písm. G pravidel</t>
  </si>
  <si>
    <t>Střední škola železniční, technická a služeb, gen. Krátkého 30, Šumperk</t>
  </si>
  <si>
    <t>SZŠ a VOŠ zdravotnická E.Pöttinga a JŠ s právem st.jaz.zkoušky, Pöttingova 2, Olomouc</t>
  </si>
  <si>
    <t>Střední škola technická a zemědělská, 1.máje 2, Mohelnice</t>
  </si>
  <si>
    <t>Soutěže</t>
  </si>
  <si>
    <t>MŠMT - soutěže</t>
  </si>
  <si>
    <t>Střední škola gastronomie a farmářství, U Jatek 8, Jeseník</t>
  </si>
  <si>
    <t>Inv. transfery st.rozpočtu</t>
  </si>
  <si>
    <t>000000000</t>
  </si>
  <si>
    <t>000000016</t>
  </si>
  <si>
    <t>000098074</t>
  </si>
  <si>
    <t>000004001</t>
  </si>
  <si>
    <t>000013015</t>
  </si>
  <si>
    <t>033113233</t>
  </si>
  <si>
    <t>033513233</t>
  </si>
  <si>
    <t>110100880</t>
  </si>
  <si>
    <t>110100882</t>
  </si>
  <si>
    <t>110500881</t>
  </si>
  <si>
    <t>Léky a zdravotnický materiál</t>
  </si>
  <si>
    <t>000000021</t>
  </si>
  <si>
    <t>Odvody za neplnění povinnosti zaměstnávat zdravotně postižené</t>
  </si>
  <si>
    <t>Umělecká díla a předměty</t>
  </si>
  <si>
    <t xml:space="preserve">Odbor kancelář ředitele celkem </t>
  </si>
  <si>
    <t>3) Odbor kancelář ředitele</t>
  </si>
  <si>
    <t>Příspěvek na výkon sociální práce</t>
  </si>
  <si>
    <t>000013307</t>
  </si>
  <si>
    <t>Půjčka z ČS</t>
  </si>
  <si>
    <t>000000019</t>
  </si>
  <si>
    <t>000000001</t>
  </si>
  <si>
    <t>000000002</t>
  </si>
  <si>
    <t>000000813</t>
  </si>
  <si>
    <t>000000804</t>
  </si>
  <si>
    <t>000000814</t>
  </si>
  <si>
    <t>000000887</t>
  </si>
  <si>
    <t>Ostatní neinv. půjčené prostř. nezis. a pod. org.</t>
  </si>
  <si>
    <t>000000550</t>
  </si>
  <si>
    <t>000098278</t>
  </si>
  <si>
    <t>000007131</t>
  </si>
  <si>
    <t>000033353</t>
  </si>
  <si>
    <t>000033052</t>
  </si>
  <si>
    <t>000033061</t>
  </si>
  <si>
    <t>Zvýšení odměňování pracovníků regionálního školství v roce 2015</t>
  </si>
  <si>
    <t>000000006</t>
  </si>
  <si>
    <t>000000020</t>
  </si>
  <si>
    <t>032133058</t>
  </si>
  <si>
    <t>032533058</t>
  </si>
  <si>
    <t>OP VK - šablony ZŠ a SŠ v oblasti podpory 1.1</t>
  </si>
  <si>
    <t>000033040</t>
  </si>
  <si>
    <t>000000027</t>
  </si>
  <si>
    <t>000033049</t>
  </si>
  <si>
    <t>000033160</t>
  </si>
  <si>
    <t>Střední škola, Základní škola a Mateřská škola prof.V.Vejdovského Olomouc-Hejčín</t>
  </si>
  <si>
    <t>000033025</t>
  </si>
  <si>
    <t>Vybavení škol pomůckami kompenzačního a rehabilitačního charakteru</t>
  </si>
  <si>
    <t>000000112</t>
  </si>
  <si>
    <t>000033457</t>
  </si>
  <si>
    <t>000033339</t>
  </si>
  <si>
    <t>000033038</t>
  </si>
  <si>
    <t>000033050</t>
  </si>
  <si>
    <t>000033192</t>
  </si>
  <si>
    <t>000000114</t>
  </si>
  <si>
    <t>000000119</t>
  </si>
  <si>
    <t>Příspěvky na mezinárodní výměnné pobyty mládeže a kofinancování mezinárodních vzdělávacích programů</t>
  </si>
  <si>
    <t>000033035</t>
  </si>
  <si>
    <t>000033056</t>
  </si>
  <si>
    <t>Učebnice a laboratorní sady v programu CTY Online</t>
  </si>
  <si>
    <t>000033024</t>
  </si>
  <si>
    <t>000000118</t>
  </si>
  <si>
    <t>000000023</t>
  </si>
  <si>
    <t>000029015</t>
  </si>
  <si>
    <t>000029096</t>
  </si>
  <si>
    <t>000033034</t>
  </si>
  <si>
    <t>000033055</t>
  </si>
  <si>
    <t>Podpora nadaných žáků základních a středních škol</t>
  </si>
  <si>
    <t>000033122</t>
  </si>
  <si>
    <t>000033166</t>
  </si>
  <si>
    <t>032133019</t>
  </si>
  <si>
    <t>032533019</t>
  </si>
  <si>
    <t>000033155</t>
  </si>
  <si>
    <t>000033215</t>
  </si>
  <si>
    <t>000033435</t>
  </si>
  <si>
    <t>vedoucí odboru</t>
  </si>
  <si>
    <t xml:space="preserve"> -investiční  příspěvky</t>
  </si>
  <si>
    <t xml:space="preserve"> -neinvestiční  příspěvky</t>
  </si>
  <si>
    <t>PO celkem</t>
  </si>
  <si>
    <t xml:space="preserve">vedoucí odboru </t>
  </si>
  <si>
    <t>038587505</t>
  </si>
  <si>
    <t>Jiné investiční transfery zřízeným PO</t>
  </si>
  <si>
    <t>000000883</t>
  </si>
  <si>
    <t>000000012</t>
  </si>
  <si>
    <t>000000022</t>
  </si>
  <si>
    <t>000000039</t>
  </si>
  <si>
    <t>000027355</t>
  </si>
  <si>
    <t>000000013</t>
  </si>
  <si>
    <t>000034013</t>
  </si>
  <si>
    <t>000000024</t>
  </si>
  <si>
    <t>000034070</t>
  </si>
  <si>
    <t>000034053</t>
  </si>
  <si>
    <t>MZČR-Připravenost poskytovatele ZZS na řešení mimořádných událostí a krizových situací-IV</t>
  </si>
  <si>
    <t>000035963</t>
  </si>
  <si>
    <t>000000014</t>
  </si>
  <si>
    <t>000035018</t>
  </si>
  <si>
    <t>000000891</t>
  </si>
  <si>
    <t>000098335</t>
  </si>
  <si>
    <t>000098297</t>
  </si>
  <si>
    <t xml:space="preserve">vedoucí  odboru </t>
  </si>
  <si>
    <t xml:space="preserve">pověřená vedením </t>
  </si>
  <si>
    <t>000000015</t>
  </si>
  <si>
    <t>000000011</t>
  </si>
  <si>
    <t>000000010</t>
  </si>
  <si>
    <t>000000500</t>
  </si>
  <si>
    <t>000000510</t>
  </si>
  <si>
    <t>Potovní služby</t>
  </si>
  <si>
    <t>000000511</t>
  </si>
  <si>
    <t>000000501</t>
  </si>
  <si>
    <t>Neinv.transfery nefin.podnikatelským subj.-PO</t>
  </si>
  <si>
    <t>000000505</t>
  </si>
  <si>
    <t>Neinv.transfery nefin.podnikatelským subj.-FO</t>
  </si>
  <si>
    <t xml:space="preserve"> - neinvestiční příspěvky</t>
  </si>
  <si>
    <t xml:space="preserve"> - účelové neinvestiční příspěvky</t>
  </si>
  <si>
    <t xml:space="preserve"> - účelové investiční příspěvky</t>
  </si>
  <si>
    <t>Odbor podpory řízení příspěvkových</t>
  </si>
  <si>
    <t>organizací</t>
  </si>
  <si>
    <t>Výdaje odboru  podpory řízení příspěvkových organizací</t>
  </si>
  <si>
    <t>Příspěvkové organizace celkem - investiční výdaje</t>
  </si>
  <si>
    <t>Příspěvkové organizace - neinvestiční příspěvky</t>
  </si>
  <si>
    <t>Ing. Miroslava Březinová</t>
  </si>
  <si>
    <t>ORJ - 19</t>
  </si>
  <si>
    <t>19) Odbor podpory řízení příspěvkových organizací</t>
  </si>
  <si>
    <t>000000551</t>
  </si>
  <si>
    <t>000000302</t>
  </si>
  <si>
    <t>000000301</t>
  </si>
  <si>
    <t>Odměny za užití duševního vlastnictví</t>
  </si>
  <si>
    <t>DD a ŠJ , Priessnitzova 405, Jeseník</t>
  </si>
  <si>
    <t>Příspěvek na provoz PO–účelově určený příspěvek.</t>
  </si>
  <si>
    <t>ZUŠ Zábřeh, Sokolská 349/9, Zábřeh</t>
  </si>
  <si>
    <t>SOŠ Prostějov, nám. E.Husserla 1, Prostějov</t>
  </si>
  <si>
    <t>Hotelová škola V.Priessnitze a Obchodní akademie Jeseník, Dukelská 680, Jeseník</t>
  </si>
  <si>
    <t>Švehlova SŠ polytechnická, nám.Spojenců 17, Prostějov</t>
  </si>
  <si>
    <t>Dětský domov a Školní jídelna Prostějov, Lidická 86</t>
  </si>
  <si>
    <t>000000003</t>
  </si>
  <si>
    <t>038100880</t>
  </si>
  <si>
    <t>038500881</t>
  </si>
  <si>
    <t>038100884</t>
  </si>
  <si>
    <t>ORG 100931</t>
  </si>
  <si>
    <t>ORG 100930</t>
  </si>
  <si>
    <t>038500891</t>
  </si>
  <si>
    <t>038500871</t>
  </si>
  <si>
    <t>038100870</t>
  </si>
  <si>
    <t>038100874</t>
  </si>
  <si>
    <t>053515319</t>
  </si>
  <si>
    <t>053500881</t>
  </si>
  <si>
    <t>053190001</t>
  </si>
  <si>
    <t>053100882</t>
  </si>
  <si>
    <t>054515835</t>
  </si>
  <si>
    <t>054190877</t>
  </si>
  <si>
    <t>054100874</t>
  </si>
  <si>
    <t>0Celkem</t>
  </si>
  <si>
    <t>054100884</t>
  </si>
  <si>
    <t>Vratky VRÚÚ transferů poskytnutých v minulých rozpočtových obdobích</t>
  </si>
  <si>
    <t>036500881</t>
  </si>
  <si>
    <t>ORG 100966</t>
  </si>
  <si>
    <t>Realizace výstavby náhradního zdroje elektrické energie vč. přemístění hlavního elektrického rozvaděče ZZS OK Hněvotínská Olomouc</t>
  </si>
  <si>
    <t>ORG 100963</t>
  </si>
  <si>
    <t>Odborný léčebný ústav Paseka Budova "C" I. etapa, 1. část - nástavba oddělení izolace pro pacienty TBC nad kinosálem</t>
  </si>
  <si>
    <t>ORG 100782</t>
  </si>
  <si>
    <t>Odborný léčebný ústav neurologicko-geriatrický Moravský Beroun - Vybudování plynových kotelen pro výrobu tepla a TUV</t>
  </si>
  <si>
    <t>038587005</t>
  </si>
  <si>
    <t>036500871</t>
  </si>
  <si>
    <t>053100884</t>
  </si>
  <si>
    <t>036100874</t>
  </si>
  <si>
    <t>036100870</t>
  </si>
  <si>
    <t>041100884</t>
  </si>
  <si>
    <t>104500881</t>
  </si>
  <si>
    <t>104100882</t>
  </si>
  <si>
    <t>104100880</t>
  </si>
  <si>
    <t>ORG 100999</t>
  </si>
  <si>
    <t>Služby sociální prevence v Olomouckém kraji – nepřímé náklady</t>
  </si>
  <si>
    <t>032533012</t>
  </si>
  <si>
    <t>032133012</t>
  </si>
  <si>
    <t>032533887</t>
  </si>
  <si>
    <t>032133887</t>
  </si>
  <si>
    <t>032533030</t>
  </si>
  <si>
    <t>032133030</t>
  </si>
  <si>
    <t>032533926</t>
  </si>
  <si>
    <t>032133926</t>
  </si>
  <si>
    <t>Vratky VRÚU transferů poskyt. v minulých rozp. bbdobích</t>
  </si>
  <si>
    <t>032533007</t>
  </si>
  <si>
    <t>032133007</t>
  </si>
  <si>
    <t>ORG 101001</t>
  </si>
  <si>
    <t>Projekt technické pomoci Olomouckého kraje v rámci INTERREG V-A Česká republika</t>
  </si>
  <si>
    <t>Neinvestiční transfery. nefin. podnikatelským subjektům - právnickým osobám</t>
  </si>
  <si>
    <t>Povinné pojistné na soc. zab. a příspěvek na st. politiku zaměstnanosti</t>
  </si>
  <si>
    <t>032133910</t>
  </si>
  <si>
    <t>Krajský akční plán rozvoje vzdělávání OK</t>
  </si>
  <si>
    <t>číslo účtu: 107-6909780237/0100</t>
  </si>
  <si>
    <t>ORJ - 76</t>
  </si>
  <si>
    <t>Kotlíkové dotace</t>
  </si>
  <si>
    <t>číslo účtu: 107-8022160247/0100</t>
  </si>
  <si>
    <t>ORJ - 77</t>
  </si>
  <si>
    <t>investice včetně inv.dot</t>
  </si>
  <si>
    <t xml:space="preserve"> -účelové neinvestiční příspěvky</t>
  </si>
  <si>
    <t xml:space="preserve"> -účelové investiční příspěvky</t>
  </si>
  <si>
    <t>OU a PrŠ, Lipová-Lázně 458</t>
  </si>
  <si>
    <t>Hotelová škola Vincenze Priessnitze a Obchodní akademie Jeseník, Dukelská 680, Jeseník</t>
  </si>
  <si>
    <t xml:space="preserve">Základní umělecká škola Zábřeh, Školská 349/9, 789 01 Zábřeh </t>
  </si>
  <si>
    <t xml:space="preserve"> -neinvestiční  příspěvek</t>
  </si>
  <si>
    <t xml:space="preserve"> -neinvestiční dotace</t>
  </si>
  <si>
    <t xml:space="preserve"> -investiční  dotace</t>
  </si>
  <si>
    <t xml:space="preserve"> -investiční dotace</t>
  </si>
  <si>
    <t xml:space="preserve"> - investiční příspěvky</t>
  </si>
  <si>
    <t xml:space="preserve"> - neivestiční dotace</t>
  </si>
  <si>
    <t xml:space="preserve"> - investiční dotace</t>
  </si>
  <si>
    <t xml:space="preserve"> - neinvestiční dotace</t>
  </si>
  <si>
    <t>Soukromé školy - neinvestiční dotace</t>
  </si>
  <si>
    <t>Příspěvkové organizace celkem - neinvestiční příspěvky</t>
  </si>
  <si>
    <t>Soukromé školy celkem - neinvestiční dotace</t>
  </si>
  <si>
    <t>Obecní školy - neinvestiční dotace</t>
  </si>
  <si>
    <t>Obecní školy celkem - neinvestiční dotace</t>
  </si>
  <si>
    <t>Odbor kancelář ředitele</t>
  </si>
  <si>
    <t xml:space="preserve">vedoucí odboru životního prostředí a zemědělství </t>
  </si>
  <si>
    <t>vedoucí odboru kancelář ředitele</t>
  </si>
  <si>
    <t>000000400</t>
  </si>
  <si>
    <t>000000406</t>
  </si>
  <si>
    <t>000000405</t>
  </si>
  <si>
    <t>Dary - finanční</t>
  </si>
  <si>
    <t>Členské příspěvky</t>
  </si>
  <si>
    <t>Dary - věcné</t>
  </si>
  <si>
    <t>000000420</t>
  </si>
  <si>
    <t>Ing. Svatava Špalková</t>
  </si>
  <si>
    <t>000000425</t>
  </si>
  <si>
    <t>000000416</t>
  </si>
  <si>
    <t>000000415</t>
  </si>
  <si>
    <t>000098193</t>
  </si>
  <si>
    <t>000000401</t>
  </si>
  <si>
    <t>Finanční vypořádání</t>
  </si>
  <si>
    <t>Rezerva Olomouckého kraje</t>
  </si>
  <si>
    <t>Rezerva na neplnění daňových příjmů</t>
  </si>
  <si>
    <t>Rezerva na financování investičních akcí - z rozpočtu OK</t>
  </si>
  <si>
    <t>Mgr. Olga Fidrová</t>
  </si>
  <si>
    <t>Pojistné plnění - pro KÚOK</t>
  </si>
  <si>
    <t>4) Odbor majetkový, právní a správních činností</t>
  </si>
  <si>
    <t>000000436</t>
  </si>
  <si>
    <t>000000445</t>
  </si>
  <si>
    <t>000000446</t>
  </si>
  <si>
    <t>000000435</t>
  </si>
  <si>
    <t>000000430</t>
  </si>
  <si>
    <t>000000431</t>
  </si>
  <si>
    <t>000000440</t>
  </si>
  <si>
    <t>000000411</t>
  </si>
  <si>
    <t>000000410</t>
  </si>
  <si>
    <t>000000441</t>
  </si>
  <si>
    <t>000000450</t>
  </si>
  <si>
    <t>000000455</t>
  </si>
  <si>
    <t>000000460</t>
  </si>
  <si>
    <t>000000461</t>
  </si>
  <si>
    <t>000000466</t>
  </si>
  <si>
    <t>000000468</t>
  </si>
  <si>
    <t>000000465</t>
  </si>
  <si>
    <t>000000467</t>
  </si>
  <si>
    <t>Neinvestiční transfery vysokým školám</t>
  </si>
  <si>
    <t>Neinvestiční transfery vysokým školám</t>
  </si>
  <si>
    <t>Neinv. transfery společ. vlastníků jednotek</t>
  </si>
  <si>
    <t>Ostatní neinvestiční transfery do zahraničí</t>
  </si>
  <si>
    <t>Neinv. půjčené prostř. nefinan. podn. subjekt. - právnickým osobám</t>
  </si>
  <si>
    <t>Neinv. půjčené prostř. obecně prosp. spol.</t>
  </si>
  <si>
    <t>Neinv. půjčené prostředky spolkům</t>
  </si>
  <si>
    <t>Ostatní nákupy jinde nezařazené</t>
  </si>
  <si>
    <t>Platby daní a poplatků krajům, obcím a státním fondům</t>
  </si>
  <si>
    <t>000033065</t>
  </si>
  <si>
    <t>000033069</t>
  </si>
  <si>
    <t>000000485</t>
  </si>
  <si>
    <t>000000490</t>
  </si>
  <si>
    <t>000000491</t>
  </si>
  <si>
    <t>000000492</t>
  </si>
  <si>
    <t>000000160</t>
  </si>
  <si>
    <t>000000476</t>
  </si>
  <si>
    <t>000000555</t>
  </si>
  <si>
    <t>000033163</t>
  </si>
  <si>
    <t>000033354</t>
  </si>
  <si>
    <t>000034017</t>
  </si>
  <si>
    <t>103133063</t>
  </si>
  <si>
    <t>103533063</t>
  </si>
  <si>
    <t>Příspěvkové organizace - investiční výdaje</t>
  </si>
  <si>
    <t>000000110</t>
  </si>
  <si>
    <t>000000480</t>
  </si>
  <si>
    <t>000000495</t>
  </si>
  <si>
    <t>Provozní výdaje odboru</t>
  </si>
  <si>
    <t>Dotační tituly</t>
  </si>
  <si>
    <t>Dotační tituly celkem</t>
  </si>
  <si>
    <t>Zpracování dat a služby související s inform. a komunikač. technologiemi</t>
  </si>
  <si>
    <t>Investiční  výdaje odboru</t>
  </si>
  <si>
    <t xml:space="preserve"> -provozní výdaje odboru</t>
  </si>
  <si>
    <t xml:space="preserve"> -investiční  výdaje odboru</t>
  </si>
  <si>
    <t>UZ 000000425 - Dotační titul pro JSDH na nákup dopravních aut a zažízení</t>
  </si>
  <si>
    <t>Účelové dotace na výdaje spojené se společnými volbami do Senátu a zastupitelstev krajů</t>
  </si>
  <si>
    <t>Účelové dotace na výdaje spojené s volbami do zastupitelstev v obcích</t>
  </si>
  <si>
    <t>UZ 000000415 - Dotace na pořízení, rekonstrukci, opravu požární techniky a nákup věcného vybavení JSDH obcí Olomouckého kraje</t>
  </si>
  <si>
    <t>UZ 000000416 - Dotace na činnosti, akce a projekty hasičů (FO), spolků a pobočných spolků hasičů OK</t>
  </si>
  <si>
    <t>UZ 000000420 - Rezerva Olomouckého kraje pro případ řešení krizové situace nebo mimořádné události</t>
  </si>
  <si>
    <t>UZ 000000401 - Individuální dotace</t>
  </si>
  <si>
    <t>UZ 000000410 - Individuální žádosti</t>
  </si>
  <si>
    <t xml:space="preserve">UZ 000000411 - Program návratné finanční výpomoci MAS se sídlem na území Olomouckého kraje </t>
  </si>
  <si>
    <t xml:space="preserve">UZ 000000430 - Podpora regionálního značení </t>
  </si>
  <si>
    <t>Dotační tituly UZ 000000401 celkem</t>
  </si>
  <si>
    <t>Dotační tituly UZ 000000430 celkem</t>
  </si>
  <si>
    <t>Dotační tituly UZ 000000411 celkem</t>
  </si>
  <si>
    <t>Dotační tituly UZ 000000410 celkem</t>
  </si>
  <si>
    <t>Dotační tituly UZ 000000431 celkem</t>
  </si>
  <si>
    <t>UZ 000000431 - Podpora farmářských trhů</t>
  </si>
  <si>
    <t>UZ 000000435 - Podpora soutěží propagujících podnikatele</t>
  </si>
  <si>
    <t>Dotační tituly UZ 000000435 celkem</t>
  </si>
  <si>
    <t>UZ 000000436 - Podpora poradenství pro podnikatele</t>
  </si>
  <si>
    <t>Dotační tituly UZ 000000436 celkem</t>
  </si>
  <si>
    <t>UZ 000000440 - Program obnovy venkova Olomouckého kraje</t>
  </si>
  <si>
    <t>Dotační tituly UZ 000000440 celkem</t>
  </si>
  <si>
    <t>UZ 000000441 - Podpora zpracování územně plánovací dokumentace</t>
  </si>
  <si>
    <t>Dotační tituly UZ 000000441 celkem</t>
  </si>
  <si>
    <t>UZ 000000445 - OP 1 Inovační vouchery Olomouckého kraje</t>
  </si>
  <si>
    <t>Dotační tituly UZ 000000445 celkem</t>
  </si>
  <si>
    <t>UZ 000000446 - OP 2 Studentské inovace ve firmách</t>
  </si>
  <si>
    <t>Dotační tituly UZ 000000446 celkem</t>
  </si>
  <si>
    <t>UZ 000000550 - Obnova kulturních památek</t>
  </si>
  <si>
    <t>Dotační tituly UZ 000000550 celkem</t>
  </si>
  <si>
    <t>UZ 000000551 - Obnova staveb drobné architektury místního významu</t>
  </si>
  <si>
    <t>Dotační tituly UZ 000000551 celkem</t>
  </si>
  <si>
    <t>Dotační tituly UZ 000000450 celkem</t>
  </si>
  <si>
    <t>UZ 000000450 - Dotace na podporu lesních ekosystémů</t>
  </si>
  <si>
    <t>Dotační tituly UZ 000000455 celkem</t>
  </si>
  <si>
    <t>UZ 000000455 - Program na podporu začínajících včelařů na území Olomouckého kraje</t>
  </si>
  <si>
    <t>UZ 000000460 - Řešení mimořádné situace na infrastruktuře vodovodů a kanalizací</t>
  </si>
  <si>
    <t>Dotační tituly UZ 000000460 celkem</t>
  </si>
  <si>
    <t>Dotační tituly UZ 000000461 celkem</t>
  </si>
  <si>
    <t>UZ 000000461 - Řešení mimořádné situace na vodních dílech a realizace opatření k předcházení a odstraňování následků povodní</t>
  </si>
  <si>
    <t>Dotační tituly UZ 000000465 celkem</t>
  </si>
  <si>
    <t xml:space="preserve">UZ 000000465 - Podpora propagačních, vzdělávacích a osvětových akcí zaměřených na tématiku živnostního prostředí a zemědělství </t>
  </si>
  <si>
    <t>Dotační tituly UZ 000000466 celkem</t>
  </si>
  <si>
    <t>UZ 000000466 - Podpora aktivit přispívajících k zachování nebo zlepšení různorodosti přírody a krajiny</t>
  </si>
  <si>
    <t>Dotační tituly UZ 000000467 celkem</t>
  </si>
  <si>
    <t xml:space="preserve">UZ 000000467 - Podpora činnosti záchranných stanic pro handicapované živočichy </t>
  </si>
  <si>
    <t>Dotační tituly UZ 000000468 celkem</t>
  </si>
  <si>
    <t xml:space="preserve">UZ 000000468 - Podpora zájmových spolků a organizací, předmětem  jejichž činnosti je oblast životního prostředí a zemědělství </t>
  </si>
  <si>
    <t>Olympiáda dětí a mládeže</t>
  </si>
  <si>
    <t xml:space="preserve">Dary - věcné </t>
  </si>
  <si>
    <t>Dotační tituly UZ 000000480 celkem</t>
  </si>
  <si>
    <t xml:space="preserve">UZ 000000480 - Program na podporu terciárního vzdělávání na vysokých školách v Olomouckém kraji </t>
  </si>
  <si>
    <t>UZ 000000495 - Studijní stipendium Olomouckého kraje na studium v zahraniční</t>
  </si>
  <si>
    <t>Dotační tituly UZ 000000495 celkem</t>
  </si>
  <si>
    <t xml:space="preserve">UZ 000000500 - Podpora celoroční sportovní činnosti </t>
  </si>
  <si>
    <t>Dotační tituly UZ 000000500 celkem</t>
  </si>
  <si>
    <t xml:space="preserve">UZ 000000501 - Podpora sportovních akcí regionálního charakteru </t>
  </si>
  <si>
    <t>000000502</t>
  </si>
  <si>
    <t>Dotační tituly UZ 000000501 celkem</t>
  </si>
  <si>
    <t>Dotační tituly UZ 000000502 celkem</t>
  </si>
  <si>
    <t>UZ 000000505 - Program na podporu volnočasových a tělovýchovných aktivit v Olomouckém kraj</t>
  </si>
  <si>
    <t>Dotační tituly UZ 000000505 celkem</t>
  </si>
  <si>
    <t>UZ 000000510 - Podpora environmentálního vzdělávání, výchovy a osvěty v Olomouckém kraji</t>
  </si>
  <si>
    <t>Dotační tituly UZ 000000510 celkem</t>
  </si>
  <si>
    <t xml:space="preserve">UZ 000000555 - Podpora kulturních aktivit </t>
  </si>
  <si>
    <t>Dotační tituly UZ 000000515 celkem</t>
  </si>
  <si>
    <t>Dotační tituly UZ 000000520 celkem</t>
  </si>
  <si>
    <t>000000515</t>
  </si>
  <si>
    <t>000000520</t>
  </si>
  <si>
    <t>000000556</t>
  </si>
  <si>
    <t>Dotační tituly UZ 000000556 celkem</t>
  </si>
  <si>
    <t>Neinvestiční transfery na plnění regionálních funkcí veřejných knihoven</t>
  </si>
  <si>
    <t>Ostatní neinv. transfery nezisk. apod. org.</t>
  </si>
  <si>
    <t>Neinv. transfery cizím PO</t>
  </si>
  <si>
    <t>Neinv. transfery šk. PO zřízeným státem, kraji a obcemi</t>
  </si>
  <si>
    <t>Povinné poj. na soc. zab. a přísp. na st. pol. zaměstnanosti</t>
  </si>
  <si>
    <t>Pov. pojistné na sociální zabezpečení</t>
  </si>
  <si>
    <t>a příspěvek na st. pol. zam.</t>
  </si>
  <si>
    <t>MŠMT - Excelence základních škol</t>
  </si>
  <si>
    <t>MŠMT - Zvýšení platů pracovníků regionálního školství</t>
  </si>
  <si>
    <t>MŠMT - Podpora navýšení kapacit ve školských poradenských zařízeních</t>
  </si>
  <si>
    <t>MKČR - ISO D Preventivní ochrana před vlivy prostředí - podprogram č. 134 515 - neinvestiční</t>
  </si>
  <si>
    <t>MKČR - 5060010011 Podpora standardizovaných veřejných služeb muzeí a galerií</t>
  </si>
  <si>
    <t>MKČR - Veřejné informační služby knihoven - neinvestice</t>
  </si>
  <si>
    <t>MKČR - Kulturní aktivity</t>
  </si>
  <si>
    <t>MŠMT - Přímé náklady na vzdělávání - sportovní gymnázia</t>
  </si>
  <si>
    <t>MŠMT- Podpora navýšení kapacit ve školských poradenských zařízeních</t>
  </si>
  <si>
    <t>Neinv. transfery nefin. pod. subj. - FO</t>
  </si>
  <si>
    <t xml:space="preserve">Neinv. transfery nefin. podnik. subj. - PO </t>
  </si>
  <si>
    <t>Neinv. transfery církvím a nábož. společn.</t>
  </si>
  <si>
    <t xml:space="preserve">Neinv. transfery obecně prospěš. spol. </t>
  </si>
  <si>
    <t>Ostatní neinv. transfery nezisk.a pod. org.</t>
  </si>
  <si>
    <t>Ost. neinv. transfery veř. rozp. úz. úrovně</t>
  </si>
  <si>
    <t>000033064</t>
  </si>
  <si>
    <t>MŠMT - Naplňování Koncepce podpory mládeže na krajské úrovni</t>
  </si>
  <si>
    <t>UZ 000000515 - Program na podporu sportovní činnosti dětí a mládeže v Olomouckém kraj</t>
  </si>
  <si>
    <t xml:space="preserve">UZ 000000520 - Program podpory práce s dětmi a mládeží pro nestátní neziskové organizace v Olomouckém kraji </t>
  </si>
  <si>
    <t>dotační tituly</t>
  </si>
  <si>
    <t>celkem odbor + PO,SŠ,OŠ + dotační tituly</t>
  </si>
  <si>
    <t>10) Odbor školství, sportu a kultury</t>
  </si>
  <si>
    <t>000013016</t>
  </si>
  <si>
    <t>000000120</t>
  </si>
  <si>
    <t>000000122</t>
  </si>
  <si>
    <t>000000121</t>
  </si>
  <si>
    <t>000013305</t>
  </si>
  <si>
    <t>Domov pro seniory Červenka</t>
  </si>
  <si>
    <t>Domov pro seniory Červenka celkem</t>
  </si>
  <si>
    <t>104113013</t>
  </si>
  <si>
    <t>104513013</t>
  </si>
  <si>
    <t>Vincentinum - poskytovatel soc. služeb Šternberk</t>
  </si>
  <si>
    <t>Klíč - centrum sociálních služeb</t>
  </si>
  <si>
    <t>000000123</t>
  </si>
  <si>
    <t>Neinvest. transfery nefin. podnik. subj.-FO</t>
  </si>
  <si>
    <t>Neinvest. transfery nefin. podnik. subj.-PO</t>
  </si>
  <si>
    <t>Dotační tituly UZ 000000525 celkem</t>
  </si>
  <si>
    <t>000000525</t>
  </si>
  <si>
    <t>Dotační tituly UZ 000000526 celkem</t>
  </si>
  <si>
    <t>000000526</t>
  </si>
  <si>
    <t>000000527</t>
  </si>
  <si>
    <t>Dotační tituly UZ 000000527 celkem</t>
  </si>
  <si>
    <t>000000528</t>
  </si>
  <si>
    <t>Dotační tituly UZ 000000530 celkem</t>
  </si>
  <si>
    <t>Dotační tituly UZ 000000528 celkem</t>
  </si>
  <si>
    <t>000000530</t>
  </si>
  <si>
    <t>provoz PO celkem</t>
  </si>
  <si>
    <t>invesitce PO celkem</t>
  </si>
  <si>
    <t>Program prevence kriminality z MVČR - podíl OK</t>
  </si>
  <si>
    <t>Odborné psychologické posouzení zájemců o nezprostředkovanou pěstounskou péči</t>
  </si>
  <si>
    <t>Střednědobý plán rozvoje sociálních služeb OK</t>
  </si>
  <si>
    <t>Kofinancování Operačního programu Zaměstnanost</t>
  </si>
  <si>
    <t>MPSV - Dotace na podporu samosprávy v oblasti stárnutí</t>
  </si>
  <si>
    <t>MPSV - Operační program Zaměstnanost</t>
  </si>
  <si>
    <t>UZ 000000525 - Podpora prevence kriminality</t>
  </si>
  <si>
    <t>UZ 000000526 - Podpora integrace romských komunit</t>
  </si>
  <si>
    <t>UZ 000000527 - Podpora prorodinných aktivit</t>
  </si>
  <si>
    <t xml:space="preserve">UZ 000000528 - Podpora aktivit směřujících k sociálnímu začleňování </t>
  </si>
  <si>
    <t>UZ 000000530 - Program finanční podpory poskytování sociálních služeb v Olomuckém kraji - Podprogram č. 2</t>
  </si>
  <si>
    <t xml:space="preserve">UZ 000000535 - Podpora výstavby a oprav cyklostezek </t>
  </si>
  <si>
    <t>000000535</t>
  </si>
  <si>
    <t>Dotační tituly UZ 000000535 celkem</t>
  </si>
  <si>
    <t>UZ 000000540 - Opatření pro zvýšení bezpečnosti provozu na pozemních komunikacích</t>
  </si>
  <si>
    <t>000000540</t>
  </si>
  <si>
    <t>Dotační tituly UZ 000000540 celkem</t>
  </si>
  <si>
    <t>000000545</t>
  </si>
  <si>
    <t>Dotační tituly UZ 000000545 celkem</t>
  </si>
  <si>
    <t>UZ 000000545 - Podpora budování a rekonstrukce přechodů pro chodce</t>
  </si>
  <si>
    <t>Neinv. transfery zřízeným PO</t>
  </si>
  <si>
    <t>Neinvest. transfery cizím PO</t>
  </si>
  <si>
    <t>MDČR - Příspěvek na ztrátu dopravce z provozu veřejné osobní drážní dopravy</t>
  </si>
  <si>
    <t>Dotační tituly UZ 000000555 celkem</t>
  </si>
  <si>
    <t>000000560</t>
  </si>
  <si>
    <t>Dotační tituly UZ 000000560 celkem</t>
  </si>
  <si>
    <t>UZ 000000555 - Program podpory kultury v Olomouckého kraji</t>
  </si>
  <si>
    <t xml:space="preserve">UZ 000000556 - Víceletá podpora významných kulturních akcí </t>
  </si>
  <si>
    <t>UZ 000000560 - Dotace podle zákona č. 257/2001 Sb., (knihovní zákon)</t>
  </si>
  <si>
    <t>000000140</t>
  </si>
  <si>
    <t>000000141</t>
  </si>
  <si>
    <t>000000142</t>
  </si>
  <si>
    <t>060135008</t>
  </si>
  <si>
    <t>060535009</t>
  </si>
  <si>
    <t>060135892</t>
  </si>
  <si>
    <t>MZdr. - Připravenost poskytovatele ZZS na řešení mimořádných událostí a krizových situací</t>
  </si>
  <si>
    <t>000000565</t>
  </si>
  <si>
    <t>Dotační tituly UZ 000000565 celkem</t>
  </si>
  <si>
    <t>Dotační tituly UZ 000000566 celkem</t>
  </si>
  <si>
    <t>000000566</t>
  </si>
  <si>
    <t>000000567</t>
  </si>
  <si>
    <t>000000568</t>
  </si>
  <si>
    <t>Dotační tituly UZ 000000567 celkem</t>
  </si>
  <si>
    <t>Dotační tituly UZ 000000568 celkem</t>
  </si>
  <si>
    <t>000000570</t>
  </si>
  <si>
    <t>Dotační tituly UZ 000000570 celkem</t>
  </si>
  <si>
    <t>000000575</t>
  </si>
  <si>
    <t>Dotační tituly UZ 000000575 celkem</t>
  </si>
  <si>
    <t>000000576</t>
  </si>
  <si>
    <t>Dotační tituly UZ 000000576 celkem</t>
  </si>
  <si>
    <t>000000577</t>
  </si>
  <si>
    <t>Dotační tituly UZ 000000577 celkem</t>
  </si>
  <si>
    <t>000000578</t>
  </si>
  <si>
    <t>000000579</t>
  </si>
  <si>
    <t>Dotační tituly UZ 000000578 celkem</t>
  </si>
  <si>
    <t>Dotační tituly UZ 000000579 celkem</t>
  </si>
  <si>
    <t>UZ 000000565 - Podpora ozdravných a rehabilitačních pobytů pro specifické skupiny obyvatel</t>
  </si>
  <si>
    <t>UZ 000000566 - Podpora zdravotně-preventivních aktivit a výchovy ke zdraví pro všechny skupiny obyvatel</t>
  </si>
  <si>
    <t xml:space="preserve">UZ 000000567 - Podpora organizací podporujících zdravotně znevýhodněné občany </t>
  </si>
  <si>
    <t xml:space="preserve">UZ 000000568 - Podpora udržování a zvyšování odborných kompetencí ve zdravotnictví </t>
  </si>
  <si>
    <t xml:space="preserve">UZ 000000570 - Program pro vzdělávání ve zdravotnictví </t>
  </si>
  <si>
    <t>UZ 000000575 - Kontaktní a poradenské služby</t>
  </si>
  <si>
    <t>UZ 000000576 - Terénní programy pro problémové uživatele jiných návykových látek a osoby na nich závislé</t>
  </si>
  <si>
    <t>UZ 000000577 - Ambulantní léčba závislostí na tabákových výrobcích, alkoholu a jiných návykových látkách</t>
  </si>
  <si>
    <t>UZ 000000578 - Programy následné péče, které zajišťují poskytovatelé zdravotních služeb a jiná zařízení</t>
  </si>
  <si>
    <t>UZ 000000579 - Adiktologické služby ve výkonu trestu odnětí svobody nebo ve vazbě</t>
  </si>
  <si>
    <t>pověřen vedením</t>
  </si>
  <si>
    <t>Ing. Peter Garláthy</t>
  </si>
  <si>
    <t>LPS - dětská a dospělá</t>
  </si>
  <si>
    <t xml:space="preserve">LPS - zubní </t>
  </si>
  <si>
    <t>Záchytná stanice</t>
  </si>
  <si>
    <t xml:space="preserve">Dary - finanční </t>
  </si>
  <si>
    <t xml:space="preserve">Oblast zdravotnictví  (i příspěvky PO) a odvody z IF na spolufinancování akcí </t>
  </si>
  <si>
    <t>Předfinancování EU (ČS – revolvingový úvěr)</t>
  </si>
  <si>
    <t>Neinv.transfery obecně prospěným spol.</t>
  </si>
  <si>
    <t>Neinv. transfery nefin. podnikatelským subj.-FO</t>
  </si>
  <si>
    <t>Neinv. transfery nefin. podnikatelským subj.-PO</t>
  </si>
  <si>
    <t>MZdr. - Program švýcarsko-české spolupráce – program č. 13532P – SR – NIV</t>
  </si>
  <si>
    <t>MZdr. - Program švýcarsko-české spolupráce – program č. 13532P – Jiné zdroje EU – NIV</t>
  </si>
  <si>
    <t>MZdr. - Program švýcarsko-české spolupráce – program č. 13532P – SR – INV</t>
  </si>
  <si>
    <t>060535893</t>
  </si>
  <si>
    <t>MZdr. - Program švýcarsko-české spolupráce – program č. 13532P – Jiné zdroje EU – INV</t>
  </si>
  <si>
    <t>Neinv. transfery církvím a náboženským spol.</t>
  </si>
  <si>
    <t xml:space="preserve">Oblast dopravy (i příspěvky PO)  a odvody z IF na spolufinancování akcí </t>
  </si>
  <si>
    <t xml:space="preserve">Oblast školství (i příspěvky PO) a odvody z IF na spolufinancování akcí </t>
  </si>
  <si>
    <t xml:space="preserve">Oblast kultury (i příspěvky PO)  a odvody z IF na spolufinancování akcí </t>
  </si>
  <si>
    <t>000000153</t>
  </si>
  <si>
    <t>000000154</t>
  </si>
  <si>
    <t>000000151</t>
  </si>
  <si>
    <t>000000152</t>
  </si>
  <si>
    <t>000000150</t>
  </si>
  <si>
    <t>UZ 000000580 - Nadregionální akce cestovního ruchu</t>
  </si>
  <si>
    <t>000000580</t>
  </si>
  <si>
    <t>Dotační tituly UZ 000000580 celkem</t>
  </si>
  <si>
    <t xml:space="preserve">UZ 000000581 - Podpora rozvoje zahraničních vztahů Olomouckého kraje </t>
  </si>
  <si>
    <t>000000581</t>
  </si>
  <si>
    <t>Dotační tituly UZ 000000581 celkem</t>
  </si>
  <si>
    <t xml:space="preserve">UZ 000000582 - Podpora zkvalitnění služeb turistických informačních center v Olomouckém kraji </t>
  </si>
  <si>
    <t>000000582</t>
  </si>
  <si>
    <t>Dotační tituly UZ 000000582 celkem</t>
  </si>
  <si>
    <t>UZ 000000583 - Podpora cestovního ruchu v turistických regionech Jeseníky a Střední Morava</t>
  </si>
  <si>
    <t>000000583</t>
  </si>
  <si>
    <t>Dotační tituly UZ 000000583 celkem</t>
  </si>
  <si>
    <t>Investiční transfery nefinančním podn. subj. - FO</t>
  </si>
  <si>
    <t>000000584</t>
  </si>
  <si>
    <t>Dotační tituly UZ 000000584 celkem</t>
  </si>
  <si>
    <t>UZ 000000584 - Podpora kinematografie v turistickém regionu Jeseníky</t>
  </si>
  <si>
    <t>000000130</t>
  </si>
  <si>
    <t>000000132</t>
  </si>
  <si>
    <t>000000133</t>
  </si>
  <si>
    <t>000000134</t>
  </si>
  <si>
    <t>000000300</t>
  </si>
  <si>
    <t>000000303</t>
  </si>
  <si>
    <t>000000304</t>
  </si>
  <si>
    <t>000000305</t>
  </si>
  <si>
    <t xml:space="preserve">Přebytek hospodaření </t>
  </si>
  <si>
    <t xml:space="preserve">Příspěvek na provoz </t>
  </si>
  <si>
    <t>Příspěvek na provoz - mzdové náklady</t>
  </si>
  <si>
    <t>Příspěvek na provoz - odpisy a odvody z odpisů</t>
  </si>
  <si>
    <t xml:space="preserve">Příspěvek na provoz - účelově určený příspěvek </t>
  </si>
  <si>
    <t xml:space="preserve">Příspěvek na provoz - nájemné </t>
  </si>
  <si>
    <t xml:space="preserve">Příspěvek na provoz - pojistné plnění </t>
  </si>
  <si>
    <t>Příspěvkové organizace - oblast školství</t>
  </si>
  <si>
    <t>Příspěvkové organizace - oblast školství celkem</t>
  </si>
  <si>
    <t>Příspěvkové organizace - oblast sociální</t>
  </si>
  <si>
    <t>Příspěvkové organizace - oblast sociální celkem</t>
  </si>
  <si>
    <t>Konzultační, porad. a právní služby</t>
  </si>
  <si>
    <t>Příspěvkové organizace - oblast dopravy</t>
  </si>
  <si>
    <t>Příspěvkové organizace - oblast dopravy celkem</t>
  </si>
  <si>
    <t>Příspěvkové organizace - oblast kultury</t>
  </si>
  <si>
    <t>Příspěvkové organizace - oblast kultury celkem</t>
  </si>
  <si>
    <t>000000308</t>
  </si>
  <si>
    <t>Příspěvkové organizace - oblast zdravotnictví</t>
  </si>
  <si>
    <t>Příspěvkové organizace - oblast zdravotnictví celkem</t>
  </si>
  <si>
    <t>000000307</t>
  </si>
  <si>
    <t>Příspěvkové organizace - rezerva</t>
  </si>
  <si>
    <t>Příspěvkové organizace rezerva celkem</t>
  </si>
  <si>
    <t xml:space="preserve"> -investiční výdaje</t>
  </si>
  <si>
    <t>ORG 101117</t>
  </si>
  <si>
    <t>Obnova vnitřního vybavení zařízení sociálních služeb - domova se zvláštním režimem</t>
  </si>
  <si>
    <t xml:space="preserve">Zvýšení přeshraniční dostupnosti Písečná – Nysa </t>
  </si>
  <si>
    <t xml:space="preserve">Zvýšení přeshraniční dostupnosti Hanušovice – Stronie Ślaskie </t>
  </si>
  <si>
    <t>Výdaje z finančního vypořádání minulých let mezi krajem a obcemi</t>
  </si>
  <si>
    <t>000035672</t>
  </si>
  <si>
    <t>ORG 101139</t>
  </si>
  <si>
    <t xml:space="preserve">Centrum Dominika Kokory, p. o. – rekonstrukce budovy </t>
  </si>
  <si>
    <t>ORG 101137</t>
  </si>
  <si>
    <t>Vincentinum Šternberk, příspěvková organizace – rekonstrukce budovy ve Vikýřovicích</t>
  </si>
  <si>
    <t>ORG 101112</t>
  </si>
  <si>
    <t>ORG 101155</t>
  </si>
  <si>
    <t>Bezbariérovost školy a Pořízení strojů pro zajištění výuky oborů Strojírenství, Elektrotechnika, Průmyslový a Interiérový design  (Vyšší odborná škola a Střední průmyslová škola, Šumperk, Gen. Krátkého 1)</t>
  </si>
  <si>
    <t>ORG 101152</t>
  </si>
  <si>
    <t>Centrum polytechnické výchovy (Střední škola polytechnická, Olomouc, Rooseveltova 79)</t>
  </si>
  <si>
    <t>ORG 101151</t>
  </si>
  <si>
    <t>Výstavba odborných učeben pro výuku oboru 28-44-M/01 Aplikovaná chemie v bezbariérové škole (Střední škola logistiky a chemie, Olomouc, U Hradiska 29 )</t>
  </si>
  <si>
    <t>ORG 101150</t>
  </si>
  <si>
    <t>Modernizace učeben a vybavení pro odborný výcvik (Střední škola gastronomie a farmářství Jeseník, pracoviště Horní Heřmanice)</t>
  </si>
  <si>
    <t>ORG 101149</t>
  </si>
  <si>
    <t>Rekonstrukce dílen praktického vyučování  (Střední průmyslová škola, Přerov, Havlíčkova 2)</t>
  </si>
  <si>
    <t>ORG 101148</t>
  </si>
  <si>
    <t>Bezbariérový přístup do SPŠ Hranice a rekonstrukce chemické laboratoře</t>
  </si>
  <si>
    <t>ORG 101144</t>
  </si>
  <si>
    <t>Vybavení školních laboratoří v bezbariérové škole - VOŠ a SPŠ elektrotechnická - Olomouc, Božetěchova 3</t>
  </si>
  <si>
    <t>ORG 101133</t>
  </si>
  <si>
    <t>Ostatní neinvestiční výdaje jinde nezařezené</t>
  </si>
  <si>
    <t>107500881</t>
  </si>
  <si>
    <t>107100882</t>
  </si>
  <si>
    <t>107100880</t>
  </si>
  <si>
    <t>106100880</t>
  </si>
  <si>
    <t>ORG 101135</t>
  </si>
  <si>
    <t>Kybernetická bezpečnost Krajského úřadu Olomouckého kraje</t>
  </si>
  <si>
    <t>106500881</t>
  </si>
  <si>
    <t>ORG 101119</t>
  </si>
  <si>
    <t>Digitální povodňový plán OK</t>
  </si>
  <si>
    <t>ORG 101180</t>
  </si>
  <si>
    <t>Marketingové aktivity Olomouckého kraje v oblasti cestovního ruchu</t>
  </si>
  <si>
    <t>ORG 101166</t>
  </si>
  <si>
    <t>ZZS OK - Modernizace výcvikových středisek</t>
  </si>
  <si>
    <t>ORG 101160</t>
  </si>
  <si>
    <t>ORG 101159</t>
  </si>
  <si>
    <t>Pořízení nových technologií pro odbornou výuku (Střední škola technická a zemědělská Mohelnice)</t>
  </si>
  <si>
    <t>107100884</t>
  </si>
  <si>
    <t>ORG 101157</t>
  </si>
  <si>
    <t xml:space="preserve"> Pořízení vybavení pro odborné učebny - modernizace CNC zařízení a 3D zařízení včetně SW, rekonstrukce nové učebny programovatelných automatů, modernizace konektivity školy ve vazbě na odborné předměty (Střední průmyslová škola elektrotechnická, Mohelnice, Ge. Svobody 2)</t>
  </si>
  <si>
    <t>ORG 101156</t>
  </si>
  <si>
    <t>Celková rekonstrukce zastaralých laboratoří chemických, fyzikálních a biologických, včetně nového vybavení (Gymnázium Jeseník)</t>
  </si>
  <si>
    <t>ORG 101154</t>
  </si>
  <si>
    <t>Modernizace učeben a laboratoří na ulici Kouřílkova 8 a Bratří Hovůrkových 17 (Střední škola technická, Přerov)</t>
  </si>
  <si>
    <t>ORG 101124</t>
  </si>
  <si>
    <t xml:space="preserve">Modernizace učeben, vybavení a vnitřní konektivity školy -  Gymnázium Olomouc – Hejčín </t>
  </si>
  <si>
    <t>ORG 101012</t>
  </si>
  <si>
    <t xml:space="preserve">Domov mládeže v Žádlovicích – areál zámeckého parku </t>
  </si>
  <si>
    <t>104100884</t>
  </si>
  <si>
    <t>ORG 100998</t>
  </si>
  <si>
    <t>Služby sociální prevence v Olomouckém kraji – přímé náklady</t>
  </si>
  <si>
    <t>000022003</t>
  </si>
  <si>
    <t>000000882</t>
  </si>
  <si>
    <t>000000880</t>
  </si>
  <si>
    <t>ORG 101136</t>
  </si>
  <si>
    <t>Aktualizace Územní energetické koncepce Olomouckého kraje v rámci programu EFEKT 2016</t>
  </si>
  <si>
    <t>109500881</t>
  </si>
  <si>
    <t>109100882</t>
  </si>
  <si>
    <t>103500881</t>
  </si>
  <si>
    <t>103100880</t>
  </si>
  <si>
    <t>112500881</t>
  </si>
  <si>
    <t>112100880</t>
  </si>
  <si>
    <t>International SMEs Everywhere Project (ISEP) – Internacionalizace malých a středních podniků prostřednictvím široké podpory podnikání</t>
  </si>
  <si>
    <t>ORG 101002</t>
  </si>
  <si>
    <t>Smart Akcelerátor Olomouckého kraje</t>
  </si>
  <si>
    <t>ORG 101000</t>
  </si>
  <si>
    <t>Rozvoj regionálního partnerství v programovém období EU 2014-2020 (podpora činnosti RSK OK)</t>
  </si>
  <si>
    <t>103100882</t>
  </si>
  <si>
    <t>ORG 101134</t>
  </si>
  <si>
    <t>Krajský akční plán rozvoje vzdělávání Olomouckého kraje - přímé náklady</t>
  </si>
  <si>
    <t>ORG 101111</t>
  </si>
  <si>
    <t>Krajský akční plán rozvoje vzdělávání Olomouckého kraje - paušál</t>
  </si>
  <si>
    <t>Účelové investiční transfery nepodnikajícím fyzickým osobám</t>
  </si>
  <si>
    <t>106515974</t>
  </si>
  <si>
    <t>ORG 003058600000</t>
  </si>
  <si>
    <t>Dotační program Kotlíkové dotace v Olomouckém kraji I - OZE</t>
  </si>
  <si>
    <t>ORG 003058500000</t>
  </si>
  <si>
    <t>Dotační program Kotlíkové dotace v Olomouckém kraji I</t>
  </si>
  <si>
    <t>000000101</t>
  </si>
  <si>
    <t>000000471</t>
  </si>
  <si>
    <t>000000470</t>
  </si>
  <si>
    <t>Dotační tituly UZ 000000470 celkem</t>
  </si>
  <si>
    <t>Dotační tituly UZ 000000471 celkem</t>
  </si>
  <si>
    <t>000000472</t>
  </si>
  <si>
    <t>Dotační tituly kap.</t>
  </si>
  <si>
    <t>Dotační tituly provoz</t>
  </si>
  <si>
    <t>Podpora navýšení kapacit ve škol. porad. zařízeních</t>
  </si>
  <si>
    <t>Podpora navýšení kapacit ve škol.porad.zařízeních</t>
  </si>
  <si>
    <t>OP VVV - PO3 neinvestice</t>
  </si>
  <si>
    <t>Excelence základních škol</t>
  </si>
  <si>
    <t>Vybav. škol. pomůckami kompenzačního a rehab. charakteru</t>
  </si>
  <si>
    <t>PPP a Speciálně pedagogické centrum Olomouckého kraje, U sportovní haly 1, Olomouc</t>
  </si>
  <si>
    <t>Program protidrogové politiky</t>
  </si>
  <si>
    <t>Veřejné informační služby knihoven</t>
  </si>
  <si>
    <t>Kulturní aktivity</t>
  </si>
  <si>
    <t>Vlastivědné muzeum, nám. Republiky 5/6, Olomouc</t>
  </si>
  <si>
    <t>ISO D Preventivní ochrana před vlivy prostředí</t>
  </si>
  <si>
    <t>Podpora standardizovaných veř. služeb muzeí a galerií</t>
  </si>
  <si>
    <t>Archeologické centrum, U Hradiska 42/6, Olomouc</t>
  </si>
  <si>
    <t>Podpora škol vychovávajících talentovanou mládež v Olomouckém kraji</t>
  </si>
  <si>
    <t xml:space="preserve">Program na podporu polytechnického vzdělávání a řemesel v Olomouckém kraji </t>
  </si>
  <si>
    <t>Výjezd dětí a mládeže do zahraničí</t>
  </si>
  <si>
    <t>Organizace výměnného pobytu pro děti, žáky a studenty</t>
  </si>
  <si>
    <t>Podpora envirom. vzděl., výchovy a osvěty v OK</t>
  </si>
  <si>
    <t>Zelená školám Olomouckého kraje</t>
  </si>
  <si>
    <t>Podpora kulturních aktivit</t>
  </si>
  <si>
    <t>Konzultační poradenské a právní služby</t>
  </si>
  <si>
    <t>Příspěvky školám a škol. zař. zřizovaných OK</t>
  </si>
  <si>
    <t>Individuální dotace</t>
  </si>
  <si>
    <t>Rezerva pro PO</t>
  </si>
  <si>
    <t>příspěvek na provoz</t>
  </si>
  <si>
    <t>příspěvek na provoz - odpisy a odvody z odpisů</t>
  </si>
  <si>
    <t>příspěvek na provoz - účelově určený příspěvek</t>
  </si>
  <si>
    <t>oblast školství (i přísp. PO) a odvody z IF na spolufinancování akcí</t>
  </si>
  <si>
    <t>příspěvek na provoz - mzdové náklady</t>
  </si>
  <si>
    <t>příspěvek na provoz - pojistné plnění</t>
  </si>
  <si>
    <t>přebytek hospodaření</t>
  </si>
  <si>
    <t>příspěvek na provoz - nájemné</t>
  </si>
  <si>
    <t>Domov pro seniory Javorník, Školní 104, Javorník</t>
  </si>
  <si>
    <t>oblast sociálních věcí (i přísp. PO) a odvody z IF na spolufinancování akcí</t>
  </si>
  <si>
    <t>Domov Sněženka Jeseník, Moravská 814/2, Jeseník</t>
  </si>
  <si>
    <t>Středisko pečovatelské služby Jeseník, Dukelská 1240/27, Jeseník</t>
  </si>
  <si>
    <t>Domov pro seniory Červenka, Nádražní 105, Červenka</t>
  </si>
  <si>
    <t>Dům seniorů František, Komenského 291, Náměšť na Hané</t>
  </si>
  <si>
    <t>Domov  Hrubá Voda, Hrubá Voda  11, Hlubočky</t>
  </si>
  <si>
    <t>Domov seniorů POHODA, Švabinského 3, Olomouc - Chválkovice</t>
  </si>
  <si>
    <t>Sociální služby pro seniory Olomouc, Zikova 14, Olomouc</t>
  </si>
  <si>
    <t>Vincentinum - poskytovatel sociálních služeb Šternberk, Sadová 7, Šternberk</t>
  </si>
  <si>
    <t>Klíč - centrum sociálních služeb, Dolní hejčínská 50/28, Olomouc</t>
  </si>
  <si>
    <t>Nové Zámky - poskytovatel sociálních služeb, Nové Zámky 2, Litovel</t>
  </si>
  <si>
    <t>Středisko sociální prevence, Na Vozovce 26, Olomouc</t>
  </si>
  <si>
    <t>Sociální služby pro seniory Šumperk, U Sanatoria 25, Šumperk</t>
  </si>
  <si>
    <t>Sociální služby Libina, Libina 540</t>
  </si>
  <si>
    <t>Domov Štíty-Jedlí, Na Pilníku 222, Štíty</t>
  </si>
  <si>
    <t>Domov u Třebůvky Loštice, Hradská 113, Loštice</t>
  </si>
  <si>
    <t>Domov Paprsek Olšany, Olšany 105</t>
  </si>
  <si>
    <t>Domov seniorů Prostějov, Nerudova 70, Prostějov</t>
  </si>
  <si>
    <t>Domov pro seniory Jesenec, Jesenec 1</t>
  </si>
  <si>
    <t>Domov "Na Zámku", nám. děkana Františka Kvapila 17, Nezamyslice</t>
  </si>
  <si>
    <t>Centrum sociálních služeb, Lidická 86, Prostějov</t>
  </si>
  <si>
    <t>Domov pro seniory, Radkova Lhota 16, Dřevohostice</t>
  </si>
  <si>
    <t>Domov Alfreda Skeneho, Pavlovice u Přerova 95</t>
  </si>
  <si>
    <t>Domov pro seniory Tovačov, Nádražní 94, Tovačov I-Město</t>
  </si>
  <si>
    <t>Domov Větrný mlýn Skalička, Skalička 1</t>
  </si>
  <si>
    <t>Centrum Dominika Kokory, Kokory 54</t>
  </si>
  <si>
    <t>Domov Na zámečku Rokytnice, U Rybníčka 1, Rokytnice</t>
  </si>
  <si>
    <t>Koordinátor Integrovaného dopravního systému Olomouckého kraje, Jeremenkova 40b, Olomouc</t>
  </si>
  <si>
    <t>příspěvek na úhradu prokazatelné ztráty dopravcům - veřejná linková doprava</t>
  </si>
  <si>
    <t>příspěvek na úhradu prokazatelné ztráty - od obcí</t>
  </si>
  <si>
    <t>příspěvek na úhradu prokazatelné ztráty dopravcům - drážní doprava</t>
  </si>
  <si>
    <t>příspěvek na úhradu protarifovací ztráty - drážní doprava</t>
  </si>
  <si>
    <t>Správa silnic Olomouckého kraje, Lipenská 120, Olomouc</t>
  </si>
  <si>
    <t xml:space="preserve">příspěvek na provoz - pojistné plnění </t>
  </si>
  <si>
    <t>oblast dopravy (i přísp. PO) a odvody z IF na spolufinancování akcí</t>
  </si>
  <si>
    <t>Rezerva pro PO - záchranný archeologický výzkum</t>
  </si>
  <si>
    <t xml:space="preserve">rezerva pro PO - záchranný archeologický výzkum </t>
  </si>
  <si>
    <t>Vědecká knihovna, Ostružnická 3, Olomouc</t>
  </si>
  <si>
    <t xml:space="preserve">příspěvek na provoz - nájemné </t>
  </si>
  <si>
    <t xml:space="preserve">oblast kultury (i příspěvky PO)  a odvody z IF na spolufinancování akcí </t>
  </si>
  <si>
    <t>oblast kultury (i přísp. PO) a odvody z IF na spolufinancování akcí</t>
  </si>
  <si>
    <t>Vlastivědné muzeum Jesenicka, Zámecké nám. 1, Jeseník</t>
  </si>
  <si>
    <t>Muzeum a galerie v Prostějově, nám. T.G. Masaryka 2, Prostějov</t>
  </si>
  <si>
    <t>Muzeum Komenského, Horní náměstí 7, Přerov</t>
  </si>
  <si>
    <t>Vlastivědné muzeum, Hlavní tř. 22, Šumperk</t>
  </si>
  <si>
    <t>Odborný léčebný ústav, Paseka 145</t>
  </si>
  <si>
    <t xml:space="preserve">oblast zdravotnictví (i příspěvky PO)  a odvody z IF na spolufinancování akcí </t>
  </si>
  <si>
    <t>Dětské centrum Ostrůvek, U dětského domova 269, Olomouc</t>
  </si>
  <si>
    <t>Zdravotnická záchranná služba Olomouckého kraje, Aksamitova 8, Olomouc</t>
  </si>
  <si>
    <t>Oblast sociální</t>
  </si>
  <si>
    <t>Oblast školství</t>
  </si>
  <si>
    <t>Oblast dopravy</t>
  </si>
  <si>
    <t>Oblast kultury</t>
  </si>
  <si>
    <t>Oblast zdravotnictví</t>
  </si>
  <si>
    <t>SŠ a ZŠ  prof.Z.Matějčka, Svatoplukova 11, Olomouc-Řepčín</t>
  </si>
  <si>
    <t>SŠ zemědělská a zahradnická, U Hradiska 4, Olomouc</t>
  </si>
  <si>
    <t>MŠMT - OP VVV - PO3 neinvestice</t>
  </si>
  <si>
    <t>Podpora environmentálního vzdělávání, výchovy a osvěty v Olomouckém kraji</t>
  </si>
  <si>
    <t xml:space="preserve">Rezerva Olomouckého kraje pro případ řešení krizové situace nebo mimořádné události </t>
  </si>
  <si>
    <t>Nájemné SMN</t>
  </si>
  <si>
    <t xml:space="preserve">Oblast sociálních věcí (i příspěvky PO)  a odvody z IF na spolufinancování akcí </t>
  </si>
  <si>
    <t>Nákup dlouh. hmotného majetku jinde nezař.</t>
  </si>
  <si>
    <t>Neinv. transfery obecně prospěš. spol.</t>
  </si>
  <si>
    <t>Neinv. transfery nefin. podn. subj. - PO</t>
  </si>
  <si>
    <t>Neinvest. transfery nefin. podnik. subj. - PO</t>
  </si>
  <si>
    <t>Neinvest. transfery nefin. podnik. subj. - FO</t>
  </si>
  <si>
    <t xml:space="preserve">Neinv. transfery obecně prospěšným  společnostem </t>
  </si>
  <si>
    <t xml:space="preserve">Neinv. transfery obecně prospěšným společnostem </t>
  </si>
  <si>
    <t>Neinv. transfery obecně prospěným spol.</t>
  </si>
  <si>
    <t>Neinvestiční transfery cizím PO</t>
  </si>
  <si>
    <t>Neinv. transfery obecně prospěšným společ.</t>
  </si>
  <si>
    <t>Příspěvek na úhradu prokazatelné ztráty dopravcům - veřejná linková doprava</t>
  </si>
  <si>
    <t>Příspěvek na úhradu prokazatelné ztráty dopravcům - drážní doprava</t>
  </si>
  <si>
    <t>Příspěvek na úhradu protarifovací ztráty - drážní doprava</t>
  </si>
  <si>
    <t>Příspěvek na úhradu prokazatelné ztráty - od obcí</t>
  </si>
  <si>
    <t xml:space="preserve">Rezerva pro PO - záchranný archeologický výzkum </t>
  </si>
  <si>
    <t>Kurzové rozdíly ve výdajích</t>
  </si>
  <si>
    <t>Odměny za užití duševního vlastnictví</t>
  </si>
  <si>
    <t>Povinné poj. na veřejné zdrav. pojištění</t>
  </si>
  <si>
    <t>Ostatní platby za provedenou práci j. n.</t>
  </si>
  <si>
    <t>Povinné pojistné na úrazové pojištění</t>
  </si>
  <si>
    <t>Ost. povinné pojistné placené zaměstn.</t>
  </si>
  <si>
    <t>MPSV - na výplatu st. přísp. zřiz. zařízení pro děti vyž. okamžitou pomoc</t>
  </si>
  <si>
    <t>Účel. neinvest. transfery FO</t>
  </si>
  <si>
    <t>Inv. transfery spolkům</t>
  </si>
  <si>
    <t>UZ 000000470 - Výstavba, dostavba, intenzifikace čistíren odpadních vod včetně kořenových čistíren odpadních vod</t>
  </si>
  <si>
    <t>UZ 000000471 - Výstavba a dostavba pro veřejnou potřebu a úpraven vod</t>
  </si>
  <si>
    <t>UZ 000000472 - Obnova enviromentálních funkcí území</t>
  </si>
  <si>
    <t>Dotační tituly UZ 000000472 celkem</t>
  </si>
  <si>
    <t>Dárkový pass</t>
  </si>
  <si>
    <t>přímé náklady na vzdělání</t>
  </si>
  <si>
    <t>Přímé náklady na vzdělávání</t>
  </si>
  <si>
    <t>Přímé náklady na vzdělávání - sportovní gymnázia</t>
  </si>
  <si>
    <t xml:space="preserve">Kofinancování mezinárodních vzdělávacích programů </t>
  </si>
  <si>
    <t>Neinvestiční transfery zřízeným PO</t>
  </si>
  <si>
    <t>Ostat. neinv. transfery nezisk. a pod. org.</t>
  </si>
  <si>
    <t>Ostatní neinv. transfery nezisk. a pod. org.</t>
  </si>
  <si>
    <t xml:space="preserve">MFČR - likvidace nepouž. léčiv </t>
  </si>
  <si>
    <t>Zdravotnická záchranná služba OK celkem</t>
  </si>
  <si>
    <t>Investiční transfery spolkům</t>
  </si>
  <si>
    <t>Investiční transfery nefinančním podn. subj. - PO</t>
  </si>
  <si>
    <t>Investiční transfery nefinanč. podnikatelským subjekt. - PO</t>
  </si>
  <si>
    <t>Rekapitulace celkových výdajů Olomouckého kraje, které zahrnují výdaje jednotlivých odborů včetně příspěvků zřízeným příspěvkovým organizacím, výdaje na finacování evropských programů a výdaje fondů.</t>
  </si>
  <si>
    <t>8) Odbor strategického rozvoje kraje</t>
  </si>
  <si>
    <t>Ostatní neinv. transfery obyvatelstvu</t>
  </si>
  <si>
    <t>Účel. neinvest. transfery  FO</t>
  </si>
  <si>
    <t>Inv.transfery spolkům</t>
  </si>
  <si>
    <t>UZ 000000502 - Dotace na získání trenérské licence</t>
  </si>
  <si>
    <t>Odbor majetkový, právní a správních činností</t>
  </si>
  <si>
    <t>Odbor správní, legislativní a Krajský živnostenský úřad</t>
  </si>
  <si>
    <t>Odbor strategického rozvoje kraje</t>
  </si>
  <si>
    <t>5) Odbor správní, legislativní a Krajský živnostenský úřad</t>
  </si>
  <si>
    <t>Výdaje odboru kancelář ředitele</t>
  </si>
  <si>
    <t>Výdaje odboru správní, legislativní a Krajský živnostenský úřad</t>
  </si>
  <si>
    <t>Odbor správní, legislativní a Krajský živnostenský úřad celkem</t>
  </si>
  <si>
    <t>Výdaje odboru majetkový, právní a správních činností</t>
  </si>
  <si>
    <t xml:space="preserve">Odbor majetkový, právní a správních činností celkem </t>
  </si>
  <si>
    <t xml:space="preserve">Odbor správní, legislativní a Krajský živnostenský úřad byl k datu 1.4.2016 sloučen pod Odbor majetkový, právní a správních činností </t>
  </si>
  <si>
    <t>Dle rozpisu dále</t>
  </si>
  <si>
    <t>MŠMT - Dotace pro soukromé školy</t>
  </si>
  <si>
    <t xml:space="preserve">MPSV - na výplatu st. přísp. pro zřiz. zařízení pro děti vyž. okamžitou pomoc </t>
  </si>
  <si>
    <t>MPSV - Neinvestiční nedávkové transfery</t>
  </si>
  <si>
    <t>3. Plnění rozpočtu výdajů Olomouckého kraje k 31. 12. 2017</t>
  </si>
  <si>
    <t>3. Plnění rozpočtu výdajů Olomouckého kraje k 31.12.2017</t>
  </si>
  <si>
    <t>110500891</t>
  </si>
  <si>
    <t>ORG 100029</t>
  </si>
  <si>
    <t>Ohrozim - obchvat</t>
  </si>
  <si>
    <t>ORG 100040</t>
  </si>
  <si>
    <t>ORG 100109</t>
  </si>
  <si>
    <t>ORG 100646</t>
  </si>
  <si>
    <t>Mohelnice - křížení s železniční tratí</t>
  </si>
  <si>
    <t>ORG 100674</t>
  </si>
  <si>
    <t>II/369 Hanušovice - křižovatka I/11</t>
  </si>
  <si>
    <t>ORG 100804</t>
  </si>
  <si>
    <t>II/369 Ostružná – Branná – rekonstrukce komunikace</t>
  </si>
  <si>
    <t>ORG 100913</t>
  </si>
  <si>
    <t>II/433 Prostějov - Mořice</t>
  </si>
  <si>
    <t>107500893</t>
  </si>
  <si>
    <t>ORG 100914</t>
  </si>
  <si>
    <t>II/449 MÚK Unčovice - Litovel</t>
  </si>
  <si>
    <t>ORG 100915</t>
  </si>
  <si>
    <t xml:space="preserve">II/446 Uničov - Strukov </t>
  </si>
  <si>
    <t>107100894</t>
  </si>
  <si>
    <t>ORG 100916</t>
  </si>
  <si>
    <t xml:space="preserve">II/439 Ústí - průtah - hr. okresu Vsetín </t>
  </si>
  <si>
    <t>ORG 100917</t>
  </si>
  <si>
    <t xml:space="preserve">II/150 Prostějov - Přerov </t>
  </si>
  <si>
    <t>ORG 100918</t>
  </si>
  <si>
    <t xml:space="preserve">II/570 Slatinice - Olomouc </t>
  </si>
  <si>
    <t>ORG 100919</t>
  </si>
  <si>
    <t xml:space="preserve">II/447 Strukov - Šternberk </t>
  </si>
  <si>
    <t>ORG 100920</t>
  </si>
  <si>
    <t xml:space="preserve">II/444 kř. R35 Mohelnice - Úsov </t>
  </si>
  <si>
    <t>ORG 100956</t>
  </si>
  <si>
    <t>Šternberk – průtah</t>
  </si>
  <si>
    <t>ORG 101004</t>
  </si>
  <si>
    <t>II/150 hr. kraje - Prostějov</t>
  </si>
  <si>
    <t>ORG 101007</t>
  </si>
  <si>
    <t>II/150 Přerov - jihozápadní obchvat, přeložka</t>
  </si>
  <si>
    <t>ORG 101014</t>
  </si>
  <si>
    <t>II/448 Olomouc - přeložka silnice (I. a II. etapa)</t>
  </si>
  <si>
    <t>ORG 100901</t>
  </si>
  <si>
    <t>ZZS OK - Výjezdové stanoviště Přerov - zateplení budovy</t>
  </si>
  <si>
    <t>ORG 101114</t>
  </si>
  <si>
    <t>Realizace energeticky úsporných opatření – Gymnázium J. Blahoslava a SŠ pedagogická Přerov</t>
  </si>
  <si>
    <t>ORG 101115</t>
  </si>
  <si>
    <t>Realizace energeticky úsporných opatření – SOŠ lesnická Šternberk</t>
  </si>
  <si>
    <t>ORG 100700</t>
  </si>
  <si>
    <t>Střední zdravotnická škola a Vyšší odborná škola zdravotnická Emanuela Pöttinga, Olomouc, Pöttingova 2 - Balkony a zateplení budovy DM</t>
  </si>
  <si>
    <t>106100884</t>
  </si>
  <si>
    <t>106500891</t>
  </si>
  <si>
    <t>ORG 101018</t>
  </si>
  <si>
    <t>Hotelová škola Vincenze Priessnitze, Jeseník, Dukelská 680 - Zateplení budovy Kord a) zateplení</t>
  </si>
  <si>
    <t>ORG 101019</t>
  </si>
  <si>
    <t>Střední škola gastronomie a farmářství Jeseník - Tělocvična</t>
  </si>
  <si>
    <t>ORG 101022</t>
  </si>
  <si>
    <t>Střední škola logistiky a chemie, Olomouc, U Hradiska 29 - Zateplení budovy školy a) zateplení</t>
  </si>
  <si>
    <t>ORG 101050</t>
  </si>
  <si>
    <t>ORG 101056</t>
  </si>
  <si>
    <t>Základní umělecká škola  Iši Krejčího Olomouc, Na Vozovce 32 - Výměna oken a zateplení pláště budov a) zateplení</t>
  </si>
  <si>
    <t>ORG 101113</t>
  </si>
  <si>
    <t>Realizace energeticky úsporných opatření – SŠ technická a zemědělská Mohelnice a) zateplení</t>
  </si>
  <si>
    <t>ORG 101120</t>
  </si>
  <si>
    <t>Realizace energeticky úsporných opatření  – SOŠ Šumperk, Zemědělská 3 - tělocvična</t>
  </si>
  <si>
    <t>ORG 101123</t>
  </si>
  <si>
    <t>Sigmundova SŠ strojírenská Lutín - Modernizace školních dílen jako centrum odborné přípravy – část strojní</t>
  </si>
  <si>
    <t>ORG 101131</t>
  </si>
  <si>
    <t>Realizace energeticky úsporných opatření - Sš, ZŠ a MŠ Prostějov - budova MŠ, ul. St. Manharda a) zateplení</t>
  </si>
  <si>
    <t>Sigmundova SŠ strojírenská Lutín - Modernizace školních dílen jako centrum odborné přípravy – část stavební</t>
  </si>
  <si>
    <t>ORG 101141</t>
  </si>
  <si>
    <t>Realizace energeticky úsporných opatření - SOŠ lesnická a strojírenská Šternberk - domov mládeže</t>
  </si>
  <si>
    <t>ORG 101147</t>
  </si>
  <si>
    <t>Střední škola řezbářská, Tovačov, Nádražní 146 – Centrum odborné přípravy pro obory řezbářství</t>
  </si>
  <si>
    <t>ORG 101164</t>
  </si>
  <si>
    <t>Střední škola technická a obchodní, Olomouc, Kosinova 4 – Centrum odborné přípravy technických oborů (COPTO)</t>
  </si>
  <si>
    <t>ORG 101165</t>
  </si>
  <si>
    <t>Švehlova střední škola polytechnická Prostějov – Centrum odborné přípravy pro obory polytechnického zaměření</t>
  </si>
  <si>
    <t>ORG 8348</t>
  </si>
  <si>
    <t>Obec Měrotín</t>
  </si>
  <si>
    <t>ORG 101009</t>
  </si>
  <si>
    <t>Klíč - centrum sociálních služeb - rekonstrukce denního stacionáře Domino, Selské náměstí</t>
  </si>
  <si>
    <t>Transformace příspěvkové organizace Nové Zámky – I. etapa</t>
  </si>
  <si>
    <t>107100892</t>
  </si>
  <si>
    <t>107500891</t>
  </si>
  <si>
    <t>ORG 101167</t>
  </si>
  <si>
    <t>ORG 101178</t>
  </si>
  <si>
    <t>ORG 101181</t>
  </si>
  <si>
    <t>ORG 100768</t>
  </si>
  <si>
    <t>Muzeum Komenského v Přerově – Záchrana a zpřístupnění paláce na hradě Helfštýn</t>
  </si>
  <si>
    <t>ORG 101011</t>
  </si>
  <si>
    <t>Realizace depozitáře pro Vědeckou knihovnu v Olomouci</t>
  </si>
  <si>
    <t>ORG 101080</t>
  </si>
  <si>
    <t>Muzeum Komenského v Přerově - rekonstrukce budovy</t>
  </si>
  <si>
    <t>ORG 101242</t>
  </si>
  <si>
    <t>Muzeum Komenského v Přerově – rekonstrukce budovy ORNIS</t>
  </si>
  <si>
    <t>ORG 100902</t>
  </si>
  <si>
    <t>ZZS OK - Výjezdové stanoviště Konice - zateplení budovy</t>
  </si>
  <si>
    <t>ORG 101088</t>
  </si>
  <si>
    <t>Dětské centrum Ostrůvek - Zateplení budovy a střechy objektu D, Mošnerova 1 a) zateplení</t>
  </si>
  <si>
    <t>ORG 101140</t>
  </si>
  <si>
    <t xml:space="preserve">Realizace energeticky úsporných opatření - Nemocnice Přerov-domov sester </t>
  </si>
  <si>
    <t>ORG 101175</t>
  </si>
  <si>
    <t>ZZS OK - Výstavba nových výjezdových základen - Uničov</t>
  </si>
  <si>
    <t>ORG 101184</t>
  </si>
  <si>
    <t>ZZS OK - Výstavba nových výjezdových základen – Šternberk</t>
  </si>
  <si>
    <t>ORG 101185</t>
  </si>
  <si>
    <t>ZZS OK - Výstavba nových výjezdových základen – Zábřeh</t>
  </si>
  <si>
    <t>ORG 101186</t>
  </si>
  <si>
    <t>ZZS OK - Výstavba nových výjezdových základen – Jeseník</t>
  </si>
  <si>
    <t>ORG 100829</t>
  </si>
  <si>
    <t>ORG 101130</t>
  </si>
  <si>
    <t>Realizace energeticky úsporných opatření - SPŠ elektrotechnická Mohelnice - škola, dílny a) zateplení</t>
  </si>
  <si>
    <t>ORG 101240</t>
  </si>
  <si>
    <t>ORG 101239</t>
  </si>
  <si>
    <t>ORG 101258</t>
  </si>
  <si>
    <t>Podpora přírodních věd, technických oborů a využití digitálních technologií v zájmovém vzdělávání</t>
  </si>
  <si>
    <t>ORG 101172</t>
  </si>
  <si>
    <t>Informační systém dopravy Olomouckého kraje (IDSOK)</t>
  </si>
  <si>
    <t>ORG 101171</t>
  </si>
  <si>
    <t xml:space="preserve">Fall prevention project DOREEN </t>
  </si>
  <si>
    <t>ORG 101236</t>
  </si>
  <si>
    <t>Obnova vodního systému parku OLÚ Paseka</t>
  </si>
  <si>
    <t>ORG 101237</t>
  </si>
  <si>
    <t>Úprava sluneční louky OLÚ Paseka</t>
  </si>
  <si>
    <t>ORG 101238</t>
  </si>
  <si>
    <t>Obnova zahrady Zdravotnického zařízení v Moravském Berouně</t>
  </si>
  <si>
    <t>ORG 101169</t>
  </si>
  <si>
    <t xml:space="preserve">Česko-polská Hřebenovká – východní část </t>
  </si>
  <si>
    <t>ORG 101170</t>
  </si>
  <si>
    <t>Mobilní průvodce Olomouckým krajem a Opolským vojvodstvím</t>
  </si>
  <si>
    <t>000017055</t>
  </si>
  <si>
    <t>Nákup materiálu jinde nezařezený</t>
  </si>
  <si>
    <t>ORG 101234</t>
  </si>
  <si>
    <t>ZZS OK – Modernizace, budování a rozvoj informačních a komunikačních systémů</t>
  </si>
  <si>
    <t>ORG 101244</t>
  </si>
  <si>
    <t xml:space="preserve"> „Specifické informační systémy Krajského úřadu Olomouckého kraje“</t>
  </si>
  <si>
    <t>Převody vlastním rozpočtových účtům</t>
  </si>
  <si>
    <t>ORG 101161</t>
  </si>
  <si>
    <t>Podpora plánování sociálních služeb a sociální práce na území Olomouckého kraje v návaznosti na zvyšování jejich dostupnosti a kvality</t>
  </si>
  <si>
    <t>ORG 101162</t>
  </si>
  <si>
    <t>Podpora procesů při práci s rodinami na území Olomouckého kraje</t>
  </si>
  <si>
    <t>103533062</t>
  </si>
  <si>
    <t>vedoucí odboru školství a mládeže</t>
  </si>
  <si>
    <t>vedoucí odboru investic</t>
  </si>
  <si>
    <t>Účastnické poplatky a konference</t>
  </si>
  <si>
    <t>číslo účtu: 115-2554180217/0100</t>
  </si>
  <si>
    <t>ORG 003058700000</t>
  </si>
  <si>
    <t>Dotační program Kotlíkové dotace v Olomouckém kraji II</t>
  </si>
  <si>
    <t>Odbor Informačních technologií vznikl k 1.10.2017.</t>
  </si>
  <si>
    <t>Mgr. Jiří Šafránek</t>
  </si>
  <si>
    <t>6) Odbor Informačních technologií</t>
  </si>
  <si>
    <t>Mzdové náhrady</t>
  </si>
  <si>
    <t>Dary - Finanční</t>
  </si>
  <si>
    <t xml:space="preserve">Investiční transfery státnímu rozpočtu </t>
  </si>
  <si>
    <t>Neinvestiční transfery církvím a náboženským společnostem</t>
  </si>
  <si>
    <t>Účelové neinvestiční transfery fyzickým osobám</t>
  </si>
  <si>
    <t>000098008</t>
  </si>
  <si>
    <t>Účelové dotace na výdaje spojené s volbou prezidenta ČR</t>
  </si>
  <si>
    <t>000098071</t>
  </si>
  <si>
    <t>Účelové dotace na výdaje spojené s volbami do Parlamentu České republiky</t>
  </si>
  <si>
    <t>Pov. pojistné na sociální zabezpečení a příspěvek na st. pol. zam.</t>
  </si>
  <si>
    <t xml:space="preserve">Pohonné hmoty a maziva </t>
  </si>
  <si>
    <t>Dětský domov a Školní jídelna, Olomouc, U Sportovní haly 1a - Zateplení budovy a lodžie</t>
  </si>
  <si>
    <t>Nákup CNC dřevoobráběcího centra“ (Švehlova střední škola polytechnická Prostějov)</t>
  </si>
  <si>
    <t xml:space="preserve">Nákup vybavení – plošina pro práci ve výškách, panely elektropneumatiky“ (Střední škola elektrotechnická, Lipník nad Bečvou, Tyršova 781) </t>
  </si>
  <si>
    <t>Podlimitní věcná břemena</t>
  </si>
  <si>
    <t>Nadlimitní věcná břemena</t>
  </si>
  <si>
    <t>000098861</t>
  </si>
  <si>
    <t>Výkupy pozemků pod krajskými komunikacemi</t>
  </si>
  <si>
    <t>Opravy a investice - obl. dopravy (i příspěvky PO) a odvody z IF na spolufinancování akcí</t>
  </si>
  <si>
    <t>Opravy a investice - obl. školství (i příspěvky PO) a odvody z IF na spolufinancování akcí</t>
  </si>
  <si>
    <t>Opravy a investice - obl. sociálních věcí (i příspěvky PO) a odvody z IF na spolufinancování akcí</t>
  </si>
  <si>
    <t>Opravy a investice - obl. kultury (i příspěvky PO) a odvody z IF na spolufinancování akcí</t>
  </si>
  <si>
    <t>Rezerva na investice</t>
  </si>
  <si>
    <t>000000005</t>
  </si>
  <si>
    <t>Rezerva na PRK</t>
  </si>
  <si>
    <t>Ostatní neivestiční transfery neziskovým a podobným organizacím</t>
  </si>
  <si>
    <t>000000815</t>
  </si>
  <si>
    <t>Půjčka z KB - revolvingový úvěr</t>
  </si>
  <si>
    <t>Investiční transfery církvím a náboženským společnostem</t>
  </si>
  <si>
    <t>Neinvestiční transfery regionálním radám</t>
  </si>
  <si>
    <t>Neinv. transfery nefin. podn. subj. - FO</t>
  </si>
  <si>
    <t>Členské příspěvky mezinárodním nevládním organizacím</t>
  </si>
  <si>
    <t>UZ 000000469 - Podpora akcí zaměřených na oblast životního prostředí a zemědělství a podpora činnosti zájmových spolků a organizací, předmětem jejichž činnosti je oblast životního prostředí a zemědělství</t>
  </si>
  <si>
    <t>000000469</t>
  </si>
  <si>
    <t>000029009</t>
  </si>
  <si>
    <t>Meliorace a hrazení bystřin v lesích podle § 35 odst. 1 a 3 lesního zákona</t>
  </si>
  <si>
    <t>000029517</t>
  </si>
  <si>
    <t>Invest. transfery nefin. podnik. subj. - PO</t>
  </si>
  <si>
    <t>Meliorace a hrazení bystřin v lesích podle § 35 odst. 1 a 3 lesního zákona (investice)</t>
  </si>
  <si>
    <t>MK - Kulturní aktivity</t>
  </si>
  <si>
    <t>Neinvestiční tranfery vysokým školám</t>
  </si>
  <si>
    <t>Neinv. transfery cizím příspěvkovým organizacím</t>
  </si>
  <si>
    <t>000014032</t>
  </si>
  <si>
    <t xml:space="preserve">MVČR - Program prevence kriminality na místní úrovni - program č. 314080 - neinvestice  </t>
  </si>
  <si>
    <t>107117968</t>
  </si>
  <si>
    <t>107517969</t>
  </si>
  <si>
    <t>IROP - Integrovaný regionální OP - program č. 117030 - SR - INV</t>
  </si>
  <si>
    <t>IROP - Integrovaný regionální OP - program č. 117030 - EU - INV</t>
  </si>
  <si>
    <t>000000895</t>
  </si>
  <si>
    <t>Povinný podíl kraje - uznatelné náklady (z rozpočtu OK)</t>
  </si>
  <si>
    <t>Předfinancování PO (KB - revolvingový úvěr)</t>
  </si>
  <si>
    <t>000035020</t>
  </si>
  <si>
    <t>Zvláštní příplatek za směny - nelékařská zdravotnická povolání bez odborného dohledu</t>
  </si>
  <si>
    <t>000000143</t>
  </si>
  <si>
    <t>LPS - lékárenská</t>
  </si>
  <si>
    <t>Inv. transfery nefinančním podnikatelským subjektům - PO</t>
  </si>
  <si>
    <t>Inv. transfery církvím a náboženským spol.</t>
  </si>
  <si>
    <t>Neinv. transfery nefin. podnik. subjektům - FO</t>
  </si>
  <si>
    <t>Neinv. transfery nefin. podnik. subjektům - PO</t>
  </si>
  <si>
    <t>DPH - SMN - nájemné</t>
  </si>
  <si>
    <t>Inv.transfery nefin.podnikatelským subj.-FO</t>
  </si>
  <si>
    <t>Inv.transfery nefin.podnikatelským subj.-PO</t>
  </si>
  <si>
    <t>Ost. inv. transfery veř. rozp. úz. úrovně</t>
  </si>
  <si>
    <t>Příspěvek na provoz - pojistné plnění</t>
  </si>
  <si>
    <t>Dotační tituly UZ 000000420 celkem</t>
  </si>
  <si>
    <t>UZ 0</t>
  </si>
  <si>
    <t>UZ 10</t>
  </si>
  <si>
    <t>UZ 300</t>
  </si>
  <si>
    <t>UZ 301</t>
  </si>
  <si>
    <t>UZ 302</t>
  </si>
  <si>
    <t>UZ 303</t>
  </si>
  <si>
    <t>UZ 305</t>
  </si>
  <si>
    <t>UZ 304</t>
  </si>
  <si>
    <t>Rezerva Olomouckého kraje pro případ řešení krizové situace nebo mimořádné události</t>
  </si>
  <si>
    <t>000000113</t>
  </si>
  <si>
    <t>000000115</t>
  </si>
  <si>
    <t>000029014</t>
  </si>
  <si>
    <t>000033070</t>
  </si>
  <si>
    <t>000033071</t>
  </si>
  <si>
    <t>000033073</t>
  </si>
  <si>
    <t>000034012</t>
  </si>
  <si>
    <t>000029501</t>
  </si>
  <si>
    <t>103133982</t>
  </si>
  <si>
    <t>103533982</t>
  </si>
  <si>
    <t>Zelená škola Olomouckého kraje</t>
  </si>
  <si>
    <t>Podpora polytechnického vzdělávání a řemesel v Olomouckém kraji</t>
  </si>
  <si>
    <t>MŠMT-Podpora výuky plavání v ZŠ</t>
  </si>
  <si>
    <t>MŠMT-Vzdělávací programy paměťových institucí do škol</t>
  </si>
  <si>
    <t xml:space="preserve">MKČR - ISO C Výkupy předmětů - podprogram č. 134 514 - neinvestiční </t>
  </si>
  <si>
    <t>Centra odborné přípravy - program č. 129710</t>
  </si>
  <si>
    <t>OP VVV - PO3 investice</t>
  </si>
  <si>
    <t>Inv. transfery obecně prospěšnýn společ.</t>
  </si>
  <si>
    <t>Inv. transfery nefinan. podnik. subj. - PO</t>
  </si>
  <si>
    <t xml:space="preserve">Odbor informačních technologií celkem </t>
  </si>
  <si>
    <t>Výdaje Odboru informačních technologií</t>
  </si>
  <si>
    <t>Odbor sportu, kultury a památkové péče vznikl k 1.10.2017.</t>
  </si>
  <si>
    <t>13) Odbor sportu, kultury a památkové péče</t>
  </si>
  <si>
    <t>Výdaje odboru sportu, kultury a památkové péče</t>
  </si>
  <si>
    <t xml:space="preserve">Odbor sportu, kultury a památkové péče celkem </t>
  </si>
  <si>
    <t>RNDr., Bc. Iveta Tichá</t>
  </si>
  <si>
    <t>17) Odbor investic</t>
  </si>
  <si>
    <t>Výdaje odboru investic</t>
  </si>
  <si>
    <t xml:space="preserve">Odbor investic celkem </t>
  </si>
  <si>
    <t>18) Odbor kancelář hejtmana</t>
  </si>
  <si>
    <t>Výdaje odboru kanceláře hejtmana</t>
  </si>
  <si>
    <t xml:space="preserve">Odbor kancelář hejtmana celkem </t>
  </si>
  <si>
    <t>ORJ - 20</t>
  </si>
  <si>
    <t xml:space="preserve">Mgr. Bc. Zuzana Punčochářová </t>
  </si>
  <si>
    <t>Odbor kontroly celkem</t>
  </si>
  <si>
    <t>Odbor kontroly</t>
  </si>
  <si>
    <t>Kotlíkové dotace II</t>
  </si>
  <si>
    <t>ORJ - 78</t>
  </si>
  <si>
    <t>ORJ 59-64</t>
  </si>
  <si>
    <t>ORJ 74-78</t>
  </si>
  <si>
    <t>ORJ 30-78</t>
  </si>
  <si>
    <t>provoz orj 30 - 78</t>
  </si>
  <si>
    <t>investice orj 30 - 78</t>
  </si>
  <si>
    <t>konsolidace  30 - 78</t>
  </si>
  <si>
    <t>celkem ORJ 30 - 78</t>
  </si>
  <si>
    <t>dotace ORJ 30-78</t>
  </si>
  <si>
    <t>ORJ 14-20</t>
  </si>
  <si>
    <t>Dotační tituly kapitálové</t>
  </si>
  <si>
    <t>10) Odbor školství a mládeže</t>
  </si>
  <si>
    <t>Výdaje odboru školství a mládeže</t>
  </si>
  <si>
    <t>Odbor školství a mládeže</t>
  </si>
  <si>
    <t>Odbor sportu, kultury a památkové péče</t>
  </si>
  <si>
    <t>Odbor investic</t>
  </si>
  <si>
    <t>Odbor kancelář hejtmana</t>
  </si>
  <si>
    <t>Výdaje odboru dopravy a silničního hospodářství</t>
  </si>
  <si>
    <t>Ostatní neinv. transfery nezisk. a pod.org.</t>
  </si>
  <si>
    <t>Neinv.transfery nefin.podn.subj. - PO</t>
  </si>
  <si>
    <t>Neinv. transfery cizím příspěvkovým org.</t>
  </si>
  <si>
    <t>Inv. transfery církvím a náb. společnostem</t>
  </si>
  <si>
    <t>Ostatní invest. transfery veřejným rozpočtům územní úrovně</t>
  </si>
  <si>
    <t>Zvýšení platů nepedagogických zaměstnanců RgŠ</t>
  </si>
  <si>
    <t>Podpora polytechnického vzdělávání a řemesel v OK</t>
  </si>
  <si>
    <t>Podpora výuky plavání v ZŠ</t>
  </si>
  <si>
    <t>Program sociální prevence a prevence kriminality</t>
  </si>
  <si>
    <t>Spolupráce s francouzskými, vlámskými a španělskými školami</t>
  </si>
  <si>
    <t>Příspěvky školám a školským zařízením zřizovaných OK</t>
  </si>
  <si>
    <t>Předfinancování projektů příspěvkových organizací (z rozpočtu Olomouckého kraje)</t>
  </si>
  <si>
    <t>Příspěvek na obnovu, zajištění a výchovu porostů, podle písm. B pravidel</t>
  </si>
  <si>
    <t>ISO D Preventivní ochrana před vlivy prostředí - podprogram č. 134 515 - neinvestiční</t>
  </si>
  <si>
    <t>Veřejné informační služby knihoven - neinvestice</t>
  </si>
  <si>
    <t xml:space="preserve">ISO C Výkupy předmětů - podprogram č. 134 514 - neinvestiční </t>
  </si>
  <si>
    <t>Neinv. transfery obyvatelstvu nemající charakter daru</t>
  </si>
  <si>
    <t>MŠMT - Zvýšení platů nepedag. zaměstnanců RgŠ</t>
  </si>
  <si>
    <t>MŠMT - Bezplatná příprava dětí azylantů, účastníků řízení o azyl a dětí osob se státní příslušností jiného členského státu EU k začlenění do základního vzdělávání</t>
  </si>
  <si>
    <t>MŠMT - přímé nákl. na vzdělání</t>
  </si>
  <si>
    <t xml:space="preserve">MŠMT - Asistenti pedagogů pro děti, žáky a studenty se sociálním znevýhodněním </t>
  </si>
  <si>
    <t>MŠMT - Podpora výuky plavání v ZŠ</t>
  </si>
  <si>
    <t>MŠMT - Soutěže</t>
  </si>
  <si>
    <t>MŠMT - Rozvoj.progr.MŠMT pro děti-cizince ze 3. zemí</t>
  </si>
  <si>
    <t>MŠMT - Podpora odborného vzdělávání</t>
  </si>
  <si>
    <t>MŠMT - Program sociální prevence a prevence kriminality</t>
  </si>
  <si>
    <t>MZem - Příspěvek na obnovu, zajištění a výchovu porostů, podle písm. B pravidel</t>
  </si>
  <si>
    <t>MZem - Příspěvek na ekologické a k přírodě šetrné technologie, podle písm. D pravidel</t>
  </si>
  <si>
    <t>MZem - Příspěvek na podporu ohrožených druhů zvířat, podle písm. G pravidel</t>
  </si>
  <si>
    <t>Střední škola, základní škola a Mateřská škola, Masarykova 4, Mohelnice</t>
  </si>
  <si>
    <t>Základní škola, Šternberská 456, Uničov</t>
  </si>
  <si>
    <t>Základní škola a Mateřská škola, Studentská 1095, Hranice</t>
  </si>
  <si>
    <t>Střední škola, Základní škola a Mateřská škola, Malá Dlážka 4, Přerov</t>
  </si>
  <si>
    <t>Základní škola a Mateřská škola Jeseník, Fučíkova 312</t>
  </si>
  <si>
    <t>Střední průmyslová škola strojnická Olomouc, 17. listopadu 995/49</t>
  </si>
  <si>
    <t>Střední průmyslová škola, 750 02 Přerov I - Město, Havlíčkova 377/2</t>
  </si>
  <si>
    <t>Střední škola zemědělská, Přerov I – Město, Osmek 367/47</t>
  </si>
  <si>
    <t>Střední škola železniční, technická a služeb, Šumperk, Gen.Krátkého 30</t>
  </si>
  <si>
    <t>Střední zdravotnická škola, Nová 1820, Hranice</t>
  </si>
  <si>
    <t>Střední odborná škola Prostějov, nám. Edmunda  Husserla 30/1, Prostějov</t>
  </si>
  <si>
    <t>Odborné učiliště a Základní škola, Křenovice, Křenovice, č.p. 8</t>
  </si>
  <si>
    <t>Střední škola gastronomie a farmářství, U Jatek 916/8, Jeseník</t>
  </si>
  <si>
    <t>Dětský domov a Školní jídelna, Vrchlického 369, Konice</t>
  </si>
  <si>
    <t>Dětský domov a Školní jídelna, Plumlov, Balkán 333</t>
  </si>
  <si>
    <t>Dětský domov a Školní jídelna, Purgešova 847, Hranice</t>
  </si>
  <si>
    <t>Dětský domov a Školní jídelna, Tyršova 772, Lipník nad Bečvou</t>
  </si>
  <si>
    <t>Dětský domov a Školní jídelna, Sušilova 25/2392, Přerov</t>
  </si>
  <si>
    <t>Dětský domov a Školní jídelna, Černá Voda 1</t>
  </si>
  <si>
    <t>Dětský domov a Školní jídelna, Priessnitzova 405, Jeseník</t>
  </si>
  <si>
    <t>Vědecká knihovna v Olomouci, Bezručova 1180/3, Olomouc</t>
  </si>
  <si>
    <t>Vlastivědné muzeum v Olomouci, nám. Republiky 5/6, Olomouc</t>
  </si>
  <si>
    <t>Vlastivědné muzeum Jesenicka, příspěvková organizace, Zámecké nám. 1, Jeseník</t>
  </si>
  <si>
    <t>Muzeum Komenského v Přerově, příspěvková organizace, Horní náměstí 7, Přerov</t>
  </si>
  <si>
    <t>Vlastivědné muzeum v Šumperku, příspěvková organizace, Hlavní tř. 22, Šumperk</t>
  </si>
  <si>
    <t xml:space="preserve">Střední škola a Základní škola prof. Z. Matějčka, Svatoplukova 11, Olomouc </t>
  </si>
  <si>
    <t>Opravy, investice a projekty</t>
  </si>
  <si>
    <t>Transformace příspěvkové organizace Nové Zámky – poskytovatel sociálních služeb - III. etapa</t>
  </si>
  <si>
    <t>Transformace příspěvkové organizace Nové Zámky – II. etapa</t>
  </si>
  <si>
    <t>Transformace příspěvkové organizace Nové Zámky – poskytovatel sociálních služeb - IV. etapa</t>
  </si>
  <si>
    <t>SŠZE Přerov - modernizace teoretické a odborné výuky</t>
  </si>
  <si>
    <t>63) GG - Podpora nabídky dalšího vzdělávání v Olomouckém kraji</t>
  </si>
  <si>
    <t>76) Krajský akční plán rozvoje vzdělávání Olomouckého kraje</t>
  </si>
  <si>
    <t>77) Operační program Životní prostředí 2014 - 2020 - kotlíkové dotace</t>
  </si>
  <si>
    <t>78) Snížení emisí z lokálního vytápění rodinných domů v Olomouckém kraji II</t>
  </si>
  <si>
    <t xml:space="preserve">199) Fond sociálních potřeb </t>
  </si>
  <si>
    <t>Fond sociálních potřeb  celkem</t>
  </si>
  <si>
    <t>Odbor školství a mládeže celkem</t>
  </si>
  <si>
    <t>Odbor podpory řízení příspěvkových organizací celkem</t>
  </si>
  <si>
    <t xml:space="preserve">Společný regionální operační program celkem </t>
  </si>
  <si>
    <t>ROP - Regionální dopravní infrastruktura - Silnice II. a III. třídy celkem</t>
  </si>
  <si>
    <t>Implementace a péče o území soustavy Natura 2000 v Olomouckém kraji celkem</t>
  </si>
  <si>
    <t>Projekty v rámci ROP celkem</t>
  </si>
  <si>
    <t>Zajištění dostupnosti vybraných sociálních služeb v Olomouckém kraji celkem</t>
  </si>
  <si>
    <t>GG - Podpora nabídky dalšího vzdělávání v Olomouckém kraji celkem</t>
  </si>
  <si>
    <t>Operační program lidské zdroje a zaměstnanost celkem</t>
  </si>
  <si>
    <t>Podpora rozvoje Olomouckého kraje                   2012 - 2015 celkem</t>
  </si>
  <si>
    <t>Podpora technického a přírodovědného vzdělávání v Olomouckém kraji celkem</t>
  </si>
  <si>
    <t>Krajský akční plán rozvoje vzdělávání OK celkem</t>
  </si>
  <si>
    <t>Operační program Životní prostředí 2014 - 2020 - kotlíkové dotace celkem</t>
  </si>
  <si>
    <t>Snížení emisí z lokálního vytápění rodinných domů v Olomouckém kraji II celkem</t>
  </si>
  <si>
    <t>20) Odbor kontroly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</si>
</sst>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0#,##0"/>
    <numFmt numFmtId="165" formatCode="00000"/>
    <numFmt numFmtId="166" formatCode="#,##0.0"/>
    <numFmt numFmtId="167" formatCode="0.0"/>
    <numFmt numFmtId="168" formatCode="00,000"/>
    <numFmt numFmtId="169" formatCode="000"/>
    <numFmt numFmtId="170" formatCode="\ \-\ "/>
    <numFmt numFmtId="171" formatCode="00000000"/>
  </numFmts>
  <fonts count="136" x14ac:knownFonts="1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 CE"/>
      <family val="2"/>
      <charset val="238"/>
    </font>
    <font>
      <sz val="12"/>
      <name val="Arial CE"/>
      <family val="2"/>
      <charset val="238"/>
    </font>
    <font>
      <sz val="8"/>
      <name val="Arial CE"/>
      <family val="2"/>
      <charset val="238"/>
    </font>
    <font>
      <b/>
      <sz val="14"/>
      <name val="Arial CE"/>
      <family val="2"/>
      <charset val="238"/>
    </font>
    <font>
      <b/>
      <sz val="11"/>
      <name val="Arial CE"/>
      <family val="2"/>
      <charset val="238"/>
    </font>
    <font>
      <sz val="9"/>
      <name val="Arial CE"/>
      <family val="2"/>
      <charset val="238"/>
    </font>
    <font>
      <i/>
      <u/>
      <sz val="10"/>
      <name val="Arial CE"/>
      <charset val="238"/>
    </font>
    <font>
      <sz val="11"/>
      <name val="Arial CE"/>
      <charset val="238"/>
    </font>
    <font>
      <sz val="10"/>
      <name val="Arial CE"/>
      <charset val="238"/>
    </font>
    <font>
      <b/>
      <sz val="11"/>
      <name val="Arial CE"/>
      <charset val="238"/>
    </font>
    <font>
      <sz val="11"/>
      <name val="Arial CE"/>
      <family val="2"/>
      <charset val="238"/>
    </font>
    <font>
      <b/>
      <sz val="10"/>
      <name val="Arial CE"/>
      <charset val="238"/>
    </font>
    <font>
      <b/>
      <i/>
      <sz val="12"/>
      <name val="Arial CE"/>
      <charset val="238"/>
    </font>
    <font>
      <b/>
      <sz val="12"/>
      <name val="Arial CE"/>
      <charset val="238"/>
    </font>
    <font>
      <b/>
      <sz val="10"/>
      <name val="Arial CE"/>
      <family val="2"/>
      <charset val="238"/>
    </font>
    <font>
      <b/>
      <i/>
      <sz val="10"/>
      <name val="Arial CE"/>
      <charset val="238"/>
    </font>
    <font>
      <b/>
      <sz val="9"/>
      <name val="Arial CE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1"/>
      <name val="Arial"/>
      <family val="2"/>
      <charset val="238"/>
    </font>
    <font>
      <i/>
      <sz val="11"/>
      <name val="Arial CE"/>
      <family val="2"/>
      <charset val="238"/>
    </font>
    <font>
      <b/>
      <sz val="13"/>
      <name val="Arial CE"/>
      <family val="2"/>
      <charset val="238"/>
    </font>
    <font>
      <sz val="9"/>
      <name val="Arial CE"/>
      <charset val="238"/>
    </font>
    <font>
      <sz val="9"/>
      <name val="Arial"/>
      <family val="2"/>
      <charset val="238"/>
    </font>
    <font>
      <sz val="10"/>
      <name val="Arial"/>
      <family val="2"/>
      <charset val="238"/>
    </font>
    <font>
      <b/>
      <u/>
      <sz val="12"/>
      <name val="Arial CE"/>
      <family val="2"/>
      <charset val="238"/>
    </font>
    <font>
      <b/>
      <i/>
      <sz val="18"/>
      <name val="Arial CE"/>
      <charset val="238"/>
    </font>
    <font>
      <b/>
      <sz val="18"/>
      <name val="Arial CE"/>
      <charset val="238"/>
    </font>
    <font>
      <sz val="18"/>
      <name val="Arial CE"/>
      <charset val="238"/>
    </font>
    <font>
      <b/>
      <i/>
      <sz val="16"/>
      <name val="Arial CE"/>
      <charset val="238"/>
    </font>
    <font>
      <sz val="8"/>
      <name val="Arial"/>
      <family val="2"/>
      <charset val="238"/>
    </font>
    <font>
      <sz val="11"/>
      <name val="Arial"/>
      <family val="2"/>
      <charset val="238"/>
    </font>
    <font>
      <b/>
      <sz val="10"/>
      <name val="Arial"/>
      <family val="2"/>
      <charset val="238"/>
    </font>
    <font>
      <b/>
      <u/>
      <sz val="12"/>
      <name val="Arial"/>
      <family val="2"/>
      <charset val="238"/>
    </font>
    <font>
      <b/>
      <sz val="14"/>
      <name val="Arial"/>
      <family val="2"/>
      <charset val="238"/>
    </font>
    <font>
      <sz val="9"/>
      <name val="Arial"/>
      <family val="2"/>
      <charset val="238"/>
    </font>
    <font>
      <b/>
      <sz val="13"/>
      <name val="Arial"/>
      <family val="2"/>
      <charset val="238"/>
    </font>
    <font>
      <b/>
      <sz val="18"/>
      <name val="Arial"/>
      <family val="2"/>
      <charset val="238"/>
    </font>
    <font>
      <b/>
      <i/>
      <sz val="18"/>
      <name val="Arial"/>
      <family val="2"/>
      <charset val="238"/>
    </font>
    <font>
      <sz val="18"/>
      <color indexed="9"/>
      <name val="Arial CE"/>
      <charset val="238"/>
    </font>
    <font>
      <i/>
      <u/>
      <sz val="11"/>
      <name val="Arial CE"/>
      <charset val="238"/>
    </font>
    <font>
      <b/>
      <sz val="8"/>
      <name val="Arial CE"/>
      <family val="2"/>
      <charset val="238"/>
    </font>
    <font>
      <b/>
      <sz val="16"/>
      <name val="Arial CE"/>
      <charset val="238"/>
    </font>
    <font>
      <sz val="16"/>
      <name val="Arial CE"/>
      <charset val="238"/>
    </font>
    <font>
      <b/>
      <sz val="13"/>
      <name val="Arial CE"/>
      <charset val="238"/>
    </font>
    <font>
      <b/>
      <i/>
      <sz val="17"/>
      <name val="Arial CE"/>
      <charset val="238"/>
    </font>
    <font>
      <b/>
      <sz val="12"/>
      <name val="Arial"/>
      <family val="2"/>
      <charset val="238"/>
    </font>
    <font>
      <b/>
      <sz val="12"/>
      <name val="Arial CE"/>
      <family val="2"/>
      <charset val="238"/>
    </font>
    <font>
      <sz val="12"/>
      <name val="Arial"/>
      <family val="2"/>
      <charset val="238"/>
    </font>
    <font>
      <sz val="12"/>
      <name val="Arial"/>
      <family val="2"/>
      <charset val="238"/>
    </font>
    <font>
      <b/>
      <sz val="14"/>
      <name val="Arial CE"/>
      <charset val="238"/>
    </font>
    <font>
      <sz val="8"/>
      <name val="Arial CE"/>
      <charset val="238"/>
    </font>
    <font>
      <sz val="14"/>
      <name val="Arial"/>
      <family val="2"/>
      <charset val="238"/>
    </font>
    <font>
      <sz val="14"/>
      <name val="Arial CE"/>
      <charset val="238"/>
    </font>
    <font>
      <sz val="10"/>
      <name val="Arial"/>
      <family val="2"/>
      <charset val="238"/>
    </font>
    <font>
      <b/>
      <u/>
      <sz val="12"/>
      <name val="Arial CE"/>
      <charset val="238"/>
    </font>
    <font>
      <b/>
      <sz val="9"/>
      <name val="Arial"/>
      <family val="2"/>
      <charset val="238"/>
    </font>
    <font>
      <i/>
      <sz val="11"/>
      <name val="Arial CE"/>
      <charset val="238"/>
    </font>
    <font>
      <sz val="13"/>
      <name val="Arial"/>
      <family val="2"/>
      <charset val="238"/>
    </font>
    <font>
      <sz val="16"/>
      <name val="Arial"/>
      <family val="2"/>
      <charset val="238"/>
    </font>
    <font>
      <i/>
      <sz val="10"/>
      <name val="Arial CE"/>
      <charset val="238"/>
    </font>
    <font>
      <sz val="12"/>
      <name val="Arial CE"/>
      <charset val="238"/>
    </font>
    <font>
      <b/>
      <i/>
      <sz val="14"/>
      <name val="Arial CE"/>
      <charset val="238"/>
    </font>
    <font>
      <i/>
      <sz val="12"/>
      <name val="Arial CE"/>
      <charset val="238"/>
    </font>
    <font>
      <b/>
      <sz val="9"/>
      <name val="Arial CE"/>
      <charset val="238"/>
    </font>
    <font>
      <b/>
      <i/>
      <sz val="14"/>
      <name val="Arial CE"/>
      <family val="2"/>
      <charset val="238"/>
    </font>
    <font>
      <i/>
      <sz val="10"/>
      <name val="Arial"/>
      <family val="2"/>
      <charset val="238"/>
    </font>
    <font>
      <b/>
      <i/>
      <sz val="16"/>
      <name val="Arial"/>
      <family val="2"/>
      <charset val="238"/>
    </font>
    <font>
      <i/>
      <sz val="11"/>
      <name val="Arial"/>
      <family val="2"/>
      <charset val="238"/>
    </font>
    <font>
      <b/>
      <u/>
      <sz val="11"/>
      <name val="Arial"/>
      <family val="2"/>
      <charset val="238"/>
    </font>
    <font>
      <sz val="10"/>
      <color indexed="9"/>
      <name val="Arial"/>
      <family val="2"/>
      <charset val="238"/>
    </font>
    <font>
      <sz val="11"/>
      <color indexed="9"/>
      <name val="Arial"/>
      <family val="2"/>
      <charset val="238"/>
    </font>
    <font>
      <sz val="10.5"/>
      <name val="Arial"/>
      <family val="2"/>
      <charset val="238"/>
    </font>
    <font>
      <b/>
      <u/>
      <sz val="13"/>
      <name val="Arial"/>
      <family val="2"/>
      <charset val="238"/>
    </font>
    <font>
      <u/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14"/>
      <name val="Arial"/>
      <family val="2"/>
      <charset val="238"/>
    </font>
    <font>
      <sz val="8"/>
      <color indexed="14"/>
      <name val="Arial"/>
      <family val="2"/>
      <charset val="238"/>
    </font>
    <font>
      <sz val="11"/>
      <color indexed="14"/>
      <name val="Arial"/>
      <family val="2"/>
      <charset val="238"/>
    </font>
    <font>
      <b/>
      <sz val="11"/>
      <color indexed="14"/>
      <name val="Arial"/>
      <family val="2"/>
      <charset val="238"/>
    </font>
    <font>
      <sz val="11"/>
      <color indexed="14"/>
      <name val="Arial CE"/>
      <family val="2"/>
      <charset val="238"/>
    </font>
    <font>
      <b/>
      <sz val="11"/>
      <color indexed="14"/>
      <name val="Arial CE"/>
      <charset val="238"/>
    </font>
    <font>
      <i/>
      <sz val="18"/>
      <name val="Arial"/>
      <family val="2"/>
      <charset val="238"/>
    </font>
    <font>
      <sz val="10"/>
      <color rgb="FFFF0000"/>
      <name val="Arial"/>
      <family val="2"/>
      <charset val="238"/>
    </font>
    <font>
      <sz val="11"/>
      <name val="Trebuchet MS"/>
      <family val="2"/>
      <charset val="238"/>
    </font>
    <font>
      <sz val="10"/>
      <color rgb="FFFF0000"/>
      <name val="Arial CE"/>
      <charset val="238"/>
    </font>
    <font>
      <sz val="11"/>
      <color rgb="FFFF0000"/>
      <name val="Arial CE"/>
      <charset val="238"/>
    </font>
    <font>
      <sz val="12"/>
      <color rgb="FFFF0000"/>
      <name val="Arial CE"/>
      <family val="2"/>
      <charset val="238"/>
    </font>
    <font>
      <b/>
      <i/>
      <sz val="11"/>
      <name val="Arial"/>
      <family val="2"/>
      <charset val="238"/>
    </font>
    <font>
      <u/>
      <sz val="12"/>
      <name val="Arial"/>
      <family val="2"/>
      <charset val="238"/>
    </font>
    <font>
      <b/>
      <sz val="16"/>
      <name val="Arial"/>
      <family val="2"/>
      <charset val="238"/>
    </font>
    <font>
      <sz val="10"/>
      <color rgb="FFFF00FF"/>
      <name val="Arial"/>
      <family val="2"/>
      <charset val="238"/>
    </font>
    <font>
      <sz val="11"/>
      <color rgb="FFFF00FF"/>
      <name val="Arial"/>
      <family val="2"/>
      <charset val="238"/>
    </font>
    <font>
      <sz val="8"/>
      <color rgb="FFFF00FF"/>
      <name val="Arial"/>
      <family val="2"/>
      <charset val="238"/>
    </font>
    <font>
      <sz val="12"/>
      <color rgb="FFFF00FF"/>
      <name val="Arial CE"/>
      <family val="2"/>
      <charset val="238"/>
    </font>
    <font>
      <sz val="9"/>
      <color indexed="81"/>
      <name val="Tahoma"/>
      <family val="2"/>
      <charset val="238"/>
    </font>
    <font>
      <b/>
      <i/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i/>
      <sz val="11"/>
      <color rgb="FFFF0000"/>
      <name val="Arial"/>
      <family val="2"/>
      <charset val="238"/>
    </font>
    <font>
      <sz val="9"/>
      <color rgb="FF7030A0"/>
      <name val="Arial"/>
      <family val="2"/>
      <charset val="238"/>
    </font>
    <font>
      <b/>
      <i/>
      <sz val="9"/>
      <name val="Arial"/>
      <family val="2"/>
      <charset val="238"/>
    </font>
    <font>
      <sz val="12"/>
      <color rgb="FF0070C0"/>
      <name val="Arial"/>
      <family val="2"/>
      <charset val="238"/>
    </font>
    <font>
      <b/>
      <sz val="9"/>
      <color indexed="81"/>
      <name val="Tahoma"/>
      <family val="2"/>
      <charset val="238"/>
    </font>
    <font>
      <b/>
      <i/>
      <sz val="13"/>
      <name val="Arial"/>
      <family val="2"/>
      <charset val="238"/>
    </font>
    <font>
      <b/>
      <i/>
      <sz val="12"/>
      <name val="Arial"/>
      <family val="2"/>
      <charset val="238"/>
    </font>
    <font>
      <b/>
      <u/>
      <sz val="14"/>
      <name val="Arial CE"/>
      <family val="2"/>
      <charset val="238"/>
    </font>
    <font>
      <b/>
      <u/>
      <sz val="14"/>
      <name val="Arial"/>
      <family val="2"/>
      <charset val="238"/>
    </font>
    <font>
      <sz val="10"/>
      <color theme="0"/>
      <name val="Arial"/>
      <family val="2"/>
      <charset val="238"/>
    </font>
    <font>
      <sz val="8"/>
      <color theme="0"/>
      <name val="Arial CE"/>
      <family val="2"/>
      <charset val="238"/>
    </font>
    <font>
      <sz val="9"/>
      <color theme="0"/>
      <name val="Arial"/>
      <family val="2"/>
      <charset val="238"/>
    </font>
    <font>
      <sz val="10"/>
      <color theme="0"/>
      <name val="Arial CE"/>
      <charset val="238"/>
    </font>
    <font>
      <b/>
      <sz val="10"/>
      <color theme="0"/>
      <name val="Arial"/>
      <family val="2"/>
      <charset val="238"/>
    </font>
    <font>
      <b/>
      <sz val="13"/>
      <color rgb="FF0070C0"/>
      <name val="Arial"/>
      <family val="2"/>
      <charset val="238"/>
    </font>
    <font>
      <sz val="8"/>
      <name val="Cambria"/>
      <family val="1"/>
      <charset val="238"/>
    </font>
    <font>
      <b/>
      <i/>
      <sz val="11"/>
      <name val="Arial CE"/>
      <charset val="238"/>
    </font>
    <font>
      <b/>
      <i/>
      <sz val="9"/>
      <name val="Arial CE"/>
      <charset val="238"/>
    </font>
  </fonts>
  <fills count="40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7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ck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rgb="FF000000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</borders>
  <cellStyleXfs count="66">
    <xf numFmtId="0" fontId="0" fillId="0" borderId="0"/>
    <xf numFmtId="0" fontId="23" fillId="0" borderId="0"/>
    <xf numFmtId="3" fontId="13" fillId="0" borderId="0"/>
    <xf numFmtId="3" fontId="13" fillId="0" borderId="0"/>
    <xf numFmtId="3" fontId="13" fillId="0" borderId="0"/>
    <xf numFmtId="3" fontId="13" fillId="0" borderId="0"/>
    <xf numFmtId="3" fontId="13" fillId="0" borderId="0"/>
    <xf numFmtId="0" fontId="13" fillId="0" borderId="0"/>
    <xf numFmtId="0" fontId="4" fillId="0" borderId="0"/>
    <xf numFmtId="0" fontId="102" fillId="0" borderId="0" applyNumberFormat="0" applyFill="0" applyBorder="0" applyAlignment="0" applyProtection="0"/>
    <xf numFmtId="0" fontId="103" fillId="0" borderId="64" applyNumberFormat="0" applyFill="0" applyAlignment="0" applyProtection="0"/>
    <xf numFmtId="0" fontId="104" fillId="0" borderId="65" applyNumberFormat="0" applyFill="0" applyAlignment="0" applyProtection="0"/>
    <xf numFmtId="0" fontId="105" fillId="0" borderId="66" applyNumberFormat="0" applyFill="0" applyAlignment="0" applyProtection="0"/>
    <xf numFmtId="0" fontId="105" fillId="0" borderId="0" applyNumberFormat="0" applyFill="0" applyBorder="0" applyAlignment="0" applyProtection="0"/>
    <xf numFmtId="0" fontId="106" fillId="6" borderId="0" applyNumberFormat="0" applyBorder="0" applyAlignment="0" applyProtection="0"/>
    <xf numFmtId="0" fontId="107" fillId="7" borderId="0" applyNumberFormat="0" applyBorder="0" applyAlignment="0" applyProtection="0"/>
    <xf numFmtId="0" fontId="108" fillId="8" borderId="0" applyNumberFormat="0" applyBorder="0" applyAlignment="0" applyProtection="0"/>
    <xf numFmtId="0" fontId="109" fillId="9" borderId="67" applyNumberFormat="0" applyAlignment="0" applyProtection="0"/>
    <xf numFmtId="0" fontId="110" fillId="10" borderId="68" applyNumberFormat="0" applyAlignment="0" applyProtection="0"/>
    <xf numFmtId="0" fontId="111" fillId="10" borderId="67" applyNumberFormat="0" applyAlignment="0" applyProtection="0"/>
    <xf numFmtId="0" fontId="112" fillId="0" borderId="69" applyNumberFormat="0" applyFill="0" applyAlignment="0" applyProtection="0"/>
    <xf numFmtId="0" fontId="113" fillId="11" borderId="70" applyNumberFormat="0" applyAlignment="0" applyProtection="0"/>
    <xf numFmtId="0" fontId="114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6" fillId="0" borderId="72" applyNumberFormat="0" applyFill="0" applyAlignment="0" applyProtection="0"/>
    <xf numFmtId="0" fontId="117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117" fillId="16" borderId="0" applyNumberFormat="0" applyBorder="0" applyAlignment="0" applyProtection="0"/>
    <xf numFmtId="0" fontId="117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117" fillId="20" borderId="0" applyNumberFormat="0" applyBorder="0" applyAlignment="0" applyProtection="0"/>
    <xf numFmtId="0" fontId="117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117" fillId="24" borderId="0" applyNumberFormat="0" applyBorder="0" applyAlignment="0" applyProtection="0"/>
    <xf numFmtId="0" fontId="117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117" fillId="28" borderId="0" applyNumberFormat="0" applyBorder="0" applyAlignment="0" applyProtection="0"/>
    <xf numFmtId="0" fontId="117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117" fillId="32" borderId="0" applyNumberFormat="0" applyBorder="0" applyAlignment="0" applyProtection="0"/>
    <xf numFmtId="0" fontId="117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117" fillId="36" borderId="0" applyNumberFormat="0" applyBorder="0" applyAlignment="0" applyProtection="0"/>
    <xf numFmtId="0" fontId="3" fillId="0" borderId="0"/>
    <xf numFmtId="0" fontId="3" fillId="12" borderId="71" applyNumberFormat="0" applyFont="0" applyAlignment="0" applyProtection="0"/>
    <xf numFmtId="0" fontId="2" fillId="0" borderId="0"/>
    <xf numFmtId="0" fontId="2" fillId="12" borderId="71" applyNumberFormat="0" applyFont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1" fillId="0" borderId="0"/>
  </cellStyleXfs>
  <cellXfs count="3368">
    <xf numFmtId="0" fontId="0" fillId="0" borderId="0" xfId="0"/>
    <xf numFmtId="1" fontId="5" fillId="0" borderId="0" xfId="0" applyNumberFormat="1" applyFont="1" applyAlignment="1">
      <alignment horizontal="left"/>
    </xf>
    <xf numFmtId="1" fontId="8" fillId="2" borderId="1" xfId="0" applyNumberFormat="1" applyFont="1" applyFill="1" applyBorder="1" applyAlignment="1">
      <alignment horizontal="left"/>
    </xf>
    <xf numFmtId="1" fontId="10" fillId="0" borderId="0" xfId="0" applyNumberFormat="1" applyFont="1" applyAlignment="1">
      <alignment horizontal="left"/>
    </xf>
    <xf numFmtId="0" fontId="5" fillId="0" borderId="0" xfId="0" applyFont="1"/>
    <xf numFmtId="1" fontId="13" fillId="0" borderId="0" xfId="0" applyNumberFormat="1" applyFont="1" applyAlignment="1">
      <alignment horizontal="left"/>
    </xf>
    <xf numFmtId="1" fontId="8" fillId="0" borderId="0" xfId="0" applyNumberFormat="1" applyFont="1" applyFill="1" applyBorder="1" applyAlignment="1">
      <alignment horizontal="left"/>
    </xf>
    <xf numFmtId="0" fontId="0" fillId="0" borderId="0" xfId="0" applyFill="1" applyBorder="1"/>
    <xf numFmtId="0" fontId="6" fillId="0" borderId="0" xfId="0" applyFont="1"/>
    <xf numFmtId="0" fontId="21" fillId="2" borderId="1" xfId="0" applyFont="1" applyFill="1" applyBorder="1"/>
    <xf numFmtId="0" fontId="21" fillId="0" borderId="0" xfId="0" applyFont="1" applyFill="1" applyBorder="1"/>
    <xf numFmtId="3" fontId="8" fillId="2" borderId="1" xfId="0" applyNumberFormat="1" applyFont="1" applyFill="1" applyBorder="1"/>
    <xf numFmtId="3" fontId="0" fillId="0" borderId="0" xfId="0" applyNumberFormat="1"/>
    <xf numFmtId="3" fontId="19" fillId="0" borderId="0" xfId="0" applyNumberFormat="1" applyFont="1"/>
    <xf numFmtId="3" fontId="19" fillId="0" borderId="0" xfId="0" applyNumberFormat="1" applyFont="1" applyAlignment="1">
      <alignment horizontal="right"/>
    </xf>
    <xf numFmtId="3" fontId="0" fillId="0" borderId="0" xfId="0" applyNumberFormat="1" applyFill="1" applyBorder="1"/>
    <xf numFmtId="3" fontId="8" fillId="0" borderId="0" xfId="0" applyNumberFormat="1" applyFont="1" applyFill="1" applyBorder="1" applyAlignment="1">
      <alignment horizontal="right"/>
    </xf>
    <xf numFmtId="3" fontId="8" fillId="0" borderId="0" xfId="0" applyNumberFormat="1" applyFont="1" applyFill="1" applyBorder="1"/>
    <xf numFmtId="3" fontId="8" fillId="3" borderId="0" xfId="0" applyNumberFormat="1" applyFont="1" applyFill="1" applyBorder="1"/>
    <xf numFmtId="1" fontId="5" fillId="0" borderId="2" xfId="0" applyNumberFormat="1" applyFont="1" applyBorder="1" applyAlignment="1">
      <alignment horizontal="left"/>
    </xf>
    <xf numFmtId="1" fontId="5" fillId="0" borderId="3" xfId="0" applyNumberFormat="1" applyFont="1" applyBorder="1" applyAlignment="1">
      <alignment horizontal="left"/>
    </xf>
    <xf numFmtId="0" fontId="7" fillId="2" borderId="4" xfId="0" applyFont="1" applyFill="1" applyBorder="1" applyAlignment="1">
      <alignment horizontal="center" vertical="center"/>
    </xf>
    <xf numFmtId="1" fontId="7" fillId="2" borderId="5" xfId="0" applyNumberFormat="1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/>
    </xf>
    <xf numFmtId="0" fontId="7" fillId="0" borderId="0" xfId="0" applyFont="1"/>
    <xf numFmtId="1" fontId="5" fillId="0" borderId="0" xfId="0" applyNumberFormat="1" applyFont="1" applyAlignment="1">
      <alignment horizontal="center"/>
    </xf>
    <xf numFmtId="0" fontId="19" fillId="2" borderId="1" xfId="0" applyFont="1" applyFill="1" applyBorder="1" applyAlignment="1">
      <alignment horizontal="center"/>
    </xf>
    <xf numFmtId="0" fontId="29" fillId="0" borderId="0" xfId="0" applyFont="1" applyAlignment="1">
      <alignment horizontal="center"/>
    </xf>
    <xf numFmtId="0" fontId="19" fillId="0" borderId="0" xfId="0" applyFont="1" applyFill="1" applyBorder="1" applyAlignment="1">
      <alignment horizontal="center"/>
    </xf>
    <xf numFmtId="3" fontId="9" fillId="0" borderId="2" xfId="0" applyNumberFormat="1" applyFont="1" applyBorder="1"/>
    <xf numFmtId="3" fontId="9" fillId="0" borderId="3" xfId="0" applyNumberFormat="1" applyFont="1" applyBorder="1"/>
    <xf numFmtId="1" fontId="13" fillId="0" borderId="2" xfId="0" applyNumberFormat="1" applyFont="1" applyBorder="1" applyAlignment="1">
      <alignment horizontal="left"/>
    </xf>
    <xf numFmtId="1" fontId="13" fillId="0" borderId="3" xfId="0" applyNumberFormat="1" applyFont="1" applyBorder="1" applyAlignment="1">
      <alignment horizontal="left"/>
    </xf>
    <xf numFmtId="1" fontId="30" fillId="0" borderId="0" xfId="0" applyNumberFormat="1" applyFont="1" applyFill="1" applyBorder="1" applyAlignment="1">
      <alignment horizontal="left"/>
    </xf>
    <xf numFmtId="1" fontId="5" fillId="0" borderId="6" xfId="0" applyNumberFormat="1" applyFont="1" applyBorder="1" applyAlignment="1">
      <alignment horizontal="left"/>
    </xf>
    <xf numFmtId="0" fontId="26" fillId="2" borderId="7" xfId="0" applyFont="1" applyFill="1" applyBorder="1" applyAlignment="1">
      <alignment horizontal="left"/>
    </xf>
    <xf numFmtId="0" fontId="6" fillId="2" borderId="8" xfId="0" applyFont="1" applyFill="1" applyBorder="1"/>
    <xf numFmtId="3" fontId="8" fillId="2" borderId="5" xfId="0" applyNumberFormat="1" applyFont="1" applyFill="1" applyBorder="1"/>
    <xf numFmtId="3" fontId="14" fillId="0" borderId="9" xfId="0" applyNumberFormat="1" applyFont="1" applyBorder="1"/>
    <xf numFmtId="3" fontId="14" fillId="0" borderId="2" xfId="0" applyNumberFormat="1" applyFont="1" applyBorder="1"/>
    <xf numFmtId="0" fontId="31" fillId="2" borderId="10" xfId="0" applyFont="1" applyFill="1" applyBorder="1" applyAlignment="1">
      <alignment horizontal="left"/>
    </xf>
    <xf numFmtId="1" fontId="32" fillId="2" borderId="10" xfId="0" applyNumberFormat="1" applyFont="1" applyFill="1" applyBorder="1" applyAlignment="1">
      <alignment horizontal="center"/>
    </xf>
    <xf numFmtId="1" fontId="32" fillId="2" borderId="10" xfId="0" applyNumberFormat="1" applyFont="1" applyFill="1" applyBorder="1" applyAlignment="1">
      <alignment horizontal="left"/>
    </xf>
    <xf numFmtId="0" fontId="32" fillId="2" borderId="10" xfId="0" applyFont="1" applyFill="1" applyBorder="1"/>
    <xf numFmtId="3" fontId="31" fillId="2" borderId="10" xfId="0" applyNumberFormat="1" applyFont="1" applyFill="1" applyBorder="1"/>
    <xf numFmtId="0" fontId="33" fillId="2" borderId="0" xfId="0" applyFont="1" applyFill="1"/>
    <xf numFmtId="3" fontId="7" fillId="2" borderId="5" xfId="0" applyNumberFormat="1" applyFont="1" applyFill="1" applyBorder="1" applyAlignment="1">
      <alignment horizontal="center" vertical="center"/>
    </xf>
    <xf numFmtId="3" fontId="7" fillId="2" borderId="9" xfId="0" applyNumberFormat="1" applyFont="1" applyFill="1" applyBorder="1" applyAlignment="1">
      <alignment horizontal="center" vertical="center"/>
    </xf>
    <xf numFmtId="3" fontId="9" fillId="0" borderId="2" xfId="0" applyNumberFormat="1" applyFont="1" applyBorder="1" applyAlignment="1">
      <alignment horizontal="right"/>
    </xf>
    <xf numFmtId="1" fontId="5" fillId="0" borderId="11" xfId="0" applyNumberFormat="1" applyFont="1" applyBorder="1" applyAlignment="1">
      <alignment horizontal="left"/>
    </xf>
    <xf numFmtId="1" fontId="5" fillId="0" borderId="12" xfId="0" applyNumberFormat="1" applyFont="1" applyBorder="1" applyAlignment="1">
      <alignment horizontal="left"/>
    </xf>
    <xf numFmtId="0" fontId="6" fillId="2" borderId="7" xfId="0" applyFont="1" applyFill="1" applyBorder="1"/>
    <xf numFmtId="0" fontId="21" fillId="0" borderId="0" xfId="0" applyFont="1" applyFill="1" applyBorder="1" applyAlignment="1">
      <alignment horizontal="center"/>
    </xf>
    <xf numFmtId="3" fontId="5" fillId="0" borderId="0" xfId="0" applyNumberFormat="1" applyFont="1"/>
    <xf numFmtId="3" fontId="7" fillId="0" borderId="0" xfId="0" applyNumberFormat="1" applyFont="1"/>
    <xf numFmtId="3" fontId="12" fillId="0" borderId="2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3" fontId="21" fillId="0" borderId="0" xfId="0" applyNumberFormat="1" applyFont="1" applyFill="1" applyBorder="1" applyAlignment="1">
      <alignment horizontal="center"/>
    </xf>
    <xf numFmtId="0" fontId="33" fillId="0" borderId="0" xfId="0" applyFont="1" applyFill="1"/>
    <xf numFmtId="3" fontId="9" fillId="3" borderId="0" xfId="0" applyNumberFormat="1" applyFont="1" applyFill="1" applyBorder="1" applyAlignment="1">
      <alignment horizontal="right"/>
    </xf>
    <xf numFmtId="3" fontId="14" fillId="3" borderId="2" xfId="0" applyNumberFormat="1" applyFont="1" applyFill="1" applyBorder="1" applyAlignment="1">
      <alignment horizontal="right"/>
    </xf>
    <xf numFmtId="3" fontId="9" fillId="3" borderId="9" xfId="0" applyNumberFormat="1" applyFont="1" applyFill="1" applyBorder="1" applyAlignment="1">
      <alignment horizontal="right"/>
    </xf>
    <xf numFmtId="0" fontId="14" fillId="0" borderId="9" xfId="0" applyFont="1" applyBorder="1"/>
    <xf numFmtId="3" fontId="10" fillId="0" borderId="0" xfId="0" applyNumberFormat="1" applyFont="1" applyFill="1" applyBorder="1" applyAlignment="1">
      <alignment horizontal="center"/>
    </xf>
    <xf numFmtId="3" fontId="9" fillId="2" borderId="5" xfId="0" applyNumberFormat="1" applyFont="1" applyFill="1" applyBorder="1"/>
    <xf numFmtId="0" fontId="36" fillId="0" borderId="0" xfId="0" applyFont="1"/>
    <xf numFmtId="0" fontId="4" fillId="0" borderId="0" xfId="0" applyFont="1"/>
    <xf numFmtId="1" fontId="12" fillId="0" borderId="0" xfId="0" applyNumberFormat="1" applyFont="1" applyFill="1" applyBorder="1" applyAlignment="1">
      <alignment horizontal="left"/>
    </xf>
    <xf numFmtId="0" fontId="14" fillId="3" borderId="2" xfId="0" applyFont="1" applyFill="1" applyBorder="1"/>
    <xf numFmtId="0" fontId="22" fillId="0" borderId="0" xfId="0" applyFont="1"/>
    <xf numFmtId="0" fontId="37" fillId="0" borderId="0" xfId="0" applyFont="1"/>
    <xf numFmtId="3" fontId="14" fillId="0" borderId="2" xfId="0" applyNumberFormat="1" applyFont="1" applyBorder="1" applyAlignment="1">
      <alignment horizontal="right"/>
    </xf>
    <xf numFmtId="0" fontId="14" fillId="0" borderId="2" xfId="0" applyFont="1" applyBorder="1"/>
    <xf numFmtId="0" fontId="38" fillId="0" borderId="0" xfId="0" applyFont="1"/>
    <xf numFmtId="0" fontId="39" fillId="0" borderId="0" xfId="0" applyFont="1"/>
    <xf numFmtId="1" fontId="40" fillId="0" borderId="0" xfId="0" applyNumberFormat="1" applyFont="1"/>
    <xf numFmtId="1" fontId="39" fillId="2" borderId="1" xfId="0" applyNumberFormat="1" applyFont="1" applyFill="1" applyBorder="1"/>
    <xf numFmtId="0" fontId="39" fillId="2" borderId="1" xfId="0" applyFont="1" applyFill="1" applyBorder="1"/>
    <xf numFmtId="0" fontId="41" fillId="0" borderId="0" xfId="0" applyFont="1"/>
    <xf numFmtId="3" fontId="39" fillId="2" borderId="1" xfId="0" applyNumberFormat="1" applyFont="1" applyFill="1" applyBorder="1"/>
    <xf numFmtId="3" fontId="39" fillId="0" borderId="0" xfId="0" applyNumberFormat="1" applyFont="1"/>
    <xf numFmtId="0" fontId="44" fillId="3" borderId="0" xfId="0" applyFont="1" applyFill="1"/>
    <xf numFmtId="0" fontId="33" fillId="3" borderId="0" xfId="0" applyFont="1" applyFill="1"/>
    <xf numFmtId="1" fontId="11" fillId="0" borderId="0" xfId="0" applyNumberFormat="1" applyFont="1" applyBorder="1" applyAlignment="1">
      <alignment horizontal="left"/>
    </xf>
    <xf numFmtId="0" fontId="14" fillId="0" borderId="2" xfId="0" applyFont="1" applyBorder="1" applyAlignment="1">
      <alignment horizontal="right"/>
    </xf>
    <xf numFmtId="1" fontId="13" fillId="0" borderId="0" xfId="0" applyNumberFormat="1" applyFont="1" applyBorder="1" applyAlignment="1">
      <alignment horizontal="left"/>
    </xf>
    <xf numFmtId="3" fontId="14" fillId="0" borderId="0" xfId="0" applyNumberFormat="1" applyFont="1" applyAlignment="1">
      <alignment horizontal="right"/>
    </xf>
    <xf numFmtId="0" fontId="14" fillId="0" borderId="0" xfId="0" applyFont="1" applyBorder="1"/>
    <xf numFmtId="3" fontId="14" fillId="0" borderId="9" xfId="0" applyNumberFormat="1" applyFont="1" applyBorder="1" applyAlignment="1">
      <alignment horizontal="right"/>
    </xf>
    <xf numFmtId="3" fontId="12" fillId="0" borderId="3" xfId="0" applyNumberFormat="1" applyFont="1" applyBorder="1" applyAlignment="1">
      <alignment horizontal="right"/>
    </xf>
    <xf numFmtId="0" fontId="11" fillId="0" borderId="2" xfId="0" applyFont="1" applyBorder="1" applyAlignment="1"/>
    <xf numFmtId="0" fontId="13" fillId="0" borderId="2" xfId="0" applyFont="1" applyBorder="1" applyAlignment="1"/>
    <xf numFmtId="0" fontId="0" fillId="3" borderId="0" xfId="0" applyFill="1"/>
    <xf numFmtId="3" fontId="14" fillId="0" borderId="0" xfId="0" applyNumberFormat="1" applyFont="1" applyBorder="1" applyAlignment="1">
      <alignment horizontal="right"/>
    </xf>
    <xf numFmtId="1" fontId="13" fillId="3" borderId="3" xfId="0" applyNumberFormat="1" applyFont="1" applyFill="1" applyBorder="1" applyAlignment="1">
      <alignment horizontal="left"/>
    </xf>
    <xf numFmtId="1" fontId="13" fillId="3" borderId="2" xfId="0" applyNumberFormat="1" applyFont="1" applyFill="1" applyBorder="1" applyAlignment="1">
      <alignment horizontal="left"/>
    </xf>
    <xf numFmtId="3" fontId="12" fillId="3" borderId="3" xfId="0" applyNumberFormat="1" applyFont="1" applyFill="1" applyBorder="1" applyAlignment="1">
      <alignment horizontal="right"/>
    </xf>
    <xf numFmtId="1" fontId="52" fillId="0" borderId="0" xfId="0" applyNumberFormat="1" applyFont="1" applyFill="1" applyBorder="1" applyAlignment="1">
      <alignment horizontal="left"/>
    </xf>
    <xf numFmtId="0" fontId="51" fillId="0" borderId="0" xfId="0" applyFont="1"/>
    <xf numFmtId="3" fontId="51" fillId="0" borderId="0" xfId="0" applyNumberFormat="1" applyFont="1"/>
    <xf numFmtId="1" fontId="54" fillId="0" borderId="0" xfId="0" applyNumberFormat="1" applyFont="1" applyAlignment="1">
      <alignment horizontal="left"/>
    </xf>
    <xf numFmtId="1" fontId="54" fillId="0" borderId="0" xfId="0" applyNumberFormat="1" applyFont="1" applyAlignment="1">
      <alignment horizontal="center"/>
    </xf>
    <xf numFmtId="164" fontId="54" fillId="0" borderId="0" xfId="0" applyNumberFormat="1" applyFont="1" applyAlignment="1">
      <alignment horizontal="center"/>
    </xf>
    <xf numFmtId="0" fontId="54" fillId="0" borderId="0" xfId="0" applyFont="1"/>
    <xf numFmtId="164" fontId="54" fillId="0" borderId="0" xfId="0" applyNumberFormat="1" applyFont="1" applyAlignment="1">
      <alignment horizontal="left"/>
    </xf>
    <xf numFmtId="0" fontId="54" fillId="0" borderId="0" xfId="0" applyFont="1" applyAlignment="1">
      <alignment horizontal="left"/>
    </xf>
    <xf numFmtId="0" fontId="7" fillId="0" borderId="0" xfId="0" applyFont="1" applyFill="1"/>
    <xf numFmtId="0" fontId="7" fillId="0" borderId="0" xfId="0" applyFont="1" applyFill="1" applyBorder="1"/>
    <xf numFmtId="0" fontId="14" fillId="3" borderId="13" xfId="0" applyFont="1" applyFill="1" applyBorder="1"/>
    <xf numFmtId="1" fontId="54" fillId="0" borderId="0" xfId="0" applyNumberFormat="1" applyFont="1"/>
    <xf numFmtId="3" fontId="14" fillId="2" borderId="5" xfId="0" applyNumberFormat="1" applyFont="1" applyFill="1" applyBorder="1"/>
    <xf numFmtId="3" fontId="9" fillId="2" borderId="14" xfId="0" applyNumberFormat="1" applyFont="1" applyFill="1" applyBorder="1"/>
    <xf numFmtId="167" fontId="0" fillId="0" borderId="0" xfId="0" applyNumberFormat="1"/>
    <xf numFmtId="166" fontId="0" fillId="0" borderId="0" xfId="0" applyNumberFormat="1"/>
    <xf numFmtId="166" fontId="33" fillId="0" borderId="0" xfId="0" applyNumberFormat="1" applyFont="1" applyFill="1"/>
    <xf numFmtId="1" fontId="13" fillId="0" borderId="2" xfId="0" applyNumberFormat="1" applyFont="1" applyBorder="1" applyAlignment="1">
      <alignment horizontal="center"/>
    </xf>
    <xf numFmtId="0" fontId="13" fillId="0" borderId="2" xfId="0" applyFont="1" applyBorder="1"/>
    <xf numFmtId="0" fontId="13" fillId="0" borderId="3" xfId="0" applyFont="1" applyBorder="1"/>
    <xf numFmtId="0" fontId="13" fillId="0" borderId="0" xfId="0" applyFont="1" applyFill="1" applyBorder="1" applyAlignment="1"/>
    <xf numFmtId="0" fontId="29" fillId="0" borderId="0" xfId="0" applyFont="1"/>
    <xf numFmtId="3" fontId="29" fillId="0" borderId="0" xfId="0" applyNumberFormat="1" applyFont="1"/>
    <xf numFmtId="168" fontId="10" fillId="0" borderId="2" xfId="0" applyNumberFormat="1" applyFont="1" applyBorder="1" applyAlignment="1">
      <alignment horizontal="left"/>
    </xf>
    <xf numFmtId="3" fontId="12" fillId="3" borderId="0" xfId="0" applyNumberFormat="1" applyFont="1" applyFill="1" applyBorder="1" applyAlignment="1">
      <alignment horizontal="right"/>
    </xf>
    <xf numFmtId="3" fontId="12" fillId="3" borderId="2" xfId="0" applyNumberFormat="1" applyFont="1" applyFill="1" applyBorder="1" applyAlignment="1">
      <alignment horizontal="right"/>
    </xf>
    <xf numFmtId="3" fontId="15" fillId="3" borderId="2" xfId="0" applyNumberFormat="1" applyFont="1" applyFill="1" applyBorder="1" applyAlignment="1">
      <alignment horizontal="right"/>
    </xf>
    <xf numFmtId="3" fontId="14" fillId="3" borderId="3" xfId="0" applyNumberFormat="1" applyFont="1" applyFill="1" applyBorder="1" applyAlignment="1">
      <alignment horizontal="right"/>
    </xf>
    <xf numFmtId="168" fontId="10" fillId="0" borderId="3" xfId="0" applyNumberFormat="1" applyFont="1" applyBorder="1" applyAlignment="1">
      <alignment horizontal="left"/>
    </xf>
    <xf numFmtId="0" fontId="14" fillId="3" borderId="0" xfId="0" applyFont="1" applyFill="1" applyBorder="1"/>
    <xf numFmtId="168" fontId="10" fillId="0" borderId="15" xfId="0" applyNumberFormat="1" applyFont="1" applyBorder="1" applyAlignment="1">
      <alignment horizontal="left"/>
    </xf>
    <xf numFmtId="3" fontId="58" fillId="3" borderId="2" xfId="0" applyNumberFormat="1" applyFont="1" applyFill="1" applyBorder="1" applyAlignment="1">
      <alignment horizontal="right"/>
    </xf>
    <xf numFmtId="1" fontId="59" fillId="2" borderId="1" xfId="0" applyNumberFormat="1" applyFont="1" applyFill="1" applyBorder="1"/>
    <xf numFmtId="0" fontId="59" fillId="2" borderId="1" xfId="0" applyFont="1" applyFill="1" applyBorder="1"/>
    <xf numFmtId="3" fontId="59" fillId="0" borderId="0" xfId="0" applyNumberFormat="1" applyFont="1"/>
    <xf numFmtId="0" fontId="59" fillId="0" borderId="0" xfId="0" applyFont="1"/>
    <xf numFmtId="3" fontId="29" fillId="0" borderId="0" xfId="0" applyNumberFormat="1" applyFont="1" applyFill="1" applyBorder="1"/>
    <xf numFmtId="3" fontId="59" fillId="0" borderId="0" xfId="0" applyNumberFormat="1" applyFont="1" applyFill="1" applyBorder="1"/>
    <xf numFmtId="0" fontId="29" fillId="0" borderId="0" xfId="0" applyFont="1" applyFill="1" applyBorder="1"/>
    <xf numFmtId="3" fontId="29" fillId="0" borderId="0" xfId="0" applyNumberFormat="1" applyFont="1" applyAlignment="1">
      <alignment horizontal="right"/>
    </xf>
    <xf numFmtId="168" fontId="21" fillId="2" borderId="1" xfId="0" applyNumberFormat="1" applyFont="1" applyFill="1" applyBorder="1" applyAlignment="1">
      <alignment horizontal="center"/>
    </xf>
    <xf numFmtId="168" fontId="21" fillId="0" borderId="0" xfId="0" applyNumberFormat="1" applyFont="1" applyFill="1" applyBorder="1" applyAlignment="1">
      <alignment horizontal="center"/>
    </xf>
    <xf numFmtId="168" fontId="36" fillId="0" borderId="0" xfId="0" applyNumberFormat="1" applyFont="1"/>
    <xf numFmtId="168" fontId="10" fillId="0" borderId="0" xfId="0" applyNumberFormat="1" applyFont="1" applyAlignment="1">
      <alignment horizontal="center"/>
    </xf>
    <xf numFmtId="168" fontId="21" fillId="2" borderId="8" xfId="0" applyNumberFormat="1" applyFont="1" applyFill="1" applyBorder="1" applyAlignment="1">
      <alignment horizontal="center"/>
    </xf>
    <xf numFmtId="168" fontId="28" fillId="0" borderId="0" xfId="0" applyNumberFormat="1" applyFont="1"/>
    <xf numFmtId="168" fontId="10" fillId="0" borderId="0" xfId="0" applyNumberFormat="1" applyFont="1" applyAlignment="1">
      <alignment horizontal="left"/>
    </xf>
    <xf numFmtId="3" fontId="14" fillId="3" borderId="9" xfId="0" applyNumberFormat="1" applyFont="1" applyFill="1" applyBorder="1" applyAlignment="1">
      <alignment horizontal="right"/>
    </xf>
    <xf numFmtId="3" fontId="14" fillId="3" borderId="0" xfId="0" applyNumberFormat="1" applyFont="1" applyFill="1" applyBorder="1" applyAlignment="1">
      <alignment horizontal="right"/>
    </xf>
    <xf numFmtId="3" fontId="58" fillId="3" borderId="0" xfId="0" applyNumberFormat="1" applyFont="1" applyFill="1" applyBorder="1" applyAlignment="1">
      <alignment horizontal="right"/>
    </xf>
    <xf numFmtId="3" fontId="12" fillId="3" borderId="16" xfId="0" applyNumberFormat="1" applyFont="1" applyFill="1" applyBorder="1" applyAlignment="1">
      <alignment horizontal="right"/>
    </xf>
    <xf numFmtId="3" fontId="29" fillId="2" borderId="1" xfId="0" applyNumberFormat="1" applyFont="1" applyFill="1" applyBorder="1"/>
    <xf numFmtId="166" fontId="29" fillId="0" borderId="0" xfId="0" applyNumberFormat="1" applyFont="1"/>
    <xf numFmtId="1" fontId="5" fillId="0" borderId="17" xfId="0" applyNumberFormat="1" applyFont="1" applyBorder="1" applyAlignment="1">
      <alignment horizontal="left"/>
    </xf>
    <xf numFmtId="1" fontId="5" fillId="0" borderId="18" xfId="0" applyNumberFormat="1" applyFont="1" applyBorder="1" applyAlignment="1">
      <alignment horizontal="left"/>
    </xf>
    <xf numFmtId="168" fontId="10" fillId="0" borderId="17" xfId="0" applyNumberFormat="1" applyFont="1" applyBorder="1" applyAlignment="1">
      <alignment horizontal="left"/>
    </xf>
    <xf numFmtId="0" fontId="22" fillId="3" borderId="19" xfId="0" applyFont="1" applyFill="1" applyBorder="1" applyAlignment="1"/>
    <xf numFmtId="168" fontId="40" fillId="3" borderId="17" xfId="0" applyNumberFormat="1" applyFont="1" applyFill="1" applyBorder="1" applyAlignment="1"/>
    <xf numFmtId="168" fontId="28" fillId="2" borderId="1" xfId="0" applyNumberFormat="1" applyFont="1" applyFill="1" applyBorder="1"/>
    <xf numFmtId="168" fontId="40" fillId="0" borderId="0" xfId="0" applyNumberFormat="1" applyFont="1"/>
    <xf numFmtId="1" fontId="60" fillId="0" borderId="0" xfId="0" applyNumberFormat="1" applyFont="1" applyAlignment="1">
      <alignment horizontal="left"/>
    </xf>
    <xf numFmtId="0" fontId="29" fillId="2" borderId="1" xfId="0" applyFont="1" applyFill="1" applyBorder="1"/>
    <xf numFmtId="1" fontId="59" fillId="0" borderId="0" xfId="0" applyNumberFormat="1" applyFont="1"/>
    <xf numFmtId="0" fontId="29" fillId="3" borderId="0" xfId="0" applyFont="1" applyFill="1"/>
    <xf numFmtId="0" fontId="9" fillId="0" borderId="2" xfId="0" applyFont="1" applyBorder="1" applyAlignment="1">
      <alignment horizontal="right"/>
    </xf>
    <xf numFmtId="0" fontId="13" fillId="3" borderId="0" xfId="0" applyFont="1" applyFill="1" applyBorder="1"/>
    <xf numFmtId="3" fontId="36" fillId="0" borderId="0" xfId="0" applyNumberFormat="1" applyFont="1" applyFill="1" applyBorder="1"/>
    <xf numFmtId="3" fontId="9" fillId="0" borderId="0" xfId="0" applyNumberFormat="1" applyFont="1" applyFill="1" applyBorder="1" applyAlignment="1">
      <alignment horizontal="right"/>
    </xf>
    <xf numFmtId="168" fontId="7" fillId="2" borderId="9" xfId="0" applyNumberFormat="1" applyFont="1" applyFill="1" applyBorder="1" applyAlignment="1">
      <alignment horizontal="center" vertical="center"/>
    </xf>
    <xf numFmtId="168" fontId="54" fillId="0" borderId="0" xfId="0" applyNumberFormat="1" applyFont="1" applyAlignment="1">
      <alignment horizontal="center"/>
    </xf>
    <xf numFmtId="0" fontId="13" fillId="3" borderId="3" xfId="0" applyFont="1" applyFill="1" applyBorder="1"/>
    <xf numFmtId="168" fontId="7" fillId="2" borderId="5" xfId="0" applyNumberFormat="1" applyFont="1" applyFill="1" applyBorder="1" applyAlignment="1">
      <alignment horizontal="center" vertical="center"/>
    </xf>
    <xf numFmtId="0" fontId="14" fillId="0" borderId="2" xfId="0" applyFont="1" applyBorder="1" applyAlignment="1"/>
    <xf numFmtId="168" fontId="27" fillId="3" borderId="0" xfId="0" applyNumberFormat="1" applyFont="1" applyFill="1" applyBorder="1" applyAlignment="1">
      <alignment horizontal="left"/>
    </xf>
    <xf numFmtId="168" fontId="27" fillId="3" borderId="19" xfId="0" applyNumberFormat="1" applyFont="1" applyFill="1" applyBorder="1" applyAlignment="1">
      <alignment horizontal="left"/>
    </xf>
    <xf numFmtId="3" fontId="15" fillId="3" borderId="0" xfId="0" applyNumberFormat="1" applyFont="1" applyFill="1" applyBorder="1" applyAlignment="1">
      <alignment horizontal="right"/>
    </xf>
    <xf numFmtId="3" fontId="15" fillId="3" borderId="3" xfId="0" applyNumberFormat="1" applyFont="1" applyFill="1" applyBorder="1" applyAlignment="1">
      <alignment horizontal="right"/>
    </xf>
    <xf numFmtId="3" fontId="15" fillId="3" borderId="16" xfId="0" applyNumberFormat="1" applyFont="1" applyFill="1" applyBorder="1" applyAlignment="1">
      <alignment horizontal="right"/>
    </xf>
    <xf numFmtId="0" fontId="29" fillId="0" borderId="6" xfId="0" applyFont="1" applyBorder="1" applyAlignment="1">
      <alignment horizontal="left"/>
    </xf>
    <xf numFmtId="3" fontId="9" fillId="0" borderId="0" xfId="0" applyNumberFormat="1" applyFont="1" applyFill="1" applyBorder="1"/>
    <xf numFmtId="3" fontId="19" fillId="0" borderId="0" xfId="0" applyNumberFormat="1" applyFont="1" applyFill="1" applyBorder="1" applyAlignment="1">
      <alignment horizontal="right"/>
    </xf>
    <xf numFmtId="3" fontId="19" fillId="0" borderId="0" xfId="0" applyNumberFormat="1" applyFont="1" applyFill="1" applyBorder="1"/>
    <xf numFmtId="3" fontId="12" fillId="3" borderId="14" xfId="0" applyNumberFormat="1" applyFont="1" applyFill="1" applyBorder="1" applyAlignment="1">
      <alignment horizontal="right"/>
    </xf>
    <xf numFmtId="3" fontId="12" fillId="0" borderId="0" xfId="0" applyNumberFormat="1" applyFont="1" applyBorder="1" applyAlignment="1"/>
    <xf numFmtId="3" fontId="14" fillId="3" borderId="13" xfId="0" applyNumberFormat="1" applyFont="1" applyFill="1" applyBorder="1" applyAlignment="1">
      <alignment horizontal="right"/>
    </xf>
    <xf numFmtId="3" fontId="14" fillId="3" borderId="20" xfId="0" applyNumberFormat="1" applyFont="1" applyFill="1" applyBorder="1" applyAlignment="1">
      <alignment horizontal="right"/>
    </xf>
    <xf numFmtId="166" fontId="24" fillId="0" borderId="0" xfId="0" applyNumberFormat="1" applyFont="1" applyFill="1" applyBorder="1"/>
    <xf numFmtId="167" fontId="15" fillId="0" borderId="21" xfId="0" applyNumberFormat="1" applyFont="1" applyBorder="1"/>
    <xf numFmtId="167" fontId="9" fillId="0" borderId="21" xfId="0" applyNumberFormat="1" applyFont="1" applyBorder="1"/>
    <xf numFmtId="167" fontId="8" fillId="2" borderId="22" xfId="0" applyNumberFormat="1" applyFont="1" applyFill="1" applyBorder="1"/>
    <xf numFmtId="167" fontId="31" fillId="2" borderId="10" xfId="0" applyNumberFormat="1" applyFont="1" applyFill="1" applyBorder="1" applyAlignment="1">
      <alignment shrinkToFit="1"/>
    </xf>
    <xf numFmtId="167" fontId="12" fillId="0" borderId="21" xfId="0" applyNumberFormat="1" applyFont="1" applyBorder="1"/>
    <xf numFmtId="167" fontId="8" fillId="0" borderId="0" xfId="0" applyNumberFormat="1" applyFont="1" applyFill="1" applyBorder="1"/>
    <xf numFmtId="167" fontId="8" fillId="3" borderId="0" xfId="0" applyNumberFormat="1" applyFont="1" applyFill="1" applyBorder="1"/>
    <xf numFmtId="167" fontId="7" fillId="2" borderId="23" xfId="0" applyNumberFormat="1" applyFont="1" applyFill="1" applyBorder="1" applyAlignment="1">
      <alignment horizontal="center" vertical="center"/>
    </xf>
    <xf numFmtId="167" fontId="7" fillId="2" borderId="24" xfId="0" applyNumberFormat="1" applyFont="1" applyFill="1" applyBorder="1" applyAlignment="1">
      <alignment horizontal="center" vertical="center"/>
    </xf>
    <xf numFmtId="167" fontId="14" fillId="0" borderId="21" xfId="0" applyNumberFormat="1" applyFont="1" applyBorder="1"/>
    <xf numFmtId="167" fontId="14" fillId="0" borderId="25" xfId="0" applyNumberFormat="1" applyFont="1" applyBorder="1"/>
    <xf numFmtId="167" fontId="13" fillId="0" borderId="0" xfId="0" applyNumberFormat="1" applyFont="1" applyFill="1" applyBorder="1"/>
    <xf numFmtId="167" fontId="59" fillId="0" borderId="0" xfId="0" applyNumberFormat="1" applyFont="1"/>
    <xf numFmtId="167" fontId="29" fillId="0" borderId="0" xfId="0" applyNumberFormat="1" applyFont="1"/>
    <xf numFmtId="167" fontId="14" fillId="0" borderId="25" xfId="0" applyNumberFormat="1" applyFont="1" applyBorder="1" applyAlignment="1">
      <alignment horizontal="right"/>
    </xf>
    <xf numFmtId="166" fontId="7" fillId="2" borderId="24" xfId="0" applyNumberFormat="1" applyFont="1" applyFill="1" applyBorder="1" applyAlignment="1">
      <alignment horizontal="center" vertical="center"/>
    </xf>
    <xf numFmtId="167" fontId="19" fillId="0" borderId="0" xfId="0" applyNumberFormat="1" applyFont="1"/>
    <xf numFmtId="167" fontId="14" fillId="0" borderId="23" xfId="0" applyNumberFormat="1" applyFont="1" applyBorder="1"/>
    <xf numFmtId="167" fontId="9" fillId="2" borderId="24" xfId="0" applyNumberFormat="1" applyFont="1" applyFill="1" applyBorder="1"/>
    <xf numFmtId="167" fontId="14" fillId="2" borderId="24" xfId="0" applyNumberFormat="1" applyFont="1" applyFill="1" applyBorder="1"/>
    <xf numFmtId="167" fontId="51" fillId="0" borderId="0" xfId="0" applyNumberFormat="1" applyFont="1"/>
    <xf numFmtId="166" fontId="9" fillId="0" borderId="0" xfId="0" applyNumberFormat="1" applyFont="1" applyFill="1" applyBorder="1"/>
    <xf numFmtId="166" fontId="9" fillId="3" borderId="25" xfId="0" applyNumberFormat="1" applyFont="1" applyFill="1" applyBorder="1" applyAlignment="1">
      <alignment horizontal="right"/>
    </xf>
    <xf numFmtId="166" fontId="14" fillId="0" borderId="25" xfId="0" applyNumberFormat="1" applyFont="1" applyBorder="1" applyAlignment="1">
      <alignment horizontal="right"/>
    </xf>
    <xf numFmtId="167" fontId="9" fillId="0" borderId="0" xfId="0" applyNumberFormat="1" applyFont="1" applyFill="1" applyBorder="1"/>
    <xf numFmtId="166" fontId="19" fillId="0" borderId="0" xfId="0" applyNumberFormat="1" applyFont="1" applyFill="1" applyBorder="1"/>
    <xf numFmtId="167" fontId="54" fillId="0" borderId="0" xfId="0" applyNumberFormat="1" applyFont="1"/>
    <xf numFmtId="166" fontId="39" fillId="0" borderId="0" xfId="0" applyNumberFormat="1" applyFont="1"/>
    <xf numFmtId="0" fontId="13" fillId="0" borderId="3" xfId="0" applyFont="1" applyBorder="1" applyAlignment="1">
      <alignment wrapText="1"/>
    </xf>
    <xf numFmtId="3" fontId="14" fillId="3" borderId="19" xfId="0" applyNumberFormat="1" applyFont="1" applyFill="1" applyBorder="1" applyAlignment="1">
      <alignment horizontal="right"/>
    </xf>
    <xf numFmtId="1" fontId="13" fillId="3" borderId="9" xfId="0" applyNumberFormat="1" applyFont="1" applyFill="1" applyBorder="1" applyAlignment="1">
      <alignment horizontal="left"/>
    </xf>
    <xf numFmtId="1" fontId="13" fillId="3" borderId="13" xfId="0" applyNumberFormat="1" applyFont="1" applyFill="1" applyBorder="1" applyAlignment="1">
      <alignment horizontal="left"/>
    </xf>
    <xf numFmtId="0" fontId="14" fillId="3" borderId="9" xfId="0" applyFont="1" applyFill="1" applyBorder="1"/>
    <xf numFmtId="1" fontId="5" fillId="0" borderId="26" xfId="0" applyNumberFormat="1" applyFont="1" applyBorder="1" applyAlignment="1">
      <alignment horizontal="left"/>
    </xf>
    <xf numFmtId="1" fontId="13" fillId="3" borderId="12" xfId="0" applyNumberFormat="1" applyFont="1" applyFill="1" applyBorder="1" applyAlignment="1">
      <alignment horizontal="left"/>
    </xf>
    <xf numFmtId="0" fontId="11" fillId="3" borderId="2" xfId="0" applyFont="1" applyFill="1" applyBorder="1"/>
    <xf numFmtId="0" fontId="13" fillId="3" borderId="2" xfId="0" applyFont="1" applyFill="1" applyBorder="1"/>
    <xf numFmtId="0" fontId="13" fillId="3" borderId="14" xfId="0" applyFont="1" applyFill="1" applyBorder="1"/>
    <xf numFmtId="3" fontId="14" fillId="3" borderId="27" xfId="0" applyNumberFormat="1" applyFont="1" applyFill="1" applyBorder="1" applyAlignment="1">
      <alignment horizontal="right"/>
    </xf>
    <xf numFmtId="168" fontId="27" fillId="3" borderId="27" xfId="0" applyNumberFormat="1" applyFont="1" applyFill="1" applyBorder="1" applyAlignment="1">
      <alignment horizontal="center"/>
    </xf>
    <xf numFmtId="168" fontId="27" fillId="0" borderId="19" xfId="0" applyNumberFormat="1" applyFont="1" applyBorder="1" applyAlignment="1">
      <alignment horizontal="center"/>
    </xf>
    <xf numFmtId="168" fontId="27" fillId="0" borderId="0" xfId="0" applyNumberFormat="1" applyFont="1" applyBorder="1" applyAlignment="1">
      <alignment horizontal="center"/>
    </xf>
    <xf numFmtId="168" fontId="27" fillId="3" borderId="0" xfId="0" applyNumberFormat="1" applyFont="1" applyFill="1" applyBorder="1" applyAlignment="1">
      <alignment horizontal="center"/>
    </xf>
    <xf numFmtId="3" fontId="14" fillId="0" borderId="27" xfId="0" applyNumberFormat="1" applyFont="1" applyBorder="1" applyAlignment="1">
      <alignment horizontal="right"/>
    </xf>
    <xf numFmtId="0" fontId="13" fillId="0" borderId="0" xfId="0" applyFont="1" applyFill="1" applyBorder="1" applyAlignment="1">
      <alignment wrapText="1"/>
    </xf>
    <xf numFmtId="1" fontId="13" fillId="3" borderId="26" xfId="0" applyNumberFormat="1" applyFont="1" applyFill="1" applyBorder="1" applyAlignment="1">
      <alignment horizontal="left"/>
    </xf>
    <xf numFmtId="168" fontId="27" fillId="3" borderId="27" xfId="0" applyNumberFormat="1" applyFont="1" applyFill="1" applyBorder="1" applyAlignment="1">
      <alignment horizontal="left"/>
    </xf>
    <xf numFmtId="0" fontId="12" fillId="0" borderId="25" xfId="0" applyFont="1" applyBorder="1" applyAlignment="1">
      <alignment horizontal="right"/>
    </xf>
    <xf numFmtId="1" fontId="13" fillId="3" borderId="28" xfId="0" applyNumberFormat="1" applyFont="1" applyFill="1" applyBorder="1" applyAlignment="1">
      <alignment horizontal="left"/>
    </xf>
    <xf numFmtId="0" fontId="12" fillId="0" borderId="29" xfId="0" applyFont="1" applyBorder="1" applyAlignment="1">
      <alignment horizontal="right"/>
    </xf>
    <xf numFmtId="166" fontId="14" fillId="0" borderId="30" xfId="0" applyNumberFormat="1" applyFont="1" applyBorder="1" applyAlignment="1">
      <alignment horizontal="right"/>
    </xf>
    <xf numFmtId="1" fontId="13" fillId="0" borderId="9" xfId="0" applyNumberFormat="1" applyFont="1" applyBorder="1" applyAlignment="1">
      <alignment horizontal="left"/>
    </xf>
    <xf numFmtId="168" fontId="10" fillId="0" borderId="18" xfId="0" applyNumberFormat="1" applyFont="1" applyBorder="1" applyAlignment="1">
      <alignment horizontal="left"/>
    </xf>
    <xf numFmtId="1" fontId="16" fillId="0" borderId="0" xfId="0" applyNumberFormat="1" applyFont="1" applyAlignment="1">
      <alignment horizontal="left"/>
    </xf>
    <xf numFmtId="0" fontId="59" fillId="0" borderId="0" xfId="0" applyFont="1" applyBorder="1"/>
    <xf numFmtId="168" fontId="28" fillId="0" borderId="17" xfId="0" applyNumberFormat="1" applyFont="1" applyBorder="1"/>
    <xf numFmtId="3" fontId="23" fillId="0" borderId="0" xfId="0" applyNumberFormat="1" applyFont="1"/>
    <xf numFmtId="0" fontId="23" fillId="0" borderId="0" xfId="0" applyFont="1"/>
    <xf numFmtId="166" fontId="14" fillId="0" borderId="29" xfId="0" applyNumberFormat="1" applyFont="1" applyBorder="1" applyAlignment="1">
      <alignment horizontal="right"/>
    </xf>
    <xf numFmtId="0" fontId="13" fillId="3" borderId="3" xfId="0" applyFont="1" applyFill="1" applyBorder="1" applyAlignment="1"/>
    <xf numFmtId="1" fontId="13" fillId="3" borderId="14" xfId="0" applyNumberFormat="1" applyFont="1" applyFill="1" applyBorder="1" applyAlignment="1">
      <alignment horizontal="left"/>
    </xf>
    <xf numFmtId="1" fontId="13" fillId="3" borderId="31" xfId="0" applyNumberFormat="1" applyFont="1" applyFill="1" applyBorder="1" applyAlignment="1">
      <alignment horizontal="left"/>
    </xf>
    <xf numFmtId="168" fontId="27" fillId="3" borderId="20" xfId="0" applyNumberFormat="1" applyFont="1" applyFill="1" applyBorder="1" applyAlignment="1">
      <alignment horizontal="left"/>
    </xf>
    <xf numFmtId="3" fontId="62" fillId="0" borderId="2" xfId="0" applyNumberFormat="1" applyFont="1" applyBorder="1" applyAlignment="1">
      <alignment horizontal="right"/>
    </xf>
    <xf numFmtId="3" fontId="34" fillId="2" borderId="10" xfId="0" applyNumberFormat="1" applyFont="1" applyFill="1" applyBorder="1"/>
    <xf numFmtId="0" fontId="14" fillId="0" borderId="25" xfId="0" applyFont="1" applyBorder="1" applyAlignment="1">
      <alignment horizontal="right"/>
    </xf>
    <xf numFmtId="0" fontId="14" fillId="3" borderId="2" xfId="0" applyFont="1" applyFill="1" applyBorder="1" applyAlignment="1"/>
    <xf numFmtId="166" fontId="14" fillId="0" borderId="32" xfId="0" applyNumberFormat="1" applyFont="1" applyBorder="1" applyAlignment="1">
      <alignment horizontal="right"/>
    </xf>
    <xf numFmtId="166" fontId="8" fillId="3" borderId="25" xfId="0" applyNumberFormat="1" applyFont="1" applyFill="1" applyBorder="1" applyAlignment="1">
      <alignment horizontal="right"/>
    </xf>
    <xf numFmtId="166" fontId="8" fillId="3" borderId="29" xfId="0" applyNumberFormat="1" applyFont="1" applyFill="1" applyBorder="1" applyAlignment="1">
      <alignment horizontal="right"/>
    </xf>
    <xf numFmtId="0" fontId="66" fillId="0" borderId="0" xfId="0" applyFont="1"/>
    <xf numFmtId="3" fontId="54" fillId="0" borderId="0" xfId="0" applyNumberFormat="1" applyFont="1"/>
    <xf numFmtId="3" fontId="53" fillId="0" borderId="0" xfId="0" applyNumberFormat="1" applyFont="1"/>
    <xf numFmtId="1" fontId="13" fillId="3" borderId="33" xfId="0" applyNumberFormat="1" applyFont="1" applyFill="1" applyBorder="1" applyAlignment="1">
      <alignment horizontal="left"/>
    </xf>
    <xf numFmtId="168" fontId="27" fillId="3" borderId="34" xfId="0" applyNumberFormat="1" applyFont="1" applyFill="1" applyBorder="1" applyAlignment="1">
      <alignment horizontal="left"/>
    </xf>
    <xf numFmtId="3" fontId="14" fillId="3" borderId="34" xfId="0" applyNumberFormat="1" applyFont="1" applyFill="1" applyBorder="1" applyAlignment="1">
      <alignment horizontal="right"/>
    </xf>
    <xf numFmtId="3" fontId="14" fillId="3" borderId="14" xfId="0" applyNumberFormat="1" applyFont="1" applyFill="1" applyBorder="1" applyAlignment="1">
      <alignment horizontal="right"/>
    </xf>
    <xf numFmtId="166" fontId="14" fillId="0" borderId="35" xfId="0" applyNumberFormat="1" applyFont="1" applyBorder="1" applyAlignment="1">
      <alignment horizontal="right"/>
    </xf>
    <xf numFmtId="1" fontId="13" fillId="3" borderId="0" xfId="0" applyNumberFormat="1" applyFont="1" applyFill="1" applyBorder="1" applyAlignment="1">
      <alignment horizontal="left"/>
    </xf>
    <xf numFmtId="166" fontId="14" fillId="0" borderId="0" xfId="0" applyNumberFormat="1" applyFont="1" applyBorder="1" applyAlignment="1">
      <alignment horizontal="right"/>
    </xf>
    <xf numFmtId="1" fontId="8" fillId="2" borderId="0" xfId="0" applyNumberFormat="1" applyFont="1" applyFill="1" applyBorder="1" applyAlignment="1">
      <alignment horizontal="left"/>
    </xf>
    <xf numFmtId="0" fontId="8" fillId="2" borderId="0" xfId="0" applyFont="1" applyFill="1" applyBorder="1"/>
    <xf numFmtId="0" fontId="13" fillId="2" borderId="0" xfId="0" applyFont="1" applyFill="1" applyBorder="1"/>
    <xf numFmtId="0" fontId="13" fillId="2" borderId="0" xfId="0" applyFont="1" applyFill="1" applyBorder="1" applyAlignment="1">
      <alignment horizontal="right"/>
    </xf>
    <xf numFmtId="0" fontId="58" fillId="2" borderId="0" xfId="0" applyFont="1" applyFill="1" applyBorder="1" applyAlignment="1">
      <alignment horizontal="right"/>
    </xf>
    <xf numFmtId="0" fontId="55" fillId="2" borderId="19" xfId="0" applyFont="1" applyFill="1" applyBorder="1"/>
    <xf numFmtId="1" fontId="18" fillId="2" borderId="19" xfId="0" applyNumberFormat="1" applyFont="1" applyFill="1" applyBorder="1" applyAlignment="1">
      <alignment horizontal="left"/>
    </xf>
    <xf numFmtId="0" fontId="18" fillId="2" borderId="19" xfId="0" applyFont="1" applyFill="1" applyBorder="1"/>
    <xf numFmtId="0" fontId="68" fillId="2" borderId="19" xfId="0" applyFont="1" applyFill="1" applyBorder="1" applyAlignment="1">
      <alignment horizontal="right"/>
    </xf>
    <xf numFmtId="0" fontId="55" fillId="3" borderId="0" xfId="0" applyFont="1" applyFill="1" applyBorder="1"/>
    <xf numFmtId="1" fontId="18" fillId="3" borderId="0" xfId="0" applyNumberFormat="1" applyFont="1" applyFill="1" applyBorder="1" applyAlignment="1">
      <alignment horizontal="left"/>
    </xf>
    <xf numFmtId="0" fontId="18" fillId="3" borderId="0" xfId="0" applyFont="1" applyFill="1" applyBorder="1"/>
    <xf numFmtId="0" fontId="68" fillId="3" borderId="0" xfId="0" applyFont="1" applyFill="1" applyBorder="1" applyAlignment="1">
      <alignment horizontal="right"/>
    </xf>
    <xf numFmtId="0" fontId="58" fillId="3" borderId="0" xfId="0" applyFont="1" applyFill="1" applyBorder="1" applyAlignment="1">
      <alignment horizontal="right"/>
    </xf>
    <xf numFmtId="166" fontId="0" fillId="3" borderId="0" xfId="0" applyNumberFormat="1" applyFill="1"/>
    <xf numFmtId="0" fontId="14" fillId="0" borderId="30" xfId="0" applyFont="1" applyBorder="1" applyAlignment="1">
      <alignment horizontal="right"/>
    </xf>
    <xf numFmtId="0" fontId="17" fillId="0" borderId="12" xfId="0" applyFont="1" applyBorder="1"/>
    <xf numFmtId="0" fontId="17" fillId="0" borderId="25" xfId="0" applyFont="1" applyBorder="1" applyAlignment="1">
      <alignment horizontal="right"/>
    </xf>
    <xf numFmtId="0" fontId="8" fillId="3" borderId="25" xfId="0" applyFont="1" applyFill="1" applyBorder="1" applyAlignment="1">
      <alignment horizontal="right"/>
    </xf>
    <xf numFmtId="0" fontId="8" fillId="3" borderId="29" xfId="0" applyFont="1" applyFill="1" applyBorder="1" applyAlignment="1">
      <alignment horizontal="right"/>
    </xf>
    <xf numFmtId="1" fontId="18" fillId="0" borderId="2" xfId="0" applyNumberFormat="1" applyFont="1" applyBorder="1" applyAlignment="1">
      <alignment horizontal="left"/>
    </xf>
    <xf numFmtId="168" fontId="69" fillId="0" borderId="0" xfId="0" applyNumberFormat="1" applyFont="1" applyBorder="1" applyAlignment="1">
      <alignment horizontal="center"/>
    </xf>
    <xf numFmtId="3" fontId="62" fillId="0" borderId="27" xfId="0" applyNumberFormat="1" applyFont="1" applyBorder="1" applyAlignment="1">
      <alignment horizontal="right"/>
    </xf>
    <xf numFmtId="3" fontId="62" fillId="0" borderId="0" xfId="0" applyNumberFormat="1" applyFont="1" applyBorder="1" applyAlignment="1">
      <alignment horizontal="right"/>
    </xf>
    <xf numFmtId="3" fontId="12" fillId="0" borderId="19" xfId="0" applyNumberFormat="1" applyFont="1" applyBorder="1" applyAlignment="1">
      <alignment wrapText="1"/>
    </xf>
    <xf numFmtId="0" fontId="17" fillId="0" borderId="28" xfId="0" applyFont="1" applyBorder="1"/>
    <xf numFmtId="1" fontId="18" fillId="0" borderId="3" xfId="0" applyNumberFormat="1" applyFont="1" applyBorder="1" applyAlignment="1">
      <alignment horizontal="left"/>
    </xf>
    <xf numFmtId="3" fontId="62" fillId="0" borderId="19" xfId="0" applyNumberFormat="1" applyFont="1" applyBorder="1" applyAlignment="1">
      <alignment horizontal="right"/>
    </xf>
    <xf numFmtId="167" fontId="9" fillId="3" borderId="25" xfId="0" applyNumberFormat="1" applyFont="1" applyFill="1" applyBorder="1" applyAlignment="1">
      <alignment horizontal="right"/>
    </xf>
    <xf numFmtId="167" fontId="55" fillId="2" borderId="36" xfId="0" applyNumberFormat="1" applyFont="1" applyFill="1" applyBorder="1" applyAlignment="1">
      <alignment horizontal="right"/>
    </xf>
    <xf numFmtId="0" fontId="55" fillId="2" borderId="19" xfId="0" applyFont="1" applyFill="1" applyBorder="1" applyAlignment="1">
      <alignment horizontal="right"/>
    </xf>
    <xf numFmtId="166" fontId="55" fillId="2" borderId="36" xfId="0" applyNumberFormat="1" applyFont="1" applyFill="1" applyBorder="1" applyAlignment="1">
      <alignment horizontal="right"/>
    </xf>
    <xf numFmtId="167" fontId="6" fillId="0" borderId="0" xfId="0" applyNumberFormat="1" applyFont="1" applyBorder="1" applyAlignment="1">
      <alignment horizontal="right"/>
    </xf>
    <xf numFmtId="3" fontId="53" fillId="0" borderId="0" xfId="0" applyNumberFormat="1" applyFont="1" applyAlignment="1">
      <alignment horizontal="right"/>
    </xf>
    <xf numFmtId="3" fontId="51" fillId="3" borderId="0" xfId="0" applyNumberFormat="1" applyFont="1" applyFill="1" applyBorder="1" applyAlignment="1">
      <alignment horizontal="right"/>
    </xf>
    <xf numFmtId="167" fontId="52" fillId="0" borderId="0" xfId="0" applyNumberFormat="1" applyFont="1" applyFill="1" applyBorder="1" applyAlignment="1">
      <alignment horizontal="right" vertical="center"/>
    </xf>
    <xf numFmtId="167" fontId="66" fillId="0" borderId="0" xfId="0" applyNumberFormat="1" applyFont="1" applyFill="1" applyBorder="1" applyAlignment="1">
      <alignment horizontal="right" vertical="center"/>
    </xf>
    <xf numFmtId="3" fontId="4" fillId="0" borderId="0" xfId="0" applyNumberFormat="1" applyFont="1" applyFill="1" applyBorder="1"/>
    <xf numFmtId="0" fontId="19" fillId="0" borderId="0" xfId="0" applyFont="1" applyFill="1" applyBorder="1" applyAlignment="1">
      <alignment horizontal="left"/>
    </xf>
    <xf numFmtId="0" fontId="14" fillId="0" borderId="0" xfId="0" applyFont="1" applyFill="1" applyBorder="1"/>
    <xf numFmtId="0" fontId="9" fillId="0" borderId="18" xfId="0" applyFont="1" applyBorder="1" applyAlignment="1">
      <alignment horizontal="right"/>
    </xf>
    <xf numFmtId="0" fontId="0" fillId="0" borderId="0" xfId="0" applyAlignment="1"/>
    <xf numFmtId="0" fontId="13" fillId="0" borderId="0" xfId="0" applyFont="1" applyFill="1" applyBorder="1"/>
    <xf numFmtId="3" fontId="14" fillId="0" borderId="0" xfId="0" applyNumberFormat="1" applyFont="1" applyFill="1" applyBorder="1" applyAlignment="1">
      <alignment horizontal="right"/>
    </xf>
    <xf numFmtId="3" fontId="12" fillId="0" borderId="0" xfId="0" applyNumberFormat="1" applyFont="1" applyFill="1" applyBorder="1" applyAlignment="1">
      <alignment horizontal="right"/>
    </xf>
    <xf numFmtId="3" fontId="14" fillId="0" borderId="2" xfId="0" applyNumberFormat="1" applyFont="1" applyFill="1" applyBorder="1" applyAlignment="1">
      <alignment horizontal="right"/>
    </xf>
    <xf numFmtId="3" fontId="12" fillId="0" borderId="2" xfId="0" applyNumberFormat="1" applyFont="1" applyFill="1" applyBorder="1" applyAlignment="1">
      <alignment horizontal="right"/>
    </xf>
    <xf numFmtId="0" fontId="14" fillId="0" borderId="0" xfId="0" applyFont="1" applyAlignment="1"/>
    <xf numFmtId="0" fontId="0" fillId="0" borderId="0" xfId="0" applyAlignment="1">
      <alignment horizontal="center"/>
    </xf>
    <xf numFmtId="0" fontId="35" fillId="2" borderId="4" xfId="0" applyFont="1" applyFill="1" applyBorder="1" applyAlignment="1">
      <alignment horizontal="center" vertical="center"/>
    </xf>
    <xf numFmtId="0" fontId="35" fillId="2" borderId="5" xfId="0" applyFont="1" applyFill="1" applyBorder="1" applyAlignment="1">
      <alignment horizontal="center" vertical="center"/>
    </xf>
    <xf numFmtId="1" fontId="35" fillId="2" borderId="5" xfId="0" applyNumberFormat="1" applyFont="1" applyFill="1" applyBorder="1" applyAlignment="1">
      <alignment horizontal="center" vertical="center" wrapText="1"/>
    </xf>
    <xf numFmtId="1" fontId="35" fillId="2" borderId="37" xfId="0" applyNumberFormat="1" applyFont="1" applyFill="1" applyBorder="1" applyAlignment="1">
      <alignment horizontal="center" vertical="center" wrapText="1"/>
    </xf>
    <xf numFmtId="0" fontId="28" fillId="0" borderId="0" xfId="0" applyFont="1" applyAlignment="1">
      <alignment vertical="center"/>
    </xf>
    <xf numFmtId="3" fontId="35" fillId="2" borderId="24" xfId="0" applyNumberFormat="1" applyFont="1" applyFill="1" applyBorder="1" applyAlignment="1">
      <alignment horizontal="center" vertical="center"/>
    </xf>
    <xf numFmtId="0" fontId="39" fillId="0" borderId="0" xfId="0" applyFont="1" applyAlignment="1"/>
    <xf numFmtId="0" fontId="39" fillId="0" borderId="0" xfId="0" applyFont="1" applyAlignment="1">
      <alignment horizontal="right"/>
    </xf>
    <xf numFmtId="4" fontId="0" fillId="0" borderId="0" xfId="0" applyNumberFormat="1"/>
    <xf numFmtId="0" fontId="28" fillId="2" borderId="4" xfId="0" applyFont="1" applyFill="1" applyBorder="1" applyAlignment="1">
      <alignment horizontal="center" vertical="center"/>
    </xf>
    <xf numFmtId="0" fontId="28" fillId="2" borderId="5" xfId="0" applyFont="1" applyFill="1" applyBorder="1" applyAlignment="1">
      <alignment horizontal="center" vertical="center"/>
    </xf>
    <xf numFmtId="0" fontId="28" fillId="2" borderId="5" xfId="0" applyFont="1" applyFill="1" applyBorder="1" applyAlignment="1">
      <alignment vertical="center"/>
    </xf>
    <xf numFmtId="4" fontId="28" fillId="2" borderId="5" xfId="0" applyNumberFormat="1" applyFont="1" applyFill="1" applyBorder="1" applyAlignment="1">
      <alignment horizontal="center" vertical="center" wrapText="1"/>
    </xf>
    <xf numFmtId="4" fontId="28" fillId="2" borderId="37" xfId="0" applyNumberFormat="1" applyFont="1" applyFill="1" applyBorder="1" applyAlignment="1">
      <alignment horizontal="center" vertical="center" wrapText="1"/>
    </xf>
    <xf numFmtId="3" fontId="0" fillId="2" borderId="24" xfId="0" applyNumberFormat="1" applyFill="1" applyBorder="1" applyAlignment="1">
      <alignment horizontal="center" vertical="center"/>
    </xf>
    <xf numFmtId="0" fontId="0" fillId="0" borderId="38" xfId="0" applyBorder="1" applyAlignment="1">
      <alignment horizontal="center"/>
    </xf>
    <xf numFmtId="0" fontId="0" fillId="0" borderId="9" xfId="0" applyBorder="1" applyAlignment="1">
      <alignment horizontal="center"/>
    </xf>
    <xf numFmtId="4" fontId="22" fillId="2" borderId="5" xfId="0" applyNumberFormat="1" applyFont="1" applyFill="1" applyBorder="1"/>
    <xf numFmtId="0" fontId="22" fillId="0" borderId="12" xfId="0" applyFont="1" applyFill="1" applyBorder="1" applyAlignment="1">
      <alignment horizontal="left"/>
    </xf>
    <xf numFmtId="0" fontId="22" fillId="0" borderId="0" xfId="0" applyFont="1" applyFill="1" applyBorder="1" applyAlignment="1">
      <alignment horizontal="left"/>
    </xf>
    <xf numFmtId="0" fontId="22" fillId="0" borderId="17" xfId="0" applyFont="1" applyFill="1" applyBorder="1" applyAlignment="1">
      <alignment horizontal="left"/>
    </xf>
    <xf numFmtId="0" fontId="22" fillId="0" borderId="0" xfId="0" applyFont="1" applyFill="1"/>
    <xf numFmtId="0" fontId="22" fillId="2" borderId="39" xfId="0" applyFont="1" applyFill="1" applyBorder="1" applyAlignment="1">
      <alignment horizontal="left"/>
    </xf>
    <xf numFmtId="0" fontId="22" fillId="2" borderId="10" xfId="0" applyFont="1" applyFill="1" applyBorder="1" applyAlignment="1">
      <alignment horizontal="left"/>
    </xf>
    <xf numFmtId="0" fontId="22" fillId="2" borderId="40" xfId="0" applyFont="1" applyFill="1" applyBorder="1" applyAlignment="1">
      <alignment horizontal="left"/>
    </xf>
    <xf numFmtId="3" fontId="0" fillId="0" borderId="0" xfId="0" applyNumberForma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66" fontId="22" fillId="0" borderId="0" xfId="0" applyNumberFormat="1" applyFont="1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Fill="1"/>
    <xf numFmtId="0" fontId="4" fillId="0" borderId="0" xfId="0" applyFont="1" applyFill="1" applyAlignment="1">
      <alignment vertical="center"/>
    </xf>
    <xf numFmtId="4" fontId="22" fillId="0" borderId="0" xfId="0" applyNumberFormat="1" applyFont="1" applyFill="1" applyBorder="1"/>
    <xf numFmtId="3" fontId="22" fillId="0" borderId="41" xfId="0" applyNumberFormat="1" applyFont="1" applyFill="1" applyBorder="1" applyAlignment="1">
      <alignment horizontal="right"/>
    </xf>
    <xf numFmtId="0" fontId="51" fillId="0" borderId="0" xfId="0" applyFont="1" applyAlignment="1"/>
    <xf numFmtId="166" fontId="22" fillId="2" borderId="42" xfId="0" applyNumberFormat="1" applyFont="1" applyFill="1" applyBorder="1" applyAlignment="1">
      <alignment horizontal="right" vertical="center"/>
    </xf>
    <xf numFmtId="0" fontId="35" fillId="0" borderId="0" xfId="0" applyFont="1" applyAlignment="1">
      <alignment vertical="center"/>
    </xf>
    <xf numFmtId="3" fontId="12" fillId="0" borderId="2" xfId="0" applyNumberFormat="1" applyFont="1" applyFill="1" applyBorder="1"/>
    <xf numFmtId="1" fontId="35" fillId="2" borderId="24" xfId="0" applyNumberFormat="1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left"/>
    </xf>
    <xf numFmtId="0" fontId="6" fillId="0" borderId="0" xfId="0" applyFont="1" applyFill="1" applyBorder="1"/>
    <xf numFmtId="0" fontId="6" fillId="0" borderId="0" xfId="0" applyFont="1" applyFill="1"/>
    <xf numFmtId="1" fontId="41" fillId="0" borderId="0" xfId="0" applyNumberFormat="1" applyFont="1" applyFill="1" applyBorder="1" applyAlignment="1">
      <alignment horizontal="left"/>
    </xf>
    <xf numFmtId="1" fontId="41" fillId="0" borderId="0" xfId="0" applyNumberFormat="1" applyFont="1" applyFill="1" applyBorder="1" applyAlignment="1">
      <alignment horizontal="center"/>
    </xf>
    <xf numFmtId="168" fontId="41" fillId="0" borderId="0" xfId="0" applyNumberFormat="1" applyFont="1" applyFill="1" applyBorder="1" applyAlignment="1">
      <alignment horizontal="center"/>
    </xf>
    <xf numFmtId="0" fontId="41" fillId="0" borderId="0" xfId="0" applyFont="1" applyFill="1" applyBorder="1"/>
    <xf numFmtId="0" fontId="22" fillId="0" borderId="0" xfId="0" applyFont="1" applyFill="1" applyBorder="1" applyAlignment="1"/>
    <xf numFmtId="167" fontId="31" fillId="2" borderId="10" xfId="0" applyNumberFormat="1" applyFont="1" applyFill="1" applyBorder="1" applyAlignment="1">
      <alignment horizontal="right" shrinkToFit="1"/>
    </xf>
    <xf numFmtId="3" fontId="14" fillId="0" borderId="9" xfId="0" applyNumberFormat="1" applyFont="1" applyFill="1" applyBorder="1" applyAlignment="1">
      <alignment horizontal="right"/>
    </xf>
    <xf numFmtId="1" fontId="8" fillId="0" borderId="0" xfId="0" applyNumberFormat="1" applyFont="1" applyFill="1" applyBorder="1" applyAlignment="1">
      <alignment horizontal="right"/>
    </xf>
    <xf numFmtId="167" fontId="8" fillId="0" borderId="0" xfId="0" applyNumberFormat="1" applyFont="1" applyFill="1" applyBorder="1" applyAlignment="1">
      <alignment horizontal="right"/>
    </xf>
    <xf numFmtId="166" fontId="22" fillId="0" borderId="43" xfId="0" applyNumberFormat="1" applyFont="1" applyFill="1" applyBorder="1" applyAlignment="1">
      <alignment horizontal="right" vertical="center"/>
    </xf>
    <xf numFmtId="166" fontId="22" fillId="2" borderId="44" xfId="0" applyNumberFormat="1" applyFont="1" applyFill="1" applyBorder="1" applyAlignment="1">
      <alignment horizontal="right" vertical="center"/>
    </xf>
    <xf numFmtId="166" fontId="12" fillId="0" borderId="25" xfId="0" applyNumberFormat="1" applyFont="1" applyFill="1" applyBorder="1"/>
    <xf numFmtId="3" fontId="9" fillId="2" borderId="24" xfId="0" applyNumberFormat="1" applyFont="1" applyFill="1" applyBorder="1"/>
    <xf numFmtId="3" fontId="9" fillId="2" borderId="42" xfId="0" applyNumberFormat="1" applyFont="1" applyFill="1" applyBorder="1"/>
    <xf numFmtId="0" fontId="9" fillId="0" borderId="0" xfId="0" applyFont="1" applyFill="1" applyBorder="1"/>
    <xf numFmtId="0" fontId="14" fillId="0" borderId="2" xfId="0" applyFont="1" applyFill="1" applyBorder="1"/>
    <xf numFmtId="0" fontId="4" fillId="0" borderId="0" xfId="0" applyFont="1" applyFill="1"/>
    <xf numFmtId="3" fontId="4" fillId="0" borderId="0" xfId="0" applyNumberFormat="1" applyFont="1" applyFill="1"/>
    <xf numFmtId="0" fontId="28" fillId="0" borderId="0" xfId="0" applyFont="1" applyFill="1" applyAlignment="1">
      <alignment vertical="center"/>
    </xf>
    <xf numFmtId="4" fontId="22" fillId="0" borderId="41" xfId="0" applyNumberFormat="1" applyFont="1" applyFill="1" applyBorder="1" applyAlignment="1">
      <alignment horizontal="right"/>
    </xf>
    <xf numFmtId="4" fontId="22" fillId="2" borderId="45" xfId="0" applyNumberFormat="1" applyFont="1" applyFill="1" applyBorder="1" applyAlignment="1">
      <alignment horizontal="right"/>
    </xf>
    <xf numFmtId="0" fontId="22" fillId="0" borderId="2" xfId="0" applyFont="1" applyBorder="1" applyAlignment="1">
      <alignment vertical="center" wrapText="1"/>
    </xf>
    <xf numFmtId="0" fontId="22" fillId="0" borderId="2" xfId="0" applyFont="1" applyBorder="1" applyAlignment="1"/>
    <xf numFmtId="3" fontId="22" fillId="0" borderId="2" xfId="0" applyNumberFormat="1" applyFont="1" applyFill="1" applyBorder="1" applyAlignment="1">
      <alignment vertical="center"/>
    </xf>
    <xf numFmtId="3" fontId="8" fillId="3" borderId="0" xfId="0" applyNumberFormat="1" applyFont="1" applyFill="1" applyBorder="1" applyAlignment="1">
      <alignment horizontal="right"/>
    </xf>
    <xf numFmtId="171" fontId="0" fillId="0" borderId="2" xfId="0" applyNumberFormat="1" applyBorder="1" applyAlignment="1">
      <alignment horizontal="center" vertical="center"/>
    </xf>
    <xf numFmtId="4" fontId="22" fillId="2" borderId="37" xfId="0" applyNumberFormat="1" applyFont="1" applyFill="1" applyBorder="1"/>
    <xf numFmtId="1" fontId="78" fillId="3" borderId="0" xfId="0" applyNumberFormat="1" applyFont="1" applyFill="1" applyBorder="1" applyAlignment="1">
      <alignment horizontal="left"/>
    </xf>
    <xf numFmtId="1" fontId="78" fillId="3" borderId="0" xfId="0" applyNumberFormat="1" applyFont="1" applyFill="1" applyBorder="1" applyAlignment="1">
      <alignment horizontal="center"/>
    </xf>
    <xf numFmtId="168" fontId="78" fillId="3" borderId="0" xfId="0" applyNumberFormat="1" applyFont="1" applyFill="1" applyBorder="1" applyAlignment="1">
      <alignment horizontal="center"/>
    </xf>
    <xf numFmtId="0" fontId="78" fillId="3" borderId="0" xfId="0" applyFont="1" applyFill="1" applyBorder="1"/>
    <xf numFmtId="0" fontId="79" fillId="0" borderId="0" xfId="0" applyFont="1"/>
    <xf numFmtId="0" fontId="39" fillId="0" borderId="0" xfId="0" applyFont="1" applyFill="1" applyBorder="1" applyAlignment="1">
      <alignment horizontal="left" wrapText="1"/>
    </xf>
    <xf numFmtId="0" fontId="0" fillId="0" borderId="0" xfId="0" applyFill="1" applyBorder="1" applyAlignment="1">
      <alignment wrapText="1"/>
    </xf>
    <xf numFmtId="0" fontId="29" fillId="0" borderId="0" xfId="0" applyFont="1" applyAlignment="1">
      <alignment horizontal="right"/>
    </xf>
    <xf numFmtId="171" fontId="0" fillId="0" borderId="9" xfId="0" applyNumberFormat="1" applyBorder="1" applyAlignment="1">
      <alignment horizontal="center"/>
    </xf>
    <xf numFmtId="3" fontId="22" fillId="0" borderId="2" xfId="0" applyNumberFormat="1" applyFont="1" applyBorder="1" applyAlignment="1">
      <alignment horizontal="right" vertical="center"/>
    </xf>
    <xf numFmtId="3" fontId="22" fillId="0" borderId="15" xfId="0" applyNumberFormat="1" applyFont="1" applyBorder="1" applyAlignment="1">
      <alignment horizontal="right" vertical="center"/>
    </xf>
    <xf numFmtId="3" fontId="22" fillId="0" borderId="9" xfId="0" applyNumberFormat="1" applyFont="1" applyBorder="1" applyAlignment="1">
      <alignment horizontal="right"/>
    </xf>
    <xf numFmtId="3" fontId="22" fillId="0" borderId="46" xfId="0" applyNumberFormat="1" applyFont="1" applyBorder="1" applyAlignment="1">
      <alignment horizontal="right"/>
    </xf>
    <xf numFmtId="166" fontId="22" fillId="0" borderId="21" xfId="0" applyNumberFormat="1" applyFont="1" applyBorder="1" applyAlignment="1">
      <alignment horizontal="right" vertical="center"/>
    </xf>
    <xf numFmtId="166" fontId="22" fillId="0" borderId="42" xfId="0" applyNumberFormat="1" applyFont="1" applyBorder="1" applyAlignment="1">
      <alignment horizontal="right" vertical="center"/>
    </xf>
    <xf numFmtId="0" fontId="39" fillId="2" borderId="1" xfId="0" applyFont="1" applyFill="1" applyBorder="1" applyAlignment="1">
      <alignment horizontal="left"/>
    </xf>
    <xf numFmtId="0" fontId="0" fillId="2" borderId="1" xfId="0" applyFill="1" applyBorder="1" applyAlignment="1"/>
    <xf numFmtId="0" fontId="0" fillId="0" borderId="0" xfId="0" applyFill="1" applyAlignment="1">
      <alignment horizontal="center"/>
    </xf>
    <xf numFmtId="3" fontId="22" fillId="0" borderId="2" xfId="0" applyNumberFormat="1" applyFont="1" applyFill="1" applyBorder="1" applyAlignment="1">
      <alignment horizontal="right" vertical="center" wrapText="1"/>
    </xf>
    <xf numFmtId="3" fontId="22" fillId="0" borderId="9" xfId="0" applyNumberFormat="1" applyFont="1" applyFill="1" applyBorder="1" applyAlignment="1">
      <alignment horizontal="right" vertical="center"/>
    </xf>
    <xf numFmtId="3" fontId="22" fillId="0" borderId="2" xfId="0" applyNumberFormat="1" applyFont="1" applyFill="1" applyBorder="1" applyAlignment="1">
      <alignment horizontal="right" vertical="center"/>
    </xf>
    <xf numFmtId="0" fontId="0" fillId="0" borderId="0" xfId="0" applyFill="1" applyAlignment="1"/>
    <xf numFmtId="0" fontId="39" fillId="0" borderId="0" xfId="0" applyFont="1" applyFill="1" applyAlignment="1"/>
    <xf numFmtId="0" fontId="0" fillId="0" borderId="0" xfId="0" applyFill="1" applyAlignment="1">
      <alignment vertical="center"/>
    </xf>
    <xf numFmtId="0" fontId="0" fillId="0" borderId="6" xfId="0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171" fontId="0" fillId="0" borderId="2" xfId="0" applyNumberFormat="1" applyFill="1" applyBorder="1" applyAlignment="1">
      <alignment horizontal="center" vertical="center"/>
    </xf>
    <xf numFmtId="0" fontId="22" fillId="0" borderId="2" xfId="0" applyFont="1" applyFill="1" applyBorder="1" applyAlignment="1">
      <alignment vertical="center" wrapText="1"/>
    </xf>
    <xf numFmtId="3" fontId="0" fillId="0" borderId="0" xfId="0" applyNumberFormat="1" applyFill="1" applyAlignment="1">
      <alignment horizontal="right"/>
    </xf>
    <xf numFmtId="3" fontId="39" fillId="0" borderId="0" xfId="0" applyNumberFormat="1" applyFont="1" applyFill="1" applyAlignment="1">
      <alignment horizontal="right"/>
    </xf>
    <xf numFmtId="3" fontId="22" fillId="0" borderId="0" xfId="0" applyNumberFormat="1" applyFont="1" applyFill="1" applyAlignment="1">
      <alignment horizontal="right" vertical="center"/>
    </xf>
    <xf numFmtId="166" fontId="22" fillId="0" borderId="21" xfId="0" applyNumberFormat="1" applyFont="1" applyBorder="1" applyAlignment="1">
      <alignment horizontal="right"/>
    </xf>
    <xf numFmtId="167" fontId="14" fillId="0" borderId="0" xfId="0" applyNumberFormat="1" applyFont="1" applyBorder="1" applyAlignment="1">
      <alignment horizontal="right"/>
    </xf>
    <xf numFmtId="167" fontId="12" fillId="0" borderId="0" xfId="0" applyNumberFormat="1" applyFont="1" applyBorder="1" applyAlignment="1">
      <alignment horizontal="right"/>
    </xf>
    <xf numFmtId="164" fontId="24" fillId="0" borderId="2" xfId="0" applyNumberFormat="1" applyFont="1" applyFill="1" applyBorder="1" applyAlignment="1">
      <alignment horizontal="right" vertical="center" wrapText="1"/>
    </xf>
    <xf numFmtId="0" fontId="4" fillId="0" borderId="6" xfId="0" applyFont="1" applyFill="1" applyBorder="1"/>
    <xf numFmtId="0" fontId="37" fillId="0" borderId="0" xfId="0" applyFont="1" applyFill="1"/>
    <xf numFmtId="0" fontId="22" fillId="0" borderId="12" xfId="0" applyFont="1" applyFill="1" applyBorder="1"/>
    <xf numFmtId="0" fontId="4" fillId="0" borderId="12" xfId="0" applyFont="1" applyFill="1" applyBorder="1"/>
    <xf numFmtId="3" fontId="0" fillId="0" borderId="0" xfId="0" applyNumberFormat="1" applyFill="1"/>
    <xf numFmtId="166" fontId="22" fillId="0" borderId="42" xfId="0" applyNumberFormat="1" applyFont="1" applyFill="1" applyBorder="1" applyAlignment="1">
      <alignment horizontal="right" vertical="center"/>
    </xf>
    <xf numFmtId="166" fontId="22" fillId="0" borderId="21" xfId="0" applyNumberFormat="1" applyFont="1" applyFill="1" applyBorder="1" applyAlignment="1">
      <alignment horizontal="right" vertical="center"/>
    </xf>
    <xf numFmtId="0" fontId="13" fillId="0" borderId="0" xfId="0" applyFont="1" applyFill="1"/>
    <xf numFmtId="3" fontId="14" fillId="0" borderId="14" xfId="0" applyNumberFormat="1" applyFont="1" applyFill="1" applyBorder="1" applyAlignment="1">
      <alignment horizontal="right"/>
    </xf>
    <xf numFmtId="3" fontId="9" fillId="0" borderId="34" xfId="0" applyNumberFormat="1" applyFont="1" applyFill="1" applyBorder="1" applyAlignment="1">
      <alignment horizontal="right"/>
    </xf>
    <xf numFmtId="3" fontId="9" fillId="0" borderId="2" xfId="0" applyNumberFormat="1" applyFont="1" applyFill="1" applyBorder="1" applyAlignment="1">
      <alignment horizontal="right"/>
    </xf>
    <xf numFmtId="3" fontId="14" fillId="0" borderId="2" xfId="0" applyNumberFormat="1" applyFont="1" applyFill="1" applyBorder="1" applyAlignment="1">
      <alignment horizontal="right" vertical="top"/>
    </xf>
    <xf numFmtId="3" fontId="15" fillId="0" borderId="0" xfId="0" applyNumberFormat="1" applyFont="1" applyFill="1" applyBorder="1" applyAlignment="1">
      <alignment horizontal="right"/>
    </xf>
    <xf numFmtId="3" fontId="9" fillId="0" borderId="9" xfId="0" applyNumberFormat="1" applyFont="1" applyFill="1" applyBorder="1" applyAlignment="1">
      <alignment horizontal="right"/>
    </xf>
    <xf numFmtId="3" fontId="15" fillId="0" borderId="2" xfId="0" applyNumberFormat="1" applyFont="1" applyFill="1" applyBorder="1" applyAlignment="1">
      <alignment horizontal="right"/>
    </xf>
    <xf numFmtId="3" fontId="12" fillId="0" borderId="14" xfId="0" applyNumberFormat="1" applyFont="1" applyFill="1" applyBorder="1"/>
    <xf numFmtId="4" fontId="0" fillId="0" borderId="0" xfId="0" applyNumberFormat="1" applyFill="1"/>
    <xf numFmtId="0" fontId="12" fillId="0" borderId="2" xfId="0" applyFont="1" applyFill="1" applyBorder="1" applyAlignment="1"/>
    <xf numFmtId="1" fontId="12" fillId="0" borderId="2" xfId="0" applyNumberFormat="1" applyFont="1" applyFill="1" applyBorder="1" applyAlignment="1">
      <alignment horizontal="left"/>
    </xf>
    <xf numFmtId="1" fontId="12" fillId="0" borderId="14" xfId="0" applyNumberFormat="1" applyFont="1" applyFill="1" applyBorder="1" applyAlignment="1">
      <alignment horizontal="left"/>
    </xf>
    <xf numFmtId="0" fontId="12" fillId="0" borderId="2" xfId="0" applyFont="1" applyFill="1" applyBorder="1"/>
    <xf numFmtId="0" fontId="12" fillId="0" borderId="17" xfId="0" applyFont="1" applyFill="1" applyBorder="1"/>
    <xf numFmtId="3" fontId="24" fillId="0" borderId="0" xfId="0" applyNumberFormat="1" applyFont="1" applyFill="1" applyBorder="1"/>
    <xf numFmtId="1" fontId="8" fillId="0" borderId="1" xfId="0" applyNumberFormat="1" applyFont="1" applyFill="1" applyBorder="1" applyAlignment="1">
      <alignment horizontal="left"/>
    </xf>
    <xf numFmtId="0" fontId="19" fillId="0" borderId="1" xfId="0" applyFont="1" applyFill="1" applyBorder="1" applyAlignment="1">
      <alignment horizontal="center"/>
    </xf>
    <xf numFmtId="168" fontId="21" fillId="0" borderId="1" xfId="0" applyNumberFormat="1" applyFont="1" applyFill="1" applyBorder="1" applyAlignment="1">
      <alignment horizontal="center"/>
    </xf>
    <xf numFmtId="3" fontId="4" fillId="0" borderId="1" xfId="0" applyNumberFormat="1" applyFont="1" applyFill="1" applyBorder="1"/>
    <xf numFmtId="3" fontId="8" fillId="0" borderId="1" xfId="0" applyNumberFormat="1" applyFont="1" applyFill="1" applyBorder="1"/>
    <xf numFmtId="3" fontId="4" fillId="0" borderId="1" xfId="0" applyNumberFormat="1" applyFont="1" applyFill="1" applyBorder="1" applyAlignment="1">
      <alignment horizontal="right"/>
    </xf>
    <xf numFmtId="0" fontId="39" fillId="0" borderId="1" xfId="0" applyFont="1" applyFill="1" applyBorder="1" applyAlignment="1">
      <alignment horizontal="left"/>
    </xf>
    <xf numFmtId="0" fontId="0" fillId="0" borderId="1" xfId="0" applyFill="1" applyBorder="1" applyAlignment="1"/>
    <xf numFmtId="0" fontId="39" fillId="0" borderId="0" xfId="0" applyFont="1" applyFill="1" applyBorder="1" applyAlignment="1">
      <alignment horizontal="left"/>
    </xf>
    <xf numFmtId="0" fontId="0" fillId="0" borderId="0" xfId="0" applyFill="1" applyBorder="1" applyAlignment="1"/>
    <xf numFmtId="3" fontId="0" fillId="0" borderId="1" xfId="0" applyNumberFormat="1" applyFill="1" applyBorder="1" applyAlignment="1">
      <alignment horizontal="right"/>
    </xf>
    <xf numFmtId="0" fontId="39" fillId="0" borderId="1" xfId="0" applyFont="1" applyFill="1" applyBorder="1" applyAlignment="1"/>
    <xf numFmtId="0" fontId="21" fillId="0" borderId="1" xfId="0" applyFont="1" applyFill="1" applyBorder="1"/>
    <xf numFmtId="3" fontId="21" fillId="0" borderId="1" xfId="0" applyNumberFormat="1" applyFont="1" applyFill="1" applyBorder="1" applyAlignment="1">
      <alignment horizontal="center"/>
    </xf>
    <xf numFmtId="0" fontId="10" fillId="0" borderId="1" xfId="0" applyFont="1" applyFill="1" applyBorder="1"/>
    <xf numFmtId="3" fontId="36" fillId="0" borderId="1" xfId="0" applyNumberFormat="1" applyFont="1" applyFill="1" applyBorder="1"/>
    <xf numFmtId="3" fontId="36" fillId="0" borderId="0" xfId="0" applyNumberFormat="1" applyFont="1" applyFill="1"/>
    <xf numFmtId="3" fontId="29" fillId="0" borderId="1" xfId="0" applyNumberFormat="1" applyFont="1" applyFill="1" applyBorder="1"/>
    <xf numFmtId="3" fontId="29" fillId="0" borderId="0" xfId="0" applyNumberFormat="1" applyFont="1" applyFill="1"/>
    <xf numFmtId="0" fontId="21" fillId="0" borderId="1" xfId="0" applyFont="1" applyFill="1" applyBorder="1" applyAlignment="1">
      <alignment horizontal="center"/>
    </xf>
    <xf numFmtId="0" fontId="51" fillId="0" borderId="0" xfId="0" applyFont="1" applyFill="1"/>
    <xf numFmtId="0" fontId="36" fillId="0" borderId="0" xfId="0" applyFont="1" applyFill="1"/>
    <xf numFmtId="164" fontId="0" fillId="0" borderId="0" xfId="0" applyNumberFormat="1" applyFill="1" applyAlignment="1">
      <alignment horizontal="center"/>
    </xf>
    <xf numFmtId="3" fontId="35" fillId="0" borderId="5" xfId="0" applyNumberFormat="1" applyFont="1" applyFill="1" applyBorder="1" applyAlignment="1">
      <alignment horizontal="center" vertical="center" wrapText="1"/>
    </xf>
    <xf numFmtId="3" fontId="4" fillId="0" borderId="5" xfId="0" applyNumberFormat="1" applyFont="1" applyFill="1" applyBorder="1" applyAlignment="1">
      <alignment horizontal="center" vertical="center" wrapText="1"/>
    </xf>
    <xf numFmtId="3" fontId="4" fillId="0" borderId="24" xfId="0" applyNumberFormat="1" applyFont="1" applyFill="1" applyBorder="1" applyAlignment="1">
      <alignment horizontal="center" vertical="center"/>
    </xf>
    <xf numFmtId="3" fontId="4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3" fontId="35" fillId="0" borderId="23" xfId="0" applyNumberFormat="1" applyFont="1" applyFill="1" applyBorder="1" applyAlignment="1">
      <alignment horizontal="center" vertical="center"/>
    </xf>
    <xf numFmtId="3" fontId="35" fillId="0" borderId="0" xfId="0" applyNumberFormat="1" applyFont="1" applyFill="1" applyBorder="1" applyAlignment="1">
      <alignment horizontal="center" vertical="center"/>
    </xf>
    <xf numFmtId="0" fontId="35" fillId="0" borderId="0" xfId="0" applyFont="1" applyFill="1" applyAlignment="1">
      <alignment horizontal="center" vertical="center"/>
    </xf>
    <xf numFmtId="170" fontId="36" fillId="0" borderId="26" xfId="0" applyNumberFormat="1" applyFont="1" applyFill="1" applyBorder="1" applyAlignment="1">
      <alignment vertical="top" wrapText="1"/>
    </xf>
    <xf numFmtId="0" fontId="24" fillId="0" borderId="18" xfId="0" applyFont="1" applyFill="1" applyBorder="1" applyAlignment="1">
      <alignment vertical="center" wrapText="1"/>
    </xf>
    <xf numFmtId="166" fontId="24" fillId="0" borderId="23" xfId="0" applyNumberFormat="1" applyFont="1" applyFill="1" applyBorder="1" applyAlignment="1">
      <alignment vertical="center" wrapText="1"/>
    </xf>
    <xf numFmtId="0" fontId="22" fillId="0" borderId="0" xfId="0" applyFont="1" applyFill="1" applyAlignment="1">
      <alignment vertical="center" wrapText="1"/>
    </xf>
    <xf numFmtId="0" fontId="24" fillId="0" borderId="17" xfId="0" applyFont="1" applyFill="1" applyBorder="1"/>
    <xf numFmtId="166" fontId="24" fillId="0" borderId="25" xfId="0" applyNumberFormat="1" applyFont="1" applyFill="1" applyBorder="1"/>
    <xf numFmtId="166" fontId="24" fillId="0" borderId="25" xfId="0" applyNumberFormat="1" applyFont="1" applyFill="1" applyBorder="1" applyAlignment="1">
      <alignment vertical="center" wrapText="1"/>
    </xf>
    <xf numFmtId="164" fontId="51" fillId="0" borderId="45" xfId="0" applyNumberFormat="1" applyFont="1" applyFill="1" applyBorder="1" applyAlignment="1"/>
    <xf numFmtId="166" fontId="51" fillId="0" borderId="44" xfId="0" applyNumberFormat="1" applyFont="1" applyFill="1" applyBorder="1"/>
    <xf numFmtId="3" fontId="18" fillId="0" borderId="45" xfId="0" applyNumberFormat="1" applyFont="1" applyFill="1" applyBorder="1"/>
    <xf numFmtId="166" fontId="18" fillId="0" borderId="36" xfId="0" applyNumberFormat="1" applyFont="1" applyFill="1" applyBorder="1"/>
    <xf numFmtId="0" fontId="24" fillId="0" borderId="0" xfId="0" applyFont="1" applyFill="1"/>
    <xf numFmtId="3" fontId="24" fillId="0" borderId="0" xfId="0" applyNumberFormat="1" applyFont="1" applyFill="1"/>
    <xf numFmtId="3" fontId="76" fillId="0" borderId="0" xfId="0" applyNumberFormat="1" applyFont="1" applyFill="1" applyBorder="1" applyAlignment="1">
      <alignment horizontal="right"/>
    </xf>
    <xf numFmtId="3" fontId="76" fillId="0" borderId="0" xfId="0" applyNumberFormat="1" applyFont="1" applyFill="1" applyBorder="1"/>
    <xf numFmtId="166" fontId="36" fillId="0" borderId="0" xfId="0" applyNumberFormat="1" applyFont="1" applyFill="1" applyBorder="1"/>
    <xf numFmtId="3" fontId="75" fillId="0" borderId="0" xfId="0" applyNumberFormat="1" applyFont="1" applyFill="1" applyBorder="1"/>
    <xf numFmtId="3" fontId="35" fillId="0" borderId="24" xfId="0" applyNumberFormat="1" applyFont="1" applyFill="1" applyBorder="1" applyAlignment="1">
      <alignment horizontal="center" vertical="center"/>
    </xf>
    <xf numFmtId="168" fontId="36" fillId="0" borderId="0" xfId="0" applyNumberFormat="1" applyFont="1" applyFill="1"/>
    <xf numFmtId="0" fontId="29" fillId="0" borderId="0" xfId="0" applyFont="1" applyFill="1"/>
    <xf numFmtId="0" fontId="22" fillId="0" borderId="0" xfId="0" applyFont="1" applyFill="1" applyAlignment="1">
      <alignment horizontal="left"/>
    </xf>
    <xf numFmtId="0" fontId="28" fillId="0" borderId="4" xfId="0" applyFont="1" applyFill="1" applyBorder="1" applyAlignment="1">
      <alignment horizontal="center" vertical="center"/>
    </xf>
    <xf numFmtId="0" fontId="28" fillId="0" borderId="5" xfId="0" applyFont="1" applyFill="1" applyBorder="1" applyAlignment="1">
      <alignment horizontal="center" vertical="center"/>
    </xf>
    <xf numFmtId="0" fontId="28" fillId="0" borderId="5" xfId="0" applyFont="1" applyFill="1" applyBorder="1" applyAlignment="1">
      <alignment vertical="center"/>
    </xf>
    <xf numFmtId="4" fontId="28" fillId="0" borderId="5" xfId="0" applyNumberFormat="1" applyFont="1" applyFill="1" applyBorder="1" applyAlignment="1">
      <alignment horizontal="center" vertical="center" wrapText="1"/>
    </xf>
    <xf numFmtId="4" fontId="28" fillId="0" borderId="37" xfId="0" applyNumberFormat="1" applyFont="1" applyFill="1" applyBorder="1" applyAlignment="1">
      <alignment horizontal="center" vertical="center" wrapText="1"/>
    </xf>
    <xf numFmtId="3" fontId="0" fillId="0" borderId="24" xfId="0" applyNumberFormat="1" applyFill="1" applyBorder="1" applyAlignment="1">
      <alignment horizontal="center" vertical="center"/>
    </xf>
    <xf numFmtId="1" fontId="35" fillId="0" borderId="5" xfId="0" applyNumberFormat="1" applyFont="1" applyFill="1" applyBorder="1" applyAlignment="1">
      <alignment horizontal="center" vertical="center" wrapText="1"/>
    </xf>
    <xf numFmtId="1" fontId="35" fillId="0" borderId="37" xfId="0" applyNumberFormat="1" applyFont="1" applyFill="1" applyBorder="1" applyAlignment="1">
      <alignment horizontal="center" vertical="center" wrapText="1"/>
    </xf>
    <xf numFmtId="166" fontId="35" fillId="0" borderId="24" xfId="0" applyNumberFormat="1" applyFont="1" applyFill="1" applyBorder="1" applyAlignment="1">
      <alignment horizontal="center" vertical="center"/>
    </xf>
    <xf numFmtId="1" fontId="13" fillId="0" borderId="2" xfId="0" applyNumberFormat="1" applyFont="1" applyFill="1" applyBorder="1" applyAlignment="1">
      <alignment horizontal="left"/>
    </xf>
    <xf numFmtId="168" fontId="27" fillId="0" borderId="2" xfId="0" applyNumberFormat="1" applyFont="1" applyFill="1" applyBorder="1" applyAlignment="1">
      <alignment horizontal="left"/>
    </xf>
    <xf numFmtId="167" fontId="14" fillId="0" borderId="25" xfId="0" applyNumberFormat="1" applyFont="1" applyFill="1" applyBorder="1" applyAlignment="1">
      <alignment horizontal="right"/>
    </xf>
    <xf numFmtId="49" fontId="10" fillId="0" borderId="2" xfId="0" applyNumberFormat="1" applyFont="1" applyFill="1" applyBorder="1" applyAlignment="1">
      <alignment horizontal="left"/>
    </xf>
    <xf numFmtId="167" fontId="12" fillId="0" borderId="25" xfId="0" applyNumberFormat="1" applyFont="1" applyFill="1" applyBorder="1" applyAlignment="1">
      <alignment horizontal="right"/>
    </xf>
    <xf numFmtId="0" fontId="66" fillId="0" borderId="0" xfId="0" applyFont="1" applyFill="1"/>
    <xf numFmtId="0" fontId="0" fillId="0" borderId="0" xfId="0" applyFill="1" applyAlignment="1">
      <alignment horizontal="right"/>
    </xf>
    <xf numFmtId="0" fontId="22" fillId="0" borderId="10" xfId="0" applyFont="1" applyFill="1" applyBorder="1" applyAlignment="1">
      <alignment horizontal="left"/>
    </xf>
    <xf numFmtId="4" fontId="51" fillId="0" borderId="0" xfId="0" applyNumberFormat="1" applyFont="1" applyFill="1"/>
    <xf numFmtId="0" fontId="35" fillId="0" borderId="4" xfId="0" applyFont="1" applyFill="1" applyBorder="1" applyAlignment="1">
      <alignment horizontal="center" vertical="center"/>
    </xf>
    <xf numFmtId="0" fontId="35" fillId="0" borderId="5" xfId="0" applyFont="1" applyFill="1" applyBorder="1" applyAlignment="1">
      <alignment horizontal="center" vertical="center"/>
    </xf>
    <xf numFmtId="49" fontId="10" fillId="0" borderId="17" xfId="0" applyNumberFormat="1" applyFont="1" applyFill="1" applyBorder="1" applyAlignment="1">
      <alignment horizontal="left"/>
    </xf>
    <xf numFmtId="3" fontId="22" fillId="0" borderId="5" xfId="0" applyNumberFormat="1" applyFont="1" applyFill="1" applyBorder="1" applyAlignment="1">
      <alignment horizontal="right"/>
    </xf>
    <xf numFmtId="0" fontId="39" fillId="0" borderId="0" xfId="0" applyFont="1" applyFill="1" applyAlignment="1">
      <alignment horizontal="right"/>
    </xf>
    <xf numFmtId="0" fontId="51" fillId="0" borderId="0" xfId="0" applyFont="1" applyFill="1" applyAlignment="1"/>
    <xf numFmtId="4" fontId="0" fillId="0" borderId="0" xfId="0" applyNumberFormat="1" applyFill="1" applyAlignment="1">
      <alignment horizontal="right"/>
    </xf>
    <xf numFmtId="166" fontId="22" fillId="0" borderId="24" xfId="0" applyNumberFormat="1" applyFont="1" applyFill="1" applyBorder="1" applyAlignment="1">
      <alignment horizontal="center" vertical="center"/>
    </xf>
    <xf numFmtId="3" fontId="22" fillId="0" borderId="5" xfId="0" applyNumberFormat="1" applyFont="1" applyFill="1" applyBorder="1"/>
    <xf numFmtId="166" fontId="22" fillId="0" borderId="42" xfId="0" applyNumberFormat="1" applyFont="1" applyFill="1" applyBorder="1" applyAlignment="1">
      <alignment horizontal="center" vertical="center"/>
    </xf>
    <xf numFmtId="4" fontId="22" fillId="0" borderId="0" xfId="0" applyNumberFormat="1" applyFont="1" applyFill="1"/>
    <xf numFmtId="1" fontId="78" fillId="0" borderId="0" xfId="0" applyNumberFormat="1" applyFont="1" applyFill="1" applyBorder="1" applyAlignment="1">
      <alignment horizontal="left"/>
    </xf>
    <xf numFmtId="1" fontId="78" fillId="0" borderId="0" xfId="0" applyNumberFormat="1" applyFont="1" applyFill="1" applyBorder="1" applyAlignment="1">
      <alignment horizontal="center"/>
    </xf>
    <xf numFmtId="168" fontId="78" fillId="0" borderId="0" xfId="0" applyNumberFormat="1" applyFont="1" applyFill="1" applyBorder="1" applyAlignment="1">
      <alignment horizontal="center"/>
    </xf>
    <xf numFmtId="0" fontId="78" fillId="0" borderId="0" xfId="0" applyFont="1" applyFill="1" applyBorder="1"/>
    <xf numFmtId="3" fontId="51" fillId="0" borderId="0" xfId="0" applyNumberFormat="1" applyFont="1" applyFill="1"/>
    <xf numFmtId="167" fontId="14" fillId="0" borderId="0" xfId="0" applyNumberFormat="1" applyFont="1" applyFill="1" applyBorder="1" applyAlignment="1">
      <alignment horizontal="right"/>
    </xf>
    <xf numFmtId="1" fontId="54" fillId="0" borderId="0" xfId="0" applyNumberFormat="1" applyFont="1" applyFill="1" applyAlignment="1">
      <alignment horizontal="center"/>
    </xf>
    <xf numFmtId="168" fontId="54" fillId="0" borderId="0" xfId="0" applyNumberFormat="1" applyFont="1" applyFill="1" applyAlignment="1">
      <alignment horizontal="center"/>
    </xf>
    <xf numFmtId="0" fontId="54" fillId="0" borderId="0" xfId="0" applyFont="1" applyFill="1"/>
    <xf numFmtId="3" fontId="53" fillId="0" borderId="0" xfId="0" applyNumberFormat="1" applyFont="1" applyFill="1"/>
    <xf numFmtId="167" fontId="12" fillId="0" borderId="0" xfId="0" applyNumberFormat="1" applyFont="1" applyFill="1" applyBorder="1" applyAlignment="1">
      <alignment horizontal="right"/>
    </xf>
    <xf numFmtId="1" fontId="54" fillId="0" borderId="0" xfId="0" applyNumberFormat="1" applyFont="1" applyFill="1" applyAlignment="1">
      <alignment horizontal="left"/>
    </xf>
    <xf numFmtId="0" fontId="54" fillId="0" borderId="0" xfId="0" applyFont="1" applyFill="1" applyAlignment="1">
      <alignment horizontal="left"/>
    </xf>
    <xf numFmtId="3" fontId="53" fillId="0" borderId="0" xfId="0" applyNumberFormat="1" applyFont="1" applyFill="1" applyAlignment="1">
      <alignment horizontal="right"/>
    </xf>
    <xf numFmtId="3" fontId="31" fillId="0" borderId="10" xfId="0" applyNumberFormat="1" applyFont="1" applyFill="1" applyBorder="1"/>
    <xf numFmtId="167" fontId="31" fillId="0" borderId="10" xfId="0" applyNumberFormat="1" applyFont="1" applyFill="1" applyBorder="1" applyAlignment="1">
      <alignment horizontal="right" shrinkToFit="1"/>
    </xf>
    <xf numFmtId="0" fontId="22" fillId="0" borderId="39" xfId="0" applyFont="1" applyFill="1" applyBorder="1" applyAlignment="1">
      <alignment horizontal="left"/>
    </xf>
    <xf numFmtId="0" fontId="22" fillId="0" borderId="40" xfId="0" applyFont="1" applyFill="1" applyBorder="1" applyAlignment="1">
      <alignment horizontal="left"/>
    </xf>
    <xf numFmtId="3" fontId="22" fillId="0" borderId="45" xfId="0" applyNumberFormat="1" applyFont="1" applyFill="1" applyBorder="1" applyAlignment="1">
      <alignment horizontal="right"/>
    </xf>
    <xf numFmtId="3" fontId="22" fillId="0" borderId="15" xfId="0" applyNumberFormat="1" applyFont="1" applyFill="1" applyBorder="1" applyAlignment="1">
      <alignment vertical="center"/>
    </xf>
    <xf numFmtId="3" fontId="22" fillId="0" borderId="37" xfId="0" applyNumberFormat="1" applyFont="1" applyFill="1" applyBorder="1"/>
    <xf numFmtId="0" fontId="79" fillId="0" borderId="0" xfId="0" applyFont="1" applyFill="1"/>
    <xf numFmtId="0" fontId="4" fillId="0" borderId="0" xfId="0" applyFont="1" applyFill="1" applyAlignment="1">
      <alignment horizontal="right"/>
    </xf>
    <xf numFmtId="0" fontId="0" fillId="0" borderId="2" xfId="0" applyFill="1" applyBorder="1" applyAlignment="1">
      <alignment horizontal="right" vertical="center"/>
    </xf>
    <xf numFmtId="3" fontId="22" fillId="0" borderId="15" xfId="0" applyNumberFormat="1" applyFont="1" applyFill="1" applyBorder="1" applyAlignment="1">
      <alignment horizontal="right" vertical="center"/>
    </xf>
    <xf numFmtId="166" fontId="22" fillId="0" borderId="44" xfId="0" applyNumberFormat="1" applyFont="1" applyFill="1" applyBorder="1" applyAlignment="1">
      <alignment horizontal="right" vertical="center"/>
    </xf>
    <xf numFmtId="167" fontId="6" fillId="0" borderId="0" xfId="0" applyNumberFormat="1" applyFont="1" applyFill="1" applyBorder="1" applyAlignment="1">
      <alignment horizontal="right"/>
    </xf>
    <xf numFmtId="0" fontId="23" fillId="0" borderId="0" xfId="0" applyFont="1" applyFill="1" applyAlignment="1">
      <alignment horizontal="right"/>
    </xf>
    <xf numFmtId="167" fontId="67" fillId="0" borderId="10" xfId="0" applyNumberFormat="1" applyFont="1" applyFill="1" applyBorder="1" applyAlignment="1">
      <alignment horizontal="right" shrinkToFit="1"/>
    </xf>
    <xf numFmtId="0" fontId="64" fillId="0" borderId="0" xfId="0" applyFont="1" applyFill="1"/>
    <xf numFmtId="167" fontId="17" fillId="0" borderId="10" xfId="0" applyNumberFormat="1" applyFont="1" applyFill="1" applyBorder="1" applyAlignment="1">
      <alignment horizontal="right" shrinkToFit="1"/>
    </xf>
    <xf numFmtId="166" fontId="0" fillId="0" borderId="0" xfId="0" applyNumberFormat="1" applyFill="1" applyAlignment="1">
      <alignment horizontal="center"/>
    </xf>
    <xf numFmtId="166" fontId="39" fillId="0" borderId="0" xfId="0" applyNumberFormat="1" applyFont="1" applyFill="1" applyAlignment="1">
      <alignment horizontal="right"/>
    </xf>
    <xf numFmtId="166" fontId="39" fillId="0" borderId="0" xfId="0" applyNumberFormat="1" applyFont="1" applyFill="1" applyAlignment="1">
      <alignment horizontal="center"/>
    </xf>
    <xf numFmtId="166" fontId="23" fillId="0" borderId="0" xfId="0" applyNumberFormat="1" applyFont="1" applyFill="1" applyAlignment="1">
      <alignment horizontal="center"/>
    </xf>
    <xf numFmtId="166" fontId="0" fillId="0" borderId="24" xfId="0" applyNumberFormat="1" applyFill="1" applyBorder="1" applyAlignment="1">
      <alignment horizontal="center" vertical="center"/>
    </xf>
    <xf numFmtId="0" fontId="22" fillId="0" borderId="0" xfId="0" applyFont="1" applyFill="1" applyAlignment="1">
      <alignment vertical="center"/>
    </xf>
    <xf numFmtId="3" fontId="22" fillId="0" borderId="0" xfId="0" applyNumberFormat="1" applyFont="1" applyFill="1" applyAlignment="1">
      <alignment horizontal="right"/>
    </xf>
    <xf numFmtId="3" fontId="4" fillId="0" borderId="0" xfId="0" applyNumberFormat="1" applyFont="1" applyFill="1" applyAlignment="1">
      <alignment horizontal="right"/>
    </xf>
    <xf numFmtId="3" fontId="28" fillId="0" borderId="5" xfId="0" applyNumberFormat="1" applyFont="1" applyFill="1" applyBorder="1" applyAlignment="1">
      <alignment horizontal="center" vertical="center" wrapText="1"/>
    </xf>
    <xf numFmtId="3" fontId="28" fillId="0" borderId="37" xfId="0" applyNumberFormat="1" applyFont="1" applyFill="1" applyBorder="1" applyAlignment="1">
      <alignment horizontal="center" vertical="center" wrapText="1"/>
    </xf>
    <xf numFmtId="3" fontId="35" fillId="0" borderId="37" xfId="0" applyNumberFormat="1" applyFont="1" applyFill="1" applyBorder="1" applyAlignment="1">
      <alignment horizontal="center" vertical="center" wrapText="1"/>
    </xf>
    <xf numFmtId="0" fontId="39" fillId="0" borderId="19" xfId="0" applyFont="1" applyFill="1" applyBorder="1" applyAlignment="1"/>
    <xf numFmtId="0" fontId="0" fillId="0" borderId="19" xfId="0" applyFill="1" applyBorder="1" applyAlignment="1"/>
    <xf numFmtId="3" fontId="22" fillId="0" borderId="37" xfId="0" applyNumberFormat="1" applyFont="1" applyFill="1" applyBorder="1" applyAlignment="1">
      <alignment horizontal="right"/>
    </xf>
    <xf numFmtId="167" fontId="18" fillId="0" borderId="0" xfId="0" applyNumberFormat="1" applyFont="1" applyFill="1" applyBorder="1" applyAlignment="1">
      <alignment horizontal="right"/>
    </xf>
    <xf numFmtId="166" fontId="22" fillId="0" borderId="24" xfId="0" applyNumberFormat="1" applyFont="1" applyFill="1" applyBorder="1" applyAlignment="1">
      <alignment horizontal="right" vertical="center"/>
    </xf>
    <xf numFmtId="3" fontId="19" fillId="0" borderId="0" xfId="0" applyNumberFormat="1" applyFont="1" applyFill="1" applyAlignment="1">
      <alignment horizontal="right"/>
    </xf>
    <xf numFmtId="1" fontId="5" fillId="0" borderId="0" xfId="0" applyNumberFormat="1" applyFont="1" applyFill="1" applyAlignment="1">
      <alignment horizontal="center"/>
    </xf>
    <xf numFmtId="1" fontId="10" fillId="0" borderId="0" xfId="0" applyNumberFormat="1" applyFont="1" applyFill="1" applyAlignment="1">
      <alignment horizontal="left"/>
    </xf>
    <xf numFmtId="0" fontId="7" fillId="0" borderId="4" xfId="0" applyFont="1" applyFill="1" applyBorder="1" applyAlignment="1">
      <alignment horizontal="center" vertical="center"/>
    </xf>
    <xf numFmtId="1" fontId="7" fillId="0" borderId="5" xfId="0" applyNumberFormat="1" applyFont="1" applyFill="1" applyBorder="1" applyAlignment="1">
      <alignment horizontal="center" vertical="center"/>
    </xf>
    <xf numFmtId="3" fontId="10" fillId="0" borderId="5" xfId="0" applyNumberFormat="1" applyFont="1" applyFill="1" applyBorder="1" applyAlignment="1">
      <alignment horizontal="center" vertical="center"/>
    </xf>
    <xf numFmtId="3" fontId="7" fillId="0" borderId="5" xfId="0" applyNumberFormat="1" applyFont="1" applyFill="1" applyBorder="1" applyAlignment="1">
      <alignment horizontal="center" vertical="center"/>
    </xf>
    <xf numFmtId="167" fontId="7" fillId="0" borderId="24" xfId="0" applyNumberFormat="1" applyFont="1" applyFill="1" applyBorder="1" applyAlignment="1">
      <alignment horizontal="center" vertical="center"/>
    </xf>
    <xf numFmtId="1" fontId="35" fillId="0" borderId="24" xfId="0" applyNumberFormat="1" applyFont="1" applyFill="1" applyBorder="1" applyAlignment="1">
      <alignment horizontal="center" vertical="center" wrapText="1"/>
    </xf>
    <xf numFmtId="0" fontId="26" fillId="0" borderId="7" xfId="0" applyFont="1" applyFill="1" applyBorder="1" applyAlignment="1">
      <alignment horizontal="left"/>
    </xf>
    <xf numFmtId="0" fontId="6" fillId="0" borderId="7" xfId="0" applyFont="1" applyFill="1" applyBorder="1"/>
    <xf numFmtId="3" fontId="21" fillId="0" borderId="8" xfId="0" applyNumberFormat="1" applyFont="1" applyFill="1" applyBorder="1" applyAlignment="1">
      <alignment horizontal="center"/>
    </xf>
    <xf numFmtId="0" fontId="6" fillId="0" borderId="8" xfId="0" applyFont="1" applyFill="1" applyBorder="1"/>
    <xf numFmtId="3" fontId="8" fillId="0" borderId="5" xfId="0" applyNumberFormat="1" applyFont="1" applyFill="1" applyBorder="1"/>
    <xf numFmtId="167" fontId="8" fillId="0" borderId="22" xfId="0" applyNumberFormat="1" applyFont="1" applyFill="1" applyBorder="1"/>
    <xf numFmtId="1" fontId="5" fillId="0" borderId="0" xfId="0" applyNumberFormat="1" applyFont="1" applyFill="1" applyAlignment="1">
      <alignment horizontal="left"/>
    </xf>
    <xf numFmtId="0" fontId="5" fillId="0" borderId="0" xfId="0" applyFont="1" applyFill="1"/>
    <xf numFmtId="0" fontId="5" fillId="0" borderId="0" xfId="0" applyFont="1" applyFill="1" applyAlignment="1">
      <alignment horizontal="right"/>
    </xf>
    <xf numFmtId="0" fontId="9" fillId="0" borderId="0" xfId="0" applyFont="1" applyFill="1"/>
    <xf numFmtId="167" fontId="9" fillId="0" borderId="0" xfId="0" applyNumberFormat="1" applyFont="1" applyFill="1"/>
    <xf numFmtId="0" fontId="31" fillId="0" borderId="10" xfId="0" applyFont="1" applyFill="1" applyBorder="1" applyAlignment="1">
      <alignment horizontal="left"/>
    </xf>
    <xf numFmtId="1" fontId="32" fillId="0" borderId="10" xfId="0" applyNumberFormat="1" applyFont="1" applyFill="1" applyBorder="1" applyAlignment="1">
      <alignment horizontal="center"/>
    </xf>
    <xf numFmtId="1" fontId="32" fillId="0" borderId="10" xfId="0" applyNumberFormat="1" applyFont="1" applyFill="1" applyBorder="1" applyAlignment="1">
      <alignment horizontal="left"/>
    </xf>
    <xf numFmtId="0" fontId="32" fillId="0" borderId="10" xfId="0" applyFont="1" applyFill="1" applyBorder="1"/>
    <xf numFmtId="1" fontId="5" fillId="0" borderId="27" xfId="0" applyNumberFormat="1" applyFont="1" applyFill="1" applyBorder="1" applyAlignment="1">
      <alignment horizontal="left"/>
    </xf>
    <xf numFmtId="167" fontId="8" fillId="0" borderId="22" xfId="0" applyNumberFormat="1" applyFont="1" applyFill="1" applyBorder="1" applyAlignment="1">
      <alignment shrinkToFit="1"/>
    </xf>
    <xf numFmtId="168" fontId="28" fillId="0" borderId="0" xfId="0" applyNumberFormat="1" applyFont="1" applyFill="1" applyAlignment="1">
      <alignment horizontal="center"/>
    </xf>
    <xf numFmtId="167" fontId="29" fillId="0" borderId="0" xfId="0" applyNumberFormat="1" applyFont="1" applyFill="1"/>
    <xf numFmtId="0" fontId="59" fillId="0" borderId="0" xfId="0" applyFont="1" applyFill="1"/>
    <xf numFmtId="168" fontId="36" fillId="0" borderId="0" xfId="0" applyNumberFormat="1" applyFont="1" applyFill="1" applyAlignment="1">
      <alignment horizontal="left"/>
    </xf>
    <xf numFmtId="3" fontId="59" fillId="0" borderId="0" xfId="0" applyNumberFormat="1" applyFont="1" applyFill="1"/>
    <xf numFmtId="167" fontId="59" fillId="0" borderId="0" xfId="0" applyNumberFormat="1" applyFont="1" applyFill="1"/>
    <xf numFmtId="168" fontId="7" fillId="0" borderId="5" xfId="0" applyNumberFormat="1" applyFont="1" applyFill="1" applyBorder="1" applyAlignment="1">
      <alignment horizontal="center" vertical="center"/>
    </xf>
    <xf numFmtId="0" fontId="9" fillId="0" borderId="17" xfId="0" applyFont="1" applyFill="1" applyBorder="1"/>
    <xf numFmtId="1" fontId="5" fillId="0" borderId="2" xfId="0" applyNumberFormat="1" applyFont="1" applyFill="1" applyBorder="1" applyAlignment="1">
      <alignment horizontal="left"/>
    </xf>
    <xf numFmtId="1" fontId="5" fillId="0" borderId="14" xfId="0" applyNumberFormat="1" applyFont="1" applyFill="1" applyBorder="1" applyAlignment="1">
      <alignment horizontal="left"/>
    </xf>
    <xf numFmtId="168" fontId="21" fillId="0" borderId="8" xfId="0" applyNumberFormat="1" applyFont="1" applyFill="1" applyBorder="1" applyAlignment="1">
      <alignment horizontal="center"/>
    </xf>
    <xf numFmtId="168" fontId="10" fillId="0" borderId="0" xfId="0" applyNumberFormat="1" applyFont="1" applyFill="1" applyAlignment="1">
      <alignment horizontal="center"/>
    </xf>
    <xf numFmtId="0" fontId="5" fillId="0" borderId="0" xfId="0" applyFont="1" applyFill="1" applyBorder="1"/>
    <xf numFmtId="3" fontId="9" fillId="0" borderId="0" xfId="0" applyNumberFormat="1" applyFont="1" applyFill="1"/>
    <xf numFmtId="3" fontId="15" fillId="0" borderId="0" xfId="0" applyNumberFormat="1" applyFont="1" applyFill="1"/>
    <xf numFmtId="3" fontId="25" fillId="0" borderId="0" xfId="0" applyNumberFormat="1" applyFont="1" applyFill="1"/>
    <xf numFmtId="166" fontId="9" fillId="0" borderId="0" xfId="0" applyNumberFormat="1" applyFont="1" applyFill="1"/>
    <xf numFmtId="0" fontId="7" fillId="0" borderId="38" xfId="0" applyFont="1" applyFill="1" applyBorder="1" applyAlignment="1">
      <alignment horizontal="center" vertical="center"/>
    </xf>
    <xf numFmtId="1" fontId="7" fillId="0" borderId="9" xfId="0" applyNumberFormat="1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3" fontId="7" fillId="0" borderId="9" xfId="0" applyNumberFormat="1" applyFont="1" applyFill="1" applyBorder="1" applyAlignment="1">
      <alignment horizontal="center" vertical="center"/>
    </xf>
    <xf numFmtId="0" fontId="26" fillId="0" borderId="33" xfId="0" applyFont="1" applyFill="1" applyBorder="1" applyAlignment="1">
      <alignment horizontal="left"/>
    </xf>
    <xf numFmtId="0" fontId="6" fillId="0" borderId="34" xfId="0" applyFont="1" applyFill="1" applyBorder="1"/>
    <xf numFmtId="3" fontId="8" fillId="0" borderId="14" xfId="0" applyNumberFormat="1" applyFont="1" applyFill="1" applyBorder="1"/>
    <xf numFmtId="3" fontId="6" fillId="0" borderId="0" xfId="0" applyNumberFormat="1" applyFont="1" applyFill="1"/>
    <xf numFmtId="49" fontId="10" fillId="0" borderId="0" xfId="0" applyNumberFormat="1" applyFont="1" applyFill="1" applyAlignment="1">
      <alignment horizontal="left"/>
    </xf>
    <xf numFmtId="49" fontId="27" fillId="0" borderId="2" xfId="0" applyNumberFormat="1" applyFont="1" applyFill="1" applyBorder="1" applyAlignment="1">
      <alignment horizontal="left"/>
    </xf>
    <xf numFmtId="3" fontId="12" fillId="0" borderId="2" xfId="4" applyFont="1" applyFill="1" applyBorder="1" applyAlignment="1">
      <alignment horizontal="right"/>
    </xf>
    <xf numFmtId="3" fontId="15" fillId="0" borderId="2" xfId="4" applyFont="1" applyFill="1" applyBorder="1" applyAlignment="1">
      <alignment horizontal="right"/>
    </xf>
    <xf numFmtId="49" fontId="10" fillId="0" borderId="14" xfId="0" applyNumberFormat="1" applyFont="1" applyFill="1" applyBorder="1" applyAlignment="1">
      <alignment horizontal="left"/>
    </xf>
    <xf numFmtId="1" fontId="13" fillId="0" borderId="0" xfId="0" applyNumberFormat="1" applyFont="1" applyFill="1" applyAlignment="1">
      <alignment horizontal="left"/>
    </xf>
    <xf numFmtId="3" fontId="41" fillId="0" borderId="0" xfId="0" applyNumberFormat="1" applyFont="1" applyFill="1" applyBorder="1"/>
    <xf numFmtId="3" fontId="12" fillId="0" borderId="2" xfId="5" applyFont="1" applyFill="1" applyBorder="1" applyAlignment="1">
      <alignment wrapText="1"/>
    </xf>
    <xf numFmtId="3" fontId="12" fillId="0" borderId="0" xfId="5" applyFont="1" applyFill="1" applyAlignment="1">
      <alignment horizontal="right"/>
    </xf>
    <xf numFmtId="0" fontId="49" fillId="0" borderId="0" xfId="0" applyFont="1" applyFill="1"/>
    <xf numFmtId="167" fontId="31" fillId="0" borderId="10" xfId="0" applyNumberFormat="1" applyFont="1" applyFill="1" applyBorder="1" applyAlignment="1">
      <alignment shrinkToFit="1"/>
    </xf>
    <xf numFmtId="1" fontId="5" fillId="0" borderId="0" xfId="0" applyNumberFormat="1" applyFont="1" applyFill="1" applyBorder="1" applyAlignment="1">
      <alignment horizontal="left"/>
    </xf>
    <xf numFmtId="1" fontId="5" fillId="0" borderId="6" xfId="0" applyNumberFormat="1" applyFont="1" applyFill="1" applyBorder="1" applyAlignment="1">
      <alignment horizontal="left"/>
    </xf>
    <xf numFmtId="49" fontId="10" fillId="0" borderId="2" xfId="0" applyNumberFormat="1" applyFont="1" applyFill="1" applyBorder="1" applyAlignment="1">
      <alignment horizontal="left" vertical="top"/>
    </xf>
    <xf numFmtId="1" fontId="5" fillId="0" borderId="17" xfId="0" applyNumberFormat="1" applyFont="1" applyFill="1" applyBorder="1" applyAlignment="1">
      <alignment horizontal="left"/>
    </xf>
    <xf numFmtId="0" fontId="6" fillId="0" borderId="5" xfId="0" applyFont="1" applyFill="1" applyBorder="1"/>
    <xf numFmtId="167" fontId="24" fillId="0" borderId="0" xfId="0" applyNumberFormat="1" applyFont="1" applyFill="1"/>
    <xf numFmtId="167" fontId="53" fillId="0" borderId="0" xfId="0" applyNumberFormat="1" applyFont="1" applyFill="1"/>
    <xf numFmtId="3" fontId="12" fillId="0" borderId="0" xfId="0" applyNumberFormat="1" applyFont="1" applyFill="1"/>
    <xf numFmtId="0" fontId="7" fillId="0" borderId="5" xfId="0" applyFont="1" applyFill="1" applyBorder="1" applyAlignment="1">
      <alignment horizontal="center" vertical="center"/>
    </xf>
    <xf numFmtId="1" fontId="5" fillId="0" borderId="9" xfId="0" applyNumberFormat="1" applyFont="1" applyFill="1" applyBorder="1" applyAlignment="1">
      <alignment horizontal="left"/>
    </xf>
    <xf numFmtId="167" fontId="52" fillId="0" borderId="0" xfId="0" applyNumberFormat="1" applyFont="1" applyFill="1" applyBorder="1"/>
    <xf numFmtId="167" fontId="6" fillId="0" borderId="0" xfId="0" applyNumberFormat="1" applyFont="1" applyFill="1" applyBorder="1"/>
    <xf numFmtId="49" fontId="10" fillId="0" borderId="0" xfId="0" applyNumberFormat="1" applyFont="1" applyFill="1" applyBorder="1" applyAlignment="1">
      <alignment horizontal="left"/>
    </xf>
    <xf numFmtId="0" fontId="9" fillId="0" borderId="2" xfId="0" applyFont="1" applyFill="1" applyBorder="1"/>
    <xf numFmtId="1" fontId="53" fillId="0" borderId="0" xfId="0" applyNumberFormat="1" applyFont="1" applyFill="1" applyAlignment="1">
      <alignment horizontal="center"/>
    </xf>
    <xf numFmtId="0" fontId="53" fillId="0" borderId="0" xfId="0" applyFont="1" applyFill="1"/>
    <xf numFmtId="166" fontId="36" fillId="0" borderId="0" xfId="0" applyNumberFormat="1" applyFont="1" applyFill="1"/>
    <xf numFmtId="3" fontId="28" fillId="0" borderId="0" xfId="0" applyNumberFormat="1" applyFont="1" applyFill="1"/>
    <xf numFmtId="3" fontId="10" fillId="0" borderId="0" xfId="0" applyNumberFormat="1" applyFont="1" applyFill="1" applyAlignment="1">
      <alignment horizontal="center"/>
    </xf>
    <xf numFmtId="3" fontId="36" fillId="0" borderId="0" xfId="0" applyNumberFormat="1" applyFont="1" applyFill="1" applyAlignment="1">
      <alignment horizontal="right"/>
    </xf>
    <xf numFmtId="166" fontId="7" fillId="0" borderId="24" xfId="0" applyNumberFormat="1" applyFont="1" applyFill="1" applyBorder="1" applyAlignment="1">
      <alignment horizontal="center" vertical="center"/>
    </xf>
    <xf numFmtId="3" fontId="10" fillId="0" borderId="2" xfId="0" applyNumberFormat="1" applyFont="1" applyFill="1" applyBorder="1" applyAlignment="1">
      <alignment horizontal="left"/>
    </xf>
    <xf numFmtId="3" fontId="9" fillId="0" borderId="2" xfId="0" applyNumberFormat="1" applyFont="1" applyFill="1" applyBorder="1"/>
    <xf numFmtId="166" fontId="9" fillId="0" borderId="21" xfId="0" applyNumberFormat="1" applyFont="1" applyFill="1" applyBorder="1"/>
    <xf numFmtId="3" fontId="12" fillId="0" borderId="15" xfId="0" applyNumberFormat="1" applyFont="1" applyFill="1" applyBorder="1"/>
    <xf numFmtId="166" fontId="15" fillId="0" borderId="21" xfId="0" applyNumberFormat="1" applyFont="1" applyFill="1" applyBorder="1"/>
    <xf numFmtId="3" fontId="9" fillId="0" borderId="5" xfId="0" applyNumberFormat="1" applyFont="1" applyFill="1" applyBorder="1"/>
    <xf numFmtId="166" fontId="9" fillId="0" borderId="24" xfId="0" applyNumberFormat="1" applyFont="1" applyFill="1" applyBorder="1"/>
    <xf numFmtId="166" fontId="9" fillId="0" borderId="23" xfId="0" applyNumberFormat="1" applyFont="1" applyFill="1" applyBorder="1"/>
    <xf numFmtId="3" fontId="15" fillId="0" borderId="2" xfId="0" applyNumberFormat="1" applyFont="1" applyFill="1" applyBorder="1"/>
    <xf numFmtId="166" fontId="15" fillId="0" borderId="25" xfId="0" applyNumberFormat="1" applyFont="1" applyFill="1" applyBorder="1"/>
    <xf numFmtId="3" fontId="27" fillId="0" borderId="2" xfId="0" applyNumberFormat="1" applyFont="1" applyFill="1" applyBorder="1" applyAlignment="1">
      <alignment horizontal="left"/>
    </xf>
    <xf numFmtId="3" fontId="15" fillId="0" borderId="3" xfId="0" applyNumberFormat="1" applyFont="1" applyFill="1" applyBorder="1"/>
    <xf numFmtId="166" fontId="15" fillId="0" borderId="49" xfId="0" applyNumberFormat="1" applyFont="1" applyFill="1" applyBorder="1"/>
    <xf numFmtId="3" fontId="15" fillId="0" borderId="17" xfId="0" applyNumberFormat="1" applyFont="1" applyFill="1" applyBorder="1"/>
    <xf numFmtId="3" fontId="9" fillId="0" borderId="17" xfId="0" applyNumberFormat="1" applyFont="1" applyFill="1" applyBorder="1"/>
    <xf numFmtId="166" fontId="9" fillId="0" borderId="25" xfId="0" applyNumberFormat="1" applyFont="1" applyFill="1" applyBorder="1"/>
    <xf numFmtId="3" fontId="12" fillId="0" borderId="17" xfId="0" applyNumberFormat="1" applyFont="1" applyFill="1" applyBorder="1"/>
    <xf numFmtId="166" fontId="14" fillId="0" borderId="25" xfId="0" applyNumberFormat="1" applyFont="1" applyFill="1" applyBorder="1"/>
    <xf numFmtId="3" fontId="10" fillId="0" borderId="9" xfId="0" applyNumberFormat="1" applyFont="1" applyFill="1" applyBorder="1" applyAlignment="1">
      <alignment horizontal="left"/>
    </xf>
    <xf numFmtId="1" fontId="5" fillId="0" borderId="15" xfId="0" applyNumberFormat="1" applyFont="1" applyFill="1" applyBorder="1" applyAlignment="1">
      <alignment horizontal="left"/>
    </xf>
    <xf numFmtId="3" fontId="15" fillId="0" borderId="0" xfId="0" applyNumberFormat="1" applyFont="1" applyFill="1" applyBorder="1"/>
    <xf numFmtId="3" fontId="27" fillId="0" borderId="17" xfId="0" applyNumberFormat="1" applyFont="1" applyFill="1" applyBorder="1" applyAlignment="1">
      <alignment horizontal="left"/>
    </xf>
    <xf numFmtId="3" fontId="9" fillId="0" borderId="41" xfId="0" applyNumberFormat="1" applyFont="1" applyFill="1" applyBorder="1"/>
    <xf numFmtId="3" fontId="14" fillId="0" borderId="17" xfId="0" applyNumberFormat="1" applyFont="1" applyFill="1" applyBorder="1"/>
    <xf numFmtId="1" fontId="5" fillId="0" borderId="41" xfId="0" applyNumberFormat="1" applyFont="1" applyFill="1" applyBorder="1" applyAlignment="1">
      <alignment horizontal="left"/>
    </xf>
    <xf numFmtId="166" fontId="9" fillId="0" borderId="43" xfId="0" applyNumberFormat="1" applyFont="1" applyFill="1" applyBorder="1"/>
    <xf numFmtId="3" fontId="14" fillId="0" borderId="2" xfId="0" applyNumberFormat="1" applyFont="1" applyFill="1" applyBorder="1"/>
    <xf numFmtId="3" fontId="10" fillId="0" borderId="41" xfId="0" applyNumberFormat="1" applyFont="1" applyFill="1" applyBorder="1" applyAlignment="1">
      <alignment horizontal="left"/>
    </xf>
    <xf numFmtId="166" fontId="14" fillId="0" borderId="21" xfId="0" applyNumberFormat="1" applyFont="1" applyFill="1" applyBorder="1"/>
    <xf numFmtId="166" fontId="12" fillId="0" borderId="21" xfId="0" applyNumberFormat="1" applyFont="1" applyFill="1" applyBorder="1"/>
    <xf numFmtId="166" fontId="15" fillId="0" borderId="42" xfId="0" applyNumberFormat="1" applyFont="1" applyFill="1" applyBorder="1"/>
    <xf numFmtId="166" fontId="9" fillId="0" borderId="42" xfId="0" applyNumberFormat="1" applyFont="1" applyFill="1" applyBorder="1"/>
    <xf numFmtId="3" fontId="10" fillId="0" borderId="17" xfId="0" applyNumberFormat="1" applyFont="1" applyFill="1" applyBorder="1" applyAlignment="1">
      <alignment horizontal="left"/>
    </xf>
    <xf numFmtId="0" fontId="9" fillId="0" borderId="9" xfId="0" applyFont="1" applyFill="1" applyBorder="1"/>
    <xf numFmtId="3" fontId="9" fillId="0" borderId="9" xfId="0" applyNumberFormat="1" applyFont="1" applyFill="1" applyBorder="1"/>
    <xf numFmtId="3" fontId="52" fillId="0" borderId="5" xfId="0" applyNumberFormat="1" applyFont="1" applyFill="1" applyBorder="1"/>
    <xf numFmtId="166" fontId="52" fillId="0" borderId="24" xfId="0" applyNumberFormat="1" applyFont="1" applyFill="1" applyBorder="1"/>
    <xf numFmtId="1" fontId="22" fillId="0" borderId="9" xfId="0" applyNumberFormat="1" applyFont="1" applyFill="1" applyBorder="1" applyAlignment="1">
      <alignment horizontal="right" vertical="center" wrapText="1"/>
    </xf>
    <xf numFmtId="0" fontId="35" fillId="0" borderId="6" xfId="0" applyFont="1" applyFill="1" applyBorder="1" applyAlignment="1">
      <alignment horizontal="center" vertical="center"/>
    </xf>
    <xf numFmtId="0" fontId="35" fillId="0" borderId="17" xfId="0" applyFont="1" applyFill="1" applyBorder="1" applyAlignment="1">
      <alignment horizontal="center" vertical="center"/>
    </xf>
    <xf numFmtId="1" fontId="12" fillId="0" borderId="17" xfId="0" applyNumberFormat="1" applyFont="1" applyFill="1" applyBorder="1" applyAlignment="1">
      <alignment horizontal="left"/>
    </xf>
    <xf numFmtId="3" fontId="15" fillId="0" borderId="14" xfId="0" applyNumberFormat="1" applyFont="1" applyFill="1" applyBorder="1"/>
    <xf numFmtId="166" fontId="15" fillId="0" borderId="35" xfId="0" applyNumberFormat="1" applyFont="1" applyFill="1" applyBorder="1"/>
    <xf numFmtId="3" fontId="9" fillId="0" borderId="14" xfId="0" applyNumberFormat="1" applyFont="1" applyFill="1" applyBorder="1"/>
    <xf numFmtId="0" fontId="7" fillId="0" borderId="6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1" fontId="7" fillId="0" borderId="2" xfId="0" applyNumberFormat="1" applyFont="1" applyFill="1" applyBorder="1" applyAlignment="1">
      <alignment horizontal="center" vertical="center"/>
    </xf>
    <xf numFmtId="3" fontId="12" fillId="0" borderId="2" xfId="0" applyNumberFormat="1" applyFont="1" applyFill="1" applyBorder="1" applyAlignment="1">
      <alignment horizontal="right" vertical="center"/>
    </xf>
    <xf numFmtId="3" fontId="12" fillId="0" borderId="0" xfId="0" applyNumberFormat="1" applyFont="1" applyFill="1" applyBorder="1"/>
    <xf numFmtId="3" fontId="14" fillId="0" borderId="14" xfId="0" applyNumberFormat="1" applyFont="1" applyFill="1" applyBorder="1"/>
    <xf numFmtId="166" fontId="14" fillId="0" borderId="42" xfId="0" applyNumberFormat="1" applyFont="1" applyFill="1" applyBorder="1"/>
    <xf numFmtId="0" fontId="9" fillId="0" borderId="41" xfId="0" applyFont="1" applyFill="1" applyBorder="1"/>
    <xf numFmtId="3" fontId="14" fillId="0" borderId="2" xfId="0" applyNumberFormat="1" applyFont="1" applyFill="1" applyBorder="1" applyAlignment="1">
      <alignment horizontal="right" vertical="center"/>
    </xf>
    <xf numFmtId="3" fontId="14" fillId="0" borderId="5" xfId="0" applyNumberFormat="1" applyFont="1" applyFill="1" applyBorder="1"/>
    <xf numFmtId="166" fontId="14" fillId="0" borderId="24" xfId="0" applyNumberFormat="1" applyFont="1" applyFill="1" applyBorder="1"/>
    <xf numFmtId="166" fontId="15" fillId="0" borderId="0" xfId="0" applyNumberFormat="1" applyFont="1" applyFill="1" applyBorder="1"/>
    <xf numFmtId="168" fontId="10" fillId="0" borderId="0" xfId="0" applyNumberFormat="1" applyFont="1" applyFill="1" applyBorder="1" applyAlignment="1">
      <alignment horizontal="left"/>
    </xf>
    <xf numFmtId="3" fontId="13" fillId="0" borderId="0" xfId="0" applyNumberFormat="1" applyFont="1" applyFill="1" applyBorder="1"/>
    <xf numFmtId="166" fontId="9" fillId="0" borderId="54" xfId="0" applyNumberFormat="1" applyFont="1" applyFill="1" applyBorder="1"/>
    <xf numFmtId="3" fontId="28" fillId="0" borderId="0" xfId="0" applyNumberFormat="1" applyFont="1" applyFill="1" applyBorder="1"/>
    <xf numFmtId="0" fontId="7" fillId="0" borderId="17" xfId="0" applyFont="1" applyFill="1" applyBorder="1" applyAlignment="1">
      <alignment horizontal="center" vertical="center"/>
    </xf>
    <xf numFmtId="1" fontId="7" fillId="0" borderId="17" xfId="0" applyNumberFormat="1" applyFont="1" applyFill="1" applyBorder="1" applyAlignment="1">
      <alignment horizontal="center" vertical="center"/>
    </xf>
    <xf numFmtId="3" fontId="15" fillId="0" borderId="17" xfId="0" applyNumberFormat="1" applyFont="1" applyFill="1" applyBorder="1" applyAlignment="1">
      <alignment horizontal="right"/>
    </xf>
    <xf numFmtId="3" fontId="7" fillId="0" borderId="0" xfId="0" applyNumberFormat="1" applyFont="1" applyFill="1"/>
    <xf numFmtId="3" fontId="14" fillId="0" borderId="41" xfId="0" applyNumberFormat="1" applyFont="1" applyFill="1" applyBorder="1"/>
    <xf numFmtId="166" fontId="14" fillId="0" borderId="43" xfId="0" applyNumberFormat="1" applyFont="1" applyFill="1" applyBorder="1"/>
    <xf numFmtId="1" fontId="19" fillId="0" borderId="0" xfId="0" applyNumberFormat="1" applyFont="1" applyFill="1" applyAlignment="1">
      <alignment horizontal="left"/>
    </xf>
    <xf numFmtId="3" fontId="37" fillId="0" borderId="0" xfId="0" applyNumberFormat="1" applyFont="1" applyFill="1"/>
    <xf numFmtId="0" fontId="6" fillId="0" borderId="33" xfId="0" applyFont="1" applyFill="1" applyBorder="1"/>
    <xf numFmtId="3" fontId="5" fillId="0" borderId="0" xfId="0" applyNumberFormat="1" applyFont="1" applyFill="1"/>
    <xf numFmtId="0" fontId="14" fillId="0" borderId="0" xfId="0" applyFont="1" applyFill="1"/>
    <xf numFmtId="3" fontId="14" fillId="0" borderId="0" xfId="0" applyNumberFormat="1" applyFont="1" applyFill="1"/>
    <xf numFmtId="167" fontId="52" fillId="0" borderId="35" xfId="0" applyNumberFormat="1" applyFont="1" applyFill="1" applyBorder="1"/>
    <xf numFmtId="168" fontId="27" fillId="0" borderId="0" xfId="0" applyNumberFormat="1" applyFont="1" applyFill="1" applyAlignment="1">
      <alignment horizontal="center"/>
    </xf>
    <xf numFmtId="3" fontId="14" fillId="0" borderId="0" xfId="0" applyNumberFormat="1" applyFont="1" applyFill="1" applyBorder="1"/>
    <xf numFmtId="167" fontId="8" fillId="0" borderId="0" xfId="0" applyNumberFormat="1" applyFont="1" applyFill="1" applyBorder="1" applyAlignment="1">
      <alignment shrinkToFit="1"/>
    </xf>
    <xf numFmtId="167" fontId="8" fillId="0" borderId="35" xfId="0" applyNumberFormat="1" applyFont="1" applyFill="1" applyBorder="1" applyAlignment="1"/>
    <xf numFmtId="1" fontId="18" fillId="0" borderId="0" xfId="0" applyNumberFormat="1" applyFont="1" applyFill="1" applyAlignment="1">
      <alignment horizontal="left"/>
    </xf>
    <xf numFmtId="0" fontId="57" fillId="0" borderId="0" xfId="0" applyFont="1" applyFill="1"/>
    <xf numFmtId="167" fontId="66" fillId="0" borderId="0" xfId="0" applyNumberFormat="1" applyFont="1" applyFill="1" applyBorder="1"/>
    <xf numFmtId="1" fontId="52" fillId="0" borderId="0" xfId="0" applyNumberFormat="1" applyFont="1" applyFill="1" applyAlignment="1">
      <alignment horizontal="left"/>
    </xf>
    <xf numFmtId="166" fontId="8" fillId="0" borderId="22" xfId="0" applyNumberFormat="1" applyFont="1" applyFill="1" applyBorder="1"/>
    <xf numFmtId="3" fontId="51" fillId="0" borderId="0" xfId="0" applyNumberFormat="1" applyFont="1" applyFill="1" applyBorder="1" applyAlignment="1">
      <alignment horizontal="right"/>
    </xf>
    <xf numFmtId="3" fontId="54" fillId="0" borderId="0" xfId="0" applyNumberFormat="1" applyFont="1" applyFill="1" applyAlignment="1">
      <alignment horizontal="right"/>
    </xf>
    <xf numFmtId="3" fontId="66" fillId="0" borderId="0" xfId="0" applyNumberFormat="1" applyFont="1" applyFill="1" applyBorder="1"/>
    <xf numFmtId="1" fontId="7" fillId="0" borderId="0" xfId="0" applyNumberFormat="1" applyFont="1" applyFill="1" applyBorder="1" applyAlignment="1">
      <alignment horizontal="left"/>
    </xf>
    <xf numFmtId="168" fontId="10" fillId="0" borderId="0" xfId="0" applyNumberFormat="1" applyFont="1" applyFill="1" applyBorder="1" applyAlignment="1">
      <alignment horizontal="center"/>
    </xf>
    <xf numFmtId="166" fontId="31" fillId="0" borderId="10" xfId="0" applyNumberFormat="1" applyFont="1" applyFill="1" applyBorder="1" applyAlignment="1">
      <alignment shrinkToFit="1"/>
    </xf>
    <xf numFmtId="3" fontId="29" fillId="0" borderId="0" xfId="0" applyNumberFormat="1" applyFont="1" applyFill="1" applyAlignment="1">
      <alignment horizontal="right"/>
    </xf>
    <xf numFmtId="168" fontId="27" fillId="0" borderId="0" xfId="0" applyNumberFormat="1" applyFont="1" applyFill="1" applyAlignment="1">
      <alignment horizontal="left" vertical="top"/>
    </xf>
    <xf numFmtId="3" fontId="12" fillId="0" borderId="0" xfId="0" applyNumberFormat="1" applyFont="1" applyFill="1" applyAlignment="1">
      <alignment horizontal="right" vertical="top"/>
    </xf>
    <xf numFmtId="0" fontId="9" fillId="0" borderId="0" xfId="0" applyFont="1" applyFill="1" applyAlignment="1">
      <alignment horizontal="right"/>
    </xf>
    <xf numFmtId="0" fontId="6" fillId="0" borderId="8" xfId="0" applyFont="1" applyFill="1" applyBorder="1" applyAlignment="1">
      <alignment horizontal="center"/>
    </xf>
    <xf numFmtId="167" fontId="8" fillId="0" borderId="24" xfId="0" applyNumberFormat="1" applyFont="1" applyFill="1" applyBorder="1"/>
    <xf numFmtId="166" fontId="6" fillId="0" borderId="0" xfId="0" applyNumberFormat="1" applyFont="1" applyFill="1"/>
    <xf numFmtId="0" fontId="29" fillId="0" borderId="0" xfId="0" applyFont="1" applyFill="1" applyAlignment="1">
      <alignment horizontal="center"/>
    </xf>
    <xf numFmtId="168" fontId="28" fillId="0" borderId="0" xfId="0" applyNumberFormat="1" applyFont="1" applyFill="1"/>
    <xf numFmtId="166" fontId="29" fillId="0" borderId="0" xfId="0" applyNumberFormat="1" applyFont="1" applyFill="1"/>
    <xf numFmtId="168" fontId="10" fillId="0" borderId="0" xfId="0" applyNumberFormat="1" applyFont="1" applyFill="1" applyAlignment="1">
      <alignment horizontal="left"/>
    </xf>
    <xf numFmtId="3" fontId="5" fillId="0" borderId="0" xfId="0" applyNumberFormat="1" applyFont="1" applyFill="1" applyAlignment="1">
      <alignment horizontal="right"/>
    </xf>
    <xf numFmtId="3" fontId="19" fillId="0" borderId="0" xfId="0" applyNumberFormat="1" applyFont="1" applyFill="1"/>
    <xf numFmtId="167" fontId="19" fillId="0" borderId="0" xfId="0" applyNumberFormat="1" applyFont="1" applyFill="1"/>
    <xf numFmtId="3" fontId="9" fillId="0" borderId="27" xfId="0" applyNumberFormat="1" applyFont="1" applyFill="1" applyBorder="1"/>
    <xf numFmtId="0" fontId="56" fillId="0" borderId="4" xfId="0" applyFont="1" applyFill="1" applyBorder="1" applyAlignment="1">
      <alignment horizontal="center" vertical="center"/>
    </xf>
    <xf numFmtId="1" fontId="56" fillId="0" borderId="5" xfId="0" applyNumberFormat="1" applyFont="1" applyFill="1" applyBorder="1" applyAlignment="1">
      <alignment horizontal="center" vertical="center"/>
    </xf>
    <xf numFmtId="3" fontId="56" fillId="0" borderId="5" xfId="0" applyNumberFormat="1" applyFont="1" applyFill="1" applyBorder="1" applyAlignment="1">
      <alignment horizontal="center" vertical="center"/>
    </xf>
    <xf numFmtId="3" fontId="56" fillId="0" borderId="56" xfId="0" applyNumberFormat="1" applyFont="1" applyFill="1" applyBorder="1" applyAlignment="1">
      <alignment horizontal="center" vertical="center"/>
    </xf>
    <xf numFmtId="167" fontId="56" fillId="0" borderId="24" xfId="0" applyNumberFormat="1" applyFont="1" applyFill="1" applyBorder="1" applyAlignment="1">
      <alignment horizontal="center" vertical="center"/>
    </xf>
    <xf numFmtId="3" fontId="56" fillId="0" borderId="0" xfId="0" applyNumberFormat="1" applyFont="1" applyFill="1"/>
    <xf numFmtId="0" fontId="56" fillId="0" borderId="0" xfId="0" applyFont="1" applyFill="1"/>
    <xf numFmtId="0" fontId="49" fillId="0" borderId="7" xfId="0" applyFont="1" applyFill="1" applyBorder="1" applyAlignment="1">
      <alignment horizontal="left"/>
    </xf>
    <xf numFmtId="0" fontId="48" fillId="0" borderId="8" xfId="0" applyFont="1" applyFill="1" applyBorder="1"/>
    <xf numFmtId="3" fontId="47" fillId="0" borderId="8" xfId="0" applyNumberFormat="1" applyFont="1" applyFill="1" applyBorder="1" applyAlignment="1">
      <alignment horizontal="center"/>
    </xf>
    <xf numFmtId="0" fontId="34" fillId="0" borderId="56" xfId="0" applyFont="1" applyFill="1" applyBorder="1"/>
    <xf numFmtId="167" fontId="9" fillId="0" borderId="0" xfId="0" applyNumberFormat="1" applyFont="1" applyFill="1" applyBorder="1" applyAlignment="1">
      <alignment horizontal="right"/>
    </xf>
    <xf numFmtId="167" fontId="34" fillId="0" borderId="10" xfId="0" applyNumberFormat="1" applyFont="1" applyFill="1" applyBorder="1"/>
    <xf numFmtId="1" fontId="10" fillId="0" borderId="0" xfId="0" applyNumberFormat="1" applyFont="1" applyFill="1" applyAlignment="1">
      <alignment horizontal="center"/>
    </xf>
    <xf numFmtId="3" fontId="8" fillId="0" borderId="37" xfId="0" applyNumberFormat="1" applyFont="1" applyFill="1" applyBorder="1"/>
    <xf numFmtId="0" fontId="28" fillId="0" borderId="0" xfId="0" applyFont="1" applyFill="1"/>
    <xf numFmtId="1" fontId="5" fillId="0" borderId="38" xfId="2" applyNumberFormat="1" applyFont="1" applyFill="1" applyBorder="1" applyAlignment="1">
      <alignment horizontal="left"/>
    </xf>
    <xf numFmtId="166" fontId="66" fillId="0" borderId="0" xfId="0" applyNumberFormat="1" applyFont="1" applyFill="1" applyBorder="1" applyAlignment="1">
      <alignment horizontal="right"/>
    </xf>
    <xf numFmtId="166" fontId="67" fillId="0" borderId="10" xfId="0" applyNumberFormat="1" applyFont="1" applyFill="1" applyBorder="1" applyAlignment="1">
      <alignment horizontal="right"/>
    </xf>
    <xf numFmtId="0" fontId="18" fillId="0" borderId="0" xfId="0" applyFont="1" applyFill="1"/>
    <xf numFmtId="0" fontId="20" fillId="0" borderId="0" xfId="0" applyFont="1" applyFill="1" applyBorder="1"/>
    <xf numFmtId="1" fontId="16" fillId="0" borderId="0" xfId="0" applyNumberFormat="1" applyFont="1" applyFill="1" applyBorder="1" applyAlignment="1">
      <alignment horizontal="left"/>
    </xf>
    <xf numFmtId="0" fontId="16" fillId="0" borderId="0" xfId="0" applyFont="1" applyFill="1" applyBorder="1"/>
    <xf numFmtId="3" fontId="20" fillId="0" borderId="0" xfId="0" applyNumberFormat="1" applyFont="1" applyFill="1" applyBorder="1"/>
    <xf numFmtId="167" fontId="20" fillId="0" borderId="0" xfId="0" applyNumberFormat="1" applyFont="1" applyFill="1" applyBorder="1"/>
    <xf numFmtId="168" fontId="51" fillId="0" borderId="0" xfId="0" applyNumberFormat="1" applyFont="1" applyFill="1" applyBorder="1" applyAlignment="1">
      <alignment horizontal="right"/>
    </xf>
    <xf numFmtId="167" fontId="8" fillId="0" borderId="35" xfId="0" applyNumberFormat="1" applyFont="1" applyFill="1" applyBorder="1" applyAlignment="1">
      <alignment horizontal="right"/>
    </xf>
    <xf numFmtId="3" fontId="10" fillId="0" borderId="0" xfId="0" applyNumberFormat="1" applyFont="1" applyFill="1" applyBorder="1" applyAlignment="1">
      <alignment horizontal="left"/>
    </xf>
    <xf numFmtId="166" fontId="8" fillId="0" borderId="22" xfId="0" applyNumberFormat="1" applyFont="1" applyFill="1" applyBorder="1" applyAlignment="1">
      <alignment horizontal="right"/>
    </xf>
    <xf numFmtId="166" fontId="51" fillId="0" borderId="0" xfId="0" applyNumberFormat="1" applyFont="1" applyFill="1" applyBorder="1" applyAlignment="1">
      <alignment horizontal="right"/>
    </xf>
    <xf numFmtId="1" fontId="7" fillId="0" borderId="24" xfId="0" applyNumberFormat="1" applyFont="1" applyFill="1" applyBorder="1" applyAlignment="1">
      <alignment horizontal="center" vertical="center"/>
    </xf>
    <xf numFmtId="3" fontId="35" fillId="0" borderId="37" xfId="0" applyNumberFormat="1" applyFont="1" applyFill="1" applyBorder="1" applyAlignment="1">
      <alignment horizontal="center" vertical="center"/>
    </xf>
    <xf numFmtId="0" fontId="35" fillId="0" borderId="22" xfId="0" applyFont="1" applyFill="1" applyBorder="1" applyAlignment="1">
      <alignment horizontal="center" vertical="center"/>
    </xf>
    <xf numFmtId="0" fontId="35" fillId="0" borderId="0" xfId="0" applyFont="1" applyFill="1" applyBorder="1" applyAlignment="1">
      <alignment horizontal="center" vertical="center"/>
    </xf>
    <xf numFmtId="1" fontId="5" fillId="0" borderId="27" xfId="0" applyNumberFormat="1" applyFont="1" applyFill="1" applyBorder="1" applyAlignment="1">
      <alignment horizontal="center"/>
    </xf>
    <xf numFmtId="1" fontId="10" fillId="0" borderId="27" xfId="0" applyNumberFormat="1" applyFont="1" applyFill="1" applyBorder="1" applyAlignment="1">
      <alignment horizontal="left"/>
    </xf>
    <xf numFmtId="3" fontId="13" fillId="0" borderId="27" xfId="0" applyNumberFormat="1" applyFont="1" applyFill="1" applyBorder="1"/>
    <xf numFmtId="1" fontId="9" fillId="0" borderId="27" xfId="0" applyNumberFormat="1" applyFont="1" applyFill="1" applyBorder="1" applyAlignment="1">
      <alignment horizontal="right"/>
    </xf>
    <xf numFmtId="1" fontId="5" fillId="0" borderId="0" xfId="0" applyNumberFormat="1" applyFont="1" applyFill="1" applyBorder="1" applyAlignment="1">
      <alignment horizontal="center"/>
    </xf>
    <xf numFmtId="1" fontId="10" fillId="0" borderId="0" xfId="0" applyNumberFormat="1" applyFont="1" applyFill="1" applyBorder="1" applyAlignment="1">
      <alignment horizontal="left"/>
    </xf>
    <xf numFmtId="1" fontId="9" fillId="0" borderId="0" xfId="0" applyNumberFormat="1" applyFont="1" applyFill="1" applyBorder="1" applyAlignment="1">
      <alignment horizontal="right"/>
    </xf>
    <xf numFmtId="167" fontId="66" fillId="0" borderId="0" xfId="0" applyNumberFormat="1" applyFont="1" applyFill="1" applyBorder="1" applyAlignment="1">
      <alignment horizontal="right"/>
    </xf>
    <xf numFmtId="0" fontId="19" fillId="0" borderId="0" xfId="0" applyFont="1" applyFill="1"/>
    <xf numFmtId="1" fontId="19" fillId="0" borderId="0" xfId="0" applyNumberFormat="1" applyFont="1" applyFill="1" applyAlignment="1">
      <alignment horizontal="right"/>
    </xf>
    <xf numFmtId="0" fontId="13" fillId="0" borderId="0" xfId="0" applyFont="1"/>
    <xf numFmtId="0" fontId="9" fillId="0" borderId="0" xfId="0" applyFont="1" applyBorder="1"/>
    <xf numFmtId="0" fontId="14" fillId="0" borderId="0" xfId="0" applyFont="1" applyBorder="1" applyAlignment="1">
      <alignment wrapText="1"/>
    </xf>
    <xf numFmtId="49" fontId="10" fillId="0" borderId="0" xfId="0" applyNumberFormat="1" applyFont="1" applyBorder="1" applyAlignment="1">
      <alignment horizontal="left"/>
    </xf>
    <xf numFmtId="0" fontId="9" fillId="0" borderId="9" xfId="0" applyFont="1" applyBorder="1"/>
    <xf numFmtId="167" fontId="9" fillId="0" borderId="25" xfId="0" applyNumberFormat="1" applyFont="1" applyBorder="1" applyAlignment="1">
      <alignment horizontal="right"/>
    </xf>
    <xf numFmtId="0" fontId="13" fillId="0" borderId="0" xfId="0" applyFont="1" applyBorder="1"/>
    <xf numFmtId="0" fontId="13" fillId="0" borderId="0" xfId="0" applyFont="1" applyBorder="1" applyAlignment="1"/>
    <xf numFmtId="167" fontId="12" fillId="0" borderId="25" xfId="0" applyNumberFormat="1" applyFont="1" applyBorder="1" applyAlignment="1">
      <alignment horizontal="right"/>
    </xf>
    <xf numFmtId="1" fontId="10" fillId="0" borderId="9" xfId="0" applyNumberFormat="1" applyFont="1" applyBorder="1" applyAlignment="1">
      <alignment horizontal="left"/>
    </xf>
    <xf numFmtId="1" fontId="10" fillId="0" borderId="2" xfId="0" applyNumberFormat="1" applyFont="1" applyBorder="1" applyAlignment="1">
      <alignment horizontal="left"/>
    </xf>
    <xf numFmtId="49" fontId="10" fillId="0" borderId="2" xfId="0" applyNumberFormat="1" applyFont="1" applyBorder="1" applyAlignment="1">
      <alignment horizontal="left" vertical="top"/>
    </xf>
    <xf numFmtId="49" fontId="10" fillId="0" borderId="2" xfId="0" applyNumberFormat="1" applyFont="1" applyBorder="1" applyAlignment="1">
      <alignment horizontal="left"/>
    </xf>
    <xf numFmtId="3" fontId="21" fillId="0" borderId="14" xfId="0" applyNumberFormat="1" applyFont="1" applyFill="1" applyBorder="1" applyAlignment="1">
      <alignment horizontal="center"/>
    </xf>
    <xf numFmtId="1" fontId="6" fillId="0" borderId="0" xfId="0" applyNumberFormat="1" applyFont="1" applyAlignment="1">
      <alignment horizontal="left"/>
    </xf>
    <xf numFmtId="3" fontId="9" fillId="0" borderId="9" xfId="0" applyNumberFormat="1" applyFont="1" applyBorder="1" applyAlignment="1">
      <alignment horizontal="right"/>
    </xf>
    <xf numFmtId="166" fontId="9" fillId="0" borderId="25" xfId="0" applyNumberFormat="1" applyFont="1" applyBorder="1" applyAlignment="1">
      <alignment horizontal="right"/>
    </xf>
    <xf numFmtId="166" fontId="12" fillId="0" borderId="25" xfId="0" applyNumberFormat="1" applyFont="1" applyBorder="1" applyAlignment="1">
      <alignment horizontal="right"/>
    </xf>
    <xf numFmtId="0" fontId="14" fillId="0" borderId="0" xfId="0" applyFont="1" applyBorder="1" applyAlignment="1"/>
    <xf numFmtId="0" fontId="9" fillId="0" borderId="34" xfId="0" applyFont="1" applyBorder="1"/>
    <xf numFmtId="166" fontId="9" fillId="0" borderId="35" xfId="0" applyNumberFormat="1" applyFont="1" applyBorder="1" applyAlignment="1">
      <alignment horizontal="right"/>
    </xf>
    <xf numFmtId="0" fontId="13" fillId="0" borderId="0" xfId="0" applyFont="1" applyBorder="1" applyAlignment="1">
      <alignment wrapText="1"/>
    </xf>
    <xf numFmtId="1" fontId="14" fillId="0" borderId="0" xfId="0" applyNumberFormat="1" applyFont="1" applyBorder="1" applyAlignment="1">
      <alignment horizontal="left"/>
    </xf>
    <xf numFmtId="1" fontId="5" fillId="0" borderId="14" xfId="0" applyNumberFormat="1" applyFont="1" applyBorder="1" applyAlignment="1">
      <alignment horizontal="left"/>
    </xf>
    <xf numFmtId="3" fontId="9" fillId="0" borderId="14" xfId="0" applyNumberFormat="1" applyFont="1" applyBorder="1" applyAlignment="1">
      <alignment horizontal="right"/>
    </xf>
    <xf numFmtId="49" fontId="27" fillId="0" borderId="2" xfId="0" applyNumberFormat="1" applyFont="1" applyBorder="1" applyAlignment="1">
      <alignment horizontal="left"/>
    </xf>
    <xf numFmtId="1" fontId="5" fillId="0" borderId="0" xfId="0" applyNumberFormat="1" applyFont="1" applyBorder="1" applyAlignment="1">
      <alignment horizontal="left"/>
    </xf>
    <xf numFmtId="3" fontId="13" fillId="0" borderId="0" xfId="0" applyNumberFormat="1" applyFont="1"/>
    <xf numFmtId="1" fontId="5" fillId="0" borderId="34" xfId="0" applyNumberFormat="1" applyFont="1" applyBorder="1" applyAlignment="1">
      <alignment horizontal="left"/>
    </xf>
    <xf numFmtId="1" fontId="5" fillId="0" borderId="38" xfId="0" applyNumberFormat="1" applyFont="1" applyBorder="1" applyAlignment="1">
      <alignment horizontal="left"/>
    </xf>
    <xf numFmtId="1" fontId="5" fillId="0" borderId="50" xfId="0" applyNumberFormat="1" applyFont="1" applyBorder="1" applyAlignment="1">
      <alignment horizontal="left"/>
    </xf>
    <xf numFmtId="0" fontId="18" fillId="0" borderId="0" xfId="0" applyFont="1" applyBorder="1"/>
    <xf numFmtId="0" fontId="13" fillId="0" borderId="17" xfId="0" applyFont="1" applyBorder="1" applyAlignment="1"/>
    <xf numFmtId="168" fontId="27" fillId="3" borderId="2" xfId="0" applyNumberFormat="1" applyFont="1" applyFill="1" applyBorder="1" applyAlignment="1">
      <alignment horizontal="left"/>
    </xf>
    <xf numFmtId="49" fontId="10" fillId="0" borderId="2" xfId="0" applyNumberFormat="1" applyFont="1" applyBorder="1" applyAlignment="1">
      <alignment horizontal="center"/>
    </xf>
    <xf numFmtId="0" fontId="14" fillId="3" borderId="34" xfId="0" applyFont="1" applyFill="1" applyBorder="1"/>
    <xf numFmtId="0" fontId="13" fillId="3" borderId="0" xfId="0" applyFont="1" applyFill="1"/>
    <xf numFmtId="1" fontId="10" fillId="0" borderId="14" xfId="0" applyNumberFormat="1" applyFont="1" applyBorder="1" applyAlignment="1">
      <alignment horizontal="left"/>
    </xf>
    <xf numFmtId="166" fontId="9" fillId="0" borderId="30" xfId="0" applyNumberFormat="1" applyFont="1" applyBorder="1" applyAlignment="1">
      <alignment horizontal="right"/>
    </xf>
    <xf numFmtId="0" fontId="9" fillId="0" borderId="0" xfId="0" applyFont="1" applyBorder="1" applyAlignment="1">
      <alignment wrapText="1"/>
    </xf>
    <xf numFmtId="0" fontId="13" fillId="0" borderId="0" xfId="0" applyFont="1" applyBorder="1" applyAlignment="1">
      <alignment horizontal="right"/>
    </xf>
    <xf numFmtId="49" fontId="27" fillId="3" borderId="2" xfId="0" applyNumberFormat="1" applyFont="1" applyFill="1" applyBorder="1" applyAlignment="1">
      <alignment horizontal="left"/>
    </xf>
    <xf numFmtId="168" fontId="27" fillId="0" borderId="2" xfId="0" applyNumberFormat="1" applyFont="1" applyBorder="1" applyAlignment="1">
      <alignment horizontal="left"/>
    </xf>
    <xf numFmtId="0" fontId="9" fillId="0" borderId="27" xfId="0" applyFont="1" applyBorder="1"/>
    <xf numFmtId="49" fontId="27" fillId="0" borderId="2" xfId="0" applyNumberFormat="1" applyFont="1" applyBorder="1" applyAlignment="1">
      <alignment horizontal="left" vertical="top"/>
    </xf>
    <xf numFmtId="3" fontId="15" fillId="0" borderId="2" xfId="0" applyNumberFormat="1" applyFont="1" applyBorder="1" applyAlignment="1">
      <alignment horizontal="right"/>
    </xf>
    <xf numFmtId="0" fontId="9" fillId="0" borderId="17" xfId="0" applyFont="1" applyBorder="1"/>
    <xf numFmtId="0" fontId="14" fillId="0" borderId="17" xfId="0" applyFont="1" applyBorder="1" applyAlignment="1">
      <alignment wrapText="1"/>
    </xf>
    <xf numFmtId="3" fontId="13" fillId="3" borderId="0" xfId="6" applyFont="1" applyFill="1" applyBorder="1"/>
    <xf numFmtId="3" fontId="14" fillId="0" borderId="2" xfId="6" applyFont="1" applyFill="1" applyBorder="1" applyAlignment="1">
      <alignment horizontal="right"/>
    </xf>
    <xf numFmtId="3" fontId="14" fillId="3" borderId="2" xfId="6" applyFont="1" applyFill="1" applyBorder="1" applyAlignment="1">
      <alignment horizontal="right"/>
    </xf>
    <xf numFmtId="3" fontId="14" fillId="3" borderId="2" xfId="6" applyFont="1" applyFill="1" applyBorder="1"/>
    <xf numFmtId="168" fontId="27" fillId="3" borderId="2" xfId="6" applyNumberFormat="1" applyFont="1" applyFill="1" applyBorder="1" applyAlignment="1">
      <alignment horizontal="left"/>
    </xf>
    <xf numFmtId="0" fontId="12" fillId="0" borderId="2" xfId="0" applyFont="1" applyBorder="1"/>
    <xf numFmtId="0" fontId="14" fillId="0" borderId="0" xfId="0" applyFont="1" applyBorder="1" applyAlignment="1">
      <alignment vertical="top" wrapText="1"/>
    </xf>
    <xf numFmtId="1" fontId="13" fillId="3" borderId="6" xfId="0" applyNumberFormat="1" applyFont="1" applyFill="1" applyBorder="1" applyAlignment="1">
      <alignment horizontal="left"/>
    </xf>
    <xf numFmtId="1" fontId="5" fillId="0" borderId="27" xfId="0" applyNumberFormat="1" applyFont="1" applyBorder="1" applyAlignment="1">
      <alignment horizontal="left"/>
    </xf>
    <xf numFmtId="166" fontId="12" fillId="3" borderId="25" xfId="0" applyNumberFormat="1" applyFont="1" applyFill="1" applyBorder="1" applyAlignment="1">
      <alignment horizontal="right"/>
    </xf>
    <xf numFmtId="0" fontId="35" fillId="0" borderId="9" xfId="0" applyFont="1" applyFill="1" applyBorder="1" applyAlignment="1">
      <alignment horizontal="center" vertical="center"/>
    </xf>
    <xf numFmtId="1" fontId="35" fillId="0" borderId="9" xfId="0" applyNumberFormat="1" applyFont="1" applyFill="1" applyBorder="1" applyAlignment="1">
      <alignment horizontal="center" vertical="center" wrapText="1"/>
    </xf>
    <xf numFmtId="3" fontId="22" fillId="0" borderId="17" xfId="0" applyNumberFormat="1" applyFont="1" applyFill="1" applyBorder="1" applyAlignment="1">
      <alignment horizontal="right" vertical="center" wrapText="1"/>
    </xf>
    <xf numFmtId="0" fontId="80" fillId="0" borderId="0" xfId="0" applyFont="1" applyFill="1"/>
    <xf numFmtId="0" fontId="5" fillId="0" borderId="0" xfId="0" applyFont="1" applyBorder="1" applyAlignment="1">
      <alignment vertical="top"/>
    </xf>
    <xf numFmtId="1" fontId="12" fillId="0" borderId="2" xfId="0" applyNumberFormat="1" applyFont="1" applyBorder="1" applyAlignment="1">
      <alignment horizontal="left"/>
    </xf>
    <xf numFmtId="0" fontId="10" fillId="0" borderId="0" xfId="0" applyFont="1" applyFill="1"/>
    <xf numFmtId="3" fontId="10" fillId="0" borderId="0" xfId="0" applyNumberFormat="1" applyFont="1" applyFill="1"/>
    <xf numFmtId="3" fontId="12" fillId="0" borderId="0" xfId="0" applyNumberFormat="1" applyFont="1" applyBorder="1" applyAlignment="1">
      <alignment horizontal="right"/>
    </xf>
    <xf numFmtId="167" fontId="29" fillId="0" borderId="0" xfId="0" applyNumberFormat="1" applyFont="1" applyFill="1" applyAlignment="1">
      <alignment shrinkToFit="1"/>
    </xf>
    <xf numFmtId="0" fontId="12" fillId="0" borderId="0" xfId="0" applyFont="1" applyAlignment="1">
      <alignment horizontal="right"/>
    </xf>
    <xf numFmtId="0" fontId="12" fillId="0" borderId="2" xfId="0" applyFont="1" applyBorder="1" applyAlignment="1">
      <alignment vertical="top"/>
    </xf>
    <xf numFmtId="49" fontId="10" fillId="0" borderId="17" xfId="0" applyNumberFormat="1" applyFont="1" applyFill="1" applyBorder="1" applyAlignment="1">
      <alignment horizontal="left" vertical="top"/>
    </xf>
    <xf numFmtId="3" fontId="15" fillId="0" borderId="17" xfId="0" applyNumberFormat="1" applyFont="1" applyFill="1" applyBorder="1" applyAlignment="1">
      <alignment vertical="top"/>
    </xf>
    <xf numFmtId="166" fontId="15" fillId="0" borderId="21" xfId="0" applyNumberFormat="1" applyFont="1" applyFill="1" applyBorder="1" applyAlignment="1">
      <alignment vertical="top"/>
    </xf>
    <xf numFmtId="3" fontId="14" fillId="0" borderId="17" xfId="0" applyNumberFormat="1" applyFont="1" applyFill="1" applyBorder="1" applyAlignment="1">
      <alignment vertical="top"/>
    </xf>
    <xf numFmtId="166" fontId="14" fillId="0" borderId="25" xfId="0" applyNumberFormat="1" applyFont="1" applyFill="1" applyBorder="1" applyAlignment="1">
      <alignment vertical="top"/>
    </xf>
    <xf numFmtId="166" fontId="15" fillId="0" borderId="25" xfId="0" applyNumberFormat="1" applyFont="1" applyFill="1" applyBorder="1" applyAlignment="1">
      <alignment vertical="top"/>
    </xf>
    <xf numFmtId="3" fontId="15" fillId="0" borderId="2" xfId="0" applyNumberFormat="1" applyFont="1" applyFill="1" applyBorder="1" applyAlignment="1">
      <alignment vertical="top"/>
    </xf>
    <xf numFmtId="49" fontId="10" fillId="0" borderId="2" xfId="0" applyNumberFormat="1" applyFont="1" applyFill="1" applyBorder="1" applyAlignment="1">
      <alignment horizontal="left" vertical="center"/>
    </xf>
    <xf numFmtId="3" fontId="15" fillId="0" borderId="0" xfId="3" applyFont="1" applyAlignment="1">
      <alignment wrapText="1"/>
    </xf>
    <xf numFmtId="1" fontId="22" fillId="0" borderId="17" xfId="0" applyNumberFormat="1" applyFont="1" applyFill="1" applyBorder="1" applyAlignment="1">
      <alignment horizontal="right" vertical="center" wrapText="1"/>
    </xf>
    <xf numFmtId="0" fontId="35" fillId="0" borderId="2" xfId="0" applyFont="1" applyFill="1" applyBorder="1" applyAlignment="1">
      <alignment horizontal="center" vertical="center"/>
    </xf>
    <xf numFmtId="3" fontId="15" fillId="0" borderId="0" xfId="0" applyNumberFormat="1" applyFont="1" applyBorder="1" applyAlignment="1">
      <alignment horizontal="right"/>
    </xf>
    <xf numFmtId="3" fontId="81" fillId="0" borderId="0" xfId="0" applyNumberFormat="1" applyFont="1" applyFill="1" applyBorder="1" applyAlignment="1">
      <alignment horizontal="center" vertical="center"/>
    </xf>
    <xf numFmtId="3" fontId="82" fillId="0" borderId="0" xfId="0" applyNumberFormat="1" applyFont="1" applyFill="1" applyBorder="1" applyAlignment="1">
      <alignment horizontal="center" vertical="center"/>
    </xf>
    <xf numFmtId="4" fontId="83" fillId="0" borderId="0" xfId="0" applyNumberFormat="1" applyFont="1" applyFill="1" applyBorder="1"/>
    <xf numFmtId="4" fontId="84" fillId="0" borderId="0" xfId="0" applyNumberFormat="1" applyFont="1" applyFill="1" applyBorder="1"/>
    <xf numFmtId="4" fontId="85" fillId="0" borderId="0" xfId="0" applyNumberFormat="1" applyFont="1" applyFill="1"/>
    <xf numFmtId="4" fontId="86" fillId="0" borderId="0" xfId="0" applyNumberFormat="1" applyFont="1" applyFill="1"/>
    <xf numFmtId="0" fontId="81" fillId="0" borderId="0" xfId="0" applyFont="1" applyFill="1"/>
    <xf numFmtId="0" fontId="22" fillId="0" borderId="12" xfId="0" applyFont="1" applyFill="1" applyBorder="1" applyAlignment="1">
      <alignment vertical="top"/>
    </xf>
    <xf numFmtId="0" fontId="24" fillId="0" borderId="17" xfId="0" applyFont="1" applyFill="1" applyBorder="1" applyAlignment="1">
      <alignment vertical="center" wrapText="1"/>
    </xf>
    <xf numFmtId="4" fontId="83" fillId="0" borderId="0" xfId="0" applyNumberFormat="1" applyFont="1" applyFill="1" applyBorder="1" applyAlignment="1">
      <alignment vertical="center" wrapText="1"/>
    </xf>
    <xf numFmtId="1" fontId="35" fillId="0" borderId="0" xfId="0" applyNumberFormat="1" applyFont="1" applyFill="1" applyBorder="1" applyAlignment="1">
      <alignment horizontal="center" vertical="center" wrapText="1"/>
    </xf>
    <xf numFmtId="49" fontId="10" fillId="0" borderId="0" xfId="0" applyNumberFormat="1" applyFont="1" applyBorder="1" applyAlignment="1">
      <alignment horizontal="left" vertical="top"/>
    </xf>
    <xf numFmtId="3" fontId="12" fillId="0" borderId="2" xfId="0" applyNumberFormat="1" applyFont="1" applyFill="1" applyBorder="1" applyAlignment="1">
      <alignment horizontal="right" vertical="top"/>
    </xf>
    <xf numFmtId="3" fontId="12" fillId="0" borderId="0" xfId="0" applyNumberFormat="1" applyFont="1" applyFill="1" applyBorder="1" applyAlignment="1">
      <alignment horizontal="right" vertical="top"/>
    </xf>
    <xf numFmtId="167" fontId="14" fillId="0" borderId="35" xfId="0" applyNumberFormat="1" applyFont="1" applyBorder="1" applyAlignment="1">
      <alignment horizontal="right"/>
    </xf>
    <xf numFmtId="1" fontId="5" fillId="0" borderId="0" xfId="0" applyNumberFormat="1" applyFont="1" applyBorder="1" applyAlignment="1">
      <alignment horizontal="left" vertical="top"/>
    </xf>
    <xf numFmtId="3" fontId="9" fillId="0" borderId="0" xfId="0" applyNumberFormat="1" applyFont="1" applyFill="1" applyBorder="1" applyAlignment="1">
      <alignment horizontal="right" vertical="top"/>
    </xf>
    <xf numFmtId="167" fontId="9" fillId="0" borderId="25" xfId="0" applyNumberFormat="1" applyFont="1" applyBorder="1" applyAlignment="1">
      <alignment horizontal="right" vertical="top"/>
    </xf>
    <xf numFmtId="1" fontId="5" fillId="0" borderId="6" xfId="0" applyNumberFormat="1" applyFont="1" applyBorder="1" applyAlignment="1">
      <alignment horizontal="left" vertical="top"/>
    </xf>
    <xf numFmtId="1" fontId="14" fillId="0" borderId="17" xfId="0" applyNumberFormat="1" applyFont="1" applyBorder="1" applyAlignment="1">
      <alignment horizontal="left"/>
    </xf>
    <xf numFmtId="0" fontId="14" fillId="0" borderId="17" xfId="0" applyFont="1" applyBorder="1" applyAlignment="1"/>
    <xf numFmtId="1" fontId="27" fillId="0" borderId="2" xfId="0" applyNumberFormat="1" applyFont="1" applyBorder="1" applyAlignment="1">
      <alignment horizontal="left"/>
    </xf>
    <xf numFmtId="166" fontId="12" fillId="0" borderId="25" xfId="0" applyNumberFormat="1" applyFont="1" applyBorder="1" applyAlignment="1">
      <alignment horizontal="right" vertical="top"/>
    </xf>
    <xf numFmtId="167" fontId="12" fillId="0" borderId="25" xfId="0" applyNumberFormat="1" applyFont="1" applyBorder="1" applyAlignment="1">
      <alignment horizontal="right" vertical="top"/>
    </xf>
    <xf numFmtId="0" fontId="9" fillId="0" borderId="0" xfId="0" applyFont="1" applyAlignment="1">
      <alignment horizontal="right"/>
    </xf>
    <xf numFmtId="0" fontId="12" fillId="0" borderId="0" xfId="0" applyFont="1" applyFill="1" applyAlignment="1">
      <alignment horizontal="right"/>
    </xf>
    <xf numFmtId="0" fontId="9" fillId="0" borderId="2" xfId="0" applyFont="1" applyBorder="1"/>
    <xf numFmtId="49" fontId="27" fillId="0" borderId="0" xfId="0" applyNumberFormat="1" applyFont="1" applyBorder="1" applyAlignment="1">
      <alignment horizontal="left"/>
    </xf>
    <xf numFmtId="3" fontId="12" fillId="0" borderId="2" xfId="0" applyNumberFormat="1" applyFont="1" applyFill="1" applyBorder="1" applyAlignment="1">
      <alignment vertical="top"/>
    </xf>
    <xf numFmtId="3" fontId="55" fillId="0" borderId="14" xfId="0" applyNumberFormat="1" applyFont="1" applyFill="1" applyBorder="1"/>
    <xf numFmtId="3" fontId="12" fillId="0" borderId="14" xfId="0" applyNumberFormat="1" applyFont="1" applyFill="1" applyBorder="1" applyAlignment="1">
      <alignment horizontal="right" vertical="top"/>
    </xf>
    <xf numFmtId="3" fontId="24" fillId="0" borderId="2" xfId="0" applyNumberFormat="1" applyFont="1" applyFill="1" applyBorder="1" applyAlignment="1">
      <alignment horizontal="right" vertical="center" wrapText="1"/>
    </xf>
    <xf numFmtId="167" fontId="9" fillId="0" borderId="25" xfId="0" applyNumberFormat="1" applyFont="1" applyFill="1" applyBorder="1" applyAlignment="1">
      <alignment horizontal="right"/>
    </xf>
    <xf numFmtId="0" fontId="4" fillId="0" borderId="1" xfId="0" applyFont="1" applyFill="1" applyBorder="1"/>
    <xf numFmtId="166" fontId="4" fillId="0" borderId="0" xfId="0" applyNumberFormat="1" applyFont="1" applyFill="1"/>
    <xf numFmtId="0" fontId="4" fillId="0" borderId="38" xfId="0" applyFont="1" applyFill="1" applyBorder="1"/>
    <xf numFmtId="0" fontId="4" fillId="0" borderId="2" xfId="0" applyFont="1" applyFill="1" applyBorder="1"/>
    <xf numFmtId="0" fontId="4" fillId="0" borderId="17" xfId="0" applyFont="1" applyFill="1" applyBorder="1"/>
    <xf numFmtId="0" fontId="4" fillId="0" borderId="50" xfId="0" applyFont="1" applyFill="1" applyBorder="1"/>
    <xf numFmtId="0" fontId="4" fillId="0" borderId="0" xfId="0" applyFont="1" applyFill="1" applyBorder="1"/>
    <xf numFmtId="0" fontId="4" fillId="0" borderId="6" xfId="0" applyFont="1" applyFill="1" applyBorder="1" applyAlignment="1">
      <alignment horizontal="center" vertical="center"/>
    </xf>
    <xf numFmtId="0" fontId="4" fillId="0" borderId="14" xfId="0" applyFont="1" applyFill="1" applyBorder="1"/>
    <xf numFmtId="0" fontId="24" fillId="0" borderId="2" xfId="0" applyFont="1" applyBorder="1"/>
    <xf numFmtId="0" fontId="4" fillId="0" borderId="47" xfId="0" applyFont="1" applyFill="1" applyBorder="1"/>
    <xf numFmtId="49" fontId="10" fillId="0" borderId="2" xfId="0" applyNumberFormat="1" applyFont="1" applyBorder="1" applyAlignment="1">
      <alignment horizontal="left" vertical="center"/>
    </xf>
    <xf numFmtId="0" fontId="24" fillId="3" borderId="2" xfId="0" applyFont="1" applyFill="1" applyBorder="1" applyAlignment="1">
      <alignment wrapText="1"/>
    </xf>
    <xf numFmtId="3" fontId="24" fillId="0" borderId="17" xfId="0" applyNumberFormat="1" applyFont="1" applyFill="1" applyBorder="1" applyAlignment="1">
      <alignment horizontal="right" vertical="center" wrapText="1"/>
    </xf>
    <xf numFmtId="166" fontId="14" fillId="0" borderId="0" xfId="0" applyNumberFormat="1" applyFont="1" applyFill="1" applyBorder="1"/>
    <xf numFmtId="1" fontId="22" fillId="0" borderId="2" xfId="0" applyNumberFormat="1" applyFont="1" applyFill="1" applyBorder="1" applyAlignment="1">
      <alignment horizontal="right" vertical="center" wrapText="1"/>
    </xf>
    <xf numFmtId="0" fontId="4" fillId="0" borderId="0" xfId="0" applyFont="1" applyBorder="1"/>
    <xf numFmtId="3" fontId="31" fillId="0" borderId="10" xfId="0" applyNumberFormat="1" applyFont="1" applyFill="1" applyBorder="1" applyAlignment="1">
      <alignment shrinkToFit="1"/>
    </xf>
    <xf numFmtId="0" fontId="14" fillId="0" borderId="17" xfId="0" applyFont="1" applyBorder="1"/>
    <xf numFmtId="3" fontId="5" fillId="0" borderId="0" xfId="0" applyNumberFormat="1" applyFont="1" applyFill="1" applyBorder="1"/>
    <xf numFmtId="3" fontId="24" fillId="0" borderId="1" xfId="0" applyNumberFormat="1" applyFont="1" applyFill="1" applyBorder="1"/>
    <xf numFmtId="168" fontId="53" fillId="0" borderId="0" xfId="0" applyNumberFormat="1" applyFont="1" applyFill="1" applyAlignment="1">
      <alignment horizontal="center"/>
    </xf>
    <xf numFmtId="1" fontId="53" fillId="0" borderId="0" xfId="0" applyNumberFormat="1" applyFont="1" applyFill="1" applyAlignment="1">
      <alignment horizontal="left"/>
    </xf>
    <xf numFmtId="0" fontId="53" fillId="0" borderId="0" xfId="0" applyFont="1" applyFill="1" applyAlignment="1">
      <alignment horizontal="left"/>
    </xf>
    <xf numFmtId="0" fontId="24" fillId="0" borderId="2" xfId="0" applyFont="1" applyFill="1" applyBorder="1"/>
    <xf numFmtId="1" fontId="24" fillId="0" borderId="17" xfId="0" applyNumberFormat="1" applyFont="1" applyFill="1" applyBorder="1" applyAlignment="1">
      <alignment horizontal="right" vertical="center" wrapText="1"/>
    </xf>
    <xf numFmtId="0" fontId="22" fillId="0" borderId="0" xfId="0" applyFont="1" applyFill="1" applyBorder="1" applyAlignment="1">
      <alignment vertical="top"/>
    </xf>
    <xf numFmtId="0" fontId="4" fillId="0" borderId="0" xfId="0" applyFont="1" applyFill="1" applyAlignment="1">
      <alignment vertical="top"/>
    </xf>
    <xf numFmtId="0" fontId="4" fillId="0" borderId="38" xfId="0" applyFont="1" applyFill="1" applyBorder="1" applyAlignment="1">
      <alignment vertical="top"/>
    </xf>
    <xf numFmtId="1" fontId="5" fillId="0" borderId="9" xfId="0" applyNumberFormat="1" applyFont="1" applyFill="1" applyBorder="1" applyAlignment="1">
      <alignment horizontal="left" vertical="top"/>
    </xf>
    <xf numFmtId="3" fontId="10" fillId="0" borderId="9" xfId="0" applyNumberFormat="1" applyFont="1" applyFill="1" applyBorder="1" applyAlignment="1">
      <alignment horizontal="left" vertical="top"/>
    </xf>
    <xf numFmtId="3" fontId="9" fillId="0" borderId="9" xfId="0" applyNumberFormat="1" applyFont="1" applyFill="1" applyBorder="1" applyAlignment="1">
      <alignment vertical="top"/>
    </xf>
    <xf numFmtId="166" fontId="9" fillId="0" borderId="23" xfId="0" applyNumberFormat="1" applyFont="1" applyFill="1" applyBorder="1" applyAlignment="1">
      <alignment vertical="top"/>
    </xf>
    <xf numFmtId="3" fontId="24" fillId="0" borderId="15" xfId="0" applyNumberFormat="1" applyFont="1" applyFill="1" applyBorder="1" applyAlignment="1">
      <alignment horizontal="right" vertical="center" wrapText="1"/>
    </xf>
    <xf numFmtId="1" fontId="24" fillId="0" borderId="2" xfId="0" applyNumberFormat="1" applyFont="1" applyFill="1" applyBorder="1" applyAlignment="1">
      <alignment horizontal="right" vertical="center" wrapText="1"/>
    </xf>
    <xf numFmtId="0" fontId="24" fillId="0" borderId="2" xfId="0" applyFont="1" applyFill="1" applyBorder="1" applyAlignment="1">
      <alignment vertical="top" wrapText="1"/>
    </xf>
    <xf numFmtId="3" fontId="9" fillId="0" borderId="5" xfId="0" applyNumberFormat="1" applyFont="1" applyFill="1" applyBorder="1" applyAlignment="1">
      <alignment vertical="top"/>
    </xf>
    <xf numFmtId="166" fontId="9" fillId="0" borderId="24" xfId="0" applyNumberFormat="1" applyFont="1" applyFill="1" applyBorder="1" applyAlignment="1">
      <alignment vertical="top"/>
    </xf>
    <xf numFmtId="3" fontId="4" fillId="0" borderId="0" xfId="0" applyNumberFormat="1" applyFont="1" applyFill="1" applyAlignment="1">
      <alignment vertical="top"/>
    </xf>
    <xf numFmtId="1" fontId="5" fillId="0" borderId="0" xfId="0" applyNumberFormat="1" applyFont="1" applyFill="1" applyAlignment="1">
      <alignment horizontal="left" vertical="top"/>
    </xf>
    <xf numFmtId="3" fontId="28" fillId="0" borderId="0" xfId="0" applyNumberFormat="1" applyFont="1" applyFill="1" applyAlignment="1">
      <alignment vertical="top"/>
    </xf>
    <xf numFmtId="166" fontId="4" fillId="0" borderId="0" xfId="0" applyNumberFormat="1" applyFont="1" applyFill="1" applyAlignment="1">
      <alignment vertical="top"/>
    </xf>
    <xf numFmtId="0" fontId="35" fillId="0" borderId="4" xfId="0" applyFont="1" applyFill="1" applyBorder="1" applyAlignment="1">
      <alignment horizontal="center" vertical="top"/>
    </xf>
    <xf numFmtId="0" fontId="35" fillId="0" borderId="5" xfId="0" applyFont="1" applyFill="1" applyBorder="1" applyAlignment="1">
      <alignment horizontal="center" vertical="top"/>
    </xf>
    <xf numFmtId="1" fontId="35" fillId="0" borderId="5" xfId="0" applyNumberFormat="1" applyFont="1" applyFill="1" applyBorder="1" applyAlignment="1">
      <alignment horizontal="center" vertical="top" wrapText="1"/>
    </xf>
    <xf numFmtId="1" fontId="35" fillId="0" borderId="37" xfId="0" applyNumberFormat="1" applyFont="1" applyFill="1" applyBorder="1" applyAlignment="1">
      <alignment horizontal="center" vertical="top" wrapText="1"/>
    </xf>
    <xf numFmtId="1" fontId="35" fillId="0" borderId="24" xfId="0" applyNumberFormat="1" applyFont="1" applyFill="1" applyBorder="1" applyAlignment="1">
      <alignment horizontal="center" vertical="top" wrapText="1"/>
    </xf>
    <xf numFmtId="0" fontId="28" fillId="0" borderId="0" xfId="0" applyFont="1" applyFill="1" applyAlignment="1">
      <alignment vertical="top"/>
    </xf>
    <xf numFmtId="0" fontId="4" fillId="0" borderId="6" xfId="0" applyFont="1" applyFill="1" applyBorder="1" applyAlignment="1">
      <alignment vertical="top"/>
    </xf>
    <xf numFmtId="1" fontId="5" fillId="0" borderId="2" xfId="0" applyNumberFormat="1" applyFont="1" applyFill="1" applyBorder="1" applyAlignment="1">
      <alignment horizontal="left" vertical="top"/>
    </xf>
    <xf numFmtId="0" fontId="24" fillId="0" borderId="2" xfId="0" applyFont="1" applyFill="1" applyBorder="1" applyAlignment="1">
      <alignment vertical="top"/>
    </xf>
    <xf numFmtId="0" fontId="37" fillId="0" borderId="0" xfId="0" applyFont="1" applyFill="1" applyAlignment="1">
      <alignment vertical="top"/>
    </xf>
    <xf numFmtId="166" fontId="15" fillId="0" borderId="61" xfId="0" applyNumberFormat="1" applyFont="1" applyFill="1" applyBorder="1"/>
    <xf numFmtId="166" fontId="14" fillId="0" borderId="61" xfId="0" applyNumberFormat="1" applyFont="1" applyFill="1" applyBorder="1"/>
    <xf numFmtId="3" fontId="9" fillId="0" borderId="0" xfId="0" applyNumberFormat="1" applyFont="1" applyFill="1" applyBorder="1" applyAlignment="1">
      <alignment vertical="top"/>
    </xf>
    <xf numFmtId="166" fontId="9" fillId="0" borderId="0" xfId="0" applyNumberFormat="1" applyFont="1" applyFill="1" applyBorder="1" applyAlignment="1">
      <alignment vertical="top"/>
    </xf>
    <xf numFmtId="0" fontId="4" fillId="0" borderId="17" xfId="0" applyFont="1" applyFill="1" applyBorder="1" applyAlignment="1">
      <alignment vertical="top"/>
    </xf>
    <xf numFmtId="1" fontId="12" fillId="0" borderId="2" xfId="0" applyNumberFormat="1" applyFont="1" applyFill="1" applyBorder="1" applyAlignment="1">
      <alignment horizontal="left" vertical="top"/>
    </xf>
    <xf numFmtId="0" fontId="24" fillId="0" borderId="0" xfId="0" applyFont="1" applyFill="1" applyBorder="1" applyAlignment="1">
      <alignment vertical="top" wrapText="1"/>
    </xf>
    <xf numFmtId="0" fontId="24" fillId="0" borderId="0" xfId="0" applyFont="1" applyFill="1" applyAlignment="1">
      <alignment vertical="top" wrapText="1"/>
    </xf>
    <xf numFmtId="3" fontId="61" fillId="0" borderId="0" xfId="0" applyNumberFormat="1" applyFont="1" applyFill="1"/>
    <xf numFmtId="0" fontId="7" fillId="0" borderId="0" xfId="0" applyFont="1" applyFill="1" applyAlignment="1">
      <alignment vertical="top"/>
    </xf>
    <xf numFmtId="0" fontId="4" fillId="0" borderId="2" xfId="0" applyFont="1" applyFill="1" applyBorder="1" applyAlignment="1">
      <alignment vertical="top"/>
    </xf>
    <xf numFmtId="3" fontId="9" fillId="0" borderId="17" xfId="0" applyNumberFormat="1" applyFont="1" applyFill="1" applyBorder="1" applyAlignment="1">
      <alignment vertical="top"/>
    </xf>
    <xf numFmtId="3" fontId="12" fillId="0" borderId="17" xfId="0" applyNumberFormat="1" applyFont="1" applyFill="1" applyBorder="1" applyAlignment="1">
      <alignment vertical="top"/>
    </xf>
    <xf numFmtId="166" fontId="12" fillId="0" borderId="21" xfId="0" applyNumberFormat="1" applyFont="1" applyFill="1" applyBorder="1" applyAlignment="1">
      <alignment vertical="top"/>
    </xf>
    <xf numFmtId="3" fontId="14" fillId="0" borderId="2" xfId="0" applyNumberFormat="1" applyFont="1" applyFill="1" applyBorder="1" applyAlignment="1">
      <alignment vertical="top"/>
    </xf>
    <xf numFmtId="166" fontId="14" fillId="0" borderId="21" xfId="0" applyNumberFormat="1" applyFont="1" applyFill="1" applyBorder="1" applyAlignment="1">
      <alignment vertical="top"/>
    </xf>
    <xf numFmtId="166" fontId="12" fillId="0" borderId="25" xfId="0" applyNumberFormat="1" applyFont="1" applyFill="1" applyBorder="1" applyAlignment="1">
      <alignment vertical="top"/>
    </xf>
    <xf numFmtId="3" fontId="9" fillId="0" borderId="0" xfId="0" applyNumberFormat="1" applyFont="1" applyFill="1" applyBorder="1" applyAlignment="1">
      <alignment horizontal="right" vertical="center"/>
    </xf>
    <xf numFmtId="3" fontId="14" fillId="0" borderId="62" xfId="0" applyNumberFormat="1" applyFont="1" applyBorder="1" applyAlignment="1">
      <alignment horizontal="left" vertical="center" wrapText="1"/>
    </xf>
    <xf numFmtId="3" fontId="14" fillId="0" borderId="15" xfId="0" applyNumberFormat="1" applyFont="1" applyBorder="1" applyAlignment="1">
      <alignment horizontal="left" vertical="center" wrapText="1"/>
    </xf>
    <xf numFmtId="3" fontId="14" fillId="0" borderId="53" xfId="0" applyNumberFormat="1" applyFont="1" applyBorder="1" applyAlignment="1">
      <alignment horizontal="left" vertical="center" wrapText="1"/>
    </xf>
    <xf numFmtId="0" fontId="13" fillId="0" borderId="62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13" fillId="0" borderId="53" xfId="0" applyFont="1" applyBorder="1" applyAlignment="1">
      <alignment horizontal="center" vertical="center"/>
    </xf>
    <xf numFmtId="3" fontId="9" fillId="0" borderId="34" xfId="0" applyNumberFormat="1" applyFont="1" applyFill="1" applyBorder="1" applyAlignment="1">
      <alignment horizontal="right" vertical="center"/>
    </xf>
    <xf numFmtId="3" fontId="14" fillId="0" borderId="9" xfId="0" applyNumberFormat="1" applyFont="1" applyBorder="1" applyAlignment="1">
      <alignment horizontal="right" vertical="center" wrapText="1"/>
    </xf>
    <xf numFmtId="3" fontId="14" fillId="0" borderId="2" xfId="0" applyNumberFormat="1" applyFont="1" applyBorder="1" applyAlignment="1">
      <alignment horizontal="right" vertical="center" wrapText="1"/>
    </xf>
    <xf numFmtId="3" fontId="14" fillId="0" borderId="14" xfId="0" applyNumberFormat="1" applyFont="1" applyBorder="1" applyAlignment="1">
      <alignment horizontal="right" vertical="center" wrapText="1"/>
    </xf>
    <xf numFmtId="3" fontId="14" fillId="0" borderId="14" xfId="0" applyNumberFormat="1" applyFont="1" applyFill="1" applyBorder="1" applyAlignment="1">
      <alignment horizontal="right" vertical="center"/>
    </xf>
    <xf numFmtId="167" fontId="9" fillId="0" borderId="25" xfId="0" applyNumberFormat="1" applyFont="1" applyBorder="1" applyAlignment="1">
      <alignment horizontal="right" vertical="center"/>
    </xf>
    <xf numFmtId="167" fontId="9" fillId="0" borderId="42" xfId="0" applyNumberFormat="1" applyFont="1" applyBorder="1" applyAlignment="1">
      <alignment horizontal="right" vertical="center"/>
    </xf>
    <xf numFmtId="0" fontId="4" fillId="0" borderId="0" xfId="8" applyFont="1" applyFill="1"/>
    <xf numFmtId="0" fontId="13" fillId="0" borderId="63" xfId="0" applyFont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3" fillId="0" borderId="50" xfId="0" applyFont="1" applyBorder="1" applyAlignment="1">
      <alignment horizontal="center" vertical="center"/>
    </xf>
    <xf numFmtId="1" fontId="4" fillId="0" borderId="0" xfId="8" applyNumberFormat="1" applyFont="1" applyFill="1" applyAlignment="1">
      <alignment horizontal="right"/>
    </xf>
    <xf numFmtId="3" fontId="4" fillId="0" borderId="0" xfId="8" applyNumberFormat="1" applyFont="1" applyFill="1"/>
    <xf numFmtId="0" fontId="4" fillId="0" borderId="0" xfId="8" applyFont="1" applyFill="1" applyAlignment="1">
      <alignment horizontal="center"/>
    </xf>
    <xf numFmtId="0" fontId="33" fillId="0" borderId="0" xfId="8" applyFont="1" applyFill="1"/>
    <xf numFmtId="167" fontId="31" fillId="0" borderId="10" xfId="8" applyNumberFormat="1" applyFont="1" applyFill="1" applyBorder="1" applyAlignment="1">
      <alignment horizontal="right" shrinkToFit="1"/>
    </xf>
    <xf numFmtId="3" fontId="31" fillId="0" borderId="10" xfId="8" applyNumberFormat="1" applyFont="1" applyFill="1" applyBorder="1"/>
    <xf numFmtId="167" fontId="6" fillId="0" borderId="0" xfId="8" applyNumberFormat="1" applyFont="1" applyFill="1" applyBorder="1" applyAlignment="1">
      <alignment horizontal="right"/>
    </xf>
    <xf numFmtId="3" fontId="53" fillId="0" borderId="0" xfId="8" applyNumberFormat="1" applyFont="1" applyFill="1" applyAlignment="1">
      <alignment horizontal="right"/>
    </xf>
    <xf numFmtId="168" fontId="53" fillId="0" borderId="0" xfId="8" applyNumberFormat="1" applyFont="1" applyFill="1" applyAlignment="1">
      <alignment horizontal="center"/>
    </xf>
    <xf numFmtId="1" fontId="53" fillId="0" borderId="0" xfId="8" applyNumberFormat="1" applyFont="1" applyFill="1" applyAlignment="1">
      <alignment horizontal="left"/>
    </xf>
    <xf numFmtId="0" fontId="66" fillId="0" borderId="0" xfId="8" applyFont="1" applyFill="1"/>
    <xf numFmtId="3" fontId="53" fillId="0" borderId="0" xfId="8" applyNumberFormat="1" applyFont="1" applyFill="1"/>
    <xf numFmtId="1" fontId="53" fillId="0" borderId="0" xfId="8" applyNumberFormat="1" applyFont="1" applyFill="1" applyAlignment="1">
      <alignment horizontal="center"/>
    </xf>
    <xf numFmtId="0" fontId="6" fillId="0" borderId="0" xfId="8" applyFont="1" applyFill="1"/>
    <xf numFmtId="167" fontId="8" fillId="0" borderId="22" xfId="8" applyNumberFormat="1" applyFont="1" applyFill="1" applyBorder="1" applyAlignment="1">
      <alignment horizontal="right"/>
    </xf>
    <xf numFmtId="3" fontId="8" fillId="0" borderId="5" xfId="8" applyNumberFormat="1" applyFont="1" applyFill="1" applyBorder="1"/>
    <xf numFmtId="0" fontId="4" fillId="0" borderId="48" xfId="8" applyFont="1" applyFill="1" applyBorder="1"/>
    <xf numFmtId="3" fontId="21" fillId="0" borderId="8" xfId="8" applyNumberFormat="1" applyFont="1" applyFill="1" applyBorder="1" applyAlignment="1">
      <alignment horizontal="center"/>
    </xf>
    <xf numFmtId="0" fontId="6" fillId="0" borderId="8" xfId="8" applyFont="1" applyFill="1" applyBorder="1"/>
    <xf numFmtId="0" fontId="26" fillId="0" borderId="7" xfId="8" applyFont="1" applyFill="1" applyBorder="1" applyAlignment="1">
      <alignment horizontal="left"/>
    </xf>
    <xf numFmtId="167" fontId="12" fillId="0" borderId="25" xfId="8" applyNumberFormat="1" applyFont="1" applyBorder="1" applyAlignment="1">
      <alignment horizontal="right"/>
    </xf>
    <xf numFmtId="3" fontId="12" fillId="0" borderId="2" xfId="8" applyNumberFormat="1" applyFont="1" applyFill="1" applyBorder="1" applyAlignment="1">
      <alignment horizontal="right"/>
    </xf>
    <xf numFmtId="3" fontId="12" fillId="0" borderId="0" xfId="8" applyNumberFormat="1" applyFont="1" applyFill="1" applyBorder="1" applyAlignment="1">
      <alignment horizontal="right"/>
    </xf>
    <xf numFmtId="3" fontId="12" fillId="0" borderId="2" xfId="8" applyNumberFormat="1" applyFont="1" applyBorder="1" applyAlignment="1">
      <alignment horizontal="right"/>
    </xf>
    <xf numFmtId="49" fontId="10" fillId="0" borderId="2" xfId="8" applyNumberFormat="1" applyFont="1" applyBorder="1" applyAlignment="1">
      <alignment horizontal="left" vertical="top"/>
    </xf>
    <xf numFmtId="1" fontId="5" fillId="0" borderId="2" xfId="8" applyNumberFormat="1" applyFont="1" applyBorder="1" applyAlignment="1">
      <alignment horizontal="left"/>
    </xf>
    <xf numFmtId="1" fontId="5" fillId="0" borderId="12" xfId="8" applyNumberFormat="1" applyFont="1" applyBorder="1" applyAlignment="1">
      <alignment horizontal="left"/>
    </xf>
    <xf numFmtId="49" fontId="10" fillId="0" borderId="2" xfId="8" applyNumberFormat="1" applyFont="1" applyBorder="1" applyAlignment="1">
      <alignment horizontal="left"/>
    </xf>
    <xf numFmtId="167" fontId="14" fillId="0" borderId="25" xfId="8" applyNumberFormat="1" applyFont="1" applyBorder="1" applyAlignment="1">
      <alignment horizontal="right"/>
    </xf>
    <xf numFmtId="3" fontId="14" fillId="0" borderId="2" xfId="8" applyNumberFormat="1" applyFont="1" applyFill="1" applyBorder="1" applyAlignment="1">
      <alignment horizontal="right"/>
    </xf>
    <xf numFmtId="3" fontId="14" fillId="0" borderId="0" xfId="8" applyNumberFormat="1" applyFont="1" applyFill="1" applyBorder="1" applyAlignment="1">
      <alignment horizontal="right"/>
    </xf>
    <xf numFmtId="0" fontId="14" fillId="0" borderId="0" xfId="8" applyFont="1" applyBorder="1"/>
    <xf numFmtId="49" fontId="27" fillId="0" borderId="2" xfId="8" applyNumberFormat="1" applyFont="1" applyBorder="1" applyAlignment="1">
      <alignment horizontal="left"/>
    </xf>
    <xf numFmtId="0" fontId="13" fillId="0" borderId="0" xfId="8" applyFont="1" applyBorder="1"/>
    <xf numFmtId="3" fontId="14" fillId="0" borderId="2" xfId="8" applyNumberFormat="1" applyFont="1" applyBorder="1" applyAlignment="1">
      <alignment horizontal="right"/>
    </xf>
    <xf numFmtId="0" fontId="9" fillId="0" borderId="0" xfId="8" applyFont="1" applyBorder="1" applyAlignment="1"/>
    <xf numFmtId="0" fontId="28" fillId="0" borderId="0" xfId="8" applyFont="1" applyFill="1" applyAlignment="1">
      <alignment vertical="center"/>
    </xf>
    <xf numFmtId="0" fontId="7" fillId="0" borderId="0" xfId="8" applyFont="1" applyFill="1" applyBorder="1"/>
    <xf numFmtId="1" fontId="35" fillId="0" borderId="24" xfId="8" applyNumberFormat="1" applyFont="1" applyFill="1" applyBorder="1" applyAlignment="1">
      <alignment horizontal="center" vertical="center" wrapText="1"/>
    </xf>
    <xf numFmtId="1" fontId="35" fillId="0" borderId="5" xfId="8" applyNumberFormat="1" applyFont="1" applyFill="1" applyBorder="1" applyAlignment="1">
      <alignment horizontal="center" vertical="center" wrapText="1"/>
    </xf>
    <xf numFmtId="0" fontId="35" fillId="0" borderId="5" xfId="8" applyFont="1" applyFill="1" applyBorder="1" applyAlignment="1">
      <alignment horizontal="center" vertical="center"/>
    </xf>
    <xf numFmtId="0" fontId="35" fillId="0" borderId="4" xfId="8" applyFont="1" applyFill="1" applyBorder="1" applyAlignment="1">
      <alignment horizontal="center" vertical="center"/>
    </xf>
    <xf numFmtId="0" fontId="7" fillId="0" borderId="0" xfId="8" applyFont="1" applyFill="1"/>
    <xf numFmtId="0" fontId="7" fillId="0" borderId="5" xfId="8" applyFont="1" applyFill="1" applyBorder="1" applyAlignment="1">
      <alignment horizontal="center" vertical="center"/>
    </xf>
    <xf numFmtId="165" fontId="7" fillId="0" borderId="5" xfId="8" applyNumberFormat="1" applyFont="1" applyFill="1" applyBorder="1" applyAlignment="1">
      <alignment horizontal="center" vertical="center"/>
    </xf>
    <xf numFmtId="1" fontId="7" fillId="0" borderId="5" xfId="8" applyNumberFormat="1" applyFont="1" applyFill="1" applyBorder="1" applyAlignment="1">
      <alignment horizontal="center" vertical="center"/>
    </xf>
    <xf numFmtId="0" fontId="7" fillId="0" borderId="4" xfId="8" applyFont="1" applyFill="1" applyBorder="1" applyAlignment="1">
      <alignment horizontal="center" vertical="center"/>
    </xf>
    <xf numFmtId="3" fontId="4" fillId="0" borderId="0" xfId="8" applyNumberFormat="1" applyFont="1" applyFill="1" applyAlignment="1">
      <alignment horizontal="right"/>
    </xf>
    <xf numFmtId="165" fontId="7" fillId="0" borderId="0" xfId="8" applyNumberFormat="1" applyFont="1" applyFill="1" applyAlignment="1">
      <alignment horizontal="center"/>
    </xf>
    <xf numFmtId="1" fontId="5" fillId="0" borderId="0" xfId="8" applyNumberFormat="1" applyFont="1" applyFill="1" applyAlignment="1">
      <alignment horizontal="center"/>
    </xf>
    <xf numFmtId="1" fontId="8" fillId="0" borderId="0" xfId="8" applyNumberFormat="1" applyFont="1" applyFill="1" applyBorder="1" applyAlignment="1">
      <alignment horizontal="right"/>
    </xf>
    <xf numFmtId="3" fontId="8" fillId="0" borderId="0" xfId="8" applyNumberFormat="1" applyFont="1" applyFill="1" applyBorder="1"/>
    <xf numFmtId="3" fontId="4" fillId="0" borderId="0" xfId="8" applyNumberFormat="1" applyFont="1" applyFill="1" applyBorder="1"/>
    <xf numFmtId="0" fontId="4" fillId="0" borderId="0" xfId="8" applyFont="1" applyFill="1" applyBorder="1"/>
    <xf numFmtId="165" fontId="46" fillId="0" borderId="0" xfId="8" applyNumberFormat="1" applyFont="1" applyFill="1" applyBorder="1" applyAlignment="1">
      <alignment horizontal="center"/>
    </xf>
    <xf numFmtId="0" fontId="19" fillId="0" borderId="0" xfId="8" applyFont="1" applyFill="1" applyBorder="1" applyAlignment="1">
      <alignment horizontal="center"/>
    </xf>
    <xf numFmtId="1" fontId="30" fillId="0" borderId="0" xfId="8" applyNumberFormat="1" applyFont="1" applyFill="1" applyBorder="1" applyAlignment="1">
      <alignment horizontal="left"/>
    </xf>
    <xf numFmtId="166" fontId="14" fillId="0" borderId="25" xfId="8" applyNumberFormat="1" applyFont="1" applyBorder="1" applyAlignment="1">
      <alignment horizontal="right"/>
    </xf>
    <xf numFmtId="3" fontId="9" fillId="0" borderId="0" xfId="8" applyNumberFormat="1" applyFont="1" applyFill="1" applyBorder="1" applyAlignment="1">
      <alignment horizontal="right"/>
    </xf>
    <xf numFmtId="0" fontId="9" fillId="0" borderId="0" xfId="8" applyFont="1" applyBorder="1"/>
    <xf numFmtId="166" fontId="12" fillId="0" borderId="25" xfId="8" applyNumberFormat="1" applyFont="1" applyBorder="1" applyAlignment="1">
      <alignment horizontal="right"/>
    </xf>
    <xf numFmtId="3" fontId="15" fillId="0" borderId="2" xfId="8" applyNumberFormat="1" applyFont="1" applyFill="1" applyBorder="1" applyAlignment="1">
      <alignment horizontal="right"/>
    </xf>
    <xf numFmtId="3" fontId="15" fillId="0" borderId="0" xfId="8" applyNumberFormat="1" applyFont="1" applyFill="1" applyBorder="1" applyAlignment="1">
      <alignment horizontal="right"/>
    </xf>
    <xf numFmtId="166" fontId="9" fillId="0" borderId="25" xfId="8" applyNumberFormat="1" applyFont="1" applyBorder="1" applyAlignment="1">
      <alignment horizontal="right"/>
    </xf>
    <xf numFmtId="3" fontId="9" fillId="0" borderId="2" xfId="8" applyNumberFormat="1" applyFont="1" applyFill="1" applyBorder="1" applyAlignment="1">
      <alignment horizontal="right"/>
    </xf>
    <xf numFmtId="3" fontId="9" fillId="0" borderId="2" xfId="8" applyNumberFormat="1" applyFont="1" applyBorder="1" applyAlignment="1">
      <alignment horizontal="right"/>
    </xf>
    <xf numFmtId="168" fontId="10" fillId="0" borderId="2" xfId="8" applyNumberFormat="1" applyFont="1" applyBorder="1" applyAlignment="1">
      <alignment horizontal="left"/>
    </xf>
    <xf numFmtId="0" fontId="22" fillId="0" borderId="0" xfId="8" applyFont="1" applyBorder="1" applyAlignment="1"/>
    <xf numFmtId="3" fontId="7" fillId="0" borderId="5" xfId="8" applyNumberFormat="1" applyFont="1" applyFill="1" applyBorder="1" applyAlignment="1">
      <alignment horizontal="center" vertical="center"/>
    </xf>
    <xf numFmtId="1" fontId="10" fillId="0" borderId="0" xfId="8" applyNumberFormat="1" applyFont="1" applyFill="1" applyAlignment="1">
      <alignment horizontal="left"/>
    </xf>
    <xf numFmtId="0" fontId="14" fillId="0" borderId="0" xfId="8" applyFont="1" applyFill="1" applyBorder="1"/>
    <xf numFmtId="49" fontId="27" fillId="0" borderId="2" xfId="8" applyNumberFormat="1" applyFont="1" applyBorder="1" applyAlignment="1">
      <alignment horizontal="left" vertical="top"/>
    </xf>
    <xf numFmtId="1" fontId="5" fillId="0" borderId="0" xfId="8" applyNumberFormat="1" applyFont="1" applyBorder="1" applyAlignment="1">
      <alignment horizontal="left"/>
    </xf>
    <xf numFmtId="0" fontId="21" fillId="0" borderId="0" xfId="8" applyFont="1" applyFill="1" applyBorder="1"/>
    <xf numFmtId="1" fontId="8" fillId="0" borderId="0" xfId="8" applyNumberFormat="1" applyFont="1" applyFill="1" applyBorder="1" applyAlignment="1">
      <alignment horizontal="left"/>
    </xf>
    <xf numFmtId="3" fontId="19" fillId="0" borderId="0" xfId="8" applyNumberFormat="1" applyFont="1" applyFill="1" applyAlignment="1">
      <alignment horizontal="right"/>
    </xf>
    <xf numFmtId="1" fontId="12" fillId="0" borderId="0" xfId="8" applyNumberFormat="1" applyFont="1" applyFill="1" applyBorder="1" applyAlignment="1">
      <alignment horizontal="left"/>
    </xf>
    <xf numFmtId="3" fontId="8" fillId="0" borderId="1" xfId="8" applyNumberFormat="1" applyFont="1" applyFill="1" applyBorder="1"/>
    <xf numFmtId="3" fontId="4" fillId="0" borderId="1" xfId="8" applyNumberFormat="1" applyFont="1" applyFill="1" applyBorder="1"/>
    <xf numFmtId="0" fontId="21" fillId="0" borderId="1" xfId="8" applyFont="1" applyFill="1" applyBorder="1"/>
    <xf numFmtId="0" fontId="19" fillId="0" borderId="1" xfId="8" applyFont="1" applyFill="1" applyBorder="1" applyAlignment="1">
      <alignment horizontal="center"/>
    </xf>
    <xf numFmtId="1" fontId="8" fillId="0" borderId="1" xfId="8" applyNumberFormat="1" applyFont="1" applyFill="1" applyBorder="1" applyAlignment="1">
      <alignment horizontal="left"/>
    </xf>
    <xf numFmtId="171" fontId="28" fillId="0" borderId="2" xfId="1" applyNumberFormat="1" applyFont="1" applyFill="1" applyBorder="1" applyAlignment="1">
      <alignment horizontal="center" vertical="center" wrapText="1"/>
    </xf>
    <xf numFmtId="3" fontId="88" fillId="0" borderId="0" xfId="0" applyNumberFormat="1" applyFont="1" applyFill="1"/>
    <xf numFmtId="3" fontId="12" fillId="0" borderId="0" xfId="0" applyNumberFormat="1" applyFont="1" applyFill="1" applyAlignment="1">
      <alignment horizontal="right"/>
    </xf>
    <xf numFmtId="0" fontId="89" fillId="0" borderId="0" xfId="0" applyFont="1" applyAlignment="1">
      <alignment vertical="center"/>
    </xf>
    <xf numFmtId="168" fontId="24" fillId="0" borderId="0" xfId="0" applyNumberFormat="1" applyFont="1" applyFill="1"/>
    <xf numFmtId="1" fontId="14" fillId="0" borderId="2" xfId="0" applyNumberFormat="1" applyFont="1" applyFill="1" applyBorder="1" applyAlignment="1">
      <alignment horizontal="left"/>
    </xf>
    <xf numFmtId="1" fontId="4" fillId="0" borderId="0" xfId="0" applyNumberFormat="1" applyFont="1" applyFill="1" applyAlignment="1">
      <alignment horizontal="center"/>
    </xf>
    <xf numFmtId="167" fontId="4" fillId="0" borderId="0" xfId="0" applyNumberFormat="1" applyFont="1" applyFill="1"/>
    <xf numFmtId="0" fontId="4" fillId="0" borderId="0" xfId="0" applyFont="1" applyFill="1" applyAlignment="1"/>
    <xf numFmtId="0" fontId="4" fillId="0" borderId="2" xfId="0" applyFont="1" applyBorder="1" applyAlignment="1">
      <alignment vertical="top"/>
    </xf>
    <xf numFmtId="168" fontId="21" fillId="0" borderId="1" xfId="8" applyNumberFormat="1" applyFont="1" applyFill="1" applyBorder="1" applyAlignment="1">
      <alignment horizontal="center"/>
    </xf>
    <xf numFmtId="168" fontId="21" fillId="0" borderId="0" xfId="8" applyNumberFormat="1" applyFont="1" applyFill="1" applyBorder="1" applyAlignment="1">
      <alignment horizontal="center"/>
    </xf>
    <xf numFmtId="166" fontId="8" fillId="0" borderId="0" xfId="8" applyNumberFormat="1" applyFont="1" applyFill="1" applyBorder="1" applyAlignment="1">
      <alignment horizontal="right"/>
    </xf>
    <xf numFmtId="168" fontId="24" fillId="0" borderId="0" xfId="8" applyNumberFormat="1" applyFont="1" applyFill="1"/>
    <xf numFmtId="0" fontId="4" fillId="0" borderId="0" xfId="8" applyFill="1" applyAlignment="1">
      <alignment horizontal="center"/>
    </xf>
    <xf numFmtId="0" fontId="4" fillId="0" borderId="0" xfId="8" applyFill="1"/>
    <xf numFmtId="3" fontId="4" fillId="0" borderId="0" xfId="8" applyNumberFormat="1" applyFill="1"/>
    <xf numFmtId="166" fontId="4" fillId="0" borderId="0" xfId="8" applyNumberFormat="1" applyFill="1" applyAlignment="1">
      <alignment horizontal="right"/>
    </xf>
    <xf numFmtId="0" fontId="39" fillId="0" borderId="0" xfId="8" applyFont="1" applyFill="1" applyAlignment="1"/>
    <xf numFmtId="0" fontId="51" fillId="0" borderId="0" xfId="8" applyFont="1" applyFill="1" applyAlignment="1"/>
    <xf numFmtId="0" fontId="74" fillId="0" borderId="0" xfId="8" applyFont="1" applyFill="1" applyAlignment="1">
      <alignment horizontal="left"/>
    </xf>
    <xf numFmtId="0" fontId="28" fillId="0" borderId="4" xfId="8" applyFont="1" applyFill="1" applyBorder="1" applyAlignment="1">
      <alignment horizontal="center" vertical="center"/>
    </xf>
    <xf numFmtId="0" fontId="28" fillId="0" borderId="5" xfId="8" applyFont="1" applyFill="1" applyBorder="1" applyAlignment="1">
      <alignment horizontal="center" vertical="center"/>
    </xf>
    <xf numFmtId="0" fontId="28" fillId="0" borderId="5" xfId="8" applyFont="1" applyFill="1" applyBorder="1" applyAlignment="1">
      <alignment vertical="center"/>
    </xf>
    <xf numFmtId="3" fontId="35" fillId="0" borderId="5" xfId="8" applyNumberFormat="1" applyFont="1" applyFill="1" applyBorder="1" applyAlignment="1">
      <alignment horizontal="center" vertical="center" wrapText="1"/>
    </xf>
    <xf numFmtId="3" fontId="35" fillId="0" borderId="37" xfId="8" applyNumberFormat="1" applyFont="1" applyFill="1" applyBorder="1" applyAlignment="1">
      <alignment horizontal="center" vertical="center" wrapText="1"/>
    </xf>
    <xf numFmtId="166" fontId="35" fillId="0" borderId="24" xfId="8" applyNumberFormat="1" applyFont="1" applyFill="1" applyBorder="1" applyAlignment="1">
      <alignment horizontal="center" vertical="center"/>
    </xf>
    <xf numFmtId="0" fontId="4" fillId="0" borderId="6" xfId="8" applyFill="1" applyBorder="1" applyAlignment="1">
      <alignment horizontal="center"/>
    </xf>
    <xf numFmtId="0" fontId="4" fillId="0" borderId="2" xfId="8" applyFill="1" applyBorder="1" applyAlignment="1">
      <alignment horizontal="center"/>
    </xf>
    <xf numFmtId="0" fontId="4" fillId="0" borderId="9" xfId="8" applyFill="1" applyBorder="1" applyAlignment="1">
      <alignment horizontal="center"/>
    </xf>
    <xf numFmtId="3" fontId="22" fillId="0" borderId="5" xfId="8" applyNumberFormat="1" applyFont="1" applyFill="1" applyBorder="1"/>
    <xf numFmtId="166" fontId="22" fillId="0" borderId="23" xfId="8" applyNumberFormat="1" applyFont="1" applyFill="1" applyBorder="1" applyAlignment="1">
      <alignment horizontal="center" vertical="center"/>
    </xf>
    <xf numFmtId="3" fontId="22" fillId="0" borderId="2" xfId="8" applyNumberFormat="1" applyFont="1" applyFill="1" applyBorder="1"/>
    <xf numFmtId="166" fontId="22" fillId="0" borderId="21" xfId="8" applyNumberFormat="1" applyFont="1" applyFill="1" applyBorder="1" applyAlignment="1">
      <alignment horizontal="center" vertical="center"/>
    </xf>
    <xf numFmtId="166" fontId="22" fillId="0" borderId="24" xfId="8" applyNumberFormat="1" applyFont="1" applyFill="1" applyBorder="1" applyAlignment="1">
      <alignment horizontal="center" vertical="center"/>
    </xf>
    <xf numFmtId="0" fontId="22" fillId="0" borderId="0" xfId="8" applyFont="1" applyFill="1" applyBorder="1" applyAlignment="1">
      <alignment horizontal="left"/>
    </xf>
    <xf numFmtId="3" fontId="22" fillId="0" borderId="0" xfId="8" applyNumberFormat="1" applyFont="1" applyFill="1" applyBorder="1"/>
    <xf numFmtId="0" fontId="4" fillId="0" borderId="0" xfId="8" applyFill="1" applyAlignment="1">
      <alignment horizontal="right"/>
    </xf>
    <xf numFmtId="166" fontId="22" fillId="0" borderId="42" xfId="8" applyNumberFormat="1" applyFont="1" applyFill="1" applyBorder="1" applyAlignment="1">
      <alignment horizontal="center" vertical="center"/>
    </xf>
    <xf numFmtId="0" fontId="22" fillId="0" borderId="0" xfId="8" applyFont="1" applyFill="1"/>
    <xf numFmtId="4" fontId="4" fillId="0" borderId="0" xfId="8" applyNumberFormat="1" applyFill="1"/>
    <xf numFmtId="0" fontId="4" fillId="0" borderId="38" xfId="8" applyFill="1" applyBorder="1" applyAlignment="1">
      <alignment horizontal="center"/>
    </xf>
    <xf numFmtId="0" fontId="4" fillId="0" borderId="0" xfId="8" applyFill="1" applyAlignment="1"/>
    <xf numFmtId="3" fontId="22" fillId="0" borderId="9" xfId="8" applyNumberFormat="1" applyFont="1" applyFill="1" applyBorder="1" applyAlignment="1">
      <alignment vertical="center"/>
    </xf>
    <xf numFmtId="4" fontId="28" fillId="0" borderId="5" xfId="8" applyNumberFormat="1" applyFont="1" applyFill="1" applyBorder="1" applyAlignment="1">
      <alignment horizontal="center" vertical="center" wrapText="1"/>
    </xf>
    <xf numFmtId="4" fontId="28" fillId="0" borderId="37" xfId="8" applyNumberFormat="1" applyFont="1" applyFill="1" applyBorder="1" applyAlignment="1">
      <alignment horizontal="center" vertical="center" wrapText="1"/>
    </xf>
    <xf numFmtId="3" fontId="4" fillId="0" borderId="24" xfId="8" applyNumberFormat="1" applyFill="1" applyBorder="1" applyAlignment="1">
      <alignment horizontal="center" vertical="center"/>
    </xf>
    <xf numFmtId="0" fontId="22" fillId="0" borderId="2" xfId="8" applyFont="1" applyFill="1" applyBorder="1" applyAlignment="1">
      <alignment vertical="center" wrapText="1"/>
    </xf>
    <xf numFmtId="0" fontId="4" fillId="0" borderId="34" xfId="8" applyFill="1" applyBorder="1" applyAlignment="1">
      <alignment horizontal="center"/>
    </xf>
    <xf numFmtId="0" fontId="22" fillId="0" borderId="14" xfId="8" applyFont="1" applyFill="1" applyBorder="1" applyAlignment="1">
      <alignment vertical="center" wrapText="1"/>
    </xf>
    <xf numFmtId="3" fontId="22" fillId="0" borderId="14" xfId="8" applyNumberFormat="1" applyFont="1" applyFill="1" applyBorder="1" applyAlignment="1">
      <alignment vertical="center"/>
    </xf>
    <xf numFmtId="0" fontId="4" fillId="0" borderId="38" xfId="8" applyFill="1" applyBorder="1" applyAlignment="1">
      <alignment horizontal="center" vertical="center"/>
    </xf>
    <xf numFmtId="3" fontId="22" fillId="0" borderId="2" xfId="8" applyNumberFormat="1" applyFont="1" applyFill="1" applyBorder="1" applyAlignment="1">
      <alignment vertical="center"/>
    </xf>
    <xf numFmtId="0" fontId="4" fillId="0" borderId="0" xfId="8" applyFill="1" applyAlignment="1">
      <alignment vertical="center"/>
    </xf>
    <xf numFmtId="0" fontId="22" fillId="0" borderId="0" xfId="8" applyFont="1" applyFill="1" applyBorder="1" applyAlignment="1"/>
    <xf numFmtId="166" fontId="22" fillId="0" borderId="0" xfId="8" applyNumberFormat="1" applyFont="1" applyFill="1" applyBorder="1" applyAlignment="1">
      <alignment horizontal="center" vertical="center"/>
    </xf>
    <xf numFmtId="0" fontId="4" fillId="0" borderId="0" xfId="8" applyFill="1" applyBorder="1"/>
    <xf numFmtId="0" fontId="4" fillId="0" borderId="6" xfId="8" applyFill="1" applyBorder="1" applyAlignment="1">
      <alignment horizontal="left" vertical="center"/>
    </xf>
    <xf numFmtId="3" fontId="22" fillId="0" borderId="9" xfId="8" applyNumberFormat="1" applyFont="1" applyFill="1" applyBorder="1" applyAlignment="1">
      <alignment horizontal="right" vertical="center"/>
    </xf>
    <xf numFmtId="3" fontId="22" fillId="0" borderId="2" xfId="8" applyNumberFormat="1" applyFont="1" applyFill="1" applyBorder="1" applyAlignment="1">
      <alignment horizontal="right" vertical="center"/>
    </xf>
    <xf numFmtId="0" fontId="35" fillId="0" borderId="2" xfId="8" applyFont="1" applyFill="1" applyBorder="1" applyAlignment="1">
      <alignment horizontal="center" vertical="center"/>
    </xf>
    <xf numFmtId="0" fontId="4" fillId="0" borderId="12" xfId="8" applyFill="1" applyBorder="1" applyAlignment="1">
      <alignment horizontal="left" vertical="center"/>
    </xf>
    <xf numFmtId="0" fontId="4" fillId="0" borderId="0" xfId="8" applyFill="1" applyBorder="1" applyAlignment="1">
      <alignment horizontal="center"/>
    </xf>
    <xf numFmtId="0" fontId="4" fillId="0" borderId="53" xfId="8" applyFill="1" applyBorder="1" applyAlignment="1">
      <alignment horizontal="center"/>
    </xf>
    <xf numFmtId="1" fontId="78" fillId="0" borderId="0" xfId="8" applyNumberFormat="1" applyFont="1" applyFill="1" applyBorder="1" applyAlignment="1">
      <alignment horizontal="left"/>
    </xf>
    <xf numFmtId="1" fontId="78" fillId="0" borderId="0" xfId="8" applyNumberFormat="1" applyFont="1" applyFill="1" applyBorder="1" applyAlignment="1">
      <alignment horizontal="center"/>
    </xf>
    <xf numFmtId="168" fontId="78" fillId="0" borderId="0" xfId="8" applyNumberFormat="1" applyFont="1" applyFill="1" applyBorder="1" applyAlignment="1">
      <alignment horizontal="center"/>
    </xf>
    <xf numFmtId="0" fontId="78" fillId="0" borderId="0" xfId="8" applyFont="1" applyFill="1" applyBorder="1"/>
    <xf numFmtId="3" fontId="51" fillId="0" borderId="0" xfId="8" applyNumberFormat="1" applyFont="1" applyFill="1"/>
    <xf numFmtId="166" fontId="6" fillId="0" borderId="0" xfId="8" applyNumberFormat="1" applyFont="1" applyFill="1" applyBorder="1" applyAlignment="1">
      <alignment horizontal="right"/>
    </xf>
    <xf numFmtId="4" fontId="51" fillId="0" borderId="0" xfId="8" applyNumberFormat="1" applyFont="1" applyFill="1"/>
    <xf numFmtId="0" fontId="53" fillId="0" borderId="0" xfId="8" applyFont="1" applyFill="1"/>
    <xf numFmtId="4" fontId="53" fillId="0" borderId="0" xfId="8" applyNumberFormat="1" applyFont="1" applyFill="1"/>
    <xf numFmtId="0" fontId="53" fillId="0" borderId="0" xfId="8" applyFont="1" applyFill="1" applyAlignment="1">
      <alignment horizontal="left"/>
    </xf>
    <xf numFmtId="166" fontId="53" fillId="0" borderId="0" xfId="8" applyNumberFormat="1" applyFont="1" applyFill="1" applyAlignment="1">
      <alignment horizontal="right"/>
    </xf>
    <xf numFmtId="166" fontId="17" fillId="0" borderId="10" xfId="8" applyNumberFormat="1" applyFont="1" applyFill="1" applyBorder="1" applyAlignment="1">
      <alignment horizontal="right" shrinkToFit="1"/>
    </xf>
    <xf numFmtId="0" fontId="79" fillId="0" borderId="0" xfId="8" applyFont="1" applyFill="1"/>
    <xf numFmtId="3" fontId="79" fillId="0" borderId="0" xfId="8" applyNumberFormat="1" applyFont="1" applyFill="1"/>
    <xf numFmtId="0" fontId="39" fillId="0" borderId="1" xfId="8" applyFont="1" applyFill="1" applyBorder="1" applyAlignment="1"/>
    <xf numFmtId="0" fontId="4" fillId="0" borderId="1" xfId="8" applyFill="1" applyBorder="1" applyAlignment="1"/>
    <xf numFmtId="0" fontId="39" fillId="0" borderId="0" xfId="8" applyFont="1" applyFill="1" applyAlignment="1">
      <alignment horizontal="right"/>
    </xf>
    <xf numFmtId="1" fontId="35" fillId="0" borderId="37" xfId="8" applyNumberFormat="1" applyFont="1" applyFill="1" applyBorder="1" applyAlignment="1">
      <alignment horizontal="center" vertical="center" wrapText="1"/>
    </xf>
    <xf numFmtId="0" fontId="4" fillId="0" borderId="0" xfId="8" applyFont="1" applyFill="1" applyAlignment="1">
      <alignment vertical="center"/>
    </xf>
    <xf numFmtId="167" fontId="18" fillId="0" borderId="0" xfId="8" applyNumberFormat="1" applyFont="1" applyFill="1" applyBorder="1" applyAlignment="1">
      <alignment horizontal="right"/>
    </xf>
    <xf numFmtId="4" fontId="51" fillId="0" borderId="0" xfId="8" applyNumberFormat="1" applyFont="1" applyFill="1" applyAlignment="1">
      <alignment vertical="center"/>
    </xf>
    <xf numFmtId="4" fontId="53" fillId="0" borderId="0" xfId="8" applyNumberFormat="1" applyFont="1" applyFill="1" applyAlignment="1">
      <alignment vertical="center"/>
    </xf>
    <xf numFmtId="167" fontId="12" fillId="0" borderId="0" xfId="8" applyNumberFormat="1" applyFont="1" applyFill="1" applyBorder="1" applyAlignment="1">
      <alignment horizontal="right"/>
    </xf>
    <xf numFmtId="167" fontId="14" fillId="0" borderId="0" xfId="8" applyNumberFormat="1" applyFont="1" applyFill="1" applyBorder="1" applyAlignment="1">
      <alignment horizontal="right"/>
    </xf>
    <xf numFmtId="3" fontId="22" fillId="0" borderId="15" xfId="8" applyNumberFormat="1" applyFont="1" applyFill="1" applyBorder="1" applyAlignment="1">
      <alignment vertical="center"/>
    </xf>
    <xf numFmtId="0" fontId="22" fillId="0" borderId="2" xfId="8" applyFont="1" applyFill="1" applyBorder="1"/>
    <xf numFmtId="169" fontId="4" fillId="0" borderId="2" xfId="8" applyNumberFormat="1" applyFill="1" applyBorder="1" applyAlignment="1">
      <alignment horizontal="center"/>
    </xf>
    <xf numFmtId="3" fontId="22" fillId="0" borderId="46" xfId="8" applyNumberFormat="1" applyFont="1" applyFill="1" applyBorder="1" applyAlignment="1">
      <alignment vertical="center"/>
    </xf>
    <xf numFmtId="0" fontId="4" fillId="0" borderId="12" xfId="8" applyFill="1" applyBorder="1" applyAlignment="1">
      <alignment horizontal="center"/>
    </xf>
    <xf numFmtId="3" fontId="4" fillId="0" borderId="0" xfId="8" applyNumberFormat="1" applyFill="1" applyBorder="1" applyAlignment="1">
      <alignment horizontal="center" vertical="center"/>
    </xf>
    <xf numFmtId="4" fontId="4" fillId="0" borderId="0" xfId="8" applyNumberFormat="1" applyFill="1" applyAlignment="1">
      <alignment horizontal="right"/>
    </xf>
    <xf numFmtId="0" fontId="28" fillId="0" borderId="0" xfId="8" applyFont="1" applyFill="1" applyBorder="1" applyAlignment="1">
      <alignment horizontal="center" vertical="center"/>
    </xf>
    <xf numFmtId="4" fontId="28" fillId="0" borderId="0" xfId="8" applyNumberFormat="1" applyFont="1" applyFill="1" applyBorder="1" applyAlignment="1">
      <alignment horizontal="center" vertical="center" wrapText="1"/>
    </xf>
    <xf numFmtId="0" fontId="28" fillId="0" borderId="0" xfId="8" applyFont="1" applyFill="1" applyBorder="1" applyAlignment="1">
      <alignment vertical="center"/>
    </xf>
    <xf numFmtId="0" fontId="4" fillId="0" borderId="6" xfId="8" applyFill="1" applyBorder="1" applyAlignment="1">
      <alignment horizontal="center" vertical="center"/>
    </xf>
    <xf numFmtId="0" fontId="4" fillId="0" borderId="17" xfId="8" applyFill="1" applyBorder="1" applyAlignment="1">
      <alignment horizontal="center"/>
    </xf>
    <xf numFmtId="0" fontId="51" fillId="0" borderId="0" xfId="8" applyFont="1" applyFill="1"/>
    <xf numFmtId="0" fontId="4" fillId="0" borderId="0" xfId="8" applyFill="1" applyAlignment="1">
      <alignment horizontal="left"/>
    </xf>
    <xf numFmtId="3" fontId="4" fillId="0" borderId="1" xfId="8" applyNumberFormat="1" applyFont="1" applyFill="1" applyBorder="1" applyAlignment="1">
      <alignment horizontal="right"/>
    </xf>
    <xf numFmtId="3" fontId="35" fillId="0" borderId="24" xfId="8" applyNumberFormat="1" applyFont="1" applyFill="1" applyBorder="1" applyAlignment="1">
      <alignment horizontal="center" vertical="center"/>
    </xf>
    <xf numFmtId="0" fontId="4" fillId="0" borderId="2" xfId="8" applyFill="1" applyBorder="1" applyAlignment="1">
      <alignment horizontal="center" vertical="center"/>
    </xf>
    <xf numFmtId="171" fontId="4" fillId="0" borderId="2" xfId="8" applyNumberFormat="1" applyFill="1" applyBorder="1" applyAlignment="1">
      <alignment horizontal="center" vertical="center"/>
    </xf>
    <xf numFmtId="0" fontId="4" fillId="0" borderId="2" xfId="8" applyFill="1" applyBorder="1" applyAlignment="1">
      <alignment horizontal="center" vertical="center" wrapText="1"/>
    </xf>
    <xf numFmtId="171" fontId="4" fillId="0" borderId="2" xfId="8" applyNumberFormat="1" applyFill="1" applyBorder="1" applyAlignment="1">
      <alignment horizontal="center" vertical="center" wrapText="1"/>
    </xf>
    <xf numFmtId="0" fontId="4" fillId="0" borderId="0" xfId="8" applyFill="1" applyAlignment="1">
      <alignment vertical="center" wrapText="1"/>
    </xf>
    <xf numFmtId="3" fontId="22" fillId="0" borderId="0" xfId="8" applyNumberFormat="1" applyFont="1" applyFill="1" applyBorder="1" applyAlignment="1">
      <alignment vertical="center"/>
    </xf>
    <xf numFmtId="0" fontId="22" fillId="0" borderId="2" xfId="8" applyFont="1" applyFill="1" applyBorder="1" applyAlignment="1">
      <alignment vertical="justify" wrapText="1"/>
    </xf>
    <xf numFmtId="4" fontId="22" fillId="0" borderId="0" xfId="8" applyNumberFormat="1" applyFont="1" applyFill="1"/>
    <xf numFmtId="0" fontId="4" fillId="0" borderId="34" xfId="8" applyFill="1" applyBorder="1"/>
    <xf numFmtId="4" fontId="4" fillId="0" borderId="34" xfId="8" applyNumberFormat="1" applyFill="1" applyBorder="1"/>
    <xf numFmtId="4" fontId="4" fillId="0" borderId="0" xfId="8" applyNumberFormat="1" applyFill="1" applyBorder="1"/>
    <xf numFmtId="0" fontId="22" fillId="0" borderId="17" xfId="8" applyFont="1" applyFill="1" applyBorder="1" applyAlignment="1">
      <alignment vertical="center" wrapText="1"/>
    </xf>
    <xf numFmtId="0" fontId="4" fillId="0" borderId="50" xfId="8" applyFill="1" applyBorder="1" applyAlignment="1">
      <alignment horizontal="center" vertical="center"/>
    </xf>
    <xf numFmtId="0" fontId="4" fillId="0" borderId="14" xfId="8" applyFill="1" applyBorder="1" applyAlignment="1">
      <alignment horizontal="center" vertical="center"/>
    </xf>
    <xf numFmtId="0" fontId="22" fillId="0" borderId="2" xfId="8" applyFont="1" applyFill="1" applyBorder="1" applyAlignment="1">
      <alignment wrapText="1"/>
    </xf>
    <xf numFmtId="0" fontId="74" fillId="0" borderId="0" xfId="8" applyFont="1" applyAlignment="1">
      <alignment horizontal="left"/>
    </xf>
    <xf numFmtId="0" fontId="28" fillId="0" borderId="4" xfId="8" applyFont="1" applyBorder="1" applyAlignment="1">
      <alignment horizontal="center" vertical="center"/>
    </xf>
    <xf numFmtId="0" fontId="28" fillId="0" borderId="56" xfId="8" applyFont="1" applyBorder="1" applyAlignment="1">
      <alignment horizontal="center" vertical="center"/>
    </xf>
    <xf numFmtId="0" fontId="28" fillId="0" borderId="56" xfId="8" applyFont="1" applyBorder="1" applyAlignment="1">
      <alignment vertical="center"/>
    </xf>
    <xf numFmtId="4" fontId="28" fillId="0" borderId="56" xfId="8" applyNumberFormat="1" applyFont="1" applyBorder="1" applyAlignment="1">
      <alignment horizontal="center" vertical="center" wrapText="1"/>
    </xf>
    <xf numFmtId="4" fontId="28" fillId="0" borderId="8" xfId="8" applyNumberFormat="1" applyFont="1" applyBorder="1" applyAlignment="1">
      <alignment horizontal="center" vertical="center" wrapText="1"/>
    </xf>
    <xf numFmtId="3" fontId="22" fillId="0" borderId="17" xfId="8" applyNumberFormat="1" applyFont="1" applyBorder="1" applyAlignment="1">
      <alignment vertical="center"/>
    </xf>
    <xf numFmtId="3" fontId="22" fillId="0" borderId="56" xfId="8" applyNumberFormat="1" applyFont="1" applyBorder="1"/>
    <xf numFmtId="0" fontId="4" fillId="0" borderId="12" xfId="8" applyFill="1" applyBorder="1" applyAlignment="1">
      <alignment horizontal="center" vertical="center"/>
    </xf>
    <xf numFmtId="0" fontId="4" fillId="0" borderId="15" xfId="8" applyFill="1" applyBorder="1" applyAlignment="1">
      <alignment horizontal="center"/>
    </xf>
    <xf numFmtId="4" fontId="22" fillId="0" borderId="0" xfId="8" applyNumberFormat="1" applyFont="1" applyFill="1" applyBorder="1"/>
    <xf numFmtId="49" fontId="4" fillId="0" borderId="2" xfId="8" applyNumberFormat="1" applyFont="1" applyFill="1" applyBorder="1" applyAlignment="1">
      <alignment horizontal="center" vertical="center"/>
    </xf>
    <xf numFmtId="49" fontId="4" fillId="0" borderId="2" xfId="8" applyNumberFormat="1" applyFill="1" applyBorder="1" applyAlignment="1">
      <alignment horizontal="center" vertical="center"/>
    </xf>
    <xf numFmtId="49" fontId="4" fillId="0" borderId="6" xfId="8" applyNumberFormat="1" applyFill="1" applyBorder="1" applyAlignment="1">
      <alignment horizontal="center" vertical="center"/>
    </xf>
    <xf numFmtId="49" fontId="4" fillId="0" borderId="2" xfId="8" applyNumberFormat="1" applyFill="1" applyBorder="1" applyAlignment="1">
      <alignment horizontal="center"/>
    </xf>
    <xf numFmtId="166" fontId="22" fillId="0" borderId="27" xfId="8" applyNumberFormat="1" applyFont="1" applyFill="1" applyBorder="1" applyAlignment="1">
      <alignment horizontal="center" vertical="center"/>
    </xf>
    <xf numFmtId="4" fontId="4" fillId="0" borderId="0" xfId="8" applyNumberFormat="1" applyFont="1" applyFill="1"/>
    <xf numFmtId="4" fontId="4" fillId="0" borderId="0" xfId="8" applyNumberFormat="1" applyFont="1" applyFill="1" applyAlignment="1">
      <alignment horizontal="right"/>
    </xf>
    <xf numFmtId="0" fontId="22" fillId="0" borderId="2" xfId="8" applyFont="1" applyFill="1" applyBorder="1" applyAlignment="1">
      <alignment horizontal="left" vertical="center" wrapText="1"/>
    </xf>
    <xf numFmtId="0" fontId="28" fillId="0" borderId="0" xfId="8" applyFont="1" applyFill="1" applyAlignment="1">
      <alignment horizontal="center" vertical="center"/>
    </xf>
    <xf numFmtId="49" fontId="4" fillId="0" borderId="2" xfId="8" applyNumberFormat="1" applyFont="1" applyFill="1" applyBorder="1" applyAlignment="1">
      <alignment horizontal="center"/>
    </xf>
    <xf numFmtId="0" fontId="4" fillId="0" borderId="2" xfId="8" applyNumberFormat="1" applyFill="1" applyBorder="1" applyAlignment="1">
      <alignment horizontal="center" vertical="center"/>
    </xf>
    <xf numFmtId="0" fontId="39" fillId="0" borderId="0" xfId="8" applyFont="1" applyFill="1" applyAlignment="1">
      <alignment horizontal="left" wrapText="1"/>
    </xf>
    <xf numFmtId="171" fontId="4" fillId="0" borderId="14" xfId="8" applyNumberFormat="1" applyFill="1" applyBorder="1" applyAlignment="1">
      <alignment horizontal="center" vertical="center"/>
    </xf>
    <xf numFmtId="0" fontId="74" fillId="0" borderId="0" xfId="8" applyFont="1" applyFill="1" applyAlignment="1"/>
    <xf numFmtId="0" fontId="22" fillId="0" borderId="0" xfId="8" applyFont="1" applyFill="1" applyAlignment="1"/>
    <xf numFmtId="0" fontId="24" fillId="0" borderId="0" xfId="8" applyFont="1" applyFill="1" applyAlignment="1">
      <alignment horizontal="center"/>
    </xf>
    <xf numFmtId="0" fontId="74" fillId="4" borderId="0" xfId="8" applyFont="1" applyFill="1" applyAlignment="1">
      <alignment horizontal="left"/>
    </xf>
    <xf numFmtId="1" fontId="8" fillId="4" borderId="1" xfId="8" applyNumberFormat="1" applyFont="1" applyFill="1" applyBorder="1" applyAlignment="1">
      <alignment horizontal="left"/>
    </xf>
    <xf numFmtId="0" fontId="19" fillId="4" borderId="1" xfId="8" applyFont="1" applyFill="1" applyBorder="1" applyAlignment="1">
      <alignment horizontal="center"/>
    </xf>
    <xf numFmtId="168" fontId="21" fillId="4" borderId="1" xfId="8" applyNumberFormat="1" applyFont="1" applyFill="1" applyBorder="1" applyAlignment="1">
      <alignment horizontal="center"/>
    </xf>
    <xf numFmtId="3" fontId="4" fillId="4" borderId="1" xfId="8" applyNumberFormat="1" applyFont="1" applyFill="1" applyBorder="1"/>
    <xf numFmtId="3" fontId="8" fillId="4" borderId="1" xfId="8" applyNumberFormat="1" applyFont="1" applyFill="1" applyBorder="1"/>
    <xf numFmtId="3" fontId="4" fillId="4" borderId="1" xfId="8" applyNumberFormat="1" applyFont="1" applyFill="1" applyBorder="1" applyAlignment="1">
      <alignment horizontal="right"/>
    </xf>
    <xf numFmtId="0" fontId="4" fillId="4" borderId="0" xfId="8" applyFill="1"/>
    <xf numFmtId="0" fontId="51" fillId="4" borderId="0" xfId="8" applyFont="1" applyFill="1" applyAlignment="1"/>
    <xf numFmtId="0" fontId="4" fillId="4" borderId="0" xfId="8" applyFill="1" applyAlignment="1"/>
    <xf numFmtId="0" fontId="39" fillId="4" borderId="0" xfId="8" applyFont="1" applyFill="1" applyAlignment="1">
      <alignment horizontal="right"/>
    </xf>
    <xf numFmtId="1" fontId="12" fillId="4" borderId="0" xfId="8" applyNumberFormat="1" applyFont="1" applyFill="1" applyBorder="1" applyAlignment="1">
      <alignment horizontal="left"/>
    </xf>
    <xf numFmtId="168" fontId="24" fillId="4" borderId="0" xfId="8" applyNumberFormat="1" applyFont="1" applyFill="1"/>
    <xf numFmtId="0" fontId="39" fillId="4" borderId="0" xfId="8" applyFont="1" applyFill="1" applyAlignment="1"/>
    <xf numFmtId="0" fontId="4" fillId="4" borderId="0" xfId="8" applyFill="1" applyAlignment="1">
      <alignment horizontal="center"/>
    </xf>
    <xf numFmtId="4" fontId="4" fillId="4" borderId="0" xfId="8" applyNumberFormat="1" applyFill="1"/>
    <xf numFmtId="4" fontId="4" fillId="4" borderId="0" xfId="8" applyNumberFormat="1" applyFill="1" applyAlignment="1">
      <alignment horizontal="right"/>
    </xf>
    <xf numFmtId="0" fontId="28" fillId="4" borderId="4" xfId="8" applyFont="1" applyFill="1" applyBorder="1" applyAlignment="1">
      <alignment horizontal="center" vertical="center"/>
    </xf>
    <xf numFmtId="0" fontId="28" fillId="4" borderId="5" xfId="8" applyFont="1" applyFill="1" applyBorder="1" applyAlignment="1">
      <alignment horizontal="center" vertical="center"/>
    </xf>
    <xf numFmtId="0" fontId="28" fillId="4" borderId="5" xfId="8" applyFont="1" applyFill="1" applyBorder="1" applyAlignment="1">
      <alignment vertical="center"/>
    </xf>
    <xf numFmtId="4" fontId="28" fillId="4" borderId="5" xfId="8" applyNumberFormat="1" applyFont="1" applyFill="1" applyBorder="1" applyAlignment="1">
      <alignment horizontal="center" vertical="center" wrapText="1"/>
    </xf>
    <xf numFmtId="4" fontId="28" fillId="4" borderId="37" xfId="8" applyNumberFormat="1" applyFont="1" applyFill="1" applyBorder="1" applyAlignment="1">
      <alignment horizontal="center" vertical="center" wrapText="1"/>
    </xf>
    <xf numFmtId="3" fontId="4" fillId="4" borderId="24" xfId="8" applyNumberFormat="1" applyFill="1" applyBorder="1" applyAlignment="1">
      <alignment horizontal="center" vertical="center"/>
    </xf>
    <xf numFmtId="0" fontId="35" fillId="4" borderId="4" xfId="8" applyFont="1" applyFill="1" applyBorder="1" applyAlignment="1">
      <alignment horizontal="center" vertical="center"/>
    </xf>
    <xf numFmtId="0" fontId="35" fillId="4" borderId="5" xfId="8" applyFont="1" applyFill="1" applyBorder="1" applyAlignment="1">
      <alignment horizontal="center" vertical="center"/>
    </xf>
    <xf numFmtId="1" fontId="35" fillId="4" borderId="5" xfId="8" applyNumberFormat="1" applyFont="1" applyFill="1" applyBorder="1" applyAlignment="1">
      <alignment horizontal="center" vertical="center" wrapText="1"/>
    </xf>
    <xf numFmtId="1" fontId="35" fillId="4" borderId="37" xfId="8" applyNumberFormat="1" applyFont="1" applyFill="1" applyBorder="1" applyAlignment="1">
      <alignment horizontal="center" vertical="center" wrapText="1"/>
    </xf>
    <xf numFmtId="3" fontId="35" fillId="4" borderId="24" xfId="8" applyNumberFormat="1" applyFont="1" applyFill="1" applyBorder="1" applyAlignment="1">
      <alignment horizontal="center" vertical="center"/>
    </xf>
    <xf numFmtId="0" fontId="4" fillId="4" borderId="38" xfId="8" applyFill="1" applyBorder="1" applyAlignment="1">
      <alignment horizontal="center" vertical="center"/>
    </xf>
    <xf numFmtId="0" fontId="4" fillId="4" borderId="9" xfId="8" applyFill="1" applyBorder="1" applyAlignment="1">
      <alignment horizontal="center" vertical="center"/>
    </xf>
    <xf numFmtId="0" fontId="22" fillId="4" borderId="9" xfId="8" applyFont="1" applyFill="1" applyBorder="1" applyAlignment="1">
      <alignment vertical="center" wrapText="1"/>
    </xf>
    <xf numFmtId="3" fontId="22" fillId="4" borderId="9" xfId="8" applyNumberFormat="1" applyFont="1" applyFill="1" applyBorder="1" applyAlignment="1">
      <alignment vertical="center"/>
    </xf>
    <xf numFmtId="166" fontId="22" fillId="4" borderId="23" xfId="8" applyNumberFormat="1" applyFont="1" applyFill="1" applyBorder="1" applyAlignment="1">
      <alignment horizontal="center" vertical="center"/>
    </xf>
    <xf numFmtId="0" fontId="4" fillId="4" borderId="6" xfId="8" applyFill="1" applyBorder="1" applyAlignment="1">
      <alignment horizontal="center" vertical="center"/>
    </xf>
    <xf numFmtId="0" fontId="4" fillId="4" borderId="2" xfId="8" applyFill="1" applyBorder="1" applyAlignment="1">
      <alignment horizontal="center" vertical="center"/>
    </xf>
    <xf numFmtId="0" fontId="22" fillId="4" borderId="2" xfId="8" applyFont="1" applyFill="1" applyBorder="1" applyAlignment="1">
      <alignment vertical="center" wrapText="1"/>
    </xf>
    <xf numFmtId="3" fontId="22" fillId="4" borderId="2" xfId="8" applyNumberFormat="1" applyFont="1" applyFill="1" applyBorder="1" applyAlignment="1">
      <alignment vertical="center"/>
    </xf>
    <xf numFmtId="166" fontId="22" fillId="4" borderId="21" xfId="8" applyNumberFormat="1" applyFont="1" applyFill="1" applyBorder="1" applyAlignment="1">
      <alignment horizontal="center" vertical="center"/>
    </xf>
    <xf numFmtId="171" fontId="4" fillId="4" borderId="2" xfId="8" applyNumberFormat="1" applyFill="1" applyBorder="1" applyAlignment="1">
      <alignment horizontal="center" vertical="center" wrapText="1"/>
    </xf>
    <xf numFmtId="166" fontId="22" fillId="4" borderId="42" xfId="8" applyNumberFormat="1" applyFont="1" applyFill="1" applyBorder="1" applyAlignment="1">
      <alignment horizontal="center" vertical="center"/>
    </xf>
    <xf numFmtId="3" fontId="22" fillId="4" borderId="5" xfId="8" applyNumberFormat="1" applyFont="1" applyFill="1" applyBorder="1"/>
    <xf numFmtId="166" fontId="22" fillId="4" borderId="24" xfId="8" applyNumberFormat="1" applyFont="1" applyFill="1" applyBorder="1" applyAlignment="1">
      <alignment horizontal="center" vertical="center"/>
    </xf>
    <xf numFmtId="166" fontId="35" fillId="4" borderId="24" xfId="8" applyNumberFormat="1" applyFont="1" applyFill="1" applyBorder="1" applyAlignment="1">
      <alignment horizontal="center" vertical="center"/>
    </xf>
    <xf numFmtId="3" fontId="22" fillId="4" borderId="46" xfId="8" applyNumberFormat="1" applyFont="1" applyFill="1" applyBorder="1" applyAlignment="1">
      <alignment vertical="center"/>
    </xf>
    <xf numFmtId="3" fontId="22" fillId="4" borderId="15" xfId="8" applyNumberFormat="1" applyFont="1" applyFill="1" applyBorder="1" applyAlignment="1">
      <alignment vertical="center"/>
    </xf>
    <xf numFmtId="0" fontId="22" fillId="4" borderId="7" xfId="8" applyFont="1" applyFill="1" applyBorder="1" applyAlignment="1"/>
    <xf numFmtId="0" fontId="22" fillId="4" borderId="8" xfId="8" applyFont="1" applyFill="1" applyBorder="1" applyAlignment="1"/>
    <xf numFmtId="0" fontId="22" fillId="4" borderId="56" xfId="8" applyFont="1" applyFill="1" applyBorder="1" applyAlignment="1"/>
    <xf numFmtId="0" fontId="4" fillId="4" borderId="12" xfId="8" applyFill="1" applyBorder="1" applyAlignment="1">
      <alignment horizontal="center" vertical="center"/>
    </xf>
    <xf numFmtId="0" fontId="4" fillId="4" borderId="6" xfId="8" applyFill="1" applyBorder="1" applyAlignment="1">
      <alignment horizontal="center"/>
    </xf>
    <xf numFmtId="0" fontId="4" fillId="4" borderId="2" xfId="8" applyFill="1" applyBorder="1" applyAlignment="1">
      <alignment horizontal="center"/>
    </xf>
    <xf numFmtId="0" fontId="22" fillId="4" borderId="2" xfId="8" applyFont="1" applyFill="1" applyBorder="1"/>
    <xf numFmtId="0" fontId="22" fillId="4" borderId="17" xfId="8" applyFont="1" applyFill="1" applyBorder="1"/>
    <xf numFmtId="0" fontId="4" fillId="4" borderId="50" xfId="8" applyFill="1" applyBorder="1" applyAlignment="1">
      <alignment horizontal="center"/>
    </xf>
    <xf numFmtId="0" fontId="4" fillId="4" borderId="14" xfId="8" applyFill="1" applyBorder="1" applyAlignment="1">
      <alignment horizontal="center"/>
    </xf>
    <xf numFmtId="0" fontId="22" fillId="4" borderId="2" xfId="8" applyFont="1" applyFill="1" applyBorder="1" applyAlignment="1">
      <alignment wrapText="1"/>
    </xf>
    <xf numFmtId="1" fontId="78" fillId="4" borderId="0" xfId="8" applyNumberFormat="1" applyFont="1" applyFill="1" applyBorder="1" applyAlignment="1">
      <alignment horizontal="left"/>
    </xf>
    <xf numFmtId="1" fontId="78" fillId="4" borderId="0" xfId="8" applyNumberFormat="1" applyFont="1" applyFill="1" applyBorder="1" applyAlignment="1">
      <alignment horizontal="center"/>
    </xf>
    <xf numFmtId="168" fontId="78" fillId="4" borderId="0" xfId="8" applyNumberFormat="1" applyFont="1" applyFill="1" applyBorder="1" applyAlignment="1">
      <alignment horizontal="center"/>
    </xf>
    <xf numFmtId="0" fontId="78" fillId="4" borderId="0" xfId="8" applyFont="1" applyFill="1" applyBorder="1"/>
    <xf numFmtId="3" fontId="51" fillId="4" borderId="0" xfId="8" applyNumberFormat="1" applyFont="1" applyFill="1"/>
    <xf numFmtId="167" fontId="14" fillId="4" borderId="0" xfId="8" applyNumberFormat="1" applyFont="1" applyFill="1" applyBorder="1" applyAlignment="1">
      <alignment horizontal="right"/>
    </xf>
    <xf numFmtId="4" fontId="51" fillId="4" borderId="0" xfId="8" applyNumberFormat="1" applyFont="1" applyFill="1"/>
    <xf numFmtId="0" fontId="66" fillId="4" borderId="0" xfId="8" applyFont="1" applyFill="1"/>
    <xf numFmtId="1" fontId="53" fillId="4" borderId="0" xfId="8" applyNumberFormat="1" applyFont="1" applyFill="1" applyAlignment="1">
      <alignment horizontal="center"/>
    </xf>
    <xf numFmtId="168" fontId="53" fillId="4" borderId="0" xfId="8" applyNumberFormat="1" applyFont="1" applyFill="1" applyAlignment="1">
      <alignment horizontal="center"/>
    </xf>
    <xf numFmtId="0" fontId="53" fillId="4" borderId="0" xfId="8" applyFont="1" applyFill="1"/>
    <xf numFmtId="3" fontId="53" fillId="4" borderId="0" xfId="8" applyNumberFormat="1" applyFont="1" applyFill="1"/>
    <xf numFmtId="167" fontId="12" fillId="4" borderId="0" xfId="8" applyNumberFormat="1" applyFont="1" applyFill="1" applyBorder="1" applyAlignment="1">
      <alignment horizontal="right"/>
    </xf>
    <xf numFmtId="4" fontId="53" fillId="4" borderId="0" xfId="8" applyNumberFormat="1" applyFont="1" applyFill="1"/>
    <xf numFmtId="1" fontId="53" fillId="4" borderId="0" xfId="8" applyNumberFormat="1" applyFont="1" applyFill="1" applyAlignment="1">
      <alignment horizontal="left"/>
    </xf>
    <xf numFmtId="0" fontId="53" fillId="4" borderId="0" xfId="8" applyFont="1" applyFill="1" applyAlignment="1">
      <alignment horizontal="left"/>
    </xf>
    <xf numFmtId="3" fontId="53" fillId="4" borderId="0" xfId="8" applyNumberFormat="1" applyFont="1" applyFill="1" applyAlignment="1">
      <alignment horizontal="right"/>
    </xf>
    <xf numFmtId="3" fontId="31" fillId="4" borderId="10" xfId="8" applyNumberFormat="1" applyFont="1" applyFill="1" applyBorder="1"/>
    <xf numFmtId="167" fontId="31" fillId="4" borderId="10" xfId="8" applyNumberFormat="1" applyFont="1" applyFill="1" applyBorder="1" applyAlignment="1">
      <alignment horizontal="right" shrinkToFit="1"/>
    </xf>
    <xf numFmtId="0" fontId="22" fillId="4" borderId="0" xfId="8" applyFont="1" applyFill="1" applyBorder="1" applyAlignment="1">
      <alignment horizontal="left"/>
    </xf>
    <xf numFmtId="3" fontId="22" fillId="4" borderId="0" xfId="8" applyNumberFormat="1" applyFont="1" applyFill="1" applyBorder="1"/>
    <xf numFmtId="166" fontId="22" fillId="4" borderId="0" xfId="8" applyNumberFormat="1" applyFont="1" applyFill="1" applyBorder="1" applyAlignment="1">
      <alignment horizontal="center" vertical="center"/>
    </xf>
    <xf numFmtId="0" fontId="22" fillId="4" borderId="2" xfId="8" applyFont="1" applyFill="1" applyBorder="1" applyAlignment="1">
      <alignment vertical="justify" wrapText="1"/>
    </xf>
    <xf numFmtId="0" fontId="4" fillId="4" borderId="12" xfId="8" applyFill="1" applyBorder="1" applyAlignment="1">
      <alignment horizontal="center"/>
    </xf>
    <xf numFmtId="49" fontId="4" fillId="4" borderId="2" xfId="8" applyNumberFormat="1" applyFill="1" applyBorder="1" applyAlignment="1">
      <alignment horizontal="center" vertical="center"/>
    </xf>
    <xf numFmtId="3" fontId="22" fillId="4" borderId="14" xfId="8" applyNumberFormat="1" applyFont="1" applyFill="1" applyBorder="1" applyAlignment="1">
      <alignment vertical="center"/>
    </xf>
    <xf numFmtId="3" fontId="4" fillId="4" borderId="0" xfId="8" applyNumberFormat="1" applyFill="1" applyBorder="1" applyAlignment="1">
      <alignment horizontal="center" vertical="center"/>
    </xf>
    <xf numFmtId="0" fontId="22" fillId="4" borderId="0" xfId="8" applyFont="1" applyFill="1" applyAlignment="1"/>
    <xf numFmtId="0" fontId="24" fillId="4" borderId="0" xfId="8" applyFont="1" applyFill="1" applyAlignment="1">
      <alignment horizontal="center"/>
    </xf>
    <xf numFmtId="0" fontId="28" fillId="4" borderId="0" xfId="8" applyFont="1" applyFill="1" applyAlignment="1">
      <alignment vertical="center"/>
    </xf>
    <xf numFmtId="171" fontId="4" fillId="4" borderId="2" xfId="8" applyNumberFormat="1" applyFill="1" applyBorder="1" applyAlignment="1">
      <alignment horizontal="center" vertical="center"/>
    </xf>
    <xf numFmtId="0" fontId="4" fillId="4" borderId="0" xfId="8" applyFill="1" applyAlignment="1">
      <alignment vertical="center" wrapText="1"/>
    </xf>
    <xf numFmtId="0" fontId="4" fillId="4" borderId="2" xfId="8" applyFill="1" applyBorder="1" applyAlignment="1">
      <alignment horizontal="center" vertical="center" wrapText="1"/>
    </xf>
    <xf numFmtId="0" fontId="4" fillId="4" borderId="0" xfId="8" applyFill="1" applyAlignment="1">
      <alignment vertical="center"/>
    </xf>
    <xf numFmtId="4" fontId="22" fillId="4" borderId="0" xfId="8" applyNumberFormat="1" applyFont="1" applyFill="1"/>
    <xf numFmtId="0" fontId="22" fillId="4" borderId="0" xfId="8" applyFont="1" applyFill="1"/>
    <xf numFmtId="0" fontId="4" fillId="4" borderId="34" xfId="8" applyFill="1" applyBorder="1" applyAlignment="1">
      <alignment horizontal="center"/>
    </xf>
    <xf numFmtId="0" fontId="4" fillId="4" borderId="34" xfId="8" applyFill="1" applyBorder="1"/>
    <xf numFmtId="4" fontId="4" fillId="4" borderId="34" xfId="8" applyNumberFormat="1" applyFill="1" applyBorder="1"/>
    <xf numFmtId="0" fontId="4" fillId="4" borderId="0" xfId="8" applyFill="1" applyBorder="1" applyAlignment="1">
      <alignment horizontal="center"/>
    </xf>
    <xf numFmtId="0" fontId="4" fillId="4" borderId="0" xfId="8" applyFill="1" applyBorder="1"/>
    <xf numFmtId="4" fontId="4" fillId="4" borderId="0" xfId="8" applyNumberFormat="1" applyFill="1" applyBorder="1"/>
    <xf numFmtId="0" fontId="19" fillId="4" borderId="0" xfId="8" applyFont="1" applyFill="1" applyBorder="1" applyAlignment="1">
      <alignment horizontal="center"/>
    </xf>
    <xf numFmtId="0" fontId="4" fillId="4" borderId="0" xfId="8" applyFont="1" applyFill="1"/>
    <xf numFmtId="1" fontId="8" fillId="4" borderId="0" xfId="8" applyNumberFormat="1" applyFont="1" applyFill="1" applyBorder="1" applyAlignment="1">
      <alignment horizontal="left"/>
    </xf>
    <xf numFmtId="0" fontId="4" fillId="4" borderId="0" xfId="8" applyFill="1" applyAlignment="1">
      <alignment horizontal="right"/>
    </xf>
    <xf numFmtId="0" fontId="22" fillId="4" borderId="2" xfId="8" applyFont="1" applyFill="1" applyBorder="1" applyAlignment="1">
      <alignment horizontal="left" vertical="center" wrapText="1"/>
    </xf>
    <xf numFmtId="3" fontId="22" fillId="4" borderId="2" xfId="8" applyNumberFormat="1" applyFont="1" applyFill="1" applyBorder="1" applyAlignment="1">
      <alignment horizontal="center" vertical="center"/>
    </xf>
    <xf numFmtId="0" fontId="4" fillId="4" borderId="0" xfId="8" applyFont="1" applyFill="1" applyAlignment="1">
      <alignment vertical="center"/>
    </xf>
    <xf numFmtId="167" fontId="18" fillId="4" borderId="0" xfId="8" applyNumberFormat="1" applyFont="1" applyFill="1" applyBorder="1" applyAlignment="1">
      <alignment horizontal="right"/>
    </xf>
    <xf numFmtId="4" fontId="51" fillId="4" borderId="0" xfId="8" applyNumberFormat="1" applyFont="1" applyFill="1" applyAlignment="1">
      <alignment vertical="center"/>
    </xf>
    <xf numFmtId="167" fontId="6" fillId="4" borderId="0" xfId="8" applyNumberFormat="1" applyFont="1" applyFill="1" applyBorder="1" applyAlignment="1">
      <alignment horizontal="right"/>
    </xf>
    <xf numFmtId="4" fontId="53" fillId="4" borderId="0" xfId="8" applyNumberFormat="1" applyFont="1" applyFill="1" applyAlignment="1">
      <alignment vertical="center"/>
    </xf>
    <xf numFmtId="167" fontId="17" fillId="4" borderId="10" xfId="8" applyNumberFormat="1" applyFont="1" applyFill="1" applyBorder="1" applyAlignment="1">
      <alignment horizontal="right" shrinkToFit="1"/>
    </xf>
    <xf numFmtId="3" fontId="14" fillId="4" borderId="0" xfId="0" applyNumberFormat="1" applyFont="1" applyFill="1" applyBorder="1"/>
    <xf numFmtId="0" fontId="96" fillId="0" borderId="0" xfId="0" applyFont="1" applyFill="1"/>
    <xf numFmtId="4" fontId="97" fillId="0" borderId="0" xfId="0" applyNumberFormat="1" applyFont="1" applyFill="1"/>
    <xf numFmtId="3" fontId="22" fillId="0" borderId="0" xfId="0" applyNumberFormat="1" applyFont="1" applyFill="1" applyAlignment="1">
      <alignment vertical="center" wrapText="1"/>
    </xf>
    <xf numFmtId="0" fontId="96" fillId="0" borderId="0" xfId="0" applyFont="1" applyFill="1" applyAlignment="1">
      <alignment horizontal="center" vertical="center"/>
    </xf>
    <xf numFmtId="0" fontId="98" fillId="0" borderId="0" xfId="0" applyFont="1" applyFill="1" applyAlignment="1">
      <alignment horizontal="center" vertical="center"/>
    </xf>
    <xf numFmtId="3" fontId="96" fillId="0" borderId="0" xfId="0" applyNumberFormat="1" applyFont="1" applyFill="1"/>
    <xf numFmtId="4" fontId="97" fillId="0" borderId="0" xfId="0" applyNumberFormat="1" applyFont="1" applyFill="1" applyAlignment="1">
      <alignment vertical="center" wrapText="1"/>
    </xf>
    <xf numFmtId="4" fontId="96" fillId="0" borderId="0" xfId="0" applyNumberFormat="1" applyFont="1" applyFill="1"/>
    <xf numFmtId="4" fontId="99" fillId="0" borderId="0" xfId="0" applyNumberFormat="1" applyFont="1" applyFill="1"/>
    <xf numFmtId="1" fontId="14" fillId="0" borderId="2" xfId="0" applyNumberFormat="1" applyFont="1" applyFill="1" applyBorder="1" applyAlignment="1">
      <alignment horizontal="right"/>
    </xf>
    <xf numFmtId="0" fontId="4" fillId="0" borderId="17" xfId="0" applyFont="1" applyFill="1" applyBorder="1" applyAlignment="1">
      <alignment horizontal="center" vertical="center"/>
    </xf>
    <xf numFmtId="0" fontId="24" fillId="0" borderId="17" xfId="0" applyFont="1" applyBorder="1"/>
    <xf numFmtId="0" fontId="24" fillId="0" borderId="2" xfId="0" applyFont="1" applyBorder="1" applyAlignment="1">
      <alignment vertical="top"/>
    </xf>
    <xf numFmtId="0" fontId="12" fillId="3" borderId="2" xfId="0" applyFont="1" applyFill="1" applyBorder="1"/>
    <xf numFmtId="0" fontId="24" fillId="0" borderId="2" xfId="0" applyFont="1" applyBorder="1" applyAlignment="1"/>
    <xf numFmtId="3" fontId="12" fillId="0" borderId="12" xfId="0" applyNumberFormat="1" applyFont="1" applyFill="1" applyBorder="1"/>
    <xf numFmtId="3" fontId="22" fillId="4" borderId="2" xfId="8" applyNumberFormat="1" applyFont="1" applyFill="1" applyBorder="1" applyAlignment="1">
      <alignment horizontal="right" vertical="center"/>
    </xf>
    <xf numFmtId="171" fontId="4" fillId="4" borderId="0" xfId="8" applyNumberFormat="1" applyFill="1" applyBorder="1" applyAlignment="1">
      <alignment horizontal="center"/>
    </xf>
    <xf numFmtId="1" fontId="13" fillId="3" borderId="2" xfId="6" applyNumberFormat="1" applyFont="1" applyFill="1" applyBorder="1" applyAlignment="1">
      <alignment horizontal="center" vertical="center"/>
    </xf>
    <xf numFmtId="1" fontId="13" fillId="3" borderId="12" xfId="6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/>
    </xf>
    <xf numFmtId="168" fontId="24" fillId="0" borderId="0" xfId="0" applyNumberFormat="1" applyFont="1" applyFill="1" applyAlignment="1">
      <alignment horizontal="left"/>
    </xf>
    <xf numFmtId="167" fontId="14" fillId="0" borderId="21" xfId="0" applyNumberFormat="1" applyFont="1" applyBorder="1" applyAlignment="1">
      <alignment horizontal="right"/>
    </xf>
    <xf numFmtId="0" fontId="4" fillId="0" borderId="0" xfId="8" applyFont="1" applyFill="1" applyAlignment="1">
      <alignment horizontal="right"/>
    </xf>
    <xf numFmtId="0" fontId="22" fillId="4" borderId="4" xfId="8" applyFont="1" applyFill="1" applyBorder="1" applyAlignment="1">
      <alignment horizontal="left"/>
    </xf>
    <xf numFmtId="0" fontId="22" fillId="4" borderId="5" xfId="8" applyFont="1" applyFill="1" applyBorder="1" applyAlignment="1">
      <alignment horizontal="left"/>
    </xf>
    <xf numFmtId="0" fontId="35" fillId="0" borderId="6" xfId="8" applyFont="1" applyFill="1" applyBorder="1" applyAlignment="1">
      <alignment horizontal="center" vertical="center"/>
    </xf>
    <xf numFmtId="1" fontId="35" fillId="0" borderId="2" xfId="8" applyNumberFormat="1" applyFont="1" applyFill="1" applyBorder="1" applyAlignment="1">
      <alignment horizontal="center" vertical="center" wrapText="1"/>
    </xf>
    <xf numFmtId="1" fontId="35" fillId="0" borderId="15" xfId="8" applyNumberFormat="1" applyFont="1" applyFill="1" applyBorder="1" applyAlignment="1">
      <alignment horizontal="center" vertical="center" wrapText="1"/>
    </xf>
    <xf numFmtId="3" fontId="35" fillId="0" borderId="21" xfId="8" applyNumberFormat="1" applyFont="1" applyFill="1" applyBorder="1" applyAlignment="1">
      <alignment horizontal="center" vertical="center"/>
    </xf>
    <xf numFmtId="3" fontId="28" fillId="0" borderId="0" xfId="8" applyNumberFormat="1" applyFont="1" applyFill="1" applyAlignment="1">
      <alignment vertical="center"/>
    </xf>
    <xf numFmtId="3" fontId="22" fillId="0" borderId="17" xfId="8" applyNumberFormat="1" applyFont="1" applyFill="1" applyBorder="1" applyAlignment="1">
      <alignment vertical="center"/>
    </xf>
    <xf numFmtId="166" fontId="22" fillId="0" borderId="25" xfId="8" applyNumberFormat="1" applyFont="1" applyFill="1" applyBorder="1" applyAlignment="1">
      <alignment horizontal="center" vertical="center"/>
    </xf>
    <xf numFmtId="0" fontId="22" fillId="4" borderId="0" xfId="8" applyFont="1" applyFill="1" applyBorder="1" applyAlignment="1"/>
    <xf numFmtId="0" fontId="89" fillId="4" borderId="0" xfId="8" applyFont="1" applyFill="1" applyBorder="1" applyAlignment="1">
      <alignment vertical="center"/>
    </xf>
    <xf numFmtId="0" fontId="22" fillId="5" borderId="17" xfId="8" applyFont="1" applyFill="1" applyBorder="1" applyAlignment="1">
      <alignment vertical="center" wrapText="1"/>
    </xf>
    <xf numFmtId="0" fontId="39" fillId="0" borderId="0" xfId="8" applyFont="1" applyFill="1" applyBorder="1" applyAlignment="1">
      <alignment horizontal="left"/>
    </xf>
    <xf numFmtId="0" fontId="4" fillId="0" borderId="0" xfId="8" applyFill="1" applyBorder="1" applyAlignment="1"/>
    <xf numFmtId="0" fontId="39" fillId="0" borderId="19" xfId="8" applyFont="1" applyFill="1" applyBorder="1" applyAlignment="1"/>
    <xf numFmtId="0" fontId="4" fillId="0" borderId="19" xfId="8" applyFill="1" applyBorder="1" applyAlignment="1"/>
    <xf numFmtId="3" fontId="22" fillId="0" borderId="0" xfId="8" applyNumberFormat="1" applyFont="1" applyFill="1" applyAlignment="1">
      <alignment horizontal="right" vertical="center"/>
    </xf>
    <xf numFmtId="166" fontId="22" fillId="0" borderId="24" xfId="8" applyNumberFormat="1" applyFont="1" applyFill="1" applyBorder="1" applyAlignment="1">
      <alignment horizontal="right" vertical="center"/>
    </xf>
    <xf numFmtId="3" fontId="22" fillId="0" borderId="5" xfId="8" applyNumberFormat="1" applyFont="1" applyFill="1" applyBorder="1" applyAlignment="1">
      <alignment horizontal="right"/>
    </xf>
    <xf numFmtId="3" fontId="22" fillId="0" borderId="37" xfId="8" applyNumberFormat="1" applyFont="1" applyFill="1" applyBorder="1" applyAlignment="1">
      <alignment horizontal="right"/>
    </xf>
    <xf numFmtId="166" fontId="22" fillId="0" borderId="42" xfId="8" applyNumberFormat="1" applyFont="1" applyFill="1" applyBorder="1" applyAlignment="1">
      <alignment horizontal="right" vertical="center"/>
    </xf>
    <xf numFmtId="4" fontId="73" fillId="4" borderId="0" xfId="8" applyNumberFormat="1" applyFont="1" applyFill="1" applyAlignment="1">
      <alignment vertical="center"/>
    </xf>
    <xf numFmtId="4" fontId="73" fillId="4" borderId="0" xfId="8" applyNumberFormat="1" applyFont="1" applyFill="1"/>
    <xf numFmtId="4" fontId="73" fillId="4" borderId="28" xfId="8" applyNumberFormat="1" applyFont="1" applyFill="1" applyBorder="1"/>
    <xf numFmtId="4" fontId="73" fillId="4" borderId="19" xfId="8" applyNumberFormat="1" applyFont="1" applyFill="1" applyBorder="1"/>
    <xf numFmtId="4" fontId="73" fillId="4" borderId="12" xfId="8" applyNumberFormat="1" applyFont="1" applyFill="1" applyBorder="1"/>
    <xf numFmtId="4" fontId="73" fillId="4" borderId="0" xfId="8" applyNumberFormat="1" applyFont="1" applyFill="1" applyBorder="1"/>
    <xf numFmtId="0" fontId="4" fillId="4" borderId="0" xfId="0" applyFont="1" applyFill="1"/>
    <xf numFmtId="0" fontId="22" fillId="4" borderId="0" xfId="0" applyFont="1" applyFill="1"/>
    <xf numFmtId="164" fontId="4" fillId="4" borderId="0" xfId="0" applyNumberFormat="1" applyFont="1" applyFill="1" applyAlignment="1">
      <alignment horizontal="center"/>
    </xf>
    <xf numFmtId="3" fontId="24" fillId="4" borderId="0" xfId="0" applyNumberFormat="1" applyFont="1" applyFill="1"/>
    <xf numFmtId="0" fontId="24" fillId="4" borderId="0" xfId="0" applyFont="1" applyFill="1"/>
    <xf numFmtId="3" fontId="4" fillId="4" borderId="0" xfId="0" applyNumberFormat="1" applyFont="1" applyFill="1"/>
    <xf numFmtId="0" fontId="4" fillId="4" borderId="4" xfId="0" applyFont="1" applyFill="1" applyBorder="1" applyAlignment="1">
      <alignment horizontal="center" vertical="center"/>
    </xf>
    <xf numFmtId="164" fontId="4" fillId="4" borderId="5" xfId="0" applyNumberFormat="1" applyFont="1" applyFill="1" applyBorder="1" applyAlignment="1">
      <alignment horizontal="center" vertical="center"/>
    </xf>
    <xf numFmtId="3" fontId="4" fillId="4" borderId="5" xfId="0" applyNumberFormat="1" applyFont="1" applyFill="1" applyBorder="1" applyAlignment="1">
      <alignment horizontal="center" vertical="center" wrapText="1"/>
    </xf>
    <xf numFmtId="3" fontId="4" fillId="4" borderId="24" xfId="0" applyNumberFormat="1" applyFont="1" applyFill="1" applyBorder="1" applyAlignment="1">
      <alignment horizontal="center" vertical="center"/>
    </xf>
    <xf numFmtId="0" fontId="4" fillId="4" borderId="0" xfId="0" applyFont="1" applyFill="1" applyAlignment="1">
      <alignment vertical="center"/>
    </xf>
    <xf numFmtId="0" fontId="35" fillId="4" borderId="38" xfId="0" applyFont="1" applyFill="1" applyBorder="1" applyAlignment="1">
      <alignment horizontal="center" vertical="center"/>
    </xf>
    <xf numFmtId="1" fontId="35" fillId="4" borderId="9" xfId="0" applyNumberFormat="1" applyFont="1" applyFill="1" applyBorder="1" applyAlignment="1">
      <alignment horizontal="center" vertical="center"/>
    </xf>
    <xf numFmtId="3" fontId="35" fillId="4" borderId="9" xfId="0" applyNumberFormat="1" applyFont="1" applyFill="1" applyBorder="1" applyAlignment="1">
      <alignment horizontal="center" vertical="center" wrapText="1"/>
    </xf>
    <xf numFmtId="3" fontId="35" fillId="4" borderId="23" xfId="0" applyNumberFormat="1" applyFont="1" applyFill="1" applyBorder="1" applyAlignment="1">
      <alignment horizontal="center" vertical="center"/>
    </xf>
    <xf numFmtId="0" fontId="35" fillId="4" borderId="0" xfId="0" applyFont="1" applyFill="1" applyAlignment="1">
      <alignment vertical="center"/>
    </xf>
    <xf numFmtId="0" fontId="22" fillId="4" borderId="38" xfId="0" applyFont="1" applyFill="1" applyBorder="1"/>
    <xf numFmtId="164" fontId="37" fillId="4" borderId="9" xfId="0" applyNumberFormat="1" applyFont="1" applyFill="1" applyBorder="1" applyAlignment="1">
      <alignment horizontal="center"/>
    </xf>
    <xf numFmtId="4" fontId="93" fillId="4" borderId="0" xfId="0" applyNumberFormat="1" applyFont="1" applyFill="1" applyBorder="1"/>
    <xf numFmtId="0" fontId="4" fillId="4" borderId="6" xfId="0" applyFont="1" applyFill="1" applyBorder="1"/>
    <xf numFmtId="164" fontId="4" fillId="4" borderId="2" xfId="0" applyNumberFormat="1" applyFont="1" applyFill="1" applyBorder="1" applyAlignment="1">
      <alignment horizontal="center"/>
    </xf>
    <xf numFmtId="3" fontId="24" fillId="4" borderId="2" xfId="0" applyNumberFormat="1" applyFont="1" applyFill="1" applyBorder="1"/>
    <xf numFmtId="166" fontId="24" fillId="4" borderId="21" xfId="0" applyNumberFormat="1" applyFont="1" applyFill="1" applyBorder="1"/>
    <xf numFmtId="4" fontId="73" fillId="4" borderId="0" xfId="0" applyNumberFormat="1" applyFont="1" applyFill="1" applyBorder="1"/>
    <xf numFmtId="164" fontId="4" fillId="4" borderId="17" xfId="0" applyNumberFormat="1" applyFont="1" applyFill="1" applyBorder="1" applyAlignment="1">
      <alignment horizontal="center"/>
    </xf>
    <xf numFmtId="0" fontId="13" fillId="4" borderId="12" xfId="0" applyFont="1" applyFill="1" applyBorder="1"/>
    <xf numFmtId="0" fontId="4" fillId="4" borderId="11" xfId="0" applyFont="1" applyFill="1" applyBorder="1"/>
    <xf numFmtId="164" fontId="4" fillId="4" borderId="3" xfId="0" applyNumberFormat="1" applyFont="1" applyFill="1" applyBorder="1" applyAlignment="1">
      <alignment horizontal="center"/>
    </xf>
    <xf numFmtId="3" fontId="24" fillId="4" borderId="3" xfId="0" applyNumberFormat="1" applyFont="1" applyFill="1" applyBorder="1"/>
    <xf numFmtId="166" fontId="24" fillId="4" borderId="49" xfId="0" applyNumberFormat="1" applyFont="1" applyFill="1" applyBorder="1"/>
    <xf numFmtId="4" fontId="73" fillId="4" borderId="28" xfId="0" applyNumberFormat="1" applyFont="1" applyFill="1" applyBorder="1"/>
    <xf numFmtId="4" fontId="73" fillId="4" borderId="19" xfId="0" applyNumberFormat="1" applyFont="1" applyFill="1" applyBorder="1"/>
    <xf numFmtId="0" fontId="22" fillId="4" borderId="47" xfId="0" applyFont="1" applyFill="1" applyBorder="1"/>
    <xf numFmtId="164" fontId="37" fillId="4" borderId="41" xfId="0" applyNumberFormat="1" applyFont="1" applyFill="1" applyBorder="1" applyAlignment="1">
      <alignment horizontal="center"/>
    </xf>
    <xf numFmtId="3" fontId="22" fillId="4" borderId="41" xfId="0" applyNumberFormat="1" applyFont="1" applyFill="1" applyBorder="1"/>
    <xf numFmtId="166" fontId="22" fillId="4" borderId="43" xfId="0" applyNumberFormat="1" applyFont="1" applyFill="1" applyBorder="1"/>
    <xf numFmtId="0" fontId="37" fillId="4" borderId="0" xfId="0" applyFont="1" applyFill="1"/>
    <xf numFmtId="4" fontId="73" fillId="4" borderId="12" xfId="0" applyNumberFormat="1" applyFont="1" applyFill="1" applyBorder="1"/>
    <xf numFmtId="0" fontId="13" fillId="4" borderId="28" xfId="0" applyFont="1" applyFill="1" applyBorder="1"/>
    <xf numFmtId="164" fontId="37" fillId="4" borderId="2" xfId="0" applyNumberFormat="1" applyFont="1" applyFill="1" applyBorder="1" applyAlignment="1">
      <alignment horizontal="center"/>
    </xf>
    <xf numFmtId="166" fontId="22" fillId="4" borderId="21" xfId="0" applyNumberFormat="1" applyFont="1" applyFill="1" applyBorder="1"/>
    <xf numFmtId="0" fontId="13" fillId="4" borderId="11" xfId="0" applyFont="1" applyFill="1" applyBorder="1"/>
    <xf numFmtId="0" fontId="4" fillId="4" borderId="12" xfId="0" applyFont="1" applyFill="1" applyBorder="1"/>
    <xf numFmtId="164" fontId="37" fillId="4" borderId="3" xfId="0" applyNumberFormat="1" applyFont="1" applyFill="1" applyBorder="1" applyAlignment="1">
      <alignment horizontal="center"/>
    </xf>
    <xf numFmtId="3" fontId="22" fillId="4" borderId="2" xfId="0" applyNumberFormat="1" applyFont="1" applyFill="1" applyBorder="1"/>
    <xf numFmtId="4" fontId="71" fillId="4" borderId="0" xfId="0" applyNumberFormat="1" applyFont="1" applyFill="1" applyBorder="1"/>
    <xf numFmtId="0" fontId="71" fillId="4" borderId="0" xfId="0" applyFont="1" applyFill="1"/>
    <xf numFmtId="164" fontId="4" fillId="4" borderId="14" xfId="0" applyNumberFormat="1" applyFont="1" applyFill="1" applyBorder="1" applyAlignment="1">
      <alignment horizontal="center"/>
    </xf>
    <xf numFmtId="3" fontId="24" fillId="4" borderId="14" xfId="0" applyNumberFormat="1" applyFont="1" applyFill="1" applyBorder="1"/>
    <xf numFmtId="166" fontId="24" fillId="4" borderId="42" xfId="0" applyNumberFormat="1" applyFont="1" applyFill="1" applyBorder="1"/>
    <xf numFmtId="0" fontId="13" fillId="4" borderId="0" xfId="0" applyFont="1" applyFill="1" applyBorder="1"/>
    <xf numFmtId="164" fontId="4" fillId="4" borderId="0" xfId="0" applyNumberFormat="1" applyFont="1" applyFill="1" applyBorder="1" applyAlignment="1">
      <alignment horizontal="center"/>
    </xf>
    <xf numFmtId="0" fontId="101" fillId="4" borderId="0" xfId="0" applyFont="1" applyFill="1"/>
    <xf numFmtId="0" fontId="35" fillId="4" borderId="4" xfId="0" applyFont="1" applyFill="1" applyBorder="1" applyAlignment="1">
      <alignment horizontal="center" vertical="center"/>
    </xf>
    <xf numFmtId="1" fontId="35" fillId="4" borderId="5" xfId="0" applyNumberFormat="1" applyFont="1" applyFill="1" applyBorder="1" applyAlignment="1">
      <alignment horizontal="center" vertical="center"/>
    </xf>
    <xf numFmtId="3" fontId="35" fillId="4" borderId="5" xfId="0" applyNumberFormat="1" applyFont="1" applyFill="1" applyBorder="1" applyAlignment="1">
      <alignment horizontal="center" vertical="center" wrapText="1"/>
    </xf>
    <xf numFmtId="3" fontId="35" fillId="4" borderId="24" xfId="0" applyNumberFormat="1" applyFont="1" applyFill="1" applyBorder="1" applyAlignment="1">
      <alignment horizontal="center" vertical="center"/>
    </xf>
    <xf numFmtId="0" fontId="22" fillId="4" borderId="6" xfId="0" applyFont="1" applyFill="1" applyBorder="1" applyAlignment="1">
      <alignment horizontal="left"/>
    </xf>
    <xf numFmtId="3" fontId="37" fillId="4" borderId="2" xfId="0" applyNumberFormat="1" applyFont="1" applyFill="1" applyBorder="1" applyAlignment="1">
      <alignment horizontal="center"/>
    </xf>
    <xf numFmtId="4" fontId="74" fillId="4" borderId="0" xfId="0" applyNumberFormat="1" applyFont="1" applyFill="1" applyBorder="1"/>
    <xf numFmtId="0" fontId="73" fillId="4" borderId="6" xfId="0" applyFont="1" applyFill="1" applyBorder="1" applyAlignment="1">
      <alignment wrapText="1"/>
    </xf>
    <xf numFmtId="3" fontId="73" fillId="4" borderId="2" xfId="0" applyNumberFormat="1" applyFont="1" applyFill="1" applyBorder="1"/>
    <xf numFmtId="3" fontId="4" fillId="4" borderId="2" xfId="0" applyNumberFormat="1" applyFont="1" applyFill="1" applyBorder="1" applyAlignment="1">
      <alignment horizontal="center"/>
    </xf>
    <xf numFmtId="4" fontId="24" fillId="4" borderId="0" xfId="0" applyNumberFormat="1" applyFont="1" applyFill="1" applyBorder="1"/>
    <xf numFmtId="3" fontId="4" fillId="4" borderId="17" xfId="0" applyNumberFormat="1" applyFont="1" applyFill="1" applyBorder="1" applyAlignment="1">
      <alignment horizontal="center"/>
    </xf>
    <xf numFmtId="0" fontId="13" fillId="4" borderId="6" xfId="0" applyFont="1" applyFill="1" applyBorder="1"/>
    <xf numFmtId="0" fontId="62" fillId="4" borderId="6" xfId="0" applyFont="1" applyFill="1" applyBorder="1"/>
    <xf numFmtId="0" fontId="73" fillId="4" borderId="6" xfId="0" applyFont="1" applyFill="1" applyBorder="1"/>
    <xf numFmtId="3" fontId="37" fillId="4" borderId="41" xfId="0" applyNumberFormat="1" applyFont="1" applyFill="1" applyBorder="1" applyAlignment="1">
      <alignment horizontal="center"/>
    </xf>
    <xf numFmtId="166" fontId="73" fillId="4" borderId="21" xfId="0" applyNumberFormat="1" applyFont="1" applyFill="1" applyBorder="1"/>
    <xf numFmtId="3" fontId="37" fillId="4" borderId="0" xfId="0" applyNumberFormat="1" applyFont="1" applyFill="1"/>
    <xf numFmtId="0" fontId="22" fillId="4" borderId="6" xfId="0" applyFont="1" applyFill="1" applyBorder="1"/>
    <xf numFmtId="0" fontId="22" fillId="4" borderId="57" xfId="0" applyFont="1" applyFill="1" applyBorder="1"/>
    <xf numFmtId="3" fontId="37" fillId="4" borderId="13" xfId="0" applyNumberFormat="1" applyFont="1" applyFill="1" applyBorder="1" applyAlignment="1">
      <alignment horizontal="center"/>
    </xf>
    <xf numFmtId="1" fontId="37" fillId="4" borderId="2" xfId="0" applyNumberFormat="1" applyFont="1" applyFill="1" applyBorder="1" applyAlignment="1">
      <alignment horizontal="center"/>
    </xf>
    <xf numFmtId="0" fontId="14" fillId="4" borderId="12" xfId="0" applyFont="1" applyFill="1" applyBorder="1"/>
    <xf numFmtId="3" fontId="37" fillId="4" borderId="3" xfId="0" applyNumberFormat="1" applyFont="1" applyFill="1" applyBorder="1" applyAlignment="1">
      <alignment horizontal="center"/>
    </xf>
    <xf numFmtId="3" fontId="24" fillId="4" borderId="2" xfId="0" applyNumberFormat="1" applyFont="1" applyFill="1" applyBorder="1" applyAlignment="1"/>
    <xf numFmtId="166" fontId="24" fillId="4" borderId="43" xfId="0" applyNumberFormat="1" applyFont="1" applyFill="1" applyBorder="1"/>
    <xf numFmtId="0" fontId="22" fillId="4" borderId="47" xfId="0" applyFont="1" applyFill="1" applyBorder="1" applyAlignment="1"/>
    <xf numFmtId="4" fontId="93" fillId="4" borderId="0" xfId="0" applyNumberFormat="1" applyFont="1" applyFill="1"/>
    <xf numFmtId="0" fontId="4" fillId="4" borderId="0" xfId="0" applyFont="1" applyFill="1" applyBorder="1"/>
    <xf numFmtId="3" fontId="24" fillId="4" borderId="0" xfId="0" applyNumberFormat="1" applyFont="1" applyFill="1" applyBorder="1"/>
    <xf numFmtId="166" fontId="24" fillId="4" borderId="0" xfId="0" applyNumberFormat="1" applyFont="1" applyFill="1" applyBorder="1"/>
    <xf numFmtId="0" fontId="16" fillId="4" borderId="0" xfId="0" applyFont="1" applyFill="1" applyBorder="1"/>
    <xf numFmtId="0" fontId="55" fillId="4" borderId="0" xfId="0" applyFont="1" applyFill="1" applyBorder="1"/>
    <xf numFmtId="3" fontId="12" fillId="4" borderId="0" xfId="0" applyNumberFormat="1" applyFont="1" applyFill="1" applyBorder="1"/>
    <xf numFmtId="3" fontId="13" fillId="4" borderId="0" xfId="0" applyNumberFormat="1" applyFont="1" applyFill="1" applyBorder="1"/>
    <xf numFmtId="3" fontId="4" fillId="4" borderId="0" xfId="0" applyNumberFormat="1" applyFont="1" applyFill="1" applyAlignment="1">
      <alignment horizontal="right"/>
    </xf>
    <xf numFmtId="4" fontId="93" fillId="4" borderId="10" xfId="0" applyNumberFormat="1" applyFont="1" applyFill="1" applyBorder="1"/>
    <xf numFmtId="3" fontId="39" fillId="4" borderId="5" xfId="0" applyNumberFormat="1" applyFont="1" applyFill="1" applyBorder="1"/>
    <xf numFmtId="166" fontId="39" fillId="4" borderId="24" xfId="0" applyNumberFormat="1" applyFont="1" applyFill="1" applyBorder="1"/>
    <xf numFmtId="4" fontId="22" fillId="4" borderId="37" xfId="0" applyNumberFormat="1" applyFont="1" applyFill="1" applyBorder="1"/>
    <xf numFmtId="1" fontId="12" fillId="4" borderId="0" xfId="0" applyNumberFormat="1" applyFont="1" applyFill="1" applyBorder="1" applyAlignment="1">
      <alignment horizontal="left"/>
    </xf>
    <xf numFmtId="0" fontId="51" fillId="4" borderId="10" xfId="0" applyFont="1" applyFill="1" applyBorder="1" applyAlignment="1">
      <alignment wrapText="1"/>
    </xf>
    <xf numFmtId="164" fontId="39" fillId="4" borderId="10" xfId="0" applyNumberFormat="1" applyFont="1" applyFill="1" applyBorder="1" applyAlignment="1">
      <alignment horizontal="center"/>
    </xf>
    <xf numFmtId="3" fontId="39" fillId="4" borderId="10" xfId="0" applyNumberFormat="1" applyFont="1" applyFill="1" applyBorder="1"/>
    <xf numFmtId="3" fontId="39" fillId="4" borderId="10" xfId="0" applyNumberFormat="1" applyFont="1" applyFill="1" applyBorder="1" applyAlignment="1">
      <alignment shrinkToFit="1"/>
    </xf>
    <xf numFmtId="166" fontId="39" fillId="4" borderId="10" xfId="0" applyNumberFormat="1" applyFont="1" applyFill="1" applyBorder="1"/>
    <xf numFmtId="4" fontId="22" fillId="4" borderId="10" xfId="0" applyNumberFormat="1" applyFont="1" applyFill="1" applyBorder="1"/>
    <xf numFmtId="4" fontId="22" fillId="4" borderId="0" xfId="0" applyNumberFormat="1" applyFont="1" applyFill="1"/>
    <xf numFmtId="3" fontId="28" fillId="4" borderId="0" xfId="0" applyNumberFormat="1" applyFont="1" applyFill="1"/>
    <xf numFmtId="3" fontId="22" fillId="4" borderId="0" xfId="0" applyNumberFormat="1" applyFont="1" applyFill="1"/>
    <xf numFmtId="3" fontId="61" fillId="4" borderId="0" xfId="0" applyNumberFormat="1" applyFont="1" applyFill="1"/>
    <xf numFmtId="0" fontId="14" fillId="4" borderId="0" xfId="0" applyFont="1" applyFill="1" applyBorder="1" applyAlignment="1">
      <alignment horizontal="left"/>
    </xf>
    <xf numFmtId="0" fontId="22" fillId="4" borderId="0" xfId="0" applyFont="1" applyFill="1" applyBorder="1" applyAlignment="1">
      <alignment vertical="center" wrapText="1"/>
    </xf>
    <xf numFmtId="164" fontId="22" fillId="4" borderId="0" xfId="0" applyNumberFormat="1" applyFont="1" applyFill="1" applyAlignment="1">
      <alignment horizontal="center"/>
    </xf>
    <xf numFmtId="0" fontId="22" fillId="4" borderId="0" xfId="0" applyFont="1" applyFill="1" applyBorder="1"/>
    <xf numFmtId="0" fontId="22" fillId="4" borderId="10" xfId="0" applyFont="1" applyFill="1" applyBorder="1"/>
    <xf numFmtId="164" fontId="22" fillId="4" borderId="10" xfId="0" applyNumberFormat="1" applyFont="1" applyFill="1" applyBorder="1" applyAlignment="1">
      <alignment horizontal="center"/>
    </xf>
    <xf numFmtId="3" fontId="22" fillId="4" borderId="10" xfId="0" applyNumberFormat="1" applyFont="1" applyFill="1" applyBorder="1"/>
    <xf numFmtId="164" fontId="37" fillId="4" borderId="0" xfId="0" applyNumberFormat="1" applyFont="1" applyFill="1" applyAlignment="1">
      <alignment horizontal="center"/>
    </xf>
    <xf numFmtId="164" fontId="37" fillId="4" borderId="10" xfId="0" applyNumberFormat="1" applyFont="1" applyFill="1" applyBorder="1" applyAlignment="1">
      <alignment horizontal="center"/>
    </xf>
    <xf numFmtId="3" fontId="22" fillId="4" borderId="0" xfId="0" applyNumberFormat="1" applyFont="1" applyFill="1" applyBorder="1"/>
    <xf numFmtId="4" fontId="24" fillId="4" borderId="0" xfId="0" applyNumberFormat="1" applyFont="1" applyFill="1"/>
    <xf numFmtId="3" fontId="22" fillId="4" borderId="19" xfId="0" applyNumberFormat="1" applyFont="1" applyFill="1" applyBorder="1"/>
    <xf numFmtId="4" fontId="24" fillId="4" borderId="19" xfId="0" applyNumberFormat="1" applyFont="1" applyFill="1" applyBorder="1"/>
    <xf numFmtId="0" fontId="24" fillId="4" borderId="34" xfId="0" applyFont="1" applyFill="1" applyBorder="1"/>
    <xf numFmtId="164" fontId="4" fillId="4" borderId="34" xfId="0" applyNumberFormat="1" applyFont="1" applyFill="1" applyBorder="1" applyAlignment="1">
      <alignment horizontal="center"/>
    </xf>
    <xf numFmtId="3" fontId="24" fillId="4" borderId="34" xfId="0" applyNumberFormat="1" applyFont="1" applyFill="1" applyBorder="1"/>
    <xf numFmtId="4" fontId="22" fillId="4" borderId="34" xfId="0" applyNumberFormat="1" applyFont="1" applyFill="1" applyBorder="1"/>
    <xf numFmtId="0" fontId="24" fillId="4" borderId="0" xfId="0" applyFont="1" applyFill="1" applyBorder="1"/>
    <xf numFmtId="4" fontId="4" fillId="4" borderId="0" xfId="0" applyNumberFormat="1" applyFont="1" applyFill="1" applyAlignment="1">
      <alignment horizontal="left"/>
    </xf>
    <xf numFmtId="4" fontId="4" fillId="4" borderId="0" xfId="0" applyNumberFormat="1" applyFont="1" applyFill="1" applyAlignment="1">
      <alignment horizontal="center"/>
    </xf>
    <xf numFmtId="4" fontId="4" fillId="4" borderId="0" xfId="0" applyNumberFormat="1" applyFont="1" applyFill="1"/>
    <xf numFmtId="4" fontId="4" fillId="4" borderId="28" xfId="0" applyNumberFormat="1" applyFont="1" applyFill="1" applyBorder="1" applyAlignment="1">
      <alignment horizontal="center" vertical="center"/>
    </xf>
    <xf numFmtId="4" fontId="4" fillId="4" borderId="19" xfId="0" applyNumberFormat="1" applyFont="1" applyFill="1" applyBorder="1" applyAlignment="1">
      <alignment horizontal="center" vertical="center"/>
    </xf>
    <xf numFmtId="4" fontId="4" fillId="4" borderId="0" xfId="0" applyNumberFormat="1" applyFont="1" applyFill="1" applyBorder="1" applyAlignment="1">
      <alignment horizontal="center" vertical="center"/>
    </xf>
    <xf numFmtId="4" fontId="35" fillId="4" borderId="0" xfId="0" applyNumberFormat="1" applyFont="1" applyFill="1" applyBorder="1" applyAlignment="1">
      <alignment horizontal="center" vertical="center"/>
    </xf>
    <xf numFmtId="0" fontId="37" fillId="4" borderId="0" xfId="0" applyFont="1" applyFill="1" applyBorder="1"/>
    <xf numFmtId="4" fontId="37" fillId="4" borderId="0" xfId="0" applyNumberFormat="1" applyFont="1" applyFill="1"/>
    <xf numFmtId="4" fontId="73" fillId="4" borderId="0" xfId="0" applyNumberFormat="1" applyFont="1" applyFill="1"/>
    <xf numFmtId="3" fontId="16" fillId="4" borderId="0" xfId="0" applyNumberFormat="1" applyFont="1" applyFill="1" applyBorder="1"/>
    <xf numFmtId="0" fontId="58" fillId="4" borderId="0" xfId="0" applyFont="1" applyFill="1" applyBorder="1"/>
    <xf numFmtId="4" fontId="22" fillId="4" borderId="0" xfId="0" applyNumberFormat="1" applyFont="1" applyFill="1" applyBorder="1"/>
    <xf numFmtId="4" fontId="58" fillId="4" borderId="0" xfId="0" applyNumberFormat="1" applyFont="1" applyFill="1" applyBorder="1" applyAlignment="1">
      <alignment horizontal="right"/>
    </xf>
    <xf numFmtId="4" fontId="13" fillId="4" borderId="0" xfId="0" applyNumberFormat="1" applyFont="1" applyFill="1" applyBorder="1" applyAlignment="1">
      <alignment horizontal="justify"/>
    </xf>
    <xf numFmtId="1" fontId="13" fillId="4" borderId="0" xfId="0" applyNumberFormat="1" applyFont="1" applyFill="1" applyBorder="1" applyAlignment="1">
      <alignment horizontal="left"/>
    </xf>
    <xf numFmtId="0" fontId="13" fillId="4" borderId="0" xfId="0" applyFont="1" applyFill="1" applyBorder="1" applyAlignment="1">
      <alignment horizontal="right"/>
    </xf>
    <xf numFmtId="0" fontId="0" fillId="4" borderId="0" xfId="0" applyFill="1"/>
    <xf numFmtId="0" fontId="0" fillId="4" borderId="0" xfId="0" applyFill="1" applyBorder="1"/>
    <xf numFmtId="3" fontId="0" fillId="4" borderId="0" xfId="0" applyNumberFormat="1" applyFill="1" applyBorder="1"/>
    <xf numFmtId="0" fontId="51" fillId="4" borderId="0" xfId="0" applyFont="1" applyFill="1"/>
    <xf numFmtId="0" fontId="36" fillId="4" borderId="0" xfId="0" applyFont="1" applyFill="1"/>
    <xf numFmtId="164" fontId="0" fillId="4" borderId="0" xfId="0" applyNumberFormat="1" applyFill="1" applyAlignment="1">
      <alignment horizontal="center"/>
    </xf>
    <xf numFmtId="3" fontId="36" fillId="4" borderId="0" xfId="0" applyNumberFormat="1" applyFont="1" applyFill="1"/>
    <xf numFmtId="3" fontId="36" fillId="4" borderId="2" xfId="0" applyNumberFormat="1" applyFont="1" applyFill="1" applyBorder="1"/>
    <xf numFmtId="166" fontId="24" fillId="4" borderId="25" xfId="0" applyNumberFormat="1" applyFont="1" applyFill="1" applyBorder="1"/>
    <xf numFmtId="3" fontId="36" fillId="4" borderId="3" xfId="0" applyNumberFormat="1" applyFont="1" applyFill="1" applyBorder="1"/>
    <xf numFmtId="164" fontId="51" fillId="4" borderId="14" xfId="0" applyNumberFormat="1" applyFont="1" applyFill="1" applyBorder="1" applyAlignment="1"/>
    <xf numFmtId="166" fontId="51" fillId="4" borderId="44" xfId="0" applyNumberFormat="1" applyFont="1" applyFill="1" applyBorder="1"/>
    <xf numFmtId="3" fontId="12" fillId="4" borderId="2" xfId="0" applyNumberFormat="1" applyFont="1" applyFill="1" applyBorder="1"/>
    <xf numFmtId="166" fontId="12" fillId="4" borderId="25" xfId="0" applyNumberFormat="1" applyFont="1" applyFill="1" applyBorder="1"/>
    <xf numFmtId="3" fontId="18" fillId="4" borderId="45" xfId="0" applyNumberFormat="1" applyFont="1" applyFill="1" applyBorder="1"/>
    <xf numFmtId="166" fontId="18" fillId="4" borderId="36" xfId="0" applyNumberFormat="1" applyFont="1" applyFill="1" applyBorder="1"/>
    <xf numFmtId="164" fontId="0" fillId="4" borderId="0" xfId="0" applyNumberFormat="1" applyFill="1"/>
    <xf numFmtId="3" fontId="37" fillId="4" borderId="14" xfId="0" applyNumberFormat="1" applyFont="1" applyFill="1" applyBorder="1" applyAlignment="1">
      <alignment horizontal="center"/>
    </xf>
    <xf numFmtId="3" fontId="9" fillId="0" borderId="17" xfId="0" applyNumberFormat="1" applyFont="1" applyFill="1" applyBorder="1" applyAlignment="1">
      <alignment horizontal="right"/>
    </xf>
    <xf numFmtId="1" fontId="24" fillId="0" borderId="0" xfId="0" applyNumberFormat="1" applyFont="1" applyFill="1" applyBorder="1" applyAlignment="1">
      <alignment horizontal="right" vertical="center" wrapText="1"/>
    </xf>
    <xf numFmtId="1" fontId="5" fillId="0" borderId="2" xfId="8" applyNumberFormat="1" applyFont="1" applyBorder="1" applyAlignment="1">
      <alignment horizontal="center"/>
    </xf>
    <xf numFmtId="1" fontId="5" fillId="0" borderId="0" xfId="0" applyNumberFormat="1" applyFont="1" applyBorder="1" applyAlignment="1">
      <alignment horizontal="center"/>
    </xf>
    <xf numFmtId="0" fontId="13" fillId="0" borderId="0" xfId="0" applyFont="1" applyBorder="1" applyAlignment="1">
      <alignment horizontal="center"/>
    </xf>
    <xf numFmtId="1" fontId="5" fillId="0" borderId="2" xfId="0" applyNumberFormat="1" applyFont="1" applyBorder="1" applyAlignment="1">
      <alignment horizontal="center"/>
    </xf>
    <xf numFmtId="0" fontId="6" fillId="0" borderId="14" xfId="0" applyFont="1" applyFill="1" applyBorder="1" applyAlignment="1">
      <alignment horizontal="center"/>
    </xf>
    <xf numFmtId="4" fontId="118" fillId="4" borderId="0" xfId="0" applyNumberFormat="1" applyFont="1" applyFill="1" applyBorder="1"/>
    <xf numFmtId="3" fontId="14" fillId="0" borderId="0" xfId="0" applyNumberFormat="1" applyFont="1" applyFill="1" applyBorder="1" applyAlignment="1">
      <alignment horizontal="right" vertical="top"/>
    </xf>
    <xf numFmtId="0" fontId="9" fillId="0" borderId="15" xfId="0" applyFont="1" applyFill="1" applyBorder="1"/>
    <xf numFmtId="3" fontId="14" fillId="0" borderId="2" xfId="4" applyFont="1" applyFill="1" applyBorder="1" applyAlignment="1">
      <alignment horizontal="right"/>
    </xf>
    <xf numFmtId="166" fontId="14" fillId="0" borderId="25" xfId="0" applyNumberFormat="1" applyFont="1" applyBorder="1" applyAlignment="1">
      <alignment horizontal="right" vertical="top"/>
    </xf>
    <xf numFmtId="0" fontId="26" fillId="0" borderId="4" xfId="0" applyFont="1" applyFill="1" applyBorder="1" applyAlignment="1">
      <alignment horizontal="left"/>
    </xf>
    <xf numFmtId="3" fontId="4" fillId="0" borderId="19" xfId="0" applyNumberFormat="1" applyFont="1" applyFill="1" applyBorder="1"/>
    <xf numFmtId="0" fontId="4" fillId="0" borderId="19" xfId="0" applyFont="1" applyFill="1" applyBorder="1"/>
    <xf numFmtId="168" fontId="24" fillId="0" borderId="0" xfId="0" applyNumberFormat="1" applyFont="1" applyFill="1" applyAlignment="1">
      <alignment horizontal="left"/>
    </xf>
    <xf numFmtId="0" fontId="4" fillId="0" borderId="0" xfId="8" applyFill="1" applyAlignment="1">
      <alignment wrapText="1"/>
    </xf>
    <xf numFmtId="1" fontId="4" fillId="0" borderId="0" xfId="0" applyNumberFormat="1" applyFont="1" applyFill="1" applyAlignment="1">
      <alignment horizontal="right"/>
    </xf>
    <xf numFmtId="0" fontId="4" fillId="0" borderId="27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167" fontId="4" fillId="0" borderId="0" xfId="0" applyNumberFormat="1" applyFont="1" applyFill="1" applyAlignment="1">
      <alignment horizontal="right"/>
    </xf>
    <xf numFmtId="0" fontId="4" fillId="0" borderId="0" xfId="8" applyFont="1" applyBorder="1" applyAlignment="1"/>
    <xf numFmtId="1" fontId="4" fillId="0" borderId="0" xfId="0" applyNumberFormat="1" applyFont="1" applyFill="1"/>
    <xf numFmtId="3" fontId="14" fillId="0" borderId="0" xfId="0" applyNumberFormat="1" applyFont="1" applyBorder="1" applyAlignment="1">
      <alignment horizontal="left" vertical="center"/>
    </xf>
    <xf numFmtId="168" fontId="53" fillId="0" borderId="0" xfId="0" applyNumberFormat="1" applyFont="1" applyFill="1" applyAlignment="1">
      <alignment horizontal="right"/>
    </xf>
    <xf numFmtId="166" fontId="53" fillId="0" borderId="0" xfId="0" applyNumberFormat="1" applyFont="1" applyFill="1" applyBorder="1" applyAlignment="1">
      <alignment horizontal="right"/>
    </xf>
    <xf numFmtId="3" fontId="22" fillId="0" borderId="18" xfId="8" applyNumberFormat="1" applyFont="1" applyFill="1" applyBorder="1" applyAlignment="1">
      <alignment vertical="center"/>
    </xf>
    <xf numFmtId="0" fontId="4" fillId="4" borderId="50" xfId="0" applyFont="1" applyFill="1" applyBorder="1"/>
    <xf numFmtId="4" fontId="71" fillId="4" borderId="0" xfId="0" applyNumberFormat="1" applyFont="1" applyFill="1"/>
    <xf numFmtId="4" fontId="4" fillId="4" borderId="0" xfId="0" applyNumberFormat="1" applyFont="1" applyFill="1" applyAlignment="1">
      <alignment vertical="center"/>
    </xf>
    <xf numFmtId="3" fontId="37" fillId="4" borderId="19" xfId="0" applyNumberFormat="1" applyFont="1" applyFill="1" applyBorder="1"/>
    <xf numFmtId="3" fontId="24" fillId="4" borderId="17" xfId="0" applyNumberFormat="1" applyFont="1" applyFill="1" applyBorder="1"/>
    <xf numFmtId="3" fontId="22" fillId="4" borderId="17" xfId="0" applyNumberFormat="1" applyFont="1" applyFill="1" applyBorder="1"/>
    <xf numFmtId="3" fontId="22" fillId="4" borderId="40" xfId="0" applyNumberFormat="1" applyFont="1" applyFill="1" applyBorder="1"/>
    <xf numFmtId="4" fontId="22" fillId="4" borderId="48" xfId="0" applyNumberFormat="1" applyFont="1" applyFill="1" applyBorder="1"/>
    <xf numFmtId="0" fontId="22" fillId="4" borderId="47" xfId="0" applyFont="1" applyFill="1" applyBorder="1" applyAlignment="1">
      <alignment wrapText="1"/>
    </xf>
    <xf numFmtId="0" fontId="22" fillId="4" borderId="6" xfId="0" applyFont="1" applyFill="1" applyBorder="1" applyAlignment="1">
      <alignment wrapText="1"/>
    </xf>
    <xf numFmtId="4" fontId="22" fillId="4" borderId="19" xfId="0" applyNumberFormat="1" applyFont="1" applyFill="1" applyBorder="1"/>
    <xf numFmtId="4" fontId="22" fillId="4" borderId="17" xfId="0" applyNumberFormat="1" applyFont="1" applyFill="1" applyBorder="1"/>
    <xf numFmtId="3" fontId="22" fillId="4" borderId="9" xfId="0" applyNumberFormat="1" applyFont="1" applyFill="1" applyBorder="1"/>
    <xf numFmtId="166" fontId="22" fillId="4" borderId="23" xfId="0" applyNumberFormat="1" applyFont="1" applyFill="1" applyBorder="1"/>
    <xf numFmtId="3" fontId="22" fillId="4" borderId="13" xfId="0" applyNumberFormat="1" applyFont="1" applyFill="1" applyBorder="1"/>
    <xf numFmtId="166" fontId="22" fillId="4" borderId="58" xfId="0" applyNumberFormat="1" applyFont="1" applyFill="1" applyBorder="1"/>
    <xf numFmtId="4" fontId="93" fillId="4" borderId="20" xfId="0" applyNumberFormat="1" applyFont="1" applyFill="1" applyBorder="1"/>
    <xf numFmtId="3" fontId="22" fillId="4" borderId="2" xfId="0" applyNumberFormat="1" applyFont="1" applyFill="1" applyBorder="1" applyAlignment="1"/>
    <xf numFmtId="3" fontId="22" fillId="4" borderId="2" xfId="0" applyNumberFormat="1" applyFont="1" applyFill="1" applyBorder="1" applyAlignment="1">
      <alignment vertical="center"/>
    </xf>
    <xf numFmtId="166" fontId="22" fillId="4" borderId="21" xfId="0" applyNumberFormat="1" applyFont="1" applyFill="1" applyBorder="1" applyAlignment="1">
      <alignment vertical="center"/>
    </xf>
    <xf numFmtId="4" fontId="93" fillId="4" borderId="0" xfId="0" applyNumberFormat="1" applyFont="1" applyFill="1" applyBorder="1" applyAlignment="1">
      <alignment vertical="center"/>
    </xf>
    <xf numFmtId="4" fontId="93" fillId="4" borderId="12" xfId="0" applyNumberFormat="1" applyFont="1" applyFill="1" applyBorder="1"/>
    <xf numFmtId="4" fontId="37" fillId="0" borderId="0" xfId="0" applyNumberFormat="1" applyFont="1" applyFill="1"/>
    <xf numFmtId="0" fontId="24" fillId="0" borderId="17" xfId="0" applyFont="1" applyBorder="1" applyAlignment="1">
      <alignment vertical="top"/>
    </xf>
    <xf numFmtId="3" fontId="14" fillId="0" borderId="17" xfId="0" applyNumberFormat="1" applyFont="1" applyFill="1" applyBorder="1" applyAlignment="1">
      <alignment horizontal="right" vertical="center"/>
    </xf>
    <xf numFmtId="3" fontId="12" fillId="0" borderId="17" xfId="0" applyNumberFormat="1" applyFont="1" applyFill="1" applyBorder="1" applyAlignment="1">
      <alignment horizontal="right" vertical="center"/>
    </xf>
    <xf numFmtId="0" fontId="24" fillId="3" borderId="2" xfId="0" applyFont="1" applyFill="1" applyBorder="1" applyAlignment="1">
      <alignment vertical="center" wrapText="1"/>
    </xf>
    <xf numFmtId="3" fontId="15" fillId="0" borderId="17" xfId="0" applyNumberFormat="1" applyFont="1" applyFill="1" applyBorder="1" applyAlignment="1">
      <alignment vertical="center"/>
    </xf>
    <xf numFmtId="166" fontId="15" fillId="0" borderId="25" xfId="0" applyNumberFormat="1" applyFont="1" applyFill="1" applyBorder="1" applyAlignment="1">
      <alignment vertical="center"/>
    </xf>
    <xf numFmtId="0" fontId="4" fillId="0" borderId="2" xfId="0" applyFont="1" applyBorder="1" applyAlignment="1">
      <alignment horizontal="left" vertical="top" wrapText="1"/>
    </xf>
    <xf numFmtId="0" fontId="24" fillId="0" borderId="2" xfId="0" applyFont="1" applyBorder="1" applyAlignment="1">
      <alignment wrapText="1"/>
    </xf>
    <xf numFmtId="0" fontId="22" fillId="0" borderId="4" xfId="0" applyFont="1" applyFill="1" applyBorder="1" applyAlignment="1">
      <alignment vertical="top"/>
    </xf>
    <xf numFmtId="0" fontId="22" fillId="0" borderId="5" xfId="0" applyFont="1" applyFill="1" applyBorder="1" applyAlignment="1">
      <alignment vertical="top"/>
    </xf>
    <xf numFmtId="0" fontId="4" fillId="0" borderId="0" xfId="0" applyFont="1" applyBorder="1" applyAlignment="1">
      <alignment horizontal="left" vertical="center" wrapText="1"/>
    </xf>
    <xf numFmtId="0" fontId="4" fillId="0" borderId="0" xfId="0" applyFont="1" applyBorder="1" applyAlignment="1">
      <alignment horizontal="left" wrapText="1"/>
    </xf>
    <xf numFmtId="168" fontId="24" fillId="0" borderId="0" xfId="0" applyNumberFormat="1" applyFont="1" applyFill="1" applyAlignment="1">
      <alignment horizontal="left"/>
    </xf>
    <xf numFmtId="0" fontId="4" fillId="0" borderId="34" xfId="0" applyFont="1" applyFill="1" applyBorder="1"/>
    <xf numFmtId="4" fontId="13" fillId="0" borderId="0" xfId="0" applyNumberFormat="1" applyFont="1"/>
    <xf numFmtId="0" fontId="13" fillId="0" borderId="0" xfId="0" applyFont="1" applyFill="1" applyAlignment="1">
      <alignment wrapText="1"/>
    </xf>
    <xf numFmtId="1" fontId="5" fillId="0" borderId="12" xfId="0" applyNumberFormat="1" applyFont="1" applyBorder="1" applyAlignment="1">
      <alignment horizontal="left" vertical="top"/>
    </xf>
    <xf numFmtId="1" fontId="5" fillId="0" borderId="2" xfId="0" applyNumberFormat="1" applyFont="1" applyBorder="1" applyAlignment="1">
      <alignment horizontal="center" vertical="top"/>
    </xf>
    <xf numFmtId="1" fontId="5" fillId="0" borderId="9" xfId="2" applyNumberFormat="1" applyFont="1" applyFill="1" applyBorder="1" applyAlignment="1">
      <alignment horizontal="left"/>
    </xf>
    <xf numFmtId="1" fontId="10" fillId="0" borderId="9" xfId="2" applyNumberFormat="1" applyFont="1" applyFill="1" applyBorder="1" applyAlignment="1">
      <alignment horizontal="left"/>
    </xf>
    <xf numFmtId="3" fontId="9" fillId="0" borderId="9" xfId="2" applyFont="1" applyFill="1" applyBorder="1"/>
    <xf numFmtId="3" fontId="9" fillId="0" borderId="9" xfId="2" applyFont="1" applyFill="1" applyBorder="1" applyAlignment="1">
      <alignment horizontal="right"/>
    </xf>
    <xf numFmtId="3" fontId="14" fillId="0" borderId="9" xfId="2" applyFont="1" applyFill="1" applyBorder="1" applyAlignment="1">
      <alignment horizontal="right"/>
    </xf>
    <xf numFmtId="166" fontId="9" fillId="0" borderId="23" xfId="0" applyNumberFormat="1" applyFont="1" applyFill="1" applyBorder="1" applyAlignment="1">
      <alignment horizontal="right"/>
    </xf>
    <xf numFmtId="1" fontId="5" fillId="0" borderId="6" xfId="2" applyNumberFormat="1" applyFont="1" applyFill="1" applyBorder="1" applyAlignment="1">
      <alignment horizontal="left"/>
    </xf>
    <xf numFmtId="1" fontId="5" fillId="0" borderId="2" xfId="2" applyNumberFormat="1" applyFont="1" applyFill="1" applyBorder="1" applyAlignment="1">
      <alignment horizontal="left"/>
    </xf>
    <xf numFmtId="1" fontId="10" fillId="0" borderId="2" xfId="2" applyNumberFormat="1" applyFont="1" applyFill="1" applyBorder="1" applyAlignment="1">
      <alignment horizontal="left"/>
    </xf>
    <xf numFmtId="3" fontId="14" fillId="0" borderId="2" xfId="2" applyFont="1" applyFill="1" applyBorder="1"/>
    <xf numFmtId="3" fontId="9" fillId="0" borderId="2" xfId="2" applyFont="1" applyFill="1" applyBorder="1" applyAlignment="1">
      <alignment horizontal="right"/>
    </xf>
    <xf numFmtId="3" fontId="14" fillId="0" borderId="2" xfId="2" applyFont="1" applyFill="1" applyBorder="1" applyAlignment="1">
      <alignment horizontal="right"/>
    </xf>
    <xf numFmtId="166" fontId="9" fillId="0" borderId="21" xfId="0" applyNumberFormat="1" applyFont="1" applyFill="1" applyBorder="1" applyAlignment="1">
      <alignment horizontal="right"/>
    </xf>
    <xf numFmtId="0" fontId="49" fillId="0" borderId="0" xfId="0" applyFont="1" applyFill="1" applyBorder="1" applyAlignment="1">
      <alignment horizontal="left"/>
    </xf>
    <xf numFmtId="0" fontId="48" fillId="0" borderId="0" xfId="0" applyFont="1" applyFill="1" applyBorder="1"/>
    <xf numFmtId="3" fontId="47" fillId="0" borderId="0" xfId="0" applyNumberFormat="1" applyFont="1" applyFill="1" applyBorder="1" applyAlignment="1">
      <alignment horizontal="center"/>
    </xf>
    <xf numFmtId="0" fontId="34" fillId="0" borderId="0" xfId="0" applyFont="1" applyFill="1" applyBorder="1"/>
    <xf numFmtId="167" fontId="8" fillId="0" borderId="24" xfId="0" applyNumberFormat="1" applyFont="1" applyFill="1" applyBorder="1" applyAlignment="1">
      <alignment shrinkToFit="1"/>
    </xf>
    <xf numFmtId="0" fontId="24" fillId="0" borderId="2" xfId="0" applyFont="1" applyBorder="1" applyAlignment="1">
      <alignment vertical="top" wrapText="1"/>
    </xf>
    <xf numFmtId="1" fontId="5" fillId="0" borderId="2" xfId="0" applyNumberFormat="1" applyFont="1" applyBorder="1" applyAlignment="1">
      <alignment horizontal="left" vertical="top"/>
    </xf>
    <xf numFmtId="166" fontId="14" fillId="0" borderId="21" xfId="0" applyNumberFormat="1" applyFont="1" applyBorder="1" applyAlignment="1">
      <alignment horizontal="right"/>
    </xf>
    <xf numFmtId="0" fontId="24" fillId="0" borderId="2" xfId="0" applyFont="1" applyBorder="1" applyAlignment="1">
      <alignment vertical="top" wrapText="1"/>
    </xf>
    <xf numFmtId="1" fontId="12" fillId="0" borderId="2" xfId="0" applyNumberFormat="1" applyFont="1" applyFill="1" applyBorder="1" applyAlignment="1">
      <alignment horizontal="left" wrapText="1"/>
    </xf>
    <xf numFmtId="0" fontId="15" fillId="0" borderId="0" xfId="0" applyFont="1" applyFill="1" applyBorder="1" applyAlignment="1">
      <alignment vertical="top" wrapText="1"/>
    </xf>
    <xf numFmtId="0" fontId="12" fillId="0" borderId="17" xfId="0" applyFont="1" applyFill="1" applyBorder="1" applyAlignment="1">
      <alignment wrapText="1"/>
    </xf>
    <xf numFmtId="1" fontId="35" fillId="0" borderId="2" xfId="0" applyNumberFormat="1" applyFont="1" applyFill="1" applyBorder="1" applyAlignment="1">
      <alignment horizontal="center" vertical="center" wrapText="1"/>
    </xf>
    <xf numFmtId="0" fontId="24" fillId="0" borderId="2" xfId="0" applyFont="1" applyBorder="1" applyAlignment="1">
      <alignment vertical="center"/>
    </xf>
    <xf numFmtId="3" fontId="12" fillId="0" borderId="17" xfId="0" applyNumberFormat="1" applyFont="1" applyFill="1" applyBorder="1" applyAlignment="1">
      <alignment horizontal="right" vertical="top"/>
    </xf>
    <xf numFmtId="166" fontId="14" fillId="0" borderId="25" xfId="0" applyNumberFormat="1" applyFont="1" applyFill="1" applyBorder="1" applyAlignment="1">
      <alignment horizontal="right"/>
    </xf>
    <xf numFmtId="166" fontId="12" fillId="0" borderId="25" xfId="0" applyNumberFormat="1" applyFont="1" applyFill="1" applyBorder="1" applyAlignment="1">
      <alignment horizontal="right"/>
    </xf>
    <xf numFmtId="0" fontId="13" fillId="0" borderId="2" xfId="0" applyFont="1" applyFill="1" applyBorder="1"/>
    <xf numFmtId="49" fontId="10" fillId="0" borderId="0" xfId="0" applyNumberFormat="1" applyFont="1" applyFill="1" applyBorder="1" applyAlignment="1">
      <alignment horizontal="left" vertical="top"/>
    </xf>
    <xf numFmtId="49" fontId="27" fillId="0" borderId="0" xfId="0" applyNumberFormat="1" applyFont="1" applyFill="1" applyBorder="1" applyAlignment="1">
      <alignment horizontal="left"/>
    </xf>
    <xf numFmtId="3" fontId="7" fillId="0" borderId="5" xfId="0" applyNumberFormat="1" applyFont="1" applyFill="1" applyBorder="1" applyAlignment="1">
      <alignment horizontal="center" vertical="center" wrapText="1"/>
    </xf>
    <xf numFmtId="1" fontId="13" fillId="0" borderId="12" xfId="0" applyNumberFormat="1" applyFont="1" applyFill="1" applyBorder="1" applyAlignment="1">
      <alignment horizontal="left"/>
    </xf>
    <xf numFmtId="167" fontId="14" fillId="0" borderId="21" xfId="0" applyNumberFormat="1" applyFont="1" applyFill="1" applyBorder="1" applyAlignment="1">
      <alignment horizontal="right"/>
    </xf>
    <xf numFmtId="167" fontId="9" fillId="0" borderId="21" xfId="0" applyNumberFormat="1" applyFont="1" applyFill="1" applyBorder="1" applyAlignment="1">
      <alignment horizontal="right"/>
    </xf>
    <xf numFmtId="1" fontId="9" fillId="0" borderId="17" xfId="0" applyNumberFormat="1" applyFont="1" applyFill="1" applyBorder="1" applyAlignment="1">
      <alignment horizontal="left"/>
    </xf>
    <xf numFmtId="0" fontId="13" fillId="0" borderId="0" xfId="8" applyFont="1" applyFill="1" applyBorder="1"/>
    <xf numFmtId="1" fontId="9" fillId="0" borderId="2" xfId="0" applyNumberFormat="1" applyFont="1" applyFill="1" applyBorder="1" applyAlignment="1">
      <alignment horizontal="left"/>
    </xf>
    <xf numFmtId="3" fontId="9" fillId="0" borderId="14" xfId="0" applyNumberFormat="1" applyFont="1" applyFill="1" applyBorder="1" applyAlignment="1">
      <alignment horizontal="right"/>
    </xf>
    <xf numFmtId="3" fontId="14" fillId="0" borderId="15" xfId="0" applyNumberFormat="1" applyFont="1" applyFill="1" applyBorder="1" applyAlignment="1">
      <alignment horizontal="left" vertical="center" wrapText="1"/>
    </xf>
    <xf numFmtId="0" fontId="13" fillId="0" borderId="6" xfId="0" applyFont="1" applyBorder="1" applyAlignment="1">
      <alignment horizontal="center" vertical="top"/>
    </xf>
    <xf numFmtId="0" fontId="13" fillId="0" borderId="15" xfId="0" applyFont="1" applyBorder="1" applyAlignment="1">
      <alignment horizontal="center" vertical="top"/>
    </xf>
    <xf numFmtId="3" fontId="14" fillId="0" borderId="2" xfId="0" applyNumberFormat="1" applyFont="1" applyBorder="1" applyAlignment="1">
      <alignment horizontal="right" vertical="top" wrapText="1"/>
    </xf>
    <xf numFmtId="0" fontId="22" fillId="4" borderId="6" xfId="0" applyFont="1" applyFill="1" applyBorder="1" applyAlignment="1">
      <alignment wrapText="1"/>
    </xf>
    <xf numFmtId="3" fontId="8" fillId="0" borderId="0" xfId="8" applyNumberFormat="1" applyFont="1" applyFill="1" applyBorder="1" applyAlignment="1">
      <alignment horizontal="right"/>
    </xf>
    <xf numFmtId="4" fontId="28" fillId="0" borderId="0" xfId="0" applyNumberFormat="1" applyFont="1" applyFill="1" applyAlignment="1">
      <alignment vertical="center"/>
    </xf>
    <xf numFmtId="4" fontId="6" fillId="0" borderId="0" xfId="0" applyNumberFormat="1" applyFont="1" applyFill="1"/>
    <xf numFmtId="4" fontId="33" fillId="0" borderId="0" xfId="0" applyNumberFormat="1" applyFont="1" applyFill="1"/>
    <xf numFmtId="3" fontId="5" fillId="0" borderId="0" xfId="0" applyNumberFormat="1" applyFont="1" applyFill="1" applyBorder="1" applyAlignment="1">
      <alignment horizontal="center" vertical="center"/>
    </xf>
    <xf numFmtId="0" fontId="22" fillId="4" borderId="6" xfId="0" applyFont="1" applyFill="1" applyBorder="1" applyAlignment="1">
      <alignment wrapText="1"/>
    </xf>
    <xf numFmtId="3" fontId="8" fillId="0" borderId="0" xfId="8" applyNumberFormat="1" applyFont="1" applyFill="1" applyBorder="1" applyAlignment="1">
      <alignment horizontal="right"/>
    </xf>
    <xf numFmtId="0" fontId="4" fillId="0" borderId="0" xfId="8" applyFont="1" applyFill="1" applyAlignment="1">
      <alignment horizontal="right"/>
    </xf>
    <xf numFmtId="4" fontId="119" fillId="0" borderId="0" xfId="0" applyNumberFormat="1" applyFont="1" applyFill="1" applyAlignment="1">
      <alignment vertical="center"/>
    </xf>
    <xf numFmtId="4" fontId="93" fillId="4" borderId="73" xfId="0" applyNumberFormat="1" applyFont="1" applyFill="1" applyBorder="1"/>
    <xf numFmtId="4" fontId="93" fillId="4" borderId="60" xfId="0" applyNumberFormat="1" applyFont="1" applyFill="1" applyBorder="1"/>
    <xf numFmtId="0" fontId="14" fillId="0" borderId="0" xfId="0" applyFont="1" applyFill="1" applyBorder="1" applyAlignment="1">
      <alignment wrapText="1"/>
    </xf>
    <xf numFmtId="167" fontId="24" fillId="0" borderId="0" xfId="8" applyNumberFormat="1" applyFont="1" applyFill="1"/>
    <xf numFmtId="3" fontId="24" fillId="0" borderId="0" xfId="8" applyNumberFormat="1" applyFont="1" applyFill="1" applyAlignment="1"/>
    <xf numFmtId="168" fontId="28" fillId="0" borderId="0" xfId="8" applyNumberFormat="1" applyFont="1" applyFill="1" applyAlignment="1">
      <alignment horizontal="center"/>
    </xf>
    <xf numFmtId="1" fontId="4" fillId="0" borderId="0" xfId="8" applyNumberFormat="1" applyFont="1" applyFill="1" applyAlignment="1">
      <alignment horizontal="center"/>
    </xf>
    <xf numFmtId="0" fontId="47" fillId="0" borderId="0" xfId="8" applyFont="1" applyFill="1"/>
    <xf numFmtId="4" fontId="16" fillId="0" borderId="0" xfId="8" applyNumberFormat="1" applyFont="1" applyFill="1"/>
    <xf numFmtId="167" fontId="34" fillId="0" borderId="10" xfId="8" applyNumberFormat="1" applyFont="1" applyFill="1" applyBorder="1" applyAlignment="1">
      <alignment shrinkToFit="1"/>
    </xf>
    <xf numFmtId="3" fontId="34" fillId="0" borderId="10" xfId="8" applyNumberFormat="1" applyFont="1" applyFill="1" applyBorder="1" applyAlignment="1"/>
    <xf numFmtId="0" fontId="63" fillId="0" borderId="0" xfId="8" applyFont="1" applyFill="1"/>
    <xf numFmtId="4" fontId="63" fillId="0" borderId="0" xfId="8" applyNumberFormat="1" applyFont="1" applyFill="1"/>
    <xf numFmtId="4" fontId="4" fillId="0" borderId="0" xfId="8" applyNumberFormat="1" applyFont="1" applyFill="1" applyBorder="1" applyAlignment="1"/>
    <xf numFmtId="167" fontId="12" fillId="0" borderId="0" xfId="8" applyNumberFormat="1" applyFont="1" applyFill="1" applyBorder="1"/>
    <xf numFmtId="3" fontId="53" fillId="0" borderId="0" xfId="8" applyNumberFormat="1" applyFont="1" applyFill="1" applyBorder="1" applyAlignment="1"/>
    <xf numFmtId="0" fontId="41" fillId="0" borderId="0" xfId="8" applyFont="1" applyFill="1"/>
    <xf numFmtId="4" fontId="37" fillId="0" borderId="0" xfId="8" applyNumberFormat="1" applyFont="1" applyFill="1"/>
    <xf numFmtId="167" fontId="14" fillId="0" borderId="0" xfId="8" applyNumberFormat="1" applyFont="1" applyFill="1" applyBorder="1"/>
    <xf numFmtId="3" fontId="51" fillId="0" borderId="0" xfId="8" applyNumberFormat="1" applyFont="1" applyFill="1" applyBorder="1" applyAlignment="1"/>
    <xf numFmtId="0" fontId="51" fillId="0" borderId="0" xfId="8" applyFont="1" applyFill="1" applyAlignment="1">
      <alignment horizontal="left"/>
    </xf>
    <xf numFmtId="168" fontId="51" fillId="0" borderId="0" xfId="8" applyNumberFormat="1" applyFont="1" applyFill="1" applyAlignment="1">
      <alignment horizontal="center"/>
    </xf>
    <xf numFmtId="1" fontId="51" fillId="0" borderId="0" xfId="8" applyNumberFormat="1" applyFont="1" applyFill="1" applyAlignment="1">
      <alignment horizontal="left"/>
    </xf>
    <xf numFmtId="0" fontId="49" fillId="0" borderId="0" xfId="8" applyFont="1" applyFill="1"/>
    <xf numFmtId="167" fontId="24" fillId="0" borderId="0" xfId="8" applyNumberFormat="1" applyFont="1" applyFill="1" applyBorder="1"/>
    <xf numFmtId="3" fontId="24" fillId="0" borderId="0" xfId="8" applyNumberFormat="1" applyFont="1" applyFill="1" applyBorder="1" applyAlignment="1"/>
    <xf numFmtId="0" fontId="24" fillId="0" borderId="0" xfId="8" applyFont="1" applyFill="1"/>
    <xf numFmtId="0" fontId="41" fillId="0" borderId="0" xfId="8" applyFont="1" applyFill="1" applyBorder="1"/>
    <xf numFmtId="168" fontId="41" fillId="0" borderId="0" xfId="8" applyNumberFormat="1" applyFont="1" applyFill="1" applyBorder="1" applyAlignment="1">
      <alignment horizontal="center"/>
    </xf>
    <xf numFmtId="1" fontId="41" fillId="0" borderId="0" xfId="8" applyNumberFormat="1" applyFont="1" applyFill="1" applyBorder="1" applyAlignment="1">
      <alignment horizontal="center"/>
    </xf>
    <xf numFmtId="1" fontId="41" fillId="0" borderId="0" xfId="8" applyNumberFormat="1" applyFont="1" applyFill="1" applyBorder="1" applyAlignment="1">
      <alignment horizontal="left"/>
    </xf>
    <xf numFmtId="3" fontId="63" fillId="0" borderId="0" xfId="8" applyNumberFormat="1" applyFont="1" applyFill="1"/>
    <xf numFmtId="167" fontId="63" fillId="0" borderId="0" xfId="8" applyNumberFormat="1" applyFont="1" applyFill="1" applyBorder="1"/>
    <xf numFmtId="0" fontId="63" fillId="0" borderId="0" xfId="8" applyFont="1" applyFill="1" applyBorder="1" applyAlignment="1"/>
    <xf numFmtId="1" fontId="63" fillId="0" borderId="0" xfId="8" applyNumberFormat="1" applyFont="1" applyFill="1" applyBorder="1" applyAlignment="1">
      <alignment horizontal="left"/>
    </xf>
    <xf numFmtId="3" fontId="63" fillId="0" borderId="0" xfId="8" applyNumberFormat="1" applyFont="1" applyFill="1" applyBorder="1" applyAlignment="1"/>
    <xf numFmtId="3" fontId="22" fillId="0" borderId="0" xfId="8" applyNumberFormat="1" applyFont="1" applyFill="1"/>
    <xf numFmtId="167" fontId="41" fillId="0" borderId="10" xfId="8" applyNumberFormat="1" applyFont="1" applyFill="1" applyBorder="1"/>
    <xf numFmtId="3" fontId="41" fillId="0" borderId="10" xfId="8" applyNumberFormat="1" applyFont="1" applyFill="1" applyBorder="1" applyAlignment="1"/>
    <xf numFmtId="0" fontId="41" fillId="0" borderId="10" xfId="8" applyFont="1" applyFill="1" applyBorder="1" applyAlignment="1"/>
    <xf numFmtId="1" fontId="41" fillId="0" borderId="10" xfId="8" applyNumberFormat="1" applyFont="1" applyFill="1" applyBorder="1" applyAlignment="1">
      <alignment horizontal="left"/>
    </xf>
    <xf numFmtId="1" fontId="4" fillId="0" borderId="0" xfId="8" applyNumberFormat="1" applyFont="1" applyFill="1" applyAlignment="1">
      <alignment horizontal="left"/>
    </xf>
    <xf numFmtId="167" fontId="41" fillId="0" borderId="24" xfId="8" applyNumberFormat="1" applyFont="1" applyFill="1" applyBorder="1"/>
    <xf numFmtId="3" fontId="41" fillId="0" borderId="5" xfId="8" applyNumberFormat="1" applyFont="1" applyFill="1" applyBorder="1" applyAlignment="1"/>
    <xf numFmtId="0" fontId="41" fillId="0" borderId="5" xfId="8" applyFont="1" applyFill="1" applyBorder="1"/>
    <xf numFmtId="168" fontId="41" fillId="0" borderId="5" xfId="8" applyNumberFormat="1" applyFont="1" applyFill="1" applyBorder="1" applyAlignment="1">
      <alignment horizontal="center"/>
    </xf>
    <xf numFmtId="1" fontId="41" fillId="0" borderId="5" xfId="8" applyNumberFormat="1" applyFont="1" applyFill="1" applyBorder="1" applyAlignment="1">
      <alignment horizontal="center"/>
    </xf>
    <xf numFmtId="1" fontId="41" fillId="0" borderId="4" xfId="8" applyNumberFormat="1" applyFont="1" applyFill="1" applyBorder="1" applyAlignment="1">
      <alignment horizontal="left"/>
    </xf>
    <xf numFmtId="0" fontId="37" fillId="0" borderId="0" xfId="8" applyFont="1" applyFill="1"/>
    <xf numFmtId="4" fontId="61" fillId="0" borderId="0" xfId="8" applyNumberFormat="1" applyFont="1" applyFill="1"/>
    <xf numFmtId="167" fontId="12" fillId="0" borderId="21" xfId="8" applyNumberFormat="1" applyFont="1" applyFill="1" applyBorder="1"/>
    <xf numFmtId="3" fontId="24" fillId="0" borderId="2" xfId="8" applyNumberFormat="1" applyFont="1" applyFill="1" applyBorder="1" applyAlignment="1"/>
    <xf numFmtId="0" fontId="13" fillId="0" borderId="0" xfId="8" applyFont="1" applyFill="1" applyBorder="1" applyAlignment="1"/>
    <xf numFmtId="49" fontId="27" fillId="0" borderId="2" xfId="8" applyNumberFormat="1" applyFont="1" applyFill="1" applyBorder="1" applyAlignment="1">
      <alignment horizontal="left"/>
    </xf>
    <xf numFmtId="1" fontId="4" fillId="0" borderId="2" xfId="8" applyNumberFormat="1" applyFont="1" applyFill="1" applyBorder="1" applyAlignment="1">
      <alignment horizontal="center"/>
    </xf>
    <xf numFmtId="1" fontId="4" fillId="0" borderId="6" xfId="8" applyNumberFormat="1" applyFont="1" applyFill="1" applyBorder="1" applyAlignment="1">
      <alignment horizontal="center"/>
    </xf>
    <xf numFmtId="3" fontId="37" fillId="0" borderId="0" xfId="8" applyNumberFormat="1" applyFont="1" applyFill="1"/>
    <xf numFmtId="167" fontId="14" fillId="0" borderId="21" xfId="8" applyNumberFormat="1" applyFont="1" applyFill="1" applyBorder="1"/>
    <xf numFmtId="3" fontId="22" fillId="0" borderId="9" xfId="8" applyNumberFormat="1" applyFont="1" applyFill="1" applyBorder="1" applyAlignment="1"/>
    <xf numFmtId="0" fontId="22" fillId="0" borderId="9" xfId="8" applyFont="1" applyFill="1" applyBorder="1"/>
    <xf numFmtId="168" fontId="61" fillId="0" borderId="9" xfId="8" applyNumberFormat="1" applyFont="1" applyFill="1" applyBorder="1" applyAlignment="1">
      <alignment horizontal="center"/>
    </xf>
    <xf numFmtId="1" fontId="4" fillId="0" borderId="9" xfId="8" applyNumberFormat="1" applyFont="1" applyFill="1" applyBorder="1" applyAlignment="1">
      <alignment horizontal="center"/>
    </xf>
    <xf numFmtId="1" fontId="4" fillId="0" borderId="38" xfId="8" applyNumberFormat="1" applyFont="1" applyFill="1" applyBorder="1" applyAlignment="1">
      <alignment horizontal="center"/>
    </xf>
    <xf numFmtId="3" fontId="41" fillId="0" borderId="0" xfId="8" applyNumberFormat="1" applyFont="1" applyFill="1"/>
    <xf numFmtId="0" fontId="41" fillId="0" borderId="14" xfId="8" applyFont="1" applyFill="1" applyBorder="1"/>
    <xf numFmtId="3" fontId="22" fillId="0" borderId="2" xfId="8" applyNumberFormat="1" applyFont="1" applyFill="1" applyBorder="1" applyAlignment="1"/>
    <xf numFmtId="1" fontId="13" fillId="0" borderId="14" xfId="8" applyNumberFormat="1" applyFont="1" applyFill="1" applyBorder="1" applyAlignment="1">
      <alignment horizontal="left"/>
    </xf>
    <xf numFmtId="49" fontId="10" fillId="0" borderId="2" xfId="8" applyNumberFormat="1" applyFont="1" applyFill="1" applyBorder="1" applyAlignment="1">
      <alignment horizontal="left"/>
    </xf>
    <xf numFmtId="0" fontId="9" fillId="0" borderId="17" xfId="8" applyFont="1" applyFill="1" applyBorder="1"/>
    <xf numFmtId="49" fontId="21" fillId="0" borderId="2" xfId="8" applyNumberFormat="1" applyFont="1" applyFill="1" applyBorder="1" applyAlignment="1">
      <alignment horizontal="left"/>
    </xf>
    <xf numFmtId="49" fontId="10" fillId="0" borderId="2" xfId="8" applyNumberFormat="1" applyFont="1" applyBorder="1" applyAlignment="1">
      <alignment horizontal="left" vertical="center"/>
    </xf>
    <xf numFmtId="1" fontId="13" fillId="0" borderId="2" xfId="8" applyNumberFormat="1" applyFont="1" applyFill="1" applyBorder="1" applyAlignment="1">
      <alignment horizontal="left"/>
    </xf>
    <xf numFmtId="0" fontId="4" fillId="0" borderId="2" xfId="8" applyFont="1" applyFill="1" applyBorder="1"/>
    <xf numFmtId="49" fontId="10" fillId="0" borderId="0" xfId="8" applyNumberFormat="1" applyFont="1" applyFill="1" applyAlignment="1">
      <alignment horizontal="left"/>
    </xf>
    <xf numFmtId="167" fontId="22" fillId="0" borderId="21" xfId="8" applyNumberFormat="1" applyFont="1" applyFill="1" applyBorder="1"/>
    <xf numFmtId="168" fontId="61" fillId="0" borderId="2" xfId="8" applyNumberFormat="1" applyFont="1" applyFill="1" applyBorder="1" applyAlignment="1">
      <alignment horizontal="center"/>
    </xf>
    <xf numFmtId="0" fontId="35" fillId="0" borderId="0" xfId="8" applyFont="1" applyFill="1"/>
    <xf numFmtId="167" fontId="35" fillId="0" borderId="24" xfId="8" applyNumberFormat="1" applyFont="1" applyFill="1" applyBorder="1" applyAlignment="1">
      <alignment horizontal="center"/>
    </xf>
    <xf numFmtId="3" fontId="35" fillId="0" borderId="5" xfId="8" applyNumberFormat="1" applyFont="1" applyFill="1" applyBorder="1" applyAlignment="1">
      <alignment horizontal="center" vertical="center"/>
    </xf>
    <xf numFmtId="0" fontId="35" fillId="0" borderId="5" xfId="8" applyFont="1" applyFill="1" applyBorder="1"/>
    <xf numFmtId="168" fontId="35" fillId="0" borderId="5" xfId="8" applyNumberFormat="1" applyFont="1" applyFill="1" applyBorder="1" applyAlignment="1">
      <alignment horizontal="center"/>
    </xf>
    <xf numFmtId="1" fontId="35" fillId="0" borderId="5" xfId="8" applyNumberFormat="1" applyFont="1" applyFill="1" applyBorder="1" applyAlignment="1">
      <alignment horizontal="center"/>
    </xf>
    <xf numFmtId="167" fontId="4" fillId="0" borderId="0" xfId="8" applyNumberFormat="1" applyFont="1" applyFill="1"/>
    <xf numFmtId="167" fontId="22" fillId="0" borderId="0" xfId="8" applyNumberFormat="1" applyFont="1" applyFill="1"/>
    <xf numFmtId="3" fontId="22" fillId="0" borderId="0" xfId="8" applyNumberFormat="1" applyFont="1" applyFill="1" applyAlignment="1"/>
    <xf numFmtId="0" fontId="37" fillId="0" borderId="0" xfId="8" applyFont="1" applyFill="1" applyAlignment="1">
      <alignment vertical="top"/>
    </xf>
    <xf numFmtId="1" fontId="51" fillId="0" borderId="0" xfId="8" applyNumberFormat="1" applyFont="1" applyFill="1" applyAlignment="1">
      <alignment horizontal="left" vertical="top"/>
    </xf>
    <xf numFmtId="0" fontId="63" fillId="0" borderId="0" xfId="8" applyFont="1" applyFill="1" applyBorder="1"/>
    <xf numFmtId="168" fontId="28" fillId="0" borderId="0" xfId="8" applyNumberFormat="1" applyFont="1" applyFill="1" applyBorder="1" applyAlignment="1">
      <alignment horizontal="center"/>
    </xf>
    <xf numFmtId="1" fontId="63" fillId="0" borderId="0" xfId="8" applyNumberFormat="1" applyFont="1" applyFill="1" applyBorder="1" applyAlignment="1">
      <alignment horizontal="center"/>
    </xf>
    <xf numFmtId="168" fontId="61" fillId="0" borderId="0" xfId="8" applyNumberFormat="1" applyFont="1" applyFill="1" applyAlignment="1">
      <alignment horizontal="center"/>
    </xf>
    <xf numFmtId="1" fontId="37" fillId="0" borderId="0" xfId="8" applyNumberFormat="1" applyFont="1" applyFill="1" applyAlignment="1">
      <alignment horizontal="center"/>
    </xf>
    <xf numFmtId="1" fontId="37" fillId="0" borderId="0" xfId="8" applyNumberFormat="1" applyFont="1" applyFill="1" applyAlignment="1">
      <alignment horizontal="left"/>
    </xf>
    <xf numFmtId="0" fontId="41" fillId="0" borderId="10" xfId="8" applyFont="1" applyFill="1" applyBorder="1"/>
    <xf numFmtId="168" fontId="41" fillId="0" borderId="10" xfId="8" applyNumberFormat="1" applyFont="1" applyFill="1" applyBorder="1" applyAlignment="1">
      <alignment horizontal="center"/>
    </xf>
    <xf numFmtId="1" fontId="41" fillId="0" borderId="10" xfId="8" applyNumberFormat="1" applyFont="1" applyFill="1" applyBorder="1" applyAlignment="1">
      <alignment horizontal="center"/>
    </xf>
    <xf numFmtId="1" fontId="51" fillId="0" borderId="0" xfId="8" applyNumberFormat="1" applyFont="1" applyFill="1" applyAlignment="1">
      <alignment horizontal="center"/>
    </xf>
    <xf numFmtId="168" fontId="63" fillId="0" borderId="0" xfId="8" applyNumberFormat="1" applyFont="1" applyFill="1" applyBorder="1" applyAlignment="1">
      <alignment horizontal="center"/>
    </xf>
    <xf numFmtId="167" fontId="41" fillId="0" borderId="0" xfId="8" applyNumberFormat="1" applyFont="1" applyFill="1" applyBorder="1"/>
    <xf numFmtId="3" fontId="41" fillId="0" borderId="0" xfId="8" applyNumberFormat="1" applyFont="1" applyFill="1" applyBorder="1" applyAlignment="1"/>
    <xf numFmtId="167" fontId="41" fillId="0" borderId="34" xfId="8" applyNumberFormat="1" applyFont="1" applyFill="1" applyBorder="1"/>
    <xf numFmtId="3" fontId="41" fillId="0" borderId="34" xfId="8" applyNumberFormat="1" applyFont="1" applyFill="1" applyBorder="1" applyAlignment="1"/>
    <xf numFmtId="0" fontId="41" fillId="0" borderId="34" xfId="8" applyFont="1" applyFill="1" applyBorder="1"/>
    <xf numFmtId="168" fontId="41" fillId="0" borderId="34" xfId="8" applyNumberFormat="1" applyFont="1" applyFill="1" applyBorder="1" applyAlignment="1">
      <alignment horizontal="center"/>
    </xf>
    <xf numFmtId="1" fontId="41" fillId="0" borderId="34" xfId="8" applyNumberFormat="1" applyFont="1" applyFill="1" applyBorder="1" applyAlignment="1">
      <alignment horizontal="center"/>
    </xf>
    <xf numFmtId="1" fontId="41" fillId="0" borderId="34" xfId="8" applyNumberFormat="1" applyFont="1" applyFill="1" applyBorder="1" applyAlignment="1">
      <alignment horizontal="left"/>
    </xf>
    <xf numFmtId="167" fontId="41" fillId="0" borderId="51" xfId="8" applyNumberFormat="1" applyFont="1" applyFill="1" applyBorder="1"/>
    <xf numFmtId="3" fontId="41" fillId="0" borderId="51" xfId="8" applyNumberFormat="1" applyFont="1" applyFill="1" applyBorder="1" applyAlignment="1"/>
    <xf numFmtId="0" fontId="41" fillId="0" borderId="51" xfId="8" applyFont="1" applyFill="1" applyBorder="1"/>
    <xf numFmtId="168" fontId="41" fillId="0" borderId="51" xfId="8" applyNumberFormat="1" applyFont="1" applyFill="1" applyBorder="1" applyAlignment="1">
      <alignment horizontal="center"/>
    </xf>
    <xf numFmtId="1" fontId="41" fillId="0" borderId="51" xfId="8" applyNumberFormat="1" applyFont="1" applyFill="1" applyBorder="1" applyAlignment="1">
      <alignment horizontal="center"/>
    </xf>
    <xf numFmtId="1" fontId="41" fillId="0" borderId="51" xfId="8" applyNumberFormat="1" applyFont="1" applyFill="1" applyBorder="1" applyAlignment="1">
      <alignment horizontal="left"/>
    </xf>
    <xf numFmtId="1" fontId="13" fillId="0" borderId="0" xfId="8" applyNumberFormat="1" applyFont="1" applyFill="1" applyAlignment="1">
      <alignment horizontal="left"/>
    </xf>
    <xf numFmtId="167" fontId="35" fillId="0" borderId="24" xfId="8" applyNumberFormat="1" applyFont="1" applyFill="1" applyBorder="1" applyAlignment="1">
      <alignment horizontal="center" vertical="center"/>
    </xf>
    <xf numFmtId="1" fontId="14" fillId="0" borderId="0" xfId="8" applyNumberFormat="1" applyFont="1" applyFill="1" applyAlignment="1">
      <alignment horizontal="left"/>
    </xf>
    <xf numFmtId="1" fontId="4" fillId="0" borderId="15" xfId="8" applyNumberFormat="1" applyFont="1" applyFill="1" applyBorder="1" applyAlignment="1">
      <alignment horizontal="center"/>
    </xf>
    <xf numFmtId="1" fontId="14" fillId="0" borderId="2" xfId="8" applyNumberFormat="1" applyFont="1" applyFill="1" applyBorder="1" applyAlignment="1">
      <alignment horizontal="left"/>
    </xf>
    <xf numFmtId="1" fontId="94" fillId="0" borderId="0" xfId="8" applyNumberFormat="1" applyFont="1" applyFill="1" applyAlignment="1">
      <alignment horizontal="left"/>
    </xf>
    <xf numFmtId="1" fontId="38" fillId="0" borderId="0" xfId="8" applyNumberFormat="1" applyFont="1" applyFill="1" applyAlignment="1">
      <alignment horizontal="left"/>
    </xf>
    <xf numFmtId="3" fontId="6" fillId="0" borderId="0" xfId="8" applyNumberFormat="1" applyFont="1" applyFill="1"/>
    <xf numFmtId="167" fontId="52" fillId="0" borderId="22" xfId="8" applyNumberFormat="1" applyFont="1" applyFill="1" applyBorder="1"/>
    <xf numFmtId="3" fontId="8" fillId="0" borderId="5" xfId="8" applyNumberFormat="1" applyFont="1" applyFill="1" applyBorder="1" applyAlignment="1"/>
    <xf numFmtId="168" fontId="21" fillId="0" borderId="8" xfId="8" applyNumberFormat="1" applyFont="1" applyFill="1" applyBorder="1" applyAlignment="1">
      <alignment horizontal="center"/>
    </xf>
    <xf numFmtId="3" fontId="24" fillId="0" borderId="2" xfId="8" applyNumberFormat="1" applyFont="1" applyFill="1" applyBorder="1" applyAlignment="1">
      <alignment horizontal="right" vertical="center" wrapText="1"/>
    </xf>
    <xf numFmtId="3" fontId="22" fillId="0" borderId="9" xfId="8" applyNumberFormat="1" applyFont="1" applyFill="1" applyBorder="1" applyAlignment="1">
      <alignment horizontal="right" vertical="center" wrapText="1"/>
    </xf>
    <xf numFmtId="0" fontId="14" fillId="0" borderId="9" xfId="8" applyFont="1" applyBorder="1" applyAlignment="1"/>
    <xf numFmtId="167" fontId="7" fillId="0" borderId="24" xfId="8" applyNumberFormat="1" applyFont="1" applyFill="1" applyBorder="1" applyAlignment="1">
      <alignment horizontal="center" vertical="center"/>
    </xf>
    <xf numFmtId="168" fontId="7" fillId="0" borderId="5" xfId="8" applyNumberFormat="1" applyFont="1" applyFill="1" applyBorder="1" applyAlignment="1">
      <alignment horizontal="center" vertical="center"/>
    </xf>
    <xf numFmtId="3" fontId="4" fillId="0" borderId="0" xfId="8" applyNumberFormat="1" applyFont="1" applyFill="1" applyAlignment="1"/>
    <xf numFmtId="0" fontId="18" fillId="0" borderId="0" xfId="8" applyFont="1" applyFill="1"/>
    <xf numFmtId="167" fontId="55" fillId="0" borderId="22" xfId="8" applyNumberFormat="1" applyFont="1" applyFill="1" applyBorder="1"/>
    <xf numFmtId="3" fontId="55" fillId="0" borderId="5" xfId="8" applyNumberFormat="1" applyFont="1" applyFill="1" applyBorder="1" applyAlignment="1"/>
    <xf numFmtId="0" fontId="18" fillId="0" borderId="8" xfId="8" applyFont="1" applyFill="1" applyBorder="1"/>
    <xf numFmtId="168" fontId="69" fillId="0" borderId="8" xfId="8" applyNumberFormat="1" applyFont="1" applyFill="1" applyBorder="1" applyAlignment="1">
      <alignment horizontal="center"/>
    </xf>
    <xf numFmtId="0" fontId="49" fillId="0" borderId="7" xfId="8" applyFont="1" applyFill="1" applyBorder="1" applyAlignment="1">
      <alignment horizontal="left"/>
    </xf>
    <xf numFmtId="3" fontId="14" fillId="0" borderId="14" xfId="8" applyNumberFormat="1" applyFont="1" applyFill="1" applyBorder="1" applyAlignment="1">
      <alignment horizontal="right"/>
    </xf>
    <xf numFmtId="3" fontId="12" fillId="3" borderId="2" xfId="8" applyNumberFormat="1" applyFont="1" applyFill="1" applyBorder="1" applyAlignment="1">
      <alignment horizontal="right"/>
    </xf>
    <xf numFmtId="3" fontId="12" fillId="0" borderId="17" xfId="8" applyNumberFormat="1" applyFont="1" applyFill="1" applyBorder="1" applyAlignment="1">
      <alignment horizontal="right"/>
    </xf>
    <xf numFmtId="3" fontId="14" fillId="3" borderId="2" xfId="8" applyNumberFormat="1" applyFont="1" applyFill="1" applyBorder="1" applyAlignment="1">
      <alignment horizontal="right"/>
    </xf>
    <xf numFmtId="0" fontId="13" fillId="3" borderId="0" xfId="8" applyFont="1" applyFill="1" applyBorder="1"/>
    <xf numFmtId="3" fontId="14" fillId="0" borderId="9" xfId="8" applyNumberFormat="1" applyFont="1" applyFill="1" applyBorder="1" applyAlignment="1">
      <alignment horizontal="right"/>
    </xf>
    <xf numFmtId="3" fontId="12" fillId="0" borderId="14" xfId="8" applyNumberFormat="1" applyFont="1" applyFill="1" applyBorder="1" applyAlignment="1">
      <alignment horizontal="right"/>
    </xf>
    <xf numFmtId="49" fontId="10" fillId="0" borderId="14" xfId="8" applyNumberFormat="1" applyFont="1" applyFill="1" applyBorder="1" applyAlignment="1">
      <alignment horizontal="left"/>
    </xf>
    <xf numFmtId="0" fontId="14" fillId="3" borderId="0" xfId="8" applyFont="1" applyFill="1" applyBorder="1"/>
    <xf numFmtId="3" fontId="14" fillId="0" borderId="17" xfId="8" applyNumberFormat="1" applyFont="1" applyFill="1" applyBorder="1" applyAlignment="1">
      <alignment horizontal="right"/>
    </xf>
    <xf numFmtId="0" fontId="13" fillId="0" borderId="0" xfId="8" applyFont="1"/>
    <xf numFmtId="168" fontId="4" fillId="0" borderId="0" xfId="8" applyNumberFormat="1" applyFont="1" applyFill="1" applyAlignment="1">
      <alignment horizontal="left"/>
    </xf>
    <xf numFmtId="168" fontId="24" fillId="0" borderId="0" xfId="8" applyNumberFormat="1" applyFont="1" applyFill="1" applyAlignment="1">
      <alignment horizontal="left"/>
    </xf>
    <xf numFmtId="1" fontId="24" fillId="0" borderId="0" xfId="8" applyNumberFormat="1" applyFont="1" applyFill="1" applyAlignment="1">
      <alignment horizontal="center"/>
    </xf>
    <xf numFmtId="1" fontId="24" fillId="0" borderId="0" xfId="8" applyNumberFormat="1" applyFont="1" applyFill="1" applyAlignment="1">
      <alignment horizontal="left"/>
    </xf>
    <xf numFmtId="0" fontId="39" fillId="0" borderId="0" xfId="8" applyFont="1" applyFill="1"/>
    <xf numFmtId="3" fontId="39" fillId="0" borderId="1" xfId="8" applyNumberFormat="1" applyFont="1" applyFill="1" applyBorder="1" applyAlignment="1"/>
    <xf numFmtId="3" fontId="22" fillId="0" borderId="1" xfId="8" applyNumberFormat="1" applyFont="1" applyFill="1" applyBorder="1" applyAlignment="1"/>
    <xf numFmtId="0" fontId="39" fillId="0" borderId="1" xfId="8" applyFont="1" applyFill="1" applyBorder="1"/>
    <xf numFmtId="168" fontId="61" fillId="0" borderId="1" xfId="8" applyNumberFormat="1" applyFont="1" applyFill="1" applyBorder="1" applyAlignment="1">
      <alignment horizontal="center"/>
    </xf>
    <xf numFmtId="1" fontId="39" fillId="0" borderId="1" xfId="8" applyNumberFormat="1" applyFont="1" applyFill="1" applyBorder="1" applyAlignment="1">
      <alignment horizontal="center"/>
    </xf>
    <xf numFmtId="1" fontId="39" fillId="0" borderId="1" xfId="8" applyNumberFormat="1" applyFont="1" applyFill="1" applyBorder="1" applyAlignment="1">
      <alignment horizontal="left"/>
    </xf>
    <xf numFmtId="168" fontId="4" fillId="0" borderId="0" xfId="8" applyNumberFormat="1" applyFont="1" applyFill="1"/>
    <xf numFmtId="1" fontId="5" fillId="0" borderId="0" xfId="8" applyNumberFormat="1" applyFont="1" applyFill="1" applyAlignment="1">
      <alignment horizontal="left"/>
    </xf>
    <xf numFmtId="4" fontId="69" fillId="0" borderId="0" xfId="8" applyNumberFormat="1" applyFont="1" applyFill="1"/>
    <xf numFmtId="167" fontId="67" fillId="0" borderId="10" xfId="8" applyNumberFormat="1" applyFont="1" applyFill="1" applyBorder="1" applyAlignment="1"/>
    <xf numFmtId="3" fontId="67" fillId="0" borderId="10" xfId="8" applyNumberFormat="1" applyFont="1" applyFill="1" applyBorder="1"/>
    <xf numFmtId="167" fontId="6" fillId="0" borderId="0" xfId="8" applyNumberFormat="1" applyFont="1" applyFill="1" applyBorder="1"/>
    <xf numFmtId="167" fontId="52" fillId="0" borderId="0" xfId="8" applyNumberFormat="1" applyFont="1" applyFill="1" applyBorder="1"/>
    <xf numFmtId="167" fontId="53" fillId="0" borderId="0" xfId="8" applyNumberFormat="1" applyFont="1" applyFill="1" applyBorder="1"/>
    <xf numFmtId="4" fontId="28" fillId="0" borderId="0" xfId="8" applyNumberFormat="1" applyFont="1" applyFill="1"/>
    <xf numFmtId="167" fontId="9" fillId="0" borderId="34" xfId="8" applyNumberFormat="1" applyFont="1" applyFill="1" applyBorder="1"/>
    <xf numFmtId="3" fontId="41" fillId="0" borderId="34" xfId="8" applyNumberFormat="1" applyFont="1" applyFill="1" applyBorder="1"/>
    <xf numFmtId="167" fontId="22" fillId="0" borderId="51" xfId="8" applyNumberFormat="1" applyFont="1" applyFill="1" applyBorder="1"/>
    <xf numFmtId="3" fontId="41" fillId="0" borderId="51" xfId="8" applyNumberFormat="1" applyFont="1" applyFill="1" applyBorder="1"/>
    <xf numFmtId="3" fontId="28" fillId="0" borderId="0" xfId="8" applyNumberFormat="1" applyFont="1" applyFill="1"/>
    <xf numFmtId="167" fontId="22" fillId="0" borderId="24" xfId="8" applyNumberFormat="1" applyFont="1" applyFill="1" applyBorder="1"/>
    <xf numFmtId="3" fontId="41" fillId="0" borderId="5" xfId="8" applyNumberFormat="1" applyFont="1" applyFill="1" applyBorder="1"/>
    <xf numFmtId="167" fontId="9" fillId="0" borderId="22" xfId="8" applyNumberFormat="1" applyFont="1" applyFill="1" applyBorder="1"/>
    <xf numFmtId="3" fontId="26" fillId="0" borderId="5" xfId="8" applyNumberFormat="1" applyFont="1" applyFill="1" applyBorder="1"/>
    <xf numFmtId="0" fontId="6" fillId="0" borderId="5" xfId="8" applyFont="1" applyFill="1" applyBorder="1"/>
    <xf numFmtId="168" fontId="21" fillId="0" borderId="5" xfId="8" applyNumberFormat="1" applyFont="1" applyFill="1" applyBorder="1" applyAlignment="1">
      <alignment horizontal="center"/>
    </xf>
    <xf numFmtId="0" fontId="13" fillId="0" borderId="2" xfId="8" applyFont="1" applyBorder="1"/>
    <xf numFmtId="3" fontId="9" fillId="0" borderId="9" xfId="8" applyNumberFormat="1" applyFont="1" applyBorder="1" applyAlignment="1">
      <alignment horizontal="right"/>
    </xf>
    <xf numFmtId="0" fontId="9" fillId="0" borderId="9" xfId="8" applyFont="1" applyBorder="1"/>
    <xf numFmtId="3" fontId="9" fillId="0" borderId="0" xfId="8" applyNumberFormat="1" applyFont="1" applyFill="1"/>
    <xf numFmtId="3" fontId="12" fillId="0" borderId="0" xfId="8" applyNumberFormat="1" applyFont="1" applyFill="1"/>
    <xf numFmtId="168" fontId="13" fillId="0" borderId="0" xfId="8" applyNumberFormat="1" applyFont="1" applyFill="1" applyAlignment="1">
      <alignment horizontal="left"/>
    </xf>
    <xf numFmtId="1" fontId="19" fillId="0" borderId="0" xfId="8" applyNumberFormat="1" applyFont="1" applyFill="1" applyBorder="1" applyAlignment="1">
      <alignment horizontal="left"/>
    </xf>
    <xf numFmtId="1" fontId="52" fillId="0" borderId="0" xfId="8" applyNumberFormat="1" applyFont="1" applyFill="1" applyBorder="1" applyAlignment="1">
      <alignment horizontal="left"/>
    </xf>
    <xf numFmtId="167" fontId="4" fillId="0" borderId="34" xfId="8" applyNumberFormat="1" applyFont="1" applyFill="1" applyBorder="1"/>
    <xf numFmtId="3" fontId="9" fillId="0" borderId="34" xfId="8" applyNumberFormat="1" applyFont="1" applyFill="1" applyBorder="1"/>
    <xf numFmtId="3" fontId="12" fillId="0" borderId="34" xfId="8" applyNumberFormat="1" applyFont="1" applyFill="1" applyBorder="1"/>
    <xf numFmtId="167" fontId="9" fillId="0" borderId="60" xfId="8" applyNumberFormat="1" applyFont="1" applyFill="1" applyBorder="1"/>
    <xf numFmtId="3" fontId="41" fillId="0" borderId="60" xfId="8" applyNumberFormat="1" applyFont="1" applyFill="1" applyBorder="1"/>
    <xf numFmtId="1" fontId="35" fillId="0" borderId="25" xfId="8" applyNumberFormat="1" applyFont="1" applyFill="1" applyBorder="1" applyAlignment="1">
      <alignment horizontal="center" vertical="center" wrapText="1"/>
    </xf>
    <xf numFmtId="3" fontId="35" fillId="0" borderId="2" xfId="8" applyNumberFormat="1" applyFont="1" applyFill="1" applyBorder="1" applyAlignment="1">
      <alignment horizontal="center" vertical="center" wrapText="1"/>
    </xf>
    <xf numFmtId="0" fontId="9" fillId="0" borderId="2" xfId="8" applyFont="1" applyBorder="1"/>
    <xf numFmtId="0" fontId="35" fillId="0" borderId="12" xfId="8" applyFont="1" applyFill="1" applyBorder="1" applyAlignment="1">
      <alignment horizontal="center" vertical="center"/>
    </xf>
    <xf numFmtId="166" fontId="14" fillId="0" borderId="21" xfId="8" applyNumberFormat="1" applyFont="1" applyBorder="1" applyAlignment="1">
      <alignment horizontal="right"/>
    </xf>
    <xf numFmtId="167" fontId="8" fillId="0" borderId="0" xfId="8" applyNumberFormat="1" applyFont="1" applyFill="1" applyBorder="1"/>
    <xf numFmtId="0" fontId="6" fillId="0" borderId="0" xfId="8" applyFont="1" applyFill="1" applyBorder="1"/>
    <xf numFmtId="0" fontId="26" fillId="0" borderId="0" xfId="8" applyFont="1" applyFill="1" applyBorder="1" applyAlignment="1">
      <alignment horizontal="left"/>
    </xf>
    <xf numFmtId="0" fontId="14" fillId="0" borderId="2" xfId="8" applyFont="1" applyFill="1" applyBorder="1"/>
    <xf numFmtId="3" fontId="12" fillId="0" borderId="15" xfId="8" applyNumberFormat="1" applyFont="1" applyFill="1" applyBorder="1" applyAlignment="1">
      <alignment horizontal="right"/>
    </xf>
    <xf numFmtId="167" fontId="8" fillId="0" borderId="22" xfId="8" applyNumberFormat="1" applyFont="1" applyFill="1" applyBorder="1"/>
    <xf numFmtId="168" fontId="5" fillId="0" borderId="0" xfId="8" applyNumberFormat="1" applyFont="1" applyFill="1" applyAlignment="1">
      <alignment horizontal="center"/>
    </xf>
    <xf numFmtId="168" fontId="19" fillId="0" borderId="0" xfId="8" applyNumberFormat="1" applyFont="1" applyFill="1" applyBorder="1" applyAlignment="1">
      <alignment horizontal="center"/>
    </xf>
    <xf numFmtId="168" fontId="19" fillId="0" borderId="1" xfId="8" applyNumberFormat="1" applyFont="1" applyFill="1" applyBorder="1" applyAlignment="1">
      <alignment horizontal="center"/>
    </xf>
    <xf numFmtId="0" fontId="13" fillId="0" borderId="0" xfId="8" applyFont="1" applyFill="1"/>
    <xf numFmtId="3" fontId="34" fillId="0" borderId="10" xfId="8" applyNumberFormat="1" applyFont="1" applyFill="1" applyBorder="1"/>
    <xf numFmtId="167" fontId="53" fillId="0" borderId="0" xfId="8" applyNumberFormat="1" applyFont="1" applyFill="1"/>
    <xf numFmtId="3" fontId="24" fillId="0" borderId="0" xfId="8" applyNumberFormat="1" applyFont="1" applyFill="1"/>
    <xf numFmtId="0" fontId="4" fillId="0" borderId="0" xfId="8" applyFont="1" applyFill="1" applyAlignment="1">
      <alignment vertical="top"/>
    </xf>
    <xf numFmtId="3" fontId="41" fillId="0" borderId="10" xfId="8" applyNumberFormat="1" applyFont="1" applyFill="1" applyBorder="1"/>
    <xf numFmtId="167" fontId="15" fillId="0" borderId="25" xfId="8" applyNumberFormat="1" applyFont="1" applyFill="1" applyBorder="1" applyAlignment="1">
      <alignment horizontal="right"/>
    </xf>
    <xf numFmtId="3" fontId="24" fillId="0" borderId="2" xfId="8" applyNumberFormat="1" applyFont="1" applyFill="1" applyBorder="1"/>
    <xf numFmtId="3" fontId="22" fillId="0" borderId="9" xfId="8" applyNumberFormat="1" applyFont="1" applyFill="1" applyBorder="1"/>
    <xf numFmtId="3" fontId="41" fillId="0" borderId="0" xfId="8" applyNumberFormat="1" applyFont="1" applyFill="1" applyBorder="1"/>
    <xf numFmtId="167" fontId="14" fillId="0" borderId="24" xfId="8" applyNumberFormat="1" applyFont="1" applyFill="1" applyBorder="1" applyAlignment="1">
      <alignment horizontal="right"/>
    </xf>
    <xf numFmtId="167" fontId="14" fillId="0" borderId="25" xfId="8" applyNumberFormat="1" applyFont="1" applyFill="1" applyBorder="1" applyAlignment="1">
      <alignment horizontal="right"/>
    </xf>
    <xf numFmtId="167" fontId="9" fillId="0" borderId="25" xfId="8" applyNumberFormat="1" applyFont="1" applyFill="1" applyBorder="1" applyAlignment="1">
      <alignment horizontal="right"/>
    </xf>
    <xf numFmtId="49" fontId="10" fillId="0" borderId="0" xfId="8" applyNumberFormat="1" applyFont="1" applyBorder="1" applyAlignment="1">
      <alignment horizontal="left"/>
    </xf>
    <xf numFmtId="166" fontId="7" fillId="0" borderId="23" xfId="8" applyNumberFormat="1" applyFont="1" applyFill="1" applyBorder="1" applyAlignment="1">
      <alignment horizontal="center" vertical="center"/>
    </xf>
    <xf numFmtId="0" fontId="7" fillId="0" borderId="9" xfId="8" applyFont="1" applyFill="1" applyBorder="1" applyAlignment="1">
      <alignment horizontal="center" vertical="center"/>
    </xf>
    <xf numFmtId="1" fontId="7" fillId="0" borderId="9" xfId="8" applyNumberFormat="1" applyFont="1" applyFill="1" applyBorder="1" applyAlignment="1">
      <alignment horizontal="center" vertical="center"/>
    </xf>
    <xf numFmtId="0" fontId="7" fillId="0" borderId="38" xfId="8" applyFont="1" applyFill="1" applyBorder="1" applyAlignment="1">
      <alignment horizontal="center" vertical="center"/>
    </xf>
    <xf numFmtId="167" fontId="52" fillId="0" borderId="24" xfId="8" applyNumberFormat="1" applyFont="1" applyFill="1" applyBorder="1"/>
    <xf numFmtId="0" fontId="9" fillId="0" borderId="0" xfId="8" applyFont="1" applyFill="1" applyBorder="1"/>
    <xf numFmtId="3" fontId="14" fillId="0" borderId="27" xfId="8" applyNumberFormat="1" applyFont="1" applyFill="1" applyBorder="1" applyAlignment="1">
      <alignment horizontal="right"/>
    </xf>
    <xf numFmtId="166" fontId="14" fillId="0" borderId="30" xfId="8" applyNumberFormat="1" applyFont="1" applyBorder="1" applyAlignment="1">
      <alignment horizontal="right"/>
    </xf>
    <xf numFmtId="167" fontId="39" fillId="0" borderId="0" xfId="8" applyNumberFormat="1" applyFont="1" applyFill="1"/>
    <xf numFmtId="3" fontId="39" fillId="0" borderId="0" xfId="8" applyNumberFormat="1" applyFont="1" applyFill="1"/>
    <xf numFmtId="3" fontId="39" fillId="0" borderId="1" xfId="8" applyNumberFormat="1" applyFont="1" applyFill="1" applyBorder="1"/>
    <xf numFmtId="168" fontId="39" fillId="0" borderId="1" xfId="8" applyNumberFormat="1" applyFont="1" applyFill="1" applyBorder="1" applyAlignment="1">
      <alignment horizontal="center"/>
    </xf>
    <xf numFmtId="167" fontId="4" fillId="0" borderId="0" xfId="8" applyNumberFormat="1" applyFont="1" applyFill="1" applyAlignment="1">
      <alignment horizontal="right"/>
    </xf>
    <xf numFmtId="0" fontId="12" fillId="0" borderId="0" xfId="8" applyFont="1" applyFill="1"/>
    <xf numFmtId="0" fontId="4" fillId="0" borderId="10" xfId="8" applyFont="1" applyFill="1" applyBorder="1" applyAlignment="1">
      <alignment wrapText="1"/>
    </xf>
    <xf numFmtId="0" fontId="31" fillId="0" borderId="34" xfId="8" applyFont="1" applyFill="1" applyBorder="1" applyAlignment="1">
      <alignment horizontal="left"/>
    </xf>
    <xf numFmtId="167" fontId="53" fillId="0" borderId="0" xfId="8" applyNumberFormat="1" applyFont="1" applyFill="1" applyAlignment="1">
      <alignment horizontal="right"/>
    </xf>
    <xf numFmtId="0" fontId="53" fillId="0" borderId="0" xfId="8" applyNumberFormat="1" applyFont="1" applyFill="1" applyAlignment="1">
      <alignment horizontal="left"/>
    </xf>
    <xf numFmtId="167" fontId="51" fillId="0" borderId="0" xfId="8" applyNumberFormat="1" applyFont="1" applyFill="1" applyAlignment="1">
      <alignment horizontal="right"/>
    </xf>
    <xf numFmtId="1" fontId="53" fillId="0" borderId="0" xfId="8" applyNumberFormat="1" applyFont="1" applyFill="1" applyAlignment="1">
      <alignment horizontal="left" vertical="top"/>
    </xf>
    <xf numFmtId="0" fontId="51" fillId="0" borderId="0" xfId="8" applyFont="1" applyFill="1" applyAlignment="1">
      <alignment vertical="top"/>
    </xf>
    <xf numFmtId="0" fontId="24" fillId="0" borderId="0" xfId="8" applyFont="1" applyFill="1" applyAlignment="1">
      <alignment vertical="top"/>
    </xf>
    <xf numFmtId="4" fontId="4" fillId="0" borderId="0" xfId="8" applyNumberFormat="1" applyFont="1" applyFill="1" applyAlignment="1">
      <alignment vertical="top"/>
    </xf>
    <xf numFmtId="3" fontId="53" fillId="0" borderId="0" xfId="8" applyNumberFormat="1" applyFont="1" applyFill="1" applyAlignment="1">
      <alignment vertical="top"/>
    </xf>
    <xf numFmtId="0" fontId="53" fillId="0" borderId="0" xfId="8" applyFont="1" applyFill="1" applyAlignment="1">
      <alignment horizontal="left" vertical="top"/>
    </xf>
    <xf numFmtId="168" fontId="53" fillId="0" borderId="0" xfId="8" applyNumberFormat="1" applyFont="1" applyFill="1" applyAlignment="1">
      <alignment horizontal="center" vertical="top"/>
    </xf>
    <xf numFmtId="3" fontId="63" fillId="0" borderId="0" xfId="8" applyNumberFormat="1" applyFont="1" applyFill="1" applyBorder="1"/>
    <xf numFmtId="167" fontId="51" fillId="0" borderId="0" xfId="8" applyNumberFormat="1" applyFont="1" applyFill="1" applyBorder="1" applyAlignment="1">
      <alignment horizontal="right"/>
    </xf>
    <xf numFmtId="167" fontId="51" fillId="0" borderId="10" xfId="8" applyNumberFormat="1" applyFont="1" applyFill="1" applyBorder="1" applyAlignment="1">
      <alignment horizontal="right"/>
    </xf>
    <xf numFmtId="167" fontId="51" fillId="0" borderId="24" xfId="8" applyNumberFormat="1" applyFont="1" applyFill="1" applyBorder="1" applyAlignment="1">
      <alignment horizontal="right"/>
    </xf>
    <xf numFmtId="167" fontId="22" fillId="0" borderId="23" xfId="8" applyNumberFormat="1" applyFont="1" applyFill="1" applyBorder="1" applyAlignment="1">
      <alignment horizontal="right"/>
    </xf>
    <xf numFmtId="1" fontId="35" fillId="0" borderId="24" xfId="8" applyNumberFormat="1" applyFont="1" applyFill="1" applyBorder="1" applyAlignment="1">
      <alignment horizontal="right" vertical="center" wrapText="1"/>
    </xf>
    <xf numFmtId="1" fontId="35" fillId="0" borderId="50" xfId="8" applyNumberFormat="1" applyFont="1" applyFill="1" applyBorder="1" applyAlignment="1">
      <alignment horizontal="center"/>
    </xf>
    <xf numFmtId="1" fontId="37" fillId="0" borderId="34" xfId="8" applyNumberFormat="1" applyFont="1" applyFill="1" applyBorder="1" applyAlignment="1">
      <alignment horizontal="left"/>
    </xf>
    <xf numFmtId="167" fontId="41" fillId="0" borderId="0" xfId="8" applyNumberFormat="1" applyFont="1" applyFill="1" applyBorder="1" applyAlignment="1">
      <alignment horizontal="right"/>
    </xf>
    <xf numFmtId="1" fontId="41" fillId="0" borderId="19" xfId="8" applyNumberFormat="1" applyFont="1" applyFill="1" applyBorder="1" applyAlignment="1">
      <alignment horizontal="left"/>
    </xf>
    <xf numFmtId="167" fontId="18" fillId="0" borderId="24" xfId="8" applyNumberFormat="1" applyFont="1" applyFill="1" applyBorder="1" applyAlignment="1">
      <alignment horizontal="right"/>
    </xf>
    <xf numFmtId="1" fontId="35" fillId="0" borderId="34" xfId="8" applyNumberFormat="1" applyFont="1" applyFill="1" applyBorder="1" applyAlignment="1">
      <alignment horizontal="center"/>
    </xf>
    <xf numFmtId="166" fontId="52" fillId="0" borderId="0" xfId="8" applyNumberFormat="1" applyFont="1" applyFill="1" applyBorder="1" applyAlignment="1">
      <alignment horizontal="right"/>
    </xf>
    <xf numFmtId="0" fontId="14" fillId="0" borderId="2" xfId="8" applyFont="1" applyBorder="1"/>
    <xf numFmtId="0" fontId="15" fillId="0" borderId="0" xfId="8" applyFont="1" applyFill="1"/>
    <xf numFmtId="167" fontId="8" fillId="0" borderId="0" xfId="8" applyNumberFormat="1" applyFont="1" applyFill="1" applyBorder="1" applyAlignment="1">
      <alignment horizontal="right"/>
    </xf>
    <xf numFmtId="168" fontId="24" fillId="0" borderId="0" xfId="8" applyNumberFormat="1" applyFont="1" applyFill="1" applyAlignment="1">
      <alignment horizontal="center"/>
    </xf>
    <xf numFmtId="167" fontId="24" fillId="0" borderId="0" xfId="8" applyNumberFormat="1" applyFont="1" applyFill="1" applyAlignment="1">
      <alignment horizontal="right"/>
    </xf>
    <xf numFmtId="168" fontId="24" fillId="0" borderId="0" xfId="8" applyNumberFormat="1" applyFont="1" applyFill="1" applyAlignment="1">
      <alignment horizontal="left"/>
    </xf>
    <xf numFmtId="167" fontId="39" fillId="0" borderId="0" xfId="8" applyNumberFormat="1" applyFont="1" applyFill="1" applyAlignment="1">
      <alignment horizontal="right"/>
    </xf>
    <xf numFmtId="167" fontId="4" fillId="0" borderId="0" xfId="8" applyNumberFormat="1" applyFill="1"/>
    <xf numFmtId="4" fontId="13" fillId="0" borderId="0" xfId="8" applyNumberFormat="1" applyFont="1" applyFill="1"/>
    <xf numFmtId="0" fontId="44" fillId="0" borderId="0" xfId="8" applyFont="1" applyFill="1"/>
    <xf numFmtId="0" fontId="32" fillId="0" borderId="10" xfId="8" applyFont="1" applyFill="1" applyBorder="1"/>
    <xf numFmtId="1" fontId="32" fillId="0" borderId="10" xfId="8" applyNumberFormat="1" applyFont="1" applyFill="1" applyBorder="1" applyAlignment="1">
      <alignment horizontal="left"/>
    </xf>
    <xf numFmtId="1" fontId="32" fillId="0" borderId="10" xfId="8" applyNumberFormat="1" applyFont="1" applyFill="1" applyBorder="1" applyAlignment="1">
      <alignment horizontal="center"/>
    </xf>
    <xf numFmtId="0" fontId="31" fillId="0" borderId="10" xfId="8" applyFont="1" applyFill="1" applyBorder="1" applyAlignment="1">
      <alignment horizontal="left"/>
    </xf>
    <xf numFmtId="0" fontId="9" fillId="0" borderId="0" xfId="8" applyFont="1" applyFill="1"/>
    <xf numFmtId="0" fontId="5" fillId="0" borderId="0" xfId="8" applyFont="1" applyFill="1" applyAlignment="1">
      <alignment horizontal="right"/>
    </xf>
    <xf numFmtId="0" fontId="5" fillId="0" borderId="0" xfId="8" applyFont="1" applyFill="1"/>
    <xf numFmtId="0" fontId="6" fillId="0" borderId="7" xfId="8" applyFont="1" applyFill="1" applyBorder="1"/>
    <xf numFmtId="3" fontId="4" fillId="0" borderId="0" xfId="8" applyNumberFormat="1" applyFill="1" applyAlignment="1">
      <alignment horizontal="right"/>
    </xf>
    <xf numFmtId="3" fontId="4" fillId="0" borderId="0" xfId="8" applyNumberFormat="1" applyFill="1" applyBorder="1"/>
    <xf numFmtId="3" fontId="4" fillId="0" borderId="1" xfId="8" applyNumberFormat="1" applyFill="1" applyBorder="1"/>
    <xf numFmtId="4" fontId="16" fillId="0" borderId="0" xfId="8" applyNumberFormat="1" applyFont="1" applyFill="1" applyAlignment="1">
      <alignment horizontal="center"/>
    </xf>
    <xf numFmtId="167" fontId="31" fillId="0" borderId="10" xfId="8" applyNumberFormat="1" applyFont="1" applyFill="1" applyBorder="1" applyAlignment="1"/>
    <xf numFmtId="167" fontId="9" fillId="0" borderId="0" xfId="8" applyNumberFormat="1" applyFont="1" applyFill="1"/>
    <xf numFmtId="0" fontId="8" fillId="3" borderId="22" xfId="8" applyFont="1" applyFill="1" applyBorder="1" applyAlignment="1">
      <alignment horizontal="right"/>
    </xf>
    <xf numFmtId="0" fontId="55" fillId="0" borderId="5" xfId="8" applyFont="1" applyFill="1" applyBorder="1" applyAlignment="1">
      <alignment horizontal="right"/>
    </xf>
    <xf numFmtId="0" fontId="14" fillId="0" borderId="8" xfId="8" applyFont="1" applyFill="1" applyBorder="1" applyAlignment="1">
      <alignment horizontal="right"/>
    </xf>
    <xf numFmtId="0" fontId="14" fillId="3" borderId="5" xfId="8" applyFont="1" applyFill="1" applyBorder="1" applyAlignment="1">
      <alignment horizontal="right"/>
    </xf>
    <xf numFmtId="0" fontId="14" fillId="3" borderId="8" xfId="8" applyFont="1" applyFill="1" applyBorder="1"/>
    <xf numFmtId="3" fontId="10" fillId="0" borderId="5" xfId="8" applyNumberFormat="1" applyFont="1" applyFill="1" applyBorder="1" applyAlignment="1">
      <alignment horizontal="center" vertical="center"/>
    </xf>
    <xf numFmtId="167" fontId="4" fillId="0" borderId="0" xfId="8" applyNumberFormat="1" applyFill="1" applyAlignment="1">
      <alignment horizontal="right"/>
    </xf>
    <xf numFmtId="3" fontId="28" fillId="0" borderId="0" xfId="8" applyNumberFormat="1" applyFont="1" applyFill="1" applyAlignment="1">
      <alignment horizontal="left"/>
    </xf>
    <xf numFmtId="0" fontId="4" fillId="0" borderId="0" xfId="8" applyFont="1" applyAlignment="1"/>
    <xf numFmtId="0" fontId="43" fillId="0" borderId="0" xfId="8" applyFont="1" applyFill="1" applyAlignment="1">
      <alignment wrapText="1"/>
    </xf>
    <xf numFmtId="3" fontId="43" fillId="0" borderId="0" xfId="8" applyNumberFormat="1" applyFont="1" applyFill="1" applyBorder="1" applyAlignment="1">
      <alignment wrapText="1"/>
    </xf>
    <xf numFmtId="167" fontId="34" fillId="0" borderId="34" xfId="8" applyNumberFormat="1" applyFont="1" applyFill="1" applyBorder="1" applyAlignment="1">
      <alignment horizontal="right"/>
    </xf>
    <xf numFmtId="3" fontId="72" fillId="0" borderId="34" xfId="8" applyNumberFormat="1" applyFont="1" applyFill="1" applyBorder="1" applyAlignment="1"/>
    <xf numFmtId="167" fontId="9" fillId="0" borderId="19" xfId="8" applyNumberFormat="1" applyFont="1" applyFill="1" applyBorder="1" applyAlignment="1">
      <alignment horizontal="right"/>
    </xf>
    <xf numFmtId="3" fontId="58" fillId="0" borderId="19" xfId="8" applyNumberFormat="1" applyFont="1" applyFill="1" applyBorder="1" applyAlignment="1">
      <alignment horizontal="right"/>
    </xf>
    <xf numFmtId="3" fontId="12" fillId="0" borderId="19" xfId="8" applyNumberFormat="1" applyFont="1" applyFill="1" applyBorder="1" applyAlignment="1">
      <alignment horizontal="right"/>
    </xf>
    <xf numFmtId="3" fontId="13" fillId="0" borderId="19" xfId="8" applyNumberFormat="1" applyFont="1" applyFill="1" applyBorder="1" applyAlignment="1">
      <alignment horizontal="right"/>
    </xf>
    <xf numFmtId="0" fontId="13" fillId="0" borderId="19" xfId="8" applyFont="1" applyFill="1" applyBorder="1" applyAlignment="1"/>
    <xf numFmtId="168" fontId="27" fillId="0" borderId="19" xfId="8" applyNumberFormat="1" applyFont="1" applyFill="1" applyBorder="1"/>
    <xf numFmtId="1" fontId="5" fillId="0" borderId="19" xfId="8" applyNumberFormat="1" applyFont="1" applyFill="1" applyBorder="1" applyAlignment="1">
      <alignment horizontal="left"/>
    </xf>
    <xf numFmtId="167" fontId="9" fillId="0" borderId="0" xfId="8" applyNumberFormat="1" applyFont="1" applyFill="1" applyBorder="1" applyAlignment="1">
      <alignment horizontal="right"/>
    </xf>
    <xf numFmtId="3" fontId="13" fillId="0" borderId="0" xfId="8" applyNumberFormat="1" applyFont="1" applyFill="1" applyBorder="1" applyAlignment="1">
      <alignment horizontal="right"/>
    </xf>
    <xf numFmtId="168" fontId="27" fillId="0" borderId="0" xfId="8" applyNumberFormat="1" applyFont="1" applyFill="1" applyBorder="1"/>
    <xf numFmtId="1" fontId="5" fillId="0" borderId="0" xfId="8" applyNumberFormat="1" applyFont="1" applyFill="1" applyBorder="1" applyAlignment="1">
      <alignment horizontal="left"/>
    </xf>
    <xf numFmtId="167" fontId="66" fillId="0" borderId="0" xfId="8" applyNumberFormat="1" applyFont="1" applyFill="1" applyBorder="1" applyAlignment="1">
      <alignment horizontal="right" vertical="center"/>
    </xf>
    <xf numFmtId="3" fontId="66" fillId="0" borderId="0" xfId="8" applyNumberFormat="1" applyFont="1" applyFill="1" applyBorder="1"/>
    <xf numFmtId="167" fontId="52" fillId="0" borderId="0" xfId="8" applyNumberFormat="1" applyFont="1" applyFill="1" applyBorder="1" applyAlignment="1">
      <alignment horizontal="right" vertical="center"/>
    </xf>
    <xf numFmtId="3" fontId="51" fillId="0" borderId="0" xfId="8" applyNumberFormat="1" applyFont="1" applyFill="1" applyBorder="1" applyAlignment="1">
      <alignment horizontal="right"/>
    </xf>
    <xf numFmtId="3" fontId="91" fillId="0" borderId="0" xfId="8" applyNumberFormat="1" applyFont="1" applyFill="1" applyBorder="1" applyAlignment="1">
      <alignment horizontal="right"/>
    </xf>
    <xf numFmtId="3" fontId="90" fillId="0" borderId="0" xfId="8" applyNumberFormat="1" applyFont="1" applyFill="1" applyBorder="1" applyAlignment="1">
      <alignment horizontal="right"/>
    </xf>
    <xf numFmtId="0" fontId="92" fillId="0" borderId="0" xfId="8" applyFont="1" applyFill="1"/>
    <xf numFmtId="3" fontId="13" fillId="0" borderId="0" xfId="8" applyNumberFormat="1" applyFont="1" applyFill="1"/>
    <xf numFmtId="4" fontId="5" fillId="0" borderId="0" xfId="8" applyNumberFormat="1" applyFont="1" applyFill="1"/>
    <xf numFmtId="0" fontId="34" fillId="0" borderId="56" xfId="8" applyFont="1" applyFill="1" applyBorder="1"/>
    <xf numFmtId="3" fontId="47" fillId="0" borderId="8" xfId="8" applyNumberFormat="1" applyFont="1" applyFill="1" applyBorder="1" applyAlignment="1">
      <alignment horizontal="left"/>
    </xf>
    <xf numFmtId="0" fontId="48" fillId="0" borderId="8" xfId="8" applyFont="1" applyFill="1" applyBorder="1"/>
    <xf numFmtId="3" fontId="13" fillId="3" borderId="0" xfId="8" applyNumberFormat="1" applyFont="1" applyFill="1" applyBorder="1"/>
    <xf numFmtId="0" fontId="16" fillId="0" borderId="0" xfId="8" applyFont="1" applyBorder="1"/>
    <xf numFmtId="167" fontId="14" fillId="3" borderId="25" xfId="8" applyNumberFormat="1" applyFont="1" applyFill="1" applyBorder="1" applyAlignment="1">
      <alignment horizontal="right"/>
    </xf>
    <xf numFmtId="167" fontId="14" fillId="0" borderId="30" xfId="8" applyNumberFormat="1" applyFont="1" applyBorder="1" applyAlignment="1">
      <alignment horizontal="right"/>
    </xf>
    <xf numFmtId="3" fontId="14" fillId="3" borderId="9" xfId="8" applyNumberFormat="1" applyFont="1" applyFill="1" applyBorder="1" applyAlignment="1">
      <alignment horizontal="right"/>
    </xf>
    <xf numFmtId="0" fontId="14" fillId="3" borderId="27" xfId="8" applyFont="1" applyFill="1" applyBorder="1"/>
    <xf numFmtId="0" fontId="56" fillId="0" borderId="0" xfId="8" applyFont="1" applyFill="1"/>
    <xf numFmtId="3" fontId="56" fillId="0" borderId="0" xfId="8" applyNumberFormat="1" applyFont="1" applyFill="1"/>
    <xf numFmtId="3" fontId="56" fillId="0" borderId="5" xfId="8" applyNumberFormat="1" applyFont="1" applyFill="1" applyBorder="1" applyAlignment="1">
      <alignment horizontal="center" vertical="center"/>
    </xf>
    <xf numFmtId="1" fontId="56" fillId="0" borderId="5" xfId="8" applyNumberFormat="1" applyFont="1" applyFill="1" applyBorder="1" applyAlignment="1">
      <alignment horizontal="center" vertical="center"/>
    </xf>
    <xf numFmtId="0" fontId="56" fillId="0" borderId="4" xfId="8" applyFont="1" applyFill="1" applyBorder="1" applyAlignment="1">
      <alignment horizontal="center" vertical="center"/>
    </xf>
    <xf numFmtId="0" fontId="21" fillId="0" borderId="0" xfId="8" applyFont="1" applyFill="1" applyBorder="1" applyAlignment="1">
      <alignment horizontal="left"/>
    </xf>
    <xf numFmtId="3" fontId="88" fillId="0" borderId="0" xfId="8" applyNumberFormat="1" applyFont="1" applyFill="1"/>
    <xf numFmtId="3" fontId="5" fillId="0" borderId="0" xfId="8" applyNumberFormat="1" applyFont="1" applyFill="1"/>
    <xf numFmtId="4" fontId="5" fillId="0" borderId="0" xfId="8" applyNumberFormat="1" applyFont="1" applyFill="1" applyAlignment="1">
      <alignment horizontal="left"/>
    </xf>
    <xf numFmtId="3" fontId="47" fillId="0" borderId="8" xfId="8" applyNumberFormat="1" applyFont="1" applyFill="1" applyBorder="1" applyAlignment="1">
      <alignment horizontal="center"/>
    </xf>
    <xf numFmtId="0" fontId="14" fillId="3" borderId="2" xfId="8" applyFont="1" applyFill="1" applyBorder="1"/>
    <xf numFmtId="0" fontId="24" fillId="0" borderId="0" xfId="8" applyFont="1" applyFill="1" applyAlignment="1">
      <alignment horizontal="left"/>
    </xf>
    <xf numFmtId="3" fontId="39" fillId="0" borderId="0" xfId="8" applyNumberFormat="1" applyFont="1" applyFill="1" applyBorder="1"/>
    <xf numFmtId="0" fontId="4" fillId="0" borderId="0" xfId="8" applyFont="1" applyFill="1" applyBorder="1" applyAlignment="1">
      <alignment horizontal="left"/>
    </xf>
    <xf numFmtId="1" fontId="4" fillId="0" borderId="0" xfId="8" applyNumberFormat="1" applyFont="1" applyFill="1" applyBorder="1"/>
    <xf numFmtId="1" fontId="39" fillId="0" borderId="0" xfId="8" applyNumberFormat="1" applyFont="1" applyFill="1" applyBorder="1"/>
    <xf numFmtId="0" fontId="4" fillId="0" borderId="1" xfId="8" applyFont="1" applyFill="1" applyBorder="1"/>
    <xf numFmtId="0" fontId="4" fillId="0" borderId="1" xfId="8" applyFont="1" applyFill="1" applyBorder="1" applyAlignment="1">
      <alignment horizontal="left"/>
    </xf>
    <xf numFmtId="1" fontId="4" fillId="0" borderId="1" xfId="8" applyNumberFormat="1" applyFont="1" applyFill="1" applyBorder="1"/>
    <xf numFmtId="1" fontId="39" fillId="0" borderId="1" xfId="8" applyNumberFormat="1" applyFont="1" applyFill="1" applyBorder="1"/>
    <xf numFmtId="4" fontId="120" fillId="0" borderId="0" xfId="8" applyNumberFormat="1" applyFont="1" applyFill="1" applyAlignment="1">
      <alignment wrapText="1"/>
    </xf>
    <xf numFmtId="0" fontId="14" fillId="0" borderId="17" xfId="8" applyFont="1" applyBorder="1" applyAlignment="1"/>
    <xf numFmtId="0" fontId="14" fillId="4" borderId="12" xfId="0" applyFont="1" applyFill="1" applyBorder="1" applyAlignment="1">
      <alignment wrapText="1"/>
    </xf>
    <xf numFmtId="3" fontId="37" fillId="4" borderId="2" xfId="0" applyNumberFormat="1" applyFont="1" applyFill="1" applyBorder="1" applyAlignment="1">
      <alignment horizontal="center" vertical="center"/>
    </xf>
    <xf numFmtId="167" fontId="66" fillId="0" borderId="0" xfId="8" applyNumberFormat="1" applyFont="1" applyFill="1" applyBorder="1"/>
    <xf numFmtId="167" fontId="8" fillId="0" borderId="22" xfId="8" applyNumberFormat="1" applyFont="1" applyFill="1" applyBorder="1" applyAlignment="1">
      <alignment shrinkToFit="1"/>
    </xf>
    <xf numFmtId="168" fontId="27" fillId="0" borderId="0" xfId="8" applyNumberFormat="1" applyFont="1" applyFill="1" applyAlignment="1">
      <alignment horizontal="center"/>
    </xf>
    <xf numFmtId="3" fontId="15" fillId="0" borderId="0" xfId="8" applyNumberFormat="1" applyFont="1" applyBorder="1" applyAlignment="1">
      <alignment horizontal="right"/>
    </xf>
    <xf numFmtId="0" fontId="76" fillId="0" borderId="0" xfId="8" applyFont="1" applyFill="1" applyAlignment="1">
      <alignment horizontal="right"/>
    </xf>
    <xf numFmtId="0" fontId="76" fillId="0" borderId="0" xfId="8" applyFont="1" applyFill="1"/>
    <xf numFmtId="0" fontId="75" fillId="0" borderId="0" xfId="8" applyFont="1" applyFill="1" applyAlignment="1">
      <alignment horizontal="right"/>
    </xf>
    <xf numFmtId="0" fontId="75" fillId="0" borderId="0" xfId="8" applyFont="1" applyFill="1"/>
    <xf numFmtId="0" fontId="4" fillId="0" borderId="34" xfId="8" applyFill="1" applyBorder="1" applyAlignment="1">
      <alignment horizontal="right"/>
    </xf>
    <xf numFmtId="3" fontId="4" fillId="0" borderId="34" xfId="8" applyNumberFormat="1" applyFill="1" applyBorder="1"/>
    <xf numFmtId="3" fontId="43" fillId="0" borderId="34" xfId="8" applyNumberFormat="1" applyFont="1" applyFill="1" applyBorder="1" applyAlignment="1"/>
    <xf numFmtId="0" fontId="87" fillId="0" borderId="0" xfId="8" applyFont="1" applyFill="1"/>
    <xf numFmtId="166" fontId="43" fillId="0" borderId="0" xfId="8" applyNumberFormat="1" applyFont="1" applyFill="1" applyBorder="1" applyAlignment="1">
      <alignment horizontal="right" vertical="center" shrinkToFit="1"/>
    </xf>
    <xf numFmtId="3" fontId="43" fillId="0" borderId="0" xfId="8" applyNumberFormat="1" applyFont="1" applyFill="1" applyBorder="1" applyAlignment="1">
      <alignment horizontal="right"/>
    </xf>
    <xf numFmtId="3" fontId="43" fillId="0" borderId="0" xfId="8" applyNumberFormat="1" applyFont="1" applyFill="1" applyBorder="1" applyAlignment="1"/>
    <xf numFmtId="4" fontId="120" fillId="0" borderId="0" xfId="8" applyNumberFormat="1" applyFont="1" applyFill="1"/>
    <xf numFmtId="166" fontId="43" fillId="0" borderId="60" xfId="8" applyNumberFormat="1" applyFont="1" applyFill="1" applyBorder="1" applyAlignment="1">
      <alignment horizontal="right" vertical="center" shrinkToFit="1"/>
    </xf>
    <xf numFmtId="3" fontId="43" fillId="0" borderId="60" xfId="8" applyNumberFormat="1" applyFont="1" applyFill="1" applyBorder="1" applyAlignment="1">
      <alignment horizontal="right"/>
    </xf>
    <xf numFmtId="3" fontId="43" fillId="0" borderId="60" xfId="8" applyNumberFormat="1" applyFont="1" applyFill="1" applyBorder="1" applyAlignment="1"/>
    <xf numFmtId="0" fontId="53" fillId="0" borderId="0" xfId="8" applyFont="1" applyFill="1" applyBorder="1"/>
    <xf numFmtId="4" fontId="28" fillId="0" borderId="0" xfId="8" applyNumberFormat="1" applyFont="1" applyFill="1" applyBorder="1"/>
    <xf numFmtId="166" fontId="53" fillId="0" borderId="0" xfId="8" applyNumberFormat="1" applyFont="1" applyFill="1" applyBorder="1" applyAlignment="1">
      <alignment horizontal="right" vertical="center"/>
    </xf>
    <xf numFmtId="3" fontId="53" fillId="0" borderId="0" xfId="8" applyNumberFormat="1" applyFont="1" applyFill="1" applyBorder="1" applyAlignment="1">
      <alignment horizontal="right"/>
    </xf>
    <xf numFmtId="0" fontId="53" fillId="0" borderId="0" xfId="8" applyFont="1" applyFill="1" applyBorder="1" applyAlignment="1">
      <alignment horizontal="left"/>
    </xf>
    <xf numFmtId="0" fontId="51" fillId="0" borderId="0" xfId="8" applyFont="1" applyFill="1" applyBorder="1"/>
    <xf numFmtId="4" fontId="51" fillId="0" borderId="0" xfId="8" applyNumberFormat="1" applyFont="1" applyFill="1" applyBorder="1"/>
    <xf numFmtId="166" fontId="51" fillId="0" borderId="0" xfId="8" applyNumberFormat="1" applyFont="1" applyFill="1" applyBorder="1" applyAlignment="1">
      <alignment horizontal="right" vertical="center"/>
    </xf>
    <xf numFmtId="4" fontId="37" fillId="0" borderId="0" xfId="8" applyNumberFormat="1" applyFont="1" applyFill="1" applyBorder="1"/>
    <xf numFmtId="0" fontId="22" fillId="0" borderId="0" xfId="8" applyFont="1" applyFill="1" applyAlignment="1">
      <alignment horizontal="left"/>
    </xf>
    <xf numFmtId="166" fontId="22" fillId="0" borderId="22" xfId="8" applyNumberFormat="1" applyFont="1" applyFill="1" applyBorder="1" applyAlignment="1">
      <alignment horizontal="right"/>
    </xf>
    <xf numFmtId="0" fontId="4" fillId="0" borderId="0" xfId="8" applyFill="1" applyAlignment="1">
      <alignment horizontal="justify" wrapText="1"/>
    </xf>
    <xf numFmtId="166" fontId="43" fillId="0" borderId="34" xfId="8" applyNumberFormat="1" applyFont="1" applyFill="1" applyBorder="1" applyAlignment="1">
      <alignment horizontal="right" vertical="center" shrinkToFit="1"/>
    </xf>
    <xf numFmtId="3" fontId="43" fillId="0" borderId="34" xfId="8" applyNumberFormat="1" applyFont="1" applyFill="1" applyBorder="1" applyAlignment="1">
      <alignment horizontal="right"/>
    </xf>
    <xf numFmtId="4" fontId="101" fillId="0" borderId="0" xfId="8" applyNumberFormat="1" applyFont="1" applyFill="1"/>
    <xf numFmtId="4" fontId="53" fillId="0" borderId="0" xfId="8" applyNumberFormat="1" applyFont="1" applyFill="1" applyBorder="1"/>
    <xf numFmtId="0" fontId="51" fillId="0" borderId="0" xfId="8" applyFont="1" applyFill="1" applyBorder="1" applyAlignment="1">
      <alignment horizontal="left"/>
    </xf>
    <xf numFmtId="3" fontId="22" fillId="0" borderId="14" xfId="8" applyNumberFormat="1" applyFont="1" applyFill="1" applyBorder="1"/>
    <xf numFmtId="167" fontId="14" fillId="0" borderId="35" xfId="8" applyNumberFormat="1" applyFont="1" applyFill="1" applyBorder="1" applyAlignment="1">
      <alignment horizontal="right"/>
    </xf>
    <xf numFmtId="0" fontId="14" fillId="0" borderId="53" xfId="8" applyFont="1" applyFill="1" applyBorder="1"/>
    <xf numFmtId="168" fontId="27" fillId="0" borderId="14" xfId="8" applyNumberFormat="1" applyFont="1" applyFill="1" applyBorder="1" applyAlignment="1">
      <alignment horizontal="left"/>
    </xf>
    <xf numFmtId="1" fontId="13" fillId="0" borderId="14" xfId="8" applyNumberFormat="1" applyFont="1" applyFill="1" applyBorder="1" applyAlignment="1">
      <alignment horizontal="center" vertical="center"/>
    </xf>
    <xf numFmtId="1" fontId="13" fillId="0" borderId="33" xfId="8" applyNumberFormat="1" applyFont="1" applyFill="1" applyBorder="1" applyAlignment="1">
      <alignment horizontal="center" vertical="center"/>
    </xf>
    <xf numFmtId="0" fontId="14" fillId="0" borderId="15" xfId="8" applyFont="1" applyFill="1" applyBorder="1"/>
    <xf numFmtId="168" fontId="27" fillId="0" borderId="2" xfId="8" applyNumberFormat="1" applyFont="1" applyFill="1" applyBorder="1" applyAlignment="1">
      <alignment horizontal="left"/>
    </xf>
    <xf numFmtId="1" fontId="13" fillId="0" borderId="2" xfId="8" applyNumberFormat="1" applyFont="1" applyFill="1" applyBorder="1" applyAlignment="1">
      <alignment horizontal="center" vertical="center"/>
    </xf>
    <xf numFmtId="1" fontId="13" fillId="0" borderId="12" xfId="8" applyNumberFormat="1" applyFont="1" applyFill="1" applyBorder="1" applyAlignment="1">
      <alignment horizontal="center" vertical="center"/>
    </xf>
    <xf numFmtId="167" fontId="12" fillId="0" borderId="25" xfId="8" applyNumberFormat="1" applyFont="1" applyFill="1" applyBorder="1" applyAlignment="1">
      <alignment horizontal="right"/>
    </xf>
    <xf numFmtId="167" fontId="14" fillId="0" borderId="30" xfId="8" applyNumberFormat="1" applyFont="1" applyFill="1" applyBorder="1" applyAlignment="1">
      <alignment horizontal="right"/>
    </xf>
    <xf numFmtId="0" fontId="14" fillId="0" borderId="46" xfId="8" applyFont="1" applyFill="1" applyBorder="1"/>
    <xf numFmtId="168" fontId="27" fillId="0" borderId="9" xfId="8" applyNumberFormat="1" applyFont="1" applyFill="1" applyBorder="1" applyAlignment="1">
      <alignment horizontal="left"/>
    </xf>
    <xf numFmtId="1" fontId="13" fillId="0" borderId="9" xfId="8" applyNumberFormat="1" applyFont="1" applyFill="1" applyBorder="1" applyAlignment="1">
      <alignment horizontal="center" vertical="center"/>
    </xf>
    <xf numFmtId="1" fontId="13" fillId="0" borderId="26" xfId="8" applyNumberFormat="1" applyFont="1" applyFill="1" applyBorder="1" applyAlignment="1">
      <alignment horizontal="center" vertical="center"/>
    </xf>
    <xf numFmtId="0" fontId="51" fillId="0" borderId="0" xfId="8" applyFont="1" applyFill="1" applyAlignment="1">
      <alignment wrapText="1"/>
    </xf>
    <xf numFmtId="166" fontId="4" fillId="0" borderId="0" xfId="8" applyNumberFormat="1" applyFont="1" applyFill="1"/>
    <xf numFmtId="166" fontId="9" fillId="0" borderId="0" xfId="8" applyNumberFormat="1" applyFont="1" applyFill="1" applyBorder="1"/>
    <xf numFmtId="3" fontId="9" fillId="0" borderId="0" xfId="8" applyNumberFormat="1" applyFont="1" applyFill="1" applyBorder="1"/>
    <xf numFmtId="166" fontId="9" fillId="0" borderId="24" xfId="8" applyNumberFormat="1" applyFont="1" applyFill="1" applyBorder="1"/>
    <xf numFmtId="3" fontId="9" fillId="0" borderId="5" xfId="8" applyNumberFormat="1" applyFont="1" applyFill="1" applyBorder="1"/>
    <xf numFmtId="166" fontId="15" fillId="0" borderId="21" xfId="8" applyNumberFormat="1" applyFont="1" applyFill="1" applyBorder="1"/>
    <xf numFmtId="3" fontId="15" fillId="0" borderId="2" xfId="8" applyNumberFormat="1" applyFont="1" applyFill="1" applyBorder="1"/>
    <xf numFmtId="1" fontId="12" fillId="0" borderId="2" xfId="8" applyNumberFormat="1" applyFont="1" applyFill="1" applyBorder="1" applyAlignment="1">
      <alignment horizontal="left"/>
    </xf>
    <xf numFmtId="1" fontId="5" fillId="0" borderId="2" xfId="8" applyNumberFormat="1" applyFont="1" applyFill="1" applyBorder="1" applyAlignment="1">
      <alignment horizontal="left"/>
    </xf>
    <xf numFmtId="0" fontId="4" fillId="0" borderId="6" xfId="8" applyFont="1" applyFill="1" applyBorder="1"/>
    <xf numFmtId="3" fontId="12" fillId="0" borderId="2" xfId="8" applyNumberFormat="1" applyFont="1" applyFill="1" applyBorder="1"/>
    <xf numFmtId="0" fontId="24" fillId="0" borderId="2" xfId="8" applyFont="1" applyFill="1" applyBorder="1"/>
    <xf numFmtId="166" fontId="9" fillId="0" borderId="43" xfId="8" applyNumberFormat="1" applyFont="1" applyFill="1" applyBorder="1"/>
    <xf numFmtId="3" fontId="9" fillId="0" borderId="41" xfId="8" applyNumberFormat="1" applyFont="1" applyFill="1" applyBorder="1"/>
    <xf numFmtId="0" fontId="9" fillId="0" borderId="41" xfId="8" applyFont="1" applyFill="1" applyBorder="1"/>
    <xf numFmtId="3" fontId="10" fillId="0" borderId="41" xfId="8" applyNumberFormat="1" applyFont="1" applyFill="1" applyBorder="1" applyAlignment="1">
      <alignment horizontal="left"/>
    </xf>
    <xf numFmtId="1" fontId="5" fillId="0" borderId="41" xfId="8" applyNumberFormat="1" applyFont="1" applyFill="1" applyBorder="1" applyAlignment="1">
      <alignment horizontal="left"/>
    </xf>
    <xf numFmtId="0" fontId="4" fillId="0" borderId="47" xfId="8" applyFont="1" applyFill="1" applyBorder="1"/>
    <xf numFmtId="166" fontId="7" fillId="0" borderId="24" xfId="8" applyNumberFormat="1" applyFont="1" applyFill="1" applyBorder="1" applyAlignment="1">
      <alignment horizontal="center" vertical="center"/>
    </xf>
    <xf numFmtId="166" fontId="15" fillId="0" borderId="25" xfId="8" applyNumberFormat="1" applyFont="1" applyFill="1" applyBorder="1"/>
    <xf numFmtId="3" fontId="15" fillId="0" borderId="17" xfId="8" applyNumberFormat="1" applyFont="1" applyFill="1" applyBorder="1"/>
    <xf numFmtId="0" fontId="4" fillId="0" borderId="17" xfId="8" applyFont="1" applyFill="1" applyBorder="1"/>
    <xf numFmtId="1" fontId="5" fillId="0" borderId="17" xfId="8" applyNumberFormat="1" applyFont="1" applyFill="1" applyBorder="1" applyAlignment="1">
      <alignment horizontal="left"/>
    </xf>
    <xf numFmtId="166" fontId="14" fillId="0" borderId="21" xfId="8" applyNumberFormat="1" applyFont="1" applyFill="1" applyBorder="1"/>
    <xf numFmtId="3" fontId="9" fillId="0" borderId="2" xfId="8" applyNumberFormat="1" applyFont="1" applyFill="1" applyBorder="1"/>
    <xf numFmtId="0" fontId="9" fillId="0" borderId="2" xfId="8" applyFont="1" applyFill="1" applyBorder="1"/>
    <xf numFmtId="3" fontId="10" fillId="0" borderId="0" xfId="8" applyNumberFormat="1" applyFont="1" applyFill="1" applyBorder="1" applyAlignment="1">
      <alignment horizontal="left"/>
    </xf>
    <xf numFmtId="166" fontId="9" fillId="0" borderId="21" xfId="8" applyNumberFormat="1" applyFont="1" applyFill="1" applyBorder="1"/>
    <xf numFmtId="3" fontId="10" fillId="0" borderId="2" xfId="8" applyNumberFormat="1" applyFont="1" applyFill="1" applyBorder="1" applyAlignment="1">
      <alignment horizontal="left"/>
    </xf>
    <xf numFmtId="0" fontId="12" fillId="0" borderId="2" xfId="8" applyFont="1" applyBorder="1"/>
    <xf numFmtId="3" fontId="61" fillId="0" borderId="0" xfId="8" applyNumberFormat="1" applyFont="1" applyFill="1"/>
    <xf numFmtId="1" fontId="19" fillId="0" borderId="0" xfId="8" applyNumberFormat="1" applyFont="1" applyFill="1" applyAlignment="1">
      <alignment horizontal="left"/>
    </xf>
    <xf numFmtId="1" fontId="5" fillId="0" borderId="14" xfId="8" applyNumberFormat="1" applyFont="1" applyFill="1" applyBorder="1" applyAlignment="1">
      <alignment horizontal="left"/>
    </xf>
    <xf numFmtId="0" fontId="4" fillId="0" borderId="33" xfId="8" applyFont="1" applyFill="1" applyBorder="1"/>
    <xf numFmtId="166" fontId="9" fillId="0" borderId="25" xfId="8" applyNumberFormat="1" applyFont="1" applyFill="1" applyBorder="1"/>
    <xf numFmtId="3" fontId="9" fillId="0" borderId="17" xfId="8" applyNumberFormat="1" applyFont="1" applyFill="1" applyBorder="1"/>
    <xf numFmtId="3" fontId="10" fillId="0" borderId="17" xfId="8" applyNumberFormat="1" applyFont="1" applyFill="1" applyBorder="1" applyAlignment="1">
      <alignment horizontal="left"/>
    </xf>
    <xf numFmtId="0" fontId="4" fillId="0" borderId="12" xfId="8" applyFont="1" applyFill="1" applyBorder="1"/>
    <xf numFmtId="1" fontId="5" fillId="0" borderId="15" xfId="8" applyNumberFormat="1" applyFont="1" applyFill="1" applyBorder="1" applyAlignment="1">
      <alignment horizontal="left"/>
    </xf>
    <xf numFmtId="3" fontId="14" fillId="0" borderId="2" xfId="8" applyNumberFormat="1" applyFont="1" applyFill="1" applyBorder="1"/>
    <xf numFmtId="3" fontId="27" fillId="0" borderId="17" xfId="8" applyNumberFormat="1" applyFont="1" applyFill="1" applyBorder="1" applyAlignment="1">
      <alignment horizontal="left"/>
    </xf>
    <xf numFmtId="1" fontId="12" fillId="0" borderId="14" xfId="8" applyNumberFormat="1" applyFont="1" applyFill="1" applyBorder="1" applyAlignment="1">
      <alignment horizontal="left"/>
    </xf>
    <xf numFmtId="166" fontId="14" fillId="0" borderId="24" xfId="8" applyNumberFormat="1" applyFont="1" applyFill="1" applyBorder="1"/>
    <xf numFmtId="3" fontId="14" fillId="0" borderId="5" xfId="8" applyNumberFormat="1" applyFont="1" applyFill="1" applyBorder="1"/>
    <xf numFmtId="166" fontId="12" fillId="0" borderId="21" xfId="8" applyNumberFormat="1" applyFont="1" applyFill="1" applyBorder="1"/>
    <xf numFmtId="166" fontId="14" fillId="0" borderId="43" xfId="8" applyNumberFormat="1" applyFont="1" applyFill="1" applyBorder="1"/>
    <xf numFmtId="3" fontId="14" fillId="0" borderId="41" xfId="8" applyNumberFormat="1" applyFont="1" applyFill="1" applyBorder="1"/>
    <xf numFmtId="166" fontId="4" fillId="0" borderId="0" xfId="8" applyNumberFormat="1" applyFont="1" applyFill="1" applyAlignment="1">
      <alignment vertical="top"/>
    </xf>
    <xf numFmtId="3" fontId="4" fillId="0" borderId="0" xfId="8" applyNumberFormat="1" applyFont="1" applyFill="1" applyAlignment="1">
      <alignment vertical="top"/>
    </xf>
    <xf numFmtId="3" fontId="28" fillId="0" borderId="0" xfId="8" applyNumberFormat="1" applyFont="1" applyFill="1" applyAlignment="1">
      <alignment vertical="top"/>
    </xf>
    <xf numFmtId="1" fontId="5" fillId="0" borderId="0" xfId="8" applyNumberFormat="1" applyFont="1" applyFill="1" applyAlignment="1">
      <alignment horizontal="left" vertical="top"/>
    </xf>
    <xf numFmtId="3" fontId="12" fillId="0" borderId="17" xfId="8" applyNumberFormat="1" applyFont="1" applyFill="1" applyBorder="1"/>
    <xf numFmtId="3" fontId="14" fillId="0" borderId="17" xfId="8" applyNumberFormat="1" applyFont="1" applyFill="1" applyBorder="1"/>
    <xf numFmtId="49" fontId="10" fillId="0" borderId="17" xfId="8" applyNumberFormat="1" applyFont="1" applyFill="1" applyBorder="1" applyAlignment="1">
      <alignment horizontal="left"/>
    </xf>
    <xf numFmtId="166" fontId="14" fillId="0" borderId="0" xfId="8" applyNumberFormat="1" applyFont="1" applyFill="1" applyBorder="1"/>
    <xf numFmtId="3" fontId="14" fillId="0" borderId="0" xfId="8" applyNumberFormat="1" applyFont="1" applyFill="1" applyBorder="1"/>
    <xf numFmtId="166" fontId="12" fillId="0" borderId="25" xfId="8" applyNumberFormat="1" applyFont="1" applyFill="1" applyBorder="1"/>
    <xf numFmtId="166" fontId="14" fillId="0" borderId="25" xfId="8" applyNumberFormat="1" applyFont="1" applyFill="1" applyBorder="1"/>
    <xf numFmtId="166" fontId="19" fillId="0" borderId="0" xfId="8" applyNumberFormat="1" applyFont="1" applyFill="1" applyBorder="1"/>
    <xf numFmtId="3" fontId="19" fillId="0" borderId="0" xfId="8" applyNumberFormat="1" applyFont="1" applyFill="1" applyBorder="1"/>
    <xf numFmtId="166" fontId="15" fillId="0" borderId="35" xfId="8" applyNumberFormat="1" applyFont="1" applyFill="1" applyBorder="1"/>
    <xf numFmtId="3" fontId="15" fillId="0" borderId="48" xfId="8" applyNumberFormat="1" applyFont="1" applyFill="1" applyBorder="1"/>
    <xf numFmtId="166" fontId="9" fillId="0" borderId="23" xfId="8" applyNumberFormat="1" applyFont="1" applyFill="1" applyBorder="1"/>
    <xf numFmtId="3" fontId="9" fillId="0" borderId="9" xfId="8" applyNumberFormat="1" applyFont="1" applyFill="1" applyBorder="1"/>
    <xf numFmtId="0" fontId="9" fillId="0" borderId="9" xfId="8" applyFont="1" applyFill="1" applyBorder="1"/>
    <xf numFmtId="3" fontId="10" fillId="0" borderId="9" xfId="8" applyNumberFormat="1" applyFont="1" applyFill="1" applyBorder="1" applyAlignment="1">
      <alignment horizontal="left"/>
    </xf>
    <xf numFmtId="1" fontId="5" fillId="0" borderId="9" xfId="8" applyNumberFormat="1" applyFont="1" applyFill="1" applyBorder="1" applyAlignment="1">
      <alignment horizontal="left"/>
    </xf>
    <xf numFmtId="0" fontId="4" fillId="0" borderId="38" xfId="8" applyFont="1" applyFill="1" applyBorder="1"/>
    <xf numFmtId="3" fontId="28" fillId="0" borderId="0" xfId="8" applyNumberFormat="1" applyFont="1" applyFill="1" applyBorder="1"/>
    <xf numFmtId="1" fontId="12" fillId="0" borderId="17" xfId="8" applyNumberFormat="1" applyFont="1" applyFill="1" applyBorder="1" applyAlignment="1">
      <alignment horizontal="left"/>
    </xf>
    <xf numFmtId="166" fontId="9" fillId="0" borderId="24" xfId="8" applyNumberFormat="1" applyFont="1" applyFill="1" applyBorder="1" applyAlignment="1">
      <alignment vertical="top"/>
    </xf>
    <xf numFmtId="3" fontId="9" fillId="0" borderId="5" xfId="8" applyNumberFormat="1" applyFont="1" applyFill="1" applyBorder="1" applyAlignment="1">
      <alignment vertical="top"/>
    </xf>
    <xf numFmtId="3" fontId="7" fillId="0" borderId="9" xfId="8" applyNumberFormat="1" applyFont="1" applyFill="1" applyBorder="1" applyAlignment="1">
      <alignment horizontal="center" vertical="center"/>
    </xf>
    <xf numFmtId="166" fontId="15" fillId="0" borderId="42" xfId="8" applyNumberFormat="1" applyFont="1" applyFill="1" applyBorder="1"/>
    <xf numFmtId="3" fontId="15" fillId="0" borderId="14" xfId="8" applyNumberFormat="1" applyFont="1" applyFill="1" applyBorder="1"/>
    <xf numFmtId="0" fontId="4" fillId="0" borderId="50" xfId="8" applyFont="1" applyFill="1" applyBorder="1"/>
    <xf numFmtId="166" fontId="15" fillId="0" borderId="21" xfId="8" applyNumberFormat="1" applyFont="1" applyFill="1" applyBorder="1" applyAlignment="1">
      <alignment vertical="top"/>
    </xf>
    <xf numFmtId="3" fontId="15" fillId="0" borderId="2" xfId="8" applyNumberFormat="1" applyFont="1" applyFill="1" applyBorder="1" applyAlignment="1">
      <alignment vertical="top"/>
    </xf>
    <xf numFmtId="49" fontId="10" fillId="0" borderId="0" xfId="8" applyNumberFormat="1" applyFont="1" applyFill="1" applyAlignment="1">
      <alignment horizontal="left" vertical="top"/>
    </xf>
    <xf numFmtId="1" fontId="5" fillId="0" borderId="2" xfId="8" applyNumberFormat="1" applyFont="1" applyFill="1" applyBorder="1" applyAlignment="1">
      <alignment horizontal="left" vertical="top"/>
    </xf>
    <xf numFmtId="0" fontId="4" fillId="0" borderId="6" xfId="8" applyFont="1" applyFill="1" applyBorder="1" applyAlignment="1">
      <alignment vertical="top"/>
    </xf>
    <xf numFmtId="166" fontId="9" fillId="0" borderId="23" xfId="8" applyNumberFormat="1" applyFont="1" applyFill="1" applyBorder="1" applyAlignment="1">
      <alignment vertical="top"/>
    </xf>
    <xf numFmtId="3" fontId="9" fillId="0" borderId="9" xfId="8" applyNumberFormat="1" applyFont="1" applyFill="1" applyBorder="1" applyAlignment="1">
      <alignment vertical="top"/>
    </xf>
    <xf numFmtId="0" fontId="9" fillId="0" borderId="9" xfId="8" applyFont="1" applyFill="1" applyBorder="1" applyAlignment="1">
      <alignment vertical="top"/>
    </xf>
    <xf numFmtId="3" fontId="10" fillId="0" borderId="9" xfId="8" applyNumberFormat="1" applyFont="1" applyFill="1" applyBorder="1" applyAlignment="1">
      <alignment horizontal="left" vertical="top"/>
    </xf>
    <xf numFmtId="1" fontId="5" fillId="0" borderId="9" xfId="8" applyNumberFormat="1" applyFont="1" applyFill="1" applyBorder="1" applyAlignment="1">
      <alignment horizontal="left" vertical="top"/>
    </xf>
    <xf numFmtId="0" fontId="4" fillId="0" borderId="38" xfId="8" applyFont="1" applyFill="1" applyBorder="1" applyAlignment="1">
      <alignment vertical="top"/>
    </xf>
    <xf numFmtId="0" fontId="28" fillId="0" borderId="0" xfId="8" applyFont="1" applyFill="1" applyAlignment="1">
      <alignment vertical="top"/>
    </xf>
    <xf numFmtId="1" fontId="35" fillId="0" borderId="24" xfId="8" applyNumberFormat="1" applyFont="1" applyFill="1" applyBorder="1" applyAlignment="1">
      <alignment horizontal="center" vertical="top" wrapText="1"/>
    </xf>
    <xf numFmtId="1" fontId="35" fillId="0" borderId="37" xfId="8" applyNumberFormat="1" applyFont="1" applyFill="1" applyBorder="1" applyAlignment="1">
      <alignment horizontal="center" vertical="top" wrapText="1"/>
    </xf>
    <xf numFmtId="1" fontId="35" fillId="0" borderId="5" xfId="8" applyNumberFormat="1" applyFont="1" applyFill="1" applyBorder="1" applyAlignment="1">
      <alignment horizontal="center" vertical="top" wrapText="1"/>
    </xf>
    <xf numFmtId="0" fontId="35" fillId="0" borderId="5" xfId="8" applyFont="1" applyFill="1" applyBorder="1" applyAlignment="1">
      <alignment horizontal="center" vertical="top"/>
    </xf>
    <xf numFmtId="0" fontId="35" fillId="0" borderId="4" xfId="8" applyFont="1" applyFill="1" applyBorder="1" applyAlignment="1">
      <alignment horizontal="center" vertical="top"/>
    </xf>
    <xf numFmtId="0" fontId="22" fillId="0" borderId="5" xfId="8" applyFont="1" applyFill="1" applyBorder="1" applyAlignment="1">
      <alignment vertical="top"/>
    </xf>
    <xf numFmtId="0" fontId="22" fillId="0" borderId="4" xfId="8" applyFont="1" applyFill="1" applyBorder="1" applyAlignment="1">
      <alignment vertical="top"/>
    </xf>
    <xf numFmtId="3" fontId="27" fillId="0" borderId="2" xfId="8" applyNumberFormat="1" applyFont="1" applyFill="1" applyBorder="1" applyAlignment="1">
      <alignment horizontal="left"/>
    </xf>
    <xf numFmtId="166" fontId="14" fillId="0" borderId="42" xfId="8" applyNumberFormat="1" applyFont="1" applyFill="1" applyBorder="1"/>
    <xf numFmtId="3" fontId="12" fillId="0" borderId="48" xfId="8" applyNumberFormat="1" applyFont="1" applyFill="1" applyBorder="1"/>
    <xf numFmtId="1" fontId="5" fillId="0" borderId="48" xfId="8" applyNumberFormat="1" applyFont="1" applyFill="1" applyBorder="1" applyAlignment="1">
      <alignment horizontal="left"/>
    </xf>
    <xf numFmtId="3" fontId="24" fillId="0" borderId="15" xfId="8" applyNumberFormat="1" applyFont="1" applyFill="1" applyBorder="1" applyAlignment="1">
      <alignment horizontal="right" vertical="center" wrapText="1"/>
    </xf>
    <xf numFmtId="166" fontId="19" fillId="0" borderId="0" xfId="8" applyNumberFormat="1" applyFont="1" applyFill="1" applyBorder="1" applyAlignment="1">
      <alignment vertical="top"/>
    </xf>
    <xf numFmtId="3" fontId="19" fillId="0" borderId="0" xfId="8" applyNumberFormat="1" applyFont="1" applyFill="1" applyBorder="1" applyAlignment="1">
      <alignment vertical="top"/>
    </xf>
    <xf numFmtId="0" fontId="22" fillId="0" borderId="0" xfId="8" applyFont="1" applyFill="1" applyBorder="1" applyAlignment="1">
      <alignment vertical="top"/>
    </xf>
    <xf numFmtId="166" fontId="9" fillId="0" borderId="42" xfId="8" applyNumberFormat="1" applyFont="1" applyFill="1" applyBorder="1"/>
    <xf numFmtId="3" fontId="9" fillId="0" borderId="14" xfId="8" applyNumberFormat="1" applyFont="1" applyFill="1" applyBorder="1"/>
    <xf numFmtId="166" fontId="52" fillId="0" borderId="24" xfId="8" applyNumberFormat="1" applyFont="1" applyFill="1" applyBorder="1"/>
    <xf numFmtId="3" fontId="52" fillId="0" borderId="5" xfId="8" applyNumberFormat="1" applyFont="1" applyFill="1" applyBorder="1"/>
    <xf numFmtId="3" fontId="10" fillId="0" borderId="0" xfId="8" applyNumberFormat="1" applyFont="1" applyFill="1" applyAlignment="1">
      <alignment horizontal="center"/>
    </xf>
    <xf numFmtId="3" fontId="19" fillId="0" borderId="0" xfId="8" applyNumberFormat="1" applyFont="1" applyFill="1" applyBorder="1" applyAlignment="1">
      <alignment horizontal="right"/>
    </xf>
    <xf numFmtId="3" fontId="10" fillId="0" borderId="0" xfId="8" applyNumberFormat="1" applyFont="1" applyFill="1" applyBorder="1" applyAlignment="1">
      <alignment horizontal="center"/>
    </xf>
    <xf numFmtId="0" fontId="10" fillId="0" borderId="1" xfId="8" applyFont="1" applyFill="1" applyBorder="1"/>
    <xf numFmtId="3" fontId="21" fillId="0" borderId="1" xfId="8" applyNumberFormat="1" applyFont="1" applyFill="1" applyBorder="1" applyAlignment="1">
      <alignment horizontal="center"/>
    </xf>
    <xf numFmtId="166" fontId="18" fillId="0" borderId="0" xfId="8" applyNumberFormat="1" applyFont="1" applyFill="1" applyBorder="1" applyAlignment="1">
      <alignment horizontal="right"/>
    </xf>
    <xf numFmtId="0" fontId="39" fillId="0" borderId="74" xfId="8" applyFont="1" applyFill="1" applyBorder="1" applyAlignment="1">
      <alignment horizontal="right" vertical="top"/>
    </xf>
    <xf numFmtId="0" fontId="39" fillId="0" borderId="0" xfId="8" applyFont="1" applyFill="1" applyBorder="1" applyAlignment="1">
      <alignment horizontal="right"/>
    </xf>
    <xf numFmtId="0" fontId="39" fillId="0" borderId="1" xfId="8" applyFont="1" applyFill="1" applyBorder="1" applyAlignment="1">
      <alignment horizontal="right"/>
    </xf>
    <xf numFmtId="4" fontId="73" fillId="4" borderId="19" xfId="8" applyNumberFormat="1" applyFont="1" applyFill="1" applyBorder="1" applyAlignment="1">
      <alignment vertical="center"/>
    </xf>
    <xf numFmtId="49" fontId="4" fillId="0" borderId="0" xfId="8" applyNumberFormat="1" applyFill="1" applyBorder="1" applyAlignment="1">
      <alignment horizontal="center"/>
    </xf>
    <xf numFmtId="49" fontId="4" fillId="0" borderId="17" xfId="8" applyNumberFormat="1" applyFill="1" applyBorder="1" applyAlignment="1">
      <alignment horizontal="center"/>
    </xf>
    <xf numFmtId="49" fontId="4" fillId="0" borderId="2" xfId="8" applyNumberFormat="1" applyFill="1" applyBorder="1" applyAlignment="1">
      <alignment horizontal="center" vertical="center" wrapText="1"/>
    </xf>
    <xf numFmtId="3" fontId="4" fillId="0" borderId="24" xfId="8" applyNumberFormat="1" applyFont="1" applyBorder="1" applyAlignment="1">
      <alignment horizontal="center" vertical="center"/>
    </xf>
    <xf numFmtId="4" fontId="4" fillId="0" borderId="0" xfId="8" applyNumberFormat="1" applyFont="1" applyAlignment="1">
      <alignment horizontal="right"/>
    </xf>
    <xf numFmtId="4" fontId="4" fillId="0" borderId="0" xfId="8" applyNumberFormat="1" applyFont="1"/>
    <xf numFmtId="0" fontId="4" fillId="0" borderId="0" xfId="8" applyFont="1"/>
    <xf numFmtId="0" fontId="28" fillId="0" borderId="0" xfId="8" applyFont="1" applyAlignment="1">
      <alignment vertical="center"/>
    </xf>
    <xf numFmtId="166" fontId="22" fillId="0" borderId="21" xfId="8" applyNumberFormat="1" applyFont="1" applyFill="1" applyBorder="1" applyAlignment="1">
      <alignment horizontal="center" vertical="center" wrapText="1"/>
    </xf>
    <xf numFmtId="3" fontId="22" fillId="0" borderId="15" xfId="8" applyNumberFormat="1" applyFont="1" applyFill="1" applyBorder="1" applyAlignment="1">
      <alignment vertical="center" wrapText="1"/>
    </xf>
    <xf numFmtId="3" fontId="22" fillId="0" borderId="2" xfId="8" applyNumberFormat="1" applyFont="1" applyFill="1" applyBorder="1" applyAlignment="1">
      <alignment vertical="center" wrapText="1"/>
    </xf>
    <xf numFmtId="0" fontId="4" fillId="0" borderId="6" xfId="8" applyFill="1" applyBorder="1" applyAlignment="1">
      <alignment horizontal="center" vertical="center" wrapText="1"/>
    </xf>
    <xf numFmtId="49" fontId="4" fillId="0" borderId="9" xfId="8" applyNumberFormat="1" applyFill="1" applyBorder="1" applyAlignment="1">
      <alignment horizontal="center"/>
    </xf>
    <xf numFmtId="49" fontId="4" fillId="4" borderId="2" xfId="8" applyNumberFormat="1" applyFill="1" applyBorder="1" applyAlignment="1">
      <alignment horizontal="center"/>
    </xf>
    <xf numFmtId="49" fontId="4" fillId="4" borderId="0" xfId="8" applyNumberFormat="1" applyFill="1" applyBorder="1" applyAlignment="1">
      <alignment horizontal="center" vertical="center"/>
    </xf>
    <xf numFmtId="49" fontId="4" fillId="4" borderId="2" xfId="8" applyNumberFormat="1" applyFill="1" applyBorder="1" applyAlignment="1">
      <alignment horizontal="center" vertical="center" wrapText="1"/>
    </xf>
    <xf numFmtId="49" fontId="4" fillId="4" borderId="9" xfId="8" applyNumberFormat="1" applyFill="1" applyBorder="1" applyAlignment="1">
      <alignment horizontal="center" vertical="center"/>
    </xf>
    <xf numFmtId="49" fontId="24" fillId="4" borderId="0" xfId="8" applyNumberFormat="1" applyFont="1" applyFill="1" applyBorder="1"/>
    <xf numFmtId="49" fontId="4" fillId="4" borderId="0" xfId="8" applyNumberFormat="1" applyFill="1" applyBorder="1" applyAlignment="1">
      <alignment horizontal="center"/>
    </xf>
    <xf numFmtId="4" fontId="13" fillId="3" borderId="0" xfId="0" applyNumberFormat="1" applyFont="1" applyFill="1"/>
    <xf numFmtId="4" fontId="73" fillId="38" borderId="0" xfId="0" applyNumberFormat="1" applyFont="1" applyFill="1" applyBorder="1"/>
    <xf numFmtId="4" fontId="93" fillId="38" borderId="31" xfId="0" applyNumberFormat="1" applyFont="1" applyFill="1" applyBorder="1"/>
    <xf numFmtId="4" fontId="73" fillId="38" borderId="0" xfId="8" applyNumberFormat="1" applyFont="1" applyFill="1"/>
    <xf numFmtId="0" fontId="24" fillId="0" borderId="2" xfId="0" applyFont="1" applyBorder="1" applyAlignment="1">
      <alignment vertical="top" wrapText="1"/>
    </xf>
    <xf numFmtId="0" fontId="24" fillId="0" borderId="2" xfId="0" applyFont="1" applyBorder="1" applyAlignment="1">
      <alignment vertical="top" wrapText="1"/>
    </xf>
    <xf numFmtId="0" fontId="24" fillId="0" borderId="2" xfId="0" applyFont="1" applyBorder="1" applyAlignment="1">
      <alignment vertical="top" wrapText="1"/>
    </xf>
    <xf numFmtId="1" fontId="12" fillId="0" borderId="2" xfId="0" applyNumberFormat="1" applyFont="1" applyFill="1" applyBorder="1" applyAlignment="1">
      <alignment horizontal="left" wrapText="1"/>
    </xf>
    <xf numFmtId="0" fontId="24" fillId="0" borderId="2" xfId="0" applyFont="1" applyBorder="1" applyAlignment="1">
      <alignment vertical="top" wrapText="1"/>
    </xf>
    <xf numFmtId="0" fontId="24" fillId="0" borderId="2" xfId="0" applyFont="1" applyBorder="1" applyAlignment="1">
      <alignment vertical="top" wrapText="1"/>
    </xf>
    <xf numFmtId="3" fontId="15" fillId="0" borderId="14" xfId="0" applyNumberFormat="1" applyFont="1" applyFill="1" applyBorder="1" applyAlignment="1">
      <alignment vertical="top"/>
    </xf>
    <xf numFmtId="1" fontId="5" fillId="0" borderId="41" xfId="8" applyNumberFormat="1" applyFont="1" applyFill="1" applyBorder="1" applyAlignment="1">
      <alignment horizontal="center"/>
    </xf>
    <xf numFmtId="0" fontId="4" fillId="0" borderId="47" xfId="8" applyFont="1" applyFill="1" applyBorder="1" applyAlignment="1">
      <alignment horizontal="center"/>
    </xf>
    <xf numFmtId="0" fontId="24" fillId="0" borderId="2" xfId="0" applyFont="1" applyBorder="1" applyAlignment="1">
      <alignment vertical="top" wrapText="1"/>
    </xf>
    <xf numFmtId="1" fontId="12" fillId="0" borderId="2" xfId="0" applyNumberFormat="1" applyFont="1" applyFill="1" applyBorder="1" applyAlignment="1">
      <alignment horizontal="left" wrapText="1"/>
    </xf>
    <xf numFmtId="49" fontId="10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Fill="1" applyBorder="1" applyAlignment="1">
      <alignment horizontal="left" wrapText="1"/>
    </xf>
    <xf numFmtId="0" fontId="24" fillId="0" borderId="2" xfId="0" applyFont="1" applyFill="1" applyBorder="1" applyAlignment="1">
      <alignment wrapText="1"/>
    </xf>
    <xf numFmtId="1" fontId="12" fillId="0" borderId="17" xfId="0" applyNumberFormat="1" applyFont="1" applyFill="1" applyBorder="1" applyAlignment="1">
      <alignment horizontal="left" wrapText="1"/>
    </xf>
    <xf numFmtId="3" fontId="14" fillId="0" borderId="12" xfId="0" applyNumberFormat="1" applyFont="1" applyFill="1" applyBorder="1"/>
    <xf numFmtId="1" fontId="12" fillId="0" borderId="2" xfId="0" applyNumberFormat="1" applyFont="1" applyFill="1" applyBorder="1" applyAlignment="1">
      <alignment horizontal="left" wrapText="1"/>
    </xf>
    <xf numFmtId="0" fontId="24" fillId="0" borderId="2" xfId="0" applyFont="1" applyBorder="1" applyAlignment="1">
      <alignment vertical="top" wrapText="1"/>
    </xf>
    <xf numFmtId="1" fontId="5" fillId="0" borderId="2" xfId="0" applyNumberFormat="1" applyFont="1" applyFill="1" applyBorder="1" applyAlignment="1">
      <alignment horizontal="center"/>
    </xf>
    <xf numFmtId="4" fontId="4" fillId="0" borderId="0" xfId="0" applyNumberFormat="1" applyFont="1" applyFill="1"/>
    <xf numFmtId="0" fontId="12" fillId="0" borderId="2" xfId="0" applyFont="1" applyFill="1" applyBorder="1" applyAlignment="1">
      <alignment wrapText="1"/>
    </xf>
    <xf numFmtId="0" fontId="41" fillId="0" borderId="0" xfId="0" applyFont="1" applyFill="1" applyBorder="1" applyAlignment="1"/>
    <xf numFmtId="0" fontId="39" fillId="0" borderId="0" xfId="0" applyFont="1" applyFill="1" applyBorder="1" applyAlignment="1"/>
    <xf numFmtId="168" fontId="61" fillId="0" borderId="0" xfId="0" applyNumberFormat="1" applyFont="1" applyFill="1" applyBorder="1" applyAlignment="1">
      <alignment horizontal="center"/>
    </xf>
    <xf numFmtId="3" fontId="39" fillId="0" borderId="0" xfId="0" applyNumberFormat="1" applyFont="1" applyFill="1" applyBorder="1" applyAlignment="1"/>
    <xf numFmtId="3" fontId="55" fillId="0" borderId="0" xfId="0" applyNumberFormat="1" applyFont="1" applyFill="1" applyBorder="1"/>
    <xf numFmtId="167" fontId="8" fillId="0" borderId="0" xfId="0" applyNumberFormat="1" applyFont="1" applyFill="1" applyBorder="1" applyAlignment="1"/>
    <xf numFmtId="166" fontId="4" fillId="0" borderId="0" xfId="0" applyNumberFormat="1" applyFont="1" applyFill="1" applyBorder="1"/>
    <xf numFmtId="1" fontId="5" fillId="4" borderId="0" xfId="0" applyNumberFormat="1" applyFont="1" applyFill="1" applyAlignment="1">
      <alignment horizontal="left"/>
    </xf>
    <xf numFmtId="166" fontId="4" fillId="4" borderId="0" xfId="0" applyNumberFormat="1" applyFont="1" applyFill="1"/>
    <xf numFmtId="0" fontId="7" fillId="4" borderId="4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1" fontId="7" fillId="4" borderId="5" xfId="0" applyNumberFormat="1" applyFont="1" applyFill="1" applyBorder="1" applyAlignment="1">
      <alignment horizontal="center" vertical="center"/>
    </xf>
    <xf numFmtId="3" fontId="7" fillId="4" borderId="5" xfId="0" applyNumberFormat="1" applyFont="1" applyFill="1" applyBorder="1" applyAlignment="1">
      <alignment horizontal="center" vertical="center"/>
    </xf>
    <xf numFmtId="166" fontId="7" fillId="4" borderId="24" xfId="0" applyNumberFormat="1" applyFont="1" applyFill="1" applyBorder="1" applyAlignment="1">
      <alignment horizontal="center" vertical="center"/>
    </xf>
    <xf numFmtId="0" fontId="7" fillId="4" borderId="0" xfId="0" applyFont="1" applyFill="1"/>
    <xf numFmtId="0" fontId="35" fillId="4" borderId="5" xfId="0" applyFont="1" applyFill="1" applyBorder="1" applyAlignment="1">
      <alignment horizontal="center" vertical="center"/>
    </xf>
    <xf numFmtId="1" fontId="35" fillId="4" borderId="5" xfId="0" applyNumberFormat="1" applyFont="1" applyFill="1" applyBorder="1" applyAlignment="1">
      <alignment horizontal="center" vertical="center" wrapText="1"/>
    </xf>
    <xf numFmtId="1" fontId="35" fillId="4" borderId="37" xfId="0" applyNumberFormat="1" applyFont="1" applyFill="1" applyBorder="1" applyAlignment="1">
      <alignment horizontal="center" vertical="center" wrapText="1"/>
    </xf>
    <xf numFmtId="1" fontId="35" fillId="4" borderId="24" xfId="0" applyNumberFormat="1" applyFont="1" applyFill="1" applyBorder="1" applyAlignment="1">
      <alignment horizontal="center" vertical="center" wrapText="1"/>
    </xf>
    <xf numFmtId="0" fontId="28" fillId="4" borderId="0" xfId="0" applyFont="1" applyFill="1" applyAlignment="1">
      <alignment vertical="center"/>
    </xf>
    <xf numFmtId="49" fontId="10" fillId="4" borderId="2" xfId="0" applyNumberFormat="1" applyFont="1" applyFill="1" applyBorder="1" applyAlignment="1">
      <alignment horizontal="left"/>
    </xf>
    <xf numFmtId="0" fontId="9" fillId="4" borderId="17" xfId="0" applyFont="1" applyFill="1" applyBorder="1"/>
    <xf numFmtId="3" fontId="14" fillId="4" borderId="2" xfId="0" applyNumberFormat="1" applyFont="1" applyFill="1" applyBorder="1"/>
    <xf numFmtId="166" fontId="14" fillId="4" borderId="21" xfId="0" applyNumberFormat="1" applyFont="1" applyFill="1" applyBorder="1"/>
    <xf numFmtId="1" fontId="5" fillId="4" borderId="2" xfId="0" applyNumberFormat="1" applyFont="1" applyFill="1" applyBorder="1" applyAlignment="1">
      <alignment horizontal="left"/>
    </xf>
    <xf numFmtId="1" fontId="12" fillId="4" borderId="2" xfId="0" applyNumberFormat="1" applyFont="1" applyFill="1" applyBorder="1" applyAlignment="1">
      <alignment horizontal="left"/>
    </xf>
    <xf numFmtId="3" fontId="9" fillId="4" borderId="2" xfId="0" applyNumberFormat="1" applyFont="1" applyFill="1" applyBorder="1"/>
    <xf numFmtId="3" fontId="15" fillId="4" borderId="2" xfId="0" applyNumberFormat="1" applyFont="1" applyFill="1" applyBorder="1"/>
    <xf numFmtId="166" fontId="15" fillId="4" borderId="21" xfId="0" applyNumberFormat="1" applyFont="1" applyFill="1" applyBorder="1"/>
    <xf numFmtId="0" fontId="9" fillId="4" borderId="2" xfId="0" applyFont="1" applyFill="1" applyBorder="1"/>
    <xf numFmtId="166" fontId="9" fillId="4" borderId="21" xfId="0" applyNumberFormat="1" applyFont="1" applyFill="1" applyBorder="1"/>
    <xf numFmtId="49" fontId="10" fillId="4" borderId="0" xfId="0" applyNumberFormat="1" applyFont="1" applyFill="1" applyAlignment="1">
      <alignment horizontal="left"/>
    </xf>
    <xf numFmtId="0" fontId="24" fillId="4" borderId="2" xfId="0" applyFont="1" applyFill="1" applyBorder="1"/>
    <xf numFmtId="3" fontId="12" fillId="4" borderId="17" xfId="0" applyNumberFormat="1" applyFont="1" applyFill="1" applyBorder="1"/>
    <xf numFmtId="3" fontId="14" fillId="4" borderId="17" xfId="0" applyNumberFormat="1" applyFont="1" applyFill="1" applyBorder="1"/>
    <xf numFmtId="166" fontId="14" fillId="4" borderId="25" xfId="0" applyNumberFormat="1" applyFont="1" applyFill="1" applyBorder="1"/>
    <xf numFmtId="3" fontId="9" fillId="4" borderId="17" xfId="0" applyNumberFormat="1" applyFont="1" applyFill="1" applyBorder="1"/>
    <xf numFmtId="3" fontId="15" fillId="4" borderId="17" xfId="0" applyNumberFormat="1" applyFont="1" applyFill="1" applyBorder="1"/>
    <xf numFmtId="166" fontId="15" fillId="4" borderId="25" xfId="0" applyNumberFormat="1" applyFont="1" applyFill="1" applyBorder="1"/>
    <xf numFmtId="0" fontId="24" fillId="4" borderId="2" xfId="0" applyFont="1" applyFill="1" applyBorder="1" applyAlignment="1">
      <alignment vertical="top"/>
    </xf>
    <xf numFmtId="0" fontId="24" fillId="4" borderId="2" xfId="0" applyFont="1" applyFill="1" applyBorder="1" applyAlignment="1">
      <alignment vertical="top" wrapText="1"/>
    </xf>
    <xf numFmtId="3" fontId="12" fillId="4" borderId="17" xfId="0" applyNumberFormat="1" applyFont="1" applyFill="1" applyBorder="1" applyAlignment="1">
      <alignment vertical="top"/>
    </xf>
    <xf numFmtId="166" fontId="12" fillId="4" borderId="25" xfId="0" applyNumberFormat="1" applyFont="1" applyFill="1" applyBorder="1" applyAlignment="1">
      <alignment vertical="top"/>
    </xf>
    <xf numFmtId="166" fontId="9" fillId="4" borderId="25" xfId="0" applyNumberFormat="1" applyFont="1" applyFill="1" applyBorder="1"/>
    <xf numFmtId="0" fontId="4" fillId="4" borderId="38" xfId="0" applyFont="1" applyFill="1" applyBorder="1"/>
    <xf numFmtId="1" fontId="5" fillId="4" borderId="9" xfId="0" applyNumberFormat="1" applyFont="1" applyFill="1" applyBorder="1" applyAlignment="1">
      <alignment horizontal="left"/>
    </xf>
    <xf numFmtId="3" fontId="10" fillId="4" borderId="9" xfId="0" applyNumberFormat="1" applyFont="1" applyFill="1" applyBorder="1" applyAlignment="1">
      <alignment horizontal="left"/>
    </xf>
    <xf numFmtId="0" fontId="9" fillId="4" borderId="9" xfId="0" applyFont="1" applyFill="1" applyBorder="1"/>
    <xf numFmtId="3" fontId="9" fillId="4" borderId="9" xfId="0" applyNumberFormat="1" applyFont="1" applyFill="1" applyBorder="1"/>
    <xf numFmtId="166" fontId="9" fillId="4" borderId="23" xfId="0" applyNumberFormat="1" applyFont="1" applyFill="1" applyBorder="1"/>
    <xf numFmtId="1" fontId="12" fillId="4" borderId="17" xfId="0" applyNumberFormat="1" applyFont="1" applyFill="1" applyBorder="1" applyAlignment="1">
      <alignment horizontal="left"/>
    </xf>
    <xf numFmtId="3" fontId="12" fillId="4" borderId="0" xfId="0" applyNumberFormat="1" applyFont="1" applyFill="1" applyBorder="1" applyAlignment="1">
      <alignment horizontal="right"/>
    </xf>
    <xf numFmtId="3" fontId="12" fillId="4" borderId="2" xfId="0" applyNumberFormat="1" applyFont="1" applyFill="1" applyBorder="1" applyAlignment="1">
      <alignment horizontal="right"/>
    </xf>
    <xf numFmtId="166" fontId="12" fillId="4" borderId="25" xfId="0" applyNumberFormat="1" applyFont="1" applyFill="1" applyBorder="1" applyAlignment="1">
      <alignment horizontal="right"/>
    </xf>
    <xf numFmtId="3" fontId="12" fillId="4" borderId="17" xfId="0" applyNumberFormat="1" applyFont="1" applyFill="1" applyBorder="1" applyAlignment="1">
      <alignment horizontal="right"/>
    </xf>
    <xf numFmtId="3" fontId="12" fillId="4" borderId="17" xfId="0" applyNumberFormat="1" applyFont="1" applyFill="1" applyBorder="1" applyAlignment="1">
      <alignment horizontal="right" vertical="center"/>
    </xf>
    <xf numFmtId="3" fontId="12" fillId="4" borderId="17" xfId="0" applyNumberFormat="1" applyFont="1" applyFill="1" applyBorder="1" applyAlignment="1">
      <alignment horizontal="right" vertical="top"/>
    </xf>
    <xf numFmtId="3" fontId="9" fillId="4" borderId="5" xfId="0" applyNumberFormat="1" applyFont="1" applyFill="1" applyBorder="1"/>
    <xf numFmtId="166" fontId="9" fillId="4" borderId="24" xfId="0" applyNumberFormat="1" applyFont="1" applyFill="1" applyBorder="1"/>
    <xf numFmtId="0" fontId="4" fillId="4" borderId="47" xfId="0" applyFont="1" applyFill="1" applyBorder="1"/>
    <xf numFmtId="1" fontId="5" fillId="4" borderId="41" xfId="0" applyNumberFormat="1" applyFont="1" applyFill="1" applyBorder="1" applyAlignment="1">
      <alignment horizontal="left"/>
    </xf>
    <xf numFmtId="3" fontId="10" fillId="4" borderId="41" xfId="0" applyNumberFormat="1" applyFont="1" applyFill="1" applyBorder="1" applyAlignment="1">
      <alignment horizontal="left"/>
    </xf>
    <xf numFmtId="0" fontId="9" fillId="4" borderId="41" xfId="0" applyFont="1" applyFill="1" applyBorder="1"/>
    <xf numFmtId="3" fontId="9" fillId="4" borderId="41" xfId="0" applyNumberFormat="1" applyFont="1" applyFill="1" applyBorder="1"/>
    <xf numFmtId="166" fontId="9" fillId="4" borderId="43" xfId="0" applyNumberFormat="1" applyFont="1" applyFill="1" applyBorder="1"/>
    <xf numFmtId="49" fontId="10" fillId="0" borderId="14" xfId="8" applyNumberFormat="1" applyFont="1" applyBorder="1" applyAlignment="1">
      <alignment horizontal="left"/>
    </xf>
    <xf numFmtId="0" fontId="13" fillId="0" borderId="0" xfId="0" applyFont="1" applyBorder="1" applyAlignment="1">
      <alignment wrapText="1"/>
    </xf>
    <xf numFmtId="0" fontId="4" fillId="0" borderId="0" xfId="0" applyFont="1" applyBorder="1" applyAlignment="1">
      <alignment wrapText="1"/>
    </xf>
    <xf numFmtId="1" fontId="5" fillId="0" borderId="6" xfId="8" applyNumberFormat="1" applyFont="1" applyFill="1" applyBorder="1" applyAlignment="1">
      <alignment horizontal="left"/>
    </xf>
    <xf numFmtId="168" fontId="10" fillId="0" borderId="2" xfId="8" applyNumberFormat="1" applyFont="1" applyFill="1" applyBorder="1" applyAlignment="1">
      <alignment horizontal="left"/>
    </xf>
    <xf numFmtId="49" fontId="27" fillId="0" borderId="2" xfId="8" applyNumberFormat="1" applyFont="1" applyFill="1" applyBorder="1" applyAlignment="1">
      <alignment horizontal="left" vertical="top"/>
    </xf>
    <xf numFmtId="166" fontId="9" fillId="0" borderId="25" xfId="8" applyNumberFormat="1" applyFont="1" applyFill="1" applyBorder="1" applyAlignment="1">
      <alignment horizontal="right"/>
    </xf>
    <xf numFmtId="166" fontId="12" fillId="0" borderId="25" xfId="8" applyNumberFormat="1" applyFont="1" applyFill="1" applyBorder="1" applyAlignment="1">
      <alignment horizontal="right"/>
    </xf>
    <xf numFmtId="166" fontId="14" fillId="0" borderId="25" xfId="8" applyNumberFormat="1" applyFont="1" applyFill="1" applyBorder="1" applyAlignment="1">
      <alignment horizontal="right"/>
    </xf>
    <xf numFmtId="3" fontId="13" fillId="0" borderId="2" xfId="0" applyNumberFormat="1" applyFont="1" applyFill="1" applyBorder="1" applyAlignment="1">
      <alignment horizontal="right"/>
    </xf>
    <xf numFmtId="3" fontId="13" fillId="0" borderId="0" xfId="0" applyNumberFormat="1" applyFont="1" applyFill="1"/>
    <xf numFmtId="0" fontId="13" fillId="0" borderId="0" xfId="0" applyFont="1" applyFill="1" applyBorder="1" applyAlignment="1">
      <alignment horizontal="center"/>
    </xf>
    <xf numFmtId="1" fontId="5" fillId="0" borderId="14" xfId="0" applyNumberFormat="1" applyFont="1" applyFill="1" applyBorder="1" applyAlignment="1">
      <alignment horizontal="center"/>
    </xf>
    <xf numFmtId="0" fontId="9" fillId="0" borderId="34" xfId="0" applyFont="1" applyFill="1" applyBorder="1"/>
    <xf numFmtId="167" fontId="9" fillId="0" borderId="35" xfId="0" applyNumberFormat="1" applyFont="1" applyFill="1" applyBorder="1" applyAlignment="1">
      <alignment horizontal="right"/>
    </xf>
    <xf numFmtId="4" fontId="121" fillId="0" borderId="0" xfId="8" applyNumberFormat="1" applyFont="1" applyFill="1"/>
    <xf numFmtId="3" fontId="12" fillId="0" borderId="2" xfId="0" applyNumberFormat="1" applyFont="1" applyBorder="1" applyAlignment="1">
      <alignment horizontal="right" vertical="top"/>
    </xf>
    <xf numFmtId="3" fontId="9" fillId="0" borderId="2" xfId="0" applyNumberFormat="1" applyFont="1" applyBorder="1" applyAlignment="1">
      <alignment horizontal="right" vertical="top"/>
    </xf>
    <xf numFmtId="1" fontId="5" fillId="0" borderId="9" xfId="0" applyNumberFormat="1" applyFont="1" applyBorder="1" applyAlignment="1">
      <alignment horizontal="center"/>
    </xf>
    <xf numFmtId="1" fontId="5" fillId="0" borderId="26" xfId="0" applyNumberFormat="1" applyFont="1" applyBorder="1" applyAlignment="1">
      <alignment horizontal="center"/>
    </xf>
    <xf numFmtId="3" fontId="12" fillId="0" borderId="34" xfId="0" applyNumberFormat="1" applyFont="1" applyFill="1" applyBorder="1" applyAlignment="1">
      <alignment horizontal="right" vertical="top"/>
    </xf>
    <xf numFmtId="3" fontId="21" fillId="0" borderId="5" xfId="0" applyNumberFormat="1" applyFont="1" applyFill="1" applyBorder="1" applyAlignment="1">
      <alignment horizontal="center"/>
    </xf>
    <xf numFmtId="3" fontId="9" fillId="0" borderId="2" xfId="0" applyNumberFormat="1" applyFont="1" applyFill="1" applyBorder="1" applyAlignment="1">
      <alignment horizontal="right" vertical="top"/>
    </xf>
    <xf numFmtId="0" fontId="13" fillId="37" borderId="0" xfId="0" applyFont="1" applyFill="1"/>
    <xf numFmtId="49" fontId="27" fillId="0" borderId="2" xfId="0" applyNumberFormat="1" applyFont="1" applyFill="1" applyBorder="1" applyAlignment="1">
      <alignment horizontal="left" vertical="top"/>
    </xf>
    <xf numFmtId="0" fontId="14" fillId="0" borderId="17" xfId="0" applyFont="1" applyFill="1" applyBorder="1" applyAlignment="1"/>
    <xf numFmtId="1" fontId="13" fillId="0" borderId="6" xfId="0" applyNumberFormat="1" applyFont="1" applyFill="1" applyBorder="1" applyAlignment="1">
      <alignment horizontal="left"/>
    </xf>
    <xf numFmtId="1" fontId="13" fillId="0" borderId="0" xfId="0" applyNumberFormat="1" applyFont="1" applyFill="1" applyBorder="1" applyAlignment="1">
      <alignment horizontal="left"/>
    </xf>
    <xf numFmtId="3" fontId="9" fillId="0" borderId="0" xfId="0" applyNumberFormat="1" applyFont="1" applyBorder="1" applyAlignment="1">
      <alignment horizontal="right"/>
    </xf>
    <xf numFmtId="1" fontId="5" fillId="0" borderId="6" xfId="0" applyNumberFormat="1" applyFont="1" applyFill="1" applyBorder="1" applyAlignment="1">
      <alignment horizontal="left" vertical="top"/>
    </xf>
    <xf numFmtId="1" fontId="5" fillId="0" borderId="0" xfId="0" applyNumberFormat="1" applyFont="1" applyFill="1" applyBorder="1" applyAlignment="1">
      <alignment horizontal="left" vertical="top"/>
    </xf>
    <xf numFmtId="167" fontId="9" fillId="0" borderId="25" xfId="0" applyNumberFormat="1" applyFont="1" applyFill="1" applyBorder="1" applyAlignment="1">
      <alignment horizontal="right" vertical="top"/>
    </xf>
    <xf numFmtId="0" fontId="13" fillId="0" borderId="17" xfId="8" applyFont="1" applyFill="1" applyBorder="1" applyAlignment="1"/>
    <xf numFmtId="0" fontId="4" fillId="37" borderId="0" xfId="0" applyFont="1" applyFill="1"/>
    <xf numFmtId="4" fontId="28" fillId="37" borderId="0" xfId="0" applyNumberFormat="1" applyFont="1" applyFill="1" applyAlignment="1">
      <alignment vertical="center"/>
    </xf>
    <xf numFmtId="1" fontId="5" fillId="0" borderId="9" xfId="8" applyNumberFormat="1" applyFont="1" applyBorder="1" applyAlignment="1">
      <alignment horizontal="center"/>
    </xf>
    <xf numFmtId="167" fontId="9" fillId="0" borderId="23" xfId="0" applyNumberFormat="1" applyFont="1" applyBorder="1" applyAlignment="1">
      <alignment horizontal="right"/>
    </xf>
    <xf numFmtId="167" fontId="9" fillId="0" borderId="21" xfId="0" applyNumberFormat="1" applyFont="1" applyBorder="1" applyAlignment="1">
      <alignment horizontal="right"/>
    </xf>
    <xf numFmtId="166" fontId="9" fillId="0" borderId="21" xfId="8" applyNumberFormat="1" applyFont="1" applyBorder="1" applyAlignment="1">
      <alignment horizontal="right"/>
    </xf>
    <xf numFmtId="1" fontId="5" fillId="0" borderId="6" xfId="0" applyNumberFormat="1" applyFont="1" applyFill="1" applyBorder="1" applyAlignment="1">
      <alignment horizontal="center"/>
    </xf>
    <xf numFmtId="0" fontId="9" fillId="0" borderId="2" xfId="8" applyFont="1" applyBorder="1" applyAlignment="1"/>
    <xf numFmtId="166" fontId="9" fillId="0" borderId="21" xfId="8" applyNumberFormat="1" applyFont="1" applyFill="1" applyBorder="1" applyAlignment="1">
      <alignment horizontal="right"/>
    </xf>
    <xf numFmtId="166" fontId="14" fillId="0" borderId="21" xfId="8" applyNumberFormat="1" applyFont="1" applyFill="1" applyBorder="1" applyAlignment="1">
      <alignment horizontal="right"/>
    </xf>
    <xf numFmtId="0" fontId="14" fillId="0" borderId="2" xfId="8" applyFont="1" applyFill="1" applyBorder="1" applyAlignment="1"/>
    <xf numFmtId="167" fontId="9" fillId="0" borderId="21" xfId="8" applyNumberFormat="1" applyFont="1" applyFill="1" applyBorder="1" applyAlignment="1">
      <alignment horizontal="right"/>
    </xf>
    <xf numFmtId="167" fontId="14" fillId="0" borderId="21" xfId="8" applyNumberFormat="1" applyFont="1" applyFill="1" applyBorder="1" applyAlignment="1">
      <alignment horizontal="right"/>
    </xf>
    <xf numFmtId="1" fontId="5" fillId="0" borderId="6" xfId="8" applyNumberFormat="1" applyFont="1" applyBorder="1" applyAlignment="1">
      <alignment horizontal="center"/>
    </xf>
    <xf numFmtId="1" fontId="5" fillId="0" borderId="12" xfId="8" applyNumberFormat="1" applyFont="1" applyBorder="1" applyAlignment="1">
      <alignment horizontal="center"/>
    </xf>
    <xf numFmtId="1" fontId="5" fillId="0" borderId="12" xfId="8" applyNumberFormat="1" applyFont="1" applyFill="1" applyBorder="1" applyAlignment="1">
      <alignment horizontal="center"/>
    </xf>
    <xf numFmtId="1" fontId="5" fillId="0" borderId="6" xfId="0" applyNumberFormat="1" applyFont="1" applyBorder="1" applyAlignment="1">
      <alignment horizontal="center"/>
    </xf>
    <xf numFmtId="1" fontId="5" fillId="0" borderId="12" xfId="0" applyNumberFormat="1" applyFont="1" applyBorder="1" applyAlignment="1">
      <alignment horizontal="center"/>
    </xf>
    <xf numFmtId="1" fontId="5" fillId="0" borderId="12" xfId="0" applyNumberFormat="1" applyFont="1" applyFill="1" applyBorder="1" applyAlignment="1">
      <alignment horizontal="center"/>
    </xf>
    <xf numFmtId="1" fontId="5" fillId="0" borderId="12" xfId="0" applyNumberFormat="1" applyFont="1" applyBorder="1" applyAlignment="1">
      <alignment horizontal="center" vertical="top"/>
    </xf>
    <xf numFmtId="1" fontId="5" fillId="0" borderId="33" xfId="0" applyNumberFormat="1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166" fontId="8" fillId="0" borderId="0" xfId="0" applyNumberFormat="1" applyFont="1" applyFill="1" applyBorder="1" applyAlignment="1">
      <alignment horizontal="right"/>
    </xf>
    <xf numFmtId="2" fontId="4" fillId="0" borderId="0" xfId="0" applyNumberFormat="1" applyFont="1" applyFill="1" applyBorder="1" applyAlignment="1">
      <alignment wrapText="1"/>
    </xf>
    <xf numFmtId="167" fontId="12" fillId="0" borderId="25" xfId="0" applyNumberFormat="1" applyFont="1" applyFill="1" applyBorder="1" applyAlignment="1">
      <alignment horizontal="right" vertical="top"/>
    </xf>
    <xf numFmtId="0" fontId="4" fillId="0" borderId="0" xfId="0" applyFont="1" applyFill="1" applyBorder="1" applyAlignment="1">
      <alignment wrapText="1"/>
    </xf>
    <xf numFmtId="3" fontId="14" fillId="0" borderId="2" xfId="0" applyNumberFormat="1" applyFont="1" applyBorder="1" applyAlignment="1">
      <alignment horizontal="right" vertical="top"/>
    </xf>
    <xf numFmtId="0" fontId="4" fillId="0" borderId="2" xfId="0" applyFont="1" applyFill="1" applyBorder="1" applyAlignment="1">
      <alignment vertical="top" wrapText="1"/>
    </xf>
    <xf numFmtId="0" fontId="4" fillId="0" borderId="2" xfId="0" applyFont="1" applyFill="1" applyBorder="1" applyAlignment="1">
      <alignment wrapText="1"/>
    </xf>
    <xf numFmtId="166" fontId="8" fillId="0" borderId="0" xfId="0" applyNumberFormat="1" applyFont="1" applyFill="1" applyBorder="1"/>
    <xf numFmtId="49" fontId="27" fillId="0" borderId="2" xfId="0" applyNumberFormat="1" applyFont="1" applyBorder="1" applyAlignment="1">
      <alignment horizontal="left" vertical="center"/>
    </xf>
    <xf numFmtId="167" fontId="12" fillId="0" borderId="21" xfId="0" applyNumberFormat="1" applyFont="1" applyBorder="1" applyAlignment="1">
      <alignment horizontal="right"/>
    </xf>
    <xf numFmtId="0" fontId="13" fillId="0" borderId="2" xfId="0" applyFont="1" applyFill="1" applyBorder="1" applyAlignment="1"/>
    <xf numFmtId="1" fontId="13" fillId="0" borderId="9" xfId="0" applyNumberFormat="1" applyFont="1" applyFill="1" applyBorder="1" applyAlignment="1">
      <alignment horizontal="left"/>
    </xf>
    <xf numFmtId="166" fontId="12" fillId="0" borderId="21" xfId="0" applyNumberFormat="1" applyFont="1" applyFill="1" applyBorder="1" applyAlignment="1">
      <alignment horizontal="right"/>
    </xf>
    <xf numFmtId="166" fontId="14" fillId="0" borderId="21" xfId="0" applyNumberFormat="1" applyFont="1" applyFill="1" applyBorder="1" applyAlignment="1">
      <alignment horizontal="right"/>
    </xf>
    <xf numFmtId="166" fontId="14" fillId="0" borderId="42" xfId="0" applyNumberFormat="1" applyFont="1" applyFill="1" applyBorder="1" applyAlignment="1">
      <alignment horizontal="right"/>
    </xf>
    <xf numFmtId="49" fontId="27" fillId="0" borderId="2" xfId="0" applyNumberFormat="1" applyFont="1" applyFill="1" applyBorder="1" applyAlignment="1">
      <alignment horizontal="left" vertical="center"/>
    </xf>
    <xf numFmtId="49" fontId="27" fillId="0" borderId="14" xfId="0" applyNumberFormat="1" applyFont="1" applyFill="1" applyBorder="1" applyAlignment="1">
      <alignment horizontal="left" vertical="center"/>
    </xf>
    <xf numFmtId="49" fontId="27" fillId="0" borderId="9" xfId="0" applyNumberFormat="1" applyFont="1" applyFill="1" applyBorder="1" applyAlignment="1">
      <alignment horizontal="left" vertical="center"/>
    </xf>
    <xf numFmtId="167" fontId="9" fillId="0" borderId="23" xfId="0" applyNumberFormat="1" applyFont="1" applyFill="1" applyBorder="1" applyAlignment="1">
      <alignment horizontal="right"/>
    </xf>
    <xf numFmtId="167" fontId="9" fillId="0" borderId="42" xfId="0" applyNumberFormat="1" applyFont="1" applyFill="1" applyBorder="1" applyAlignment="1">
      <alignment horizontal="right"/>
    </xf>
    <xf numFmtId="1" fontId="5" fillId="0" borderId="6" xfId="0" applyNumberFormat="1" applyFont="1" applyFill="1" applyBorder="1" applyAlignment="1">
      <alignment horizontal="left" vertical="center"/>
    </xf>
    <xf numFmtId="1" fontId="5" fillId="0" borderId="50" xfId="0" applyNumberFormat="1" applyFont="1" applyFill="1" applyBorder="1" applyAlignment="1">
      <alignment horizontal="left" vertical="center"/>
    </xf>
    <xf numFmtId="1" fontId="5" fillId="0" borderId="2" xfId="0" applyNumberFormat="1" applyFont="1" applyFill="1" applyBorder="1" applyAlignment="1">
      <alignment horizontal="left" vertical="center"/>
    </xf>
    <xf numFmtId="1" fontId="5" fillId="0" borderId="14" xfId="0" applyNumberFormat="1" applyFont="1" applyFill="1" applyBorder="1" applyAlignment="1">
      <alignment horizontal="left" vertical="center"/>
    </xf>
    <xf numFmtId="1" fontId="5" fillId="0" borderId="38" xfId="0" applyNumberFormat="1" applyFont="1" applyFill="1" applyBorder="1" applyAlignment="1">
      <alignment horizontal="left" vertical="center"/>
    </xf>
    <xf numFmtId="1" fontId="5" fillId="0" borderId="9" xfId="0" applyNumberFormat="1" applyFont="1" applyFill="1" applyBorder="1" applyAlignment="1">
      <alignment horizontal="left" vertical="center"/>
    </xf>
    <xf numFmtId="0" fontId="7" fillId="0" borderId="56" xfId="0" applyFont="1" applyFill="1" applyBorder="1" applyAlignment="1">
      <alignment horizontal="center" vertical="center"/>
    </xf>
    <xf numFmtId="168" fontId="10" fillId="0" borderId="9" xfId="0" applyNumberFormat="1" applyFont="1" applyFill="1" applyBorder="1" applyAlignment="1">
      <alignment horizontal="left"/>
    </xf>
    <xf numFmtId="167" fontId="14" fillId="0" borderId="23" xfId="0" applyNumberFormat="1" applyFont="1" applyFill="1" applyBorder="1" applyAlignment="1">
      <alignment horizontal="right"/>
    </xf>
    <xf numFmtId="0" fontId="8" fillId="0" borderId="2" xfId="0" applyFont="1" applyFill="1" applyBorder="1"/>
    <xf numFmtId="168" fontId="21" fillId="0" borderId="2" xfId="0" applyNumberFormat="1" applyFont="1" applyFill="1" applyBorder="1" applyAlignment="1"/>
    <xf numFmtId="167" fontId="12" fillId="0" borderId="21" xfId="0" applyNumberFormat="1" applyFont="1" applyFill="1" applyBorder="1" applyAlignment="1">
      <alignment horizontal="right"/>
    </xf>
    <xf numFmtId="167" fontId="12" fillId="0" borderId="21" xfId="0" applyNumberFormat="1" applyFont="1" applyFill="1" applyBorder="1" applyAlignment="1">
      <alignment horizontal="right" vertical="top"/>
    </xf>
    <xf numFmtId="0" fontId="41" fillId="0" borderId="4" xfId="0" applyFont="1" applyFill="1" applyBorder="1" applyAlignment="1"/>
    <xf numFmtId="0" fontId="39" fillId="0" borderId="5" xfId="0" applyFont="1" applyFill="1" applyBorder="1" applyAlignment="1"/>
    <xf numFmtId="168" fontId="61" fillId="0" borderId="5" xfId="0" applyNumberFormat="1" applyFont="1" applyFill="1" applyBorder="1" applyAlignment="1">
      <alignment horizontal="center"/>
    </xf>
    <xf numFmtId="3" fontId="39" fillId="0" borderId="5" xfId="0" applyNumberFormat="1" applyFont="1" applyFill="1" applyBorder="1" applyAlignment="1"/>
    <xf numFmtId="3" fontId="55" fillId="0" borderId="5" xfId="0" applyNumberFormat="1" applyFont="1" applyFill="1" applyBorder="1"/>
    <xf numFmtId="167" fontId="8" fillId="0" borderId="22" xfId="0" applyNumberFormat="1" applyFont="1" applyFill="1" applyBorder="1" applyAlignment="1"/>
    <xf numFmtId="167" fontId="14" fillId="0" borderId="30" xfId="0" applyNumberFormat="1" applyFont="1" applyFill="1" applyBorder="1" applyAlignment="1">
      <alignment horizontal="right"/>
    </xf>
    <xf numFmtId="0" fontId="5" fillId="0" borderId="2" xfId="0" applyFont="1" applyFill="1" applyBorder="1" applyAlignment="1"/>
    <xf numFmtId="166" fontId="9" fillId="0" borderId="25" xfId="0" applyNumberFormat="1" applyFont="1" applyFill="1" applyBorder="1" applyAlignment="1">
      <alignment horizontal="right"/>
    </xf>
    <xf numFmtId="0" fontId="5" fillId="0" borderId="2" xfId="0" applyFont="1" applyFill="1" applyBorder="1" applyAlignment="1">
      <alignment horizontal="left"/>
    </xf>
    <xf numFmtId="3" fontId="13" fillId="0" borderId="0" xfId="0" applyNumberFormat="1" applyFont="1" applyFill="1" applyBorder="1" applyAlignment="1">
      <alignment horizontal="right"/>
    </xf>
    <xf numFmtId="166" fontId="12" fillId="0" borderId="25" xfId="0" applyNumberFormat="1" applyFont="1" applyFill="1" applyBorder="1" applyAlignment="1">
      <alignment horizontal="right" vertical="top"/>
    </xf>
    <xf numFmtId="168" fontId="10" fillId="0" borderId="2" xfId="0" applyNumberFormat="1" applyFont="1" applyFill="1" applyBorder="1" applyAlignment="1">
      <alignment horizontal="left"/>
    </xf>
    <xf numFmtId="0" fontId="45" fillId="0" borderId="2" xfId="0" applyFont="1" applyFill="1" applyBorder="1" applyAlignment="1"/>
    <xf numFmtId="0" fontId="10" fillId="0" borderId="0" xfId="0" applyFont="1" applyFill="1" applyBorder="1" applyAlignment="1">
      <alignment horizontal="left"/>
    </xf>
    <xf numFmtId="1" fontId="13" fillId="0" borderId="14" xfId="0" applyNumberFormat="1" applyFont="1" applyFill="1" applyBorder="1" applyAlignment="1">
      <alignment horizontal="left"/>
    </xf>
    <xf numFmtId="166" fontId="12" fillId="0" borderId="35" xfId="0" applyNumberFormat="1" applyFont="1" applyFill="1" applyBorder="1" applyAlignment="1">
      <alignment horizontal="right" vertical="top"/>
    </xf>
    <xf numFmtId="168" fontId="10" fillId="0" borderId="27" xfId="0" applyNumberFormat="1" applyFont="1" applyFill="1" applyBorder="1" applyAlignment="1">
      <alignment horizontal="left" vertical="top"/>
    </xf>
    <xf numFmtId="0" fontId="14" fillId="0" borderId="9" xfId="0" applyFont="1" applyFill="1" applyBorder="1" applyAlignment="1"/>
    <xf numFmtId="3" fontId="14" fillId="0" borderId="27" xfId="0" applyNumberFormat="1" applyFont="1" applyFill="1" applyBorder="1" applyAlignment="1">
      <alignment horizontal="right"/>
    </xf>
    <xf numFmtId="168" fontId="27" fillId="0" borderId="2" xfId="0" applyNumberFormat="1" applyFont="1" applyFill="1" applyBorder="1" applyAlignment="1">
      <alignment horizontal="center"/>
    </xf>
    <xf numFmtId="0" fontId="4" fillId="0" borderId="2" xfId="0" applyFont="1" applyFill="1" applyBorder="1" applyAlignment="1"/>
    <xf numFmtId="0" fontId="13" fillId="0" borderId="2" xfId="0" applyFont="1" applyFill="1" applyBorder="1" applyAlignment="1">
      <alignment vertical="top"/>
    </xf>
    <xf numFmtId="1" fontId="13" fillId="0" borderId="17" xfId="0" applyNumberFormat="1" applyFont="1" applyFill="1" applyBorder="1" applyAlignment="1">
      <alignment horizontal="left"/>
    </xf>
    <xf numFmtId="166" fontId="12" fillId="0" borderId="21" xfId="0" applyNumberFormat="1" applyFont="1" applyFill="1" applyBorder="1" applyAlignment="1">
      <alignment horizontal="right" vertical="top"/>
    </xf>
    <xf numFmtId="0" fontId="26" fillId="0" borderId="50" xfId="0" applyFont="1" applyFill="1" applyBorder="1" applyAlignment="1">
      <alignment horizontal="left"/>
    </xf>
    <xf numFmtId="0" fontId="6" fillId="0" borderId="14" xfId="0" applyFont="1" applyFill="1" applyBorder="1"/>
    <xf numFmtId="168" fontId="21" fillId="0" borderId="14" xfId="0" applyNumberFormat="1" applyFont="1" applyFill="1" applyBorder="1" applyAlignment="1">
      <alignment horizontal="center"/>
    </xf>
    <xf numFmtId="4" fontId="61" fillId="37" borderId="0" xfId="0" applyNumberFormat="1" applyFont="1" applyFill="1" applyAlignment="1">
      <alignment vertical="center"/>
    </xf>
    <xf numFmtId="4" fontId="51" fillId="37" borderId="0" xfId="0" applyNumberFormat="1" applyFont="1" applyFill="1" applyAlignment="1">
      <alignment vertical="center"/>
    </xf>
    <xf numFmtId="1" fontId="13" fillId="0" borderId="2" xfId="0" applyNumberFormat="1" applyFont="1" applyFill="1" applyBorder="1" applyAlignment="1">
      <alignment horizontal="left" wrapText="1"/>
    </xf>
    <xf numFmtId="49" fontId="10" fillId="0" borderId="0" xfId="0" applyNumberFormat="1" applyFont="1" applyFill="1" applyBorder="1" applyAlignment="1">
      <alignment horizontal="left" vertical="center"/>
    </xf>
    <xf numFmtId="1" fontId="9" fillId="0" borderId="2" xfId="0" applyNumberFormat="1" applyFont="1" applyFill="1" applyBorder="1" applyAlignment="1">
      <alignment horizontal="left" vertical="center"/>
    </xf>
    <xf numFmtId="0" fontId="14" fillId="0" borderId="17" xfId="0" applyFont="1" applyFill="1" applyBorder="1" applyAlignment="1">
      <alignment vertical="center" wrapText="1"/>
    </xf>
    <xf numFmtId="0" fontId="14" fillId="0" borderId="2" xfId="0" applyFont="1" applyFill="1" applyBorder="1" applyAlignment="1">
      <alignment vertical="center"/>
    </xf>
    <xf numFmtId="0" fontId="9" fillId="0" borderId="2" xfId="0" applyFont="1" applyFill="1" applyBorder="1" applyAlignment="1">
      <alignment vertical="center"/>
    </xf>
    <xf numFmtId="0" fontId="13" fillId="0" borderId="2" xfId="0" applyFont="1" applyFill="1" applyBorder="1" applyAlignment="1">
      <alignment wrapText="1"/>
    </xf>
    <xf numFmtId="0" fontId="14" fillId="0" borderId="0" xfId="8" applyFont="1" applyFill="1" applyBorder="1" applyAlignment="1">
      <alignment vertical="center"/>
    </xf>
    <xf numFmtId="4" fontId="51" fillId="0" borderId="0" xfId="0" applyNumberFormat="1" applyFont="1" applyFill="1" applyAlignment="1">
      <alignment vertical="center"/>
    </xf>
    <xf numFmtId="1" fontId="5" fillId="0" borderId="38" xfId="0" applyNumberFormat="1" applyFont="1" applyFill="1" applyBorder="1" applyAlignment="1">
      <alignment horizontal="center" vertical="center"/>
    </xf>
    <xf numFmtId="1" fontId="13" fillId="0" borderId="9" xfId="0" applyNumberFormat="1" applyFont="1" applyFill="1" applyBorder="1" applyAlignment="1">
      <alignment horizontal="center" vertical="center"/>
    </xf>
    <xf numFmtId="1" fontId="5" fillId="0" borderId="6" xfId="0" applyNumberFormat="1" applyFont="1" applyFill="1" applyBorder="1" applyAlignment="1">
      <alignment horizontal="center" vertical="center"/>
    </xf>
    <xf numFmtId="1" fontId="5" fillId="0" borderId="2" xfId="0" applyNumberFormat="1" applyFont="1" applyFill="1" applyBorder="1" applyAlignment="1">
      <alignment horizontal="center" vertical="center"/>
    </xf>
    <xf numFmtId="1" fontId="5" fillId="0" borderId="50" xfId="0" applyNumberFormat="1" applyFont="1" applyFill="1" applyBorder="1" applyAlignment="1">
      <alignment horizontal="center" vertical="center"/>
    </xf>
    <xf numFmtId="1" fontId="5" fillId="0" borderId="14" xfId="0" applyNumberFormat="1" applyFont="1" applyFill="1" applyBorder="1" applyAlignment="1">
      <alignment horizontal="center" vertical="center"/>
    </xf>
    <xf numFmtId="1" fontId="5" fillId="0" borderId="12" xfId="0" applyNumberFormat="1" applyFont="1" applyFill="1" applyBorder="1" applyAlignment="1">
      <alignment horizontal="center" vertical="center"/>
    </xf>
    <xf numFmtId="1" fontId="13" fillId="0" borderId="2" xfId="0" applyNumberFormat="1" applyFont="1" applyFill="1" applyBorder="1" applyAlignment="1">
      <alignment horizontal="center" vertical="center"/>
    </xf>
    <xf numFmtId="49" fontId="27" fillId="0" borderId="2" xfId="0" applyNumberFormat="1" applyFont="1" applyFill="1" applyBorder="1" applyAlignment="1">
      <alignment horizontal="center" vertical="center"/>
    </xf>
    <xf numFmtId="4" fontId="41" fillId="0" borderId="0" xfId="0" applyNumberFormat="1" applyFont="1" applyFill="1"/>
    <xf numFmtId="1" fontId="12" fillId="0" borderId="2" xfId="0" applyNumberFormat="1" applyFont="1" applyFill="1" applyBorder="1" applyAlignment="1">
      <alignment horizontal="left" vertical="center"/>
    </xf>
    <xf numFmtId="1" fontId="14" fillId="0" borderId="2" xfId="0" applyNumberFormat="1" applyFont="1" applyFill="1" applyBorder="1" applyAlignment="1">
      <alignment horizontal="left" vertical="center"/>
    </xf>
    <xf numFmtId="1" fontId="12" fillId="0" borderId="2" xfId="0" applyNumberFormat="1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left" vertical="center"/>
    </xf>
    <xf numFmtId="0" fontId="5" fillId="0" borderId="17" xfId="0" applyFont="1" applyFill="1" applyBorder="1" applyAlignment="1">
      <alignment wrapText="1"/>
    </xf>
    <xf numFmtId="49" fontId="10" fillId="0" borderId="2" xfId="0" applyNumberFormat="1" applyFont="1" applyFill="1" applyBorder="1" applyAlignment="1">
      <alignment horizontal="center" vertical="top"/>
    </xf>
    <xf numFmtId="1" fontId="5" fillId="0" borderId="6" xfId="0" applyNumberFormat="1" applyFont="1" applyFill="1" applyBorder="1" applyAlignment="1">
      <alignment horizontal="center" vertical="top"/>
    </xf>
    <xf numFmtId="4" fontId="61" fillId="0" borderId="0" xfId="0" applyNumberFormat="1" applyFont="1" applyFill="1" applyAlignment="1">
      <alignment vertical="center"/>
    </xf>
    <xf numFmtId="4" fontId="37" fillId="0" borderId="0" xfId="0" applyNumberFormat="1" applyFont="1" applyFill="1" applyAlignment="1">
      <alignment vertical="center"/>
    </xf>
    <xf numFmtId="4" fontId="13" fillId="0" borderId="0" xfId="0" applyNumberFormat="1" applyFont="1" applyFill="1"/>
    <xf numFmtId="4" fontId="16" fillId="0" borderId="0" xfId="0" applyNumberFormat="1" applyFont="1" applyFill="1"/>
    <xf numFmtId="4" fontId="13" fillId="0" borderId="0" xfId="0" applyNumberFormat="1" applyFont="1" applyFill="1" applyAlignment="1">
      <alignment vertical="center"/>
    </xf>
    <xf numFmtId="4" fontId="28" fillId="0" borderId="0" xfId="0" applyNumberFormat="1" applyFont="1" applyFill="1" applyAlignment="1">
      <alignment horizontal="right" vertical="top"/>
    </xf>
    <xf numFmtId="4" fontId="13" fillId="0" borderId="0" xfId="0" applyNumberFormat="1" applyFont="1" applyFill="1" applyAlignment="1">
      <alignment horizontal="right" vertical="top"/>
    </xf>
    <xf numFmtId="4" fontId="18" fillId="0" borderId="0" xfId="0" applyNumberFormat="1" applyFont="1" applyFill="1"/>
    <xf numFmtId="0" fontId="14" fillId="0" borderId="2" xfId="8" applyFont="1" applyFill="1" applyBorder="1" applyAlignment="1">
      <alignment vertical="center"/>
    </xf>
    <xf numFmtId="0" fontId="35" fillId="0" borderId="9" xfId="8" applyFont="1" applyFill="1" applyBorder="1" applyAlignment="1">
      <alignment horizontal="center" vertical="center"/>
    </xf>
    <xf numFmtId="168" fontId="41" fillId="0" borderId="9" xfId="8" applyNumberFormat="1" applyFont="1" applyFill="1" applyBorder="1" applyAlignment="1">
      <alignment horizontal="center"/>
    </xf>
    <xf numFmtId="1" fontId="41" fillId="0" borderId="6" xfId="8" applyNumberFormat="1" applyFont="1" applyFill="1" applyBorder="1" applyAlignment="1">
      <alignment horizontal="left"/>
    </xf>
    <xf numFmtId="1" fontId="41" fillId="0" borderId="2" xfId="8" applyNumberFormat="1" applyFont="1" applyFill="1" applyBorder="1" applyAlignment="1">
      <alignment horizontal="center"/>
    </xf>
    <xf numFmtId="3" fontId="41" fillId="0" borderId="2" xfId="8" applyNumberFormat="1" applyFont="1" applyFill="1" applyBorder="1" applyAlignment="1"/>
    <xf numFmtId="0" fontId="41" fillId="0" borderId="0" xfId="8" applyFont="1" applyFill="1" applyBorder="1" applyAlignment="1"/>
    <xf numFmtId="1" fontId="35" fillId="0" borderId="4" xfId="8" applyNumberFormat="1" applyFont="1" applyFill="1" applyBorder="1" applyAlignment="1">
      <alignment horizontal="center" vertical="center"/>
    </xf>
    <xf numFmtId="1" fontId="35" fillId="0" borderId="5" xfId="8" applyNumberFormat="1" applyFont="1" applyFill="1" applyBorder="1" applyAlignment="1">
      <alignment horizontal="center" vertical="center"/>
    </xf>
    <xf numFmtId="168" fontId="35" fillId="0" borderId="5" xfId="8" applyNumberFormat="1" applyFont="1" applyFill="1" applyBorder="1" applyAlignment="1">
      <alignment horizontal="center" vertical="center"/>
    </xf>
    <xf numFmtId="4" fontId="28" fillId="0" borderId="0" xfId="8" applyNumberFormat="1" applyFont="1" applyFill="1" applyAlignment="1">
      <alignment vertical="center"/>
    </xf>
    <xf numFmtId="4" fontId="61" fillId="0" borderId="0" xfId="8" applyNumberFormat="1" applyFont="1" applyFill="1" applyAlignment="1">
      <alignment vertical="center"/>
    </xf>
    <xf numFmtId="4" fontId="24" fillId="0" borderId="0" xfId="8" applyNumberFormat="1" applyFont="1" applyFill="1"/>
    <xf numFmtId="4" fontId="24" fillId="0" borderId="0" xfId="8" applyNumberFormat="1" applyFont="1" applyFill="1" applyAlignment="1">
      <alignment vertical="center"/>
    </xf>
    <xf numFmtId="4" fontId="18" fillId="0" borderId="0" xfId="8" applyNumberFormat="1" applyFont="1" applyFill="1"/>
    <xf numFmtId="1" fontId="13" fillId="0" borderId="6" xfId="8" applyNumberFormat="1" applyFont="1" applyFill="1" applyBorder="1" applyAlignment="1">
      <alignment horizontal="left"/>
    </xf>
    <xf numFmtId="1" fontId="13" fillId="0" borderId="0" xfId="8" applyNumberFormat="1" applyFont="1" applyFill="1" applyBorder="1" applyAlignment="1">
      <alignment horizontal="left"/>
    </xf>
    <xf numFmtId="49" fontId="69" fillId="0" borderId="2" xfId="8" applyNumberFormat="1" applyFont="1" applyFill="1" applyBorder="1" applyAlignment="1">
      <alignment horizontal="left"/>
    </xf>
    <xf numFmtId="0" fontId="14" fillId="0" borderId="0" xfId="8" applyFont="1" applyFill="1" applyBorder="1" applyAlignment="1">
      <alignment vertical="top" wrapText="1"/>
    </xf>
    <xf numFmtId="0" fontId="16" fillId="0" borderId="0" xfId="8" applyFont="1" applyFill="1"/>
    <xf numFmtId="49" fontId="10" fillId="0" borderId="2" xfId="8" applyNumberFormat="1" applyFont="1" applyFill="1" applyBorder="1" applyAlignment="1">
      <alignment horizontal="left" vertical="top"/>
    </xf>
    <xf numFmtId="0" fontId="4" fillId="0" borderId="0" xfId="8" applyFont="1" applyFill="1" applyBorder="1" applyAlignment="1">
      <alignment vertical="top" wrapText="1"/>
    </xf>
    <xf numFmtId="0" fontId="22" fillId="0" borderId="0" xfId="8" applyFont="1" applyFill="1" applyBorder="1" applyAlignment="1">
      <alignment vertical="top" wrapText="1"/>
    </xf>
    <xf numFmtId="49" fontId="69" fillId="0" borderId="2" xfId="8" applyNumberFormat="1" applyFont="1" applyFill="1" applyBorder="1" applyAlignment="1">
      <alignment horizontal="left" vertical="top"/>
    </xf>
    <xf numFmtId="168" fontId="69" fillId="0" borderId="0" xfId="8" applyNumberFormat="1" applyFont="1" applyFill="1" applyAlignment="1">
      <alignment horizontal="left"/>
    </xf>
    <xf numFmtId="168" fontId="10" fillId="0" borderId="0" xfId="8" applyNumberFormat="1" applyFont="1" applyFill="1" applyAlignment="1">
      <alignment horizontal="left"/>
    </xf>
    <xf numFmtId="166" fontId="12" fillId="0" borderId="25" xfId="8" applyNumberFormat="1" applyFont="1" applyFill="1" applyBorder="1" applyAlignment="1">
      <alignment horizontal="right" vertical="top"/>
    </xf>
    <xf numFmtId="4" fontId="12" fillId="0" borderId="0" xfId="8" applyNumberFormat="1" applyFont="1" applyFill="1" applyAlignment="1">
      <alignment horizontal="left"/>
    </xf>
    <xf numFmtId="1" fontId="14" fillId="0" borderId="0" xfId="8" applyNumberFormat="1" applyFont="1" applyFill="1" applyBorder="1" applyAlignment="1">
      <alignment horizontal="left"/>
    </xf>
    <xf numFmtId="3" fontId="14" fillId="0" borderId="0" xfId="8" applyNumberFormat="1" applyFont="1" applyFill="1" applyBorder="1" applyAlignment="1">
      <alignment horizontal="left" vertical="center"/>
    </xf>
    <xf numFmtId="0" fontId="37" fillId="0" borderId="0" xfId="8" applyFont="1" applyFill="1" applyAlignment="1"/>
    <xf numFmtId="49" fontId="10" fillId="0" borderId="2" xfId="8" applyNumberFormat="1" applyFont="1" applyFill="1" applyBorder="1" applyAlignment="1">
      <alignment horizontal="left" vertical="center"/>
    </xf>
    <xf numFmtId="167" fontId="14" fillId="0" borderId="42" xfId="0" applyNumberFormat="1" applyFont="1" applyFill="1" applyBorder="1" applyAlignment="1">
      <alignment horizontal="right"/>
    </xf>
    <xf numFmtId="3" fontId="12" fillId="0" borderId="2" xfId="8" applyNumberFormat="1" applyFont="1" applyFill="1" applyBorder="1" applyAlignment="1">
      <alignment horizontal="right" vertical="top"/>
    </xf>
    <xf numFmtId="3" fontId="12" fillId="0" borderId="17" xfId="8" applyNumberFormat="1" applyFont="1" applyFill="1" applyBorder="1" applyAlignment="1">
      <alignment horizontal="right" vertical="top"/>
    </xf>
    <xf numFmtId="0" fontId="4" fillId="0" borderId="0" xfId="8" applyFont="1" applyFill="1" applyAlignment="1">
      <alignment vertical="center" wrapText="1"/>
    </xf>
    <xf numFmtId="3" fontId="12" fillId="0" borderId="0" xfId="8" applyNumberFormat="1" applyFont="1" applyFill="1" applyBorder="1" applyAlignment="1">
      <alignment horizontal="right" vertical="top"/>
    </xf>
    <xf numFmtId="167" fontId="9" fillId="0" borderId="0" xfId="8" applyNumberFormat="1" applyFont="1" applyFill="1" applyBorder="1"/>
    <xf numFmtId="0" fontId="65" fillId="0" borderId="0" xfId="8" applyFont="1" applyFill="1"/>
    <xf numFmtId="0" fontId="9" fillId="0" borderId="14" xfId="8" applyFont="1" applyFill="1" applyBorder="1"/>
    <xf numFmtId="1" fontId="5" fillId="0" borderId="12" xfId="8" applyNumberFormat="1" applyFont="1" applyFill="1" applyBorder="1" applyAlignment="1">
      <alignment horizontal="left"/>
    </xf>
    <xf numFmtId="166" fontId="12" fillId="0" borderId="21" xfId="8" applyNumberFormat="1" applyFont="1" applyFill="1" applyBorder="1" applyAlignment="1">
      <alignment horizontal="right"/>
    </xf>
    <xf numFmtId="4" fontId="27" fillId="0" borderId="0" xfId="8" applyNumberFormat="1" applyFont="1" applyFill="1"/>
    <xf numFmtId="1" fontId="5" fillId="0" borderId="0" xfId="0" applyNumberFormat="1" applyFont="1" applyFill="1" applyBorder="1" applyAlignment="1">
      <alignment horizontal="center" vertical="center"/>
    </xf>
    <xf numFmtId="0" fontId="4" fillId="0" borderId="2" xfId="8" applyFont="1" applyFill="1" applyBorder="1" applyAlignment="1">
      <alignment wrapText="1"/>
    </xf>
    <xf numFmtId="1" fontId="5" fillId="0" borderId="26" xfId="8" applyNumberFormat="1" applyFont="1" applyBorder="1" applyAlignment="1">
      <alignment horizontal="center" vertical="center"/>
    </xf>
    <xf numFmtId="1" fontId="5" fillId="0" borderId="9" xfId="8" applyNumberFormat="1" applyFont="1" applyBorder="1" applyAlignment="1">
      <alignment horizontal="center" vertical="center"/>
    </xf>
    <xf numFmtId="168" fontId="10" fillId="0" borderId="9" xfId="8" applyNumberFormat="1" applyFont="1" applyBorder="1" applyAlignment="1">
      <alignment horizontal="center" vertical="center"/>
    </xf>
    <xf numFmtId="1" fontId="5" fillId="0" borderId="12" xfId="8" applyNumberFormat="1" applyFont="1" applyBorder="1" applyAlignment="1">
      <alignment horizontal="center" vertical="center"/>
    </xf>
    <xf numFmtId="1" fontId="5" fillId="0" borderId="2" xfId="8" applyNumberFormat="1" applyFont="1" applyBorder="1" applyAlignment="1">
      <alignment horizontal="center" vertical="center"/>
    </xf>
    <xf numFmtId="49" fontId="27" fillId="0" borderId="2" xfId="8" applyNumberFormat="1" applyFont="1" applyBorder="1" applyAlignment="1">
      <alignment horizontal="center" vertical="center"/>
    </xf>
    <xf numFmtId="1" fontId="4" fillId="0" borderId="6" xfId="8" applyNumberFormat="1" applyFont="1" applyFill="1" applyBorder="1" applyAlignment="1">
      <alignment horizontal="center" vertical="center"/>
    </xf>
    <xf numFmtId="1" fontId="4" fillId="0" borderId="9" xfId="8" applyNumberFormat="1" applyFont="1" applyFill="1" applyBorder="1" applyAlignment="1">
      <alignment horizontal="center" vertical="center"/>
    </xf>
    <xf numFmtId="168" fontId="28" fillId="0" borderId="9" xfId="8" applyNumberFormat="1" applyFont="1" applyFill="1" applyBorder="1" applyAlignment="1">
      <alignment horizontal="center" vertical="center"/>
    </xf>
    <xf numFmtId="1" fontId="4" fillId="0" borderId="2" xfId="8" applyNumberFormat="1" applyFont="1" applyFill="1" applyBorder="1" applyAlignment="1">
      <alignment horizontal="center" vertical="center"/>
    </xf>
    <xf numFmtId="49" fontId="10" fillId="0" borderId="0" xfId="8" applyNumberFormat="1" applyFont="1" applyFill="1" applyAlignment="1">
      <alignment horizontal="left" vertical="center"/>
    </xf>
    <xf numFmtId="3" fontId="41" fillId="0" borderId="9" xfId="8" applyNumberFormat="1" applyFont="1" applyFill="1" applyBorder="1"/>
    <xf numFmtId="168" fontId="28" fillId="0" borderId="2" xfId="8" applyNumberFormat="1" applyFont="1" applyFill="1" applyBorder="1" applyAlignment="1">
      <alignment horizontal="center"/>
    </xf>
    <xf numFmtId="167" fontId="22" fillId="0" borderId="24" xfId="8" applyNumberFormat="1" applyFont="1" applyFill="1" applyBorder="1" applyAlignment="1">
      <alignment horizontal="right"/>
    </xf>
    <xf numFmtId="0" fontId="49" fillId="0" borderId="19" xfId="8" applyFont="1" applyFill="1" applyBorder="1"/>
    <xf numFmtId="167" fontId="9" fillId="0" borderId="24" xfId="8" applyNumberFormat="1" applyFont="1" applyFill="1" applyBorder="1" applyAlignment="1">
      <alignment horizontal="right"/>
    </xf>
    <xf numFmtId="167" fontId="9" fillId="0" borderId="42" xfId="8" applyNumberFormat="1" applyFont="1" applyFill="1" applyBorder="1" applyAlignment="1">
      <alignment horizontal="right"/>
    </xf>
    <xf numFmtId="167" fontId="9" fillId="0" borderId="23" xfId="8" applyNumberFormat="1" applyFont="1" applyFill="1" applyBorder="1" applyAlignment="1">
      <alignment horizontal="right"/>
    </xf>
    <xf numFmtId="1" fontId="5" fillId="0" borderId="26" xfId="8" applyNumberFormat="1" applyFont="1" applyFill="1" applyBorder="1" applyAlignment="1">
      <alignment horizontal="center" vertical="center"/>
    </xf>
    <xf numFmtId="168" fontId="27" fillId="0" borderId="9" xfId="8" applyNumberFormat="1" applyFont="1" applyFill="1" applyBorder="1" applyAlignment="1">
      <alignment horizontal="center" vertical="center"/>
    </xf>
    <xf numFmtId="0" fontId="14" fillId="0" borderId="27" xfId="8" applyFont="1" applyFill="1" applyBorder="1" applyAlignment="1">
      <alignment horizontal="left" vertical="center"/>
    </xf>
    <xf numFmtId="166" fontId="14" fillId="0" borderId="30" xfId="8" applyNumberFormat="1" applyFont="1" applyFill="1" applyBorder="1" applyAlignment="1">
      <alignment horizontal="right"/>
    </xf>
    <xf numFmtId="1" fontId="5" fillId="0" borderId="12" xfId="8" applyNumberFormat="1" applyFont="1" applyFill="1" applyBorder="1" applyAlignment="1">
      <alignment horizontal="center" vertical="center"/>
    </xf>
    <xf numFmtId="49" fontId="27" fillId="0" borderId="2" xfId="8" applyNumberFormat="1" applyFont="1" applyFill="1" applyBorder="1" applyAlignment="1">
      <alignment horizontal="center" vertical="center"/>
    </xf>
    <xf numFmtId="0" fontId="13" fillId="0" borderId="0" xfId="8" applyFont="1" applyFill="1" applyBorder="1" applyAlignment="1">
      <alignment horizontal="left" vertical="center"/>
    </xf>
    <xf numFmtId="168" fontId="27" fillId="0" borderId="2" xfId="8" applyNumberFormat="1" applyFont="1" applyFill="1" applyBorder="1" applyAlignment="1">
      <alignment horizontal="center" vertical="center"/>
    </xf>
    <xf numFmtId="0" fontId="14" fillId="0" borderId="0" xfId="8" applyFont="1" applyFill="1" applyBorder="1" applyAlignment="1">
      <alignment horizontal="left" vertical="center"/>
    </xf>
    <xf numFmtId="49" fontId="10" fillId="0" borderId="2" xfId="8" applyNumberFormat="1" applyFont="1" applyFill="1" applyBorder="1" applyAlignment="1">
      <alignment horizontal="center" vertical="center"/>
    </xf>
    <xf numFmtId="1" fontId="5" fillId="0" borderId="2" xfId="8" applyNumberFormat="1" applyFont="1" applyFill="1" applyBorder="1" applyAlignment="1">
      <alignment horizontal="center" vertical="center"/>
    </xf>
    <xf numFmtId="0" fontId="5" fillId="0" borderId="0" xfId="8" applyFont="1" applyFill="1" applyBorder="1" applyAlignment="1">
      <alignment horizontal="left" vertical="center"/>
    </xf>
    <xf numFmtId="0" fontId="22" fillId="0" borderId="0" xfId="8" applyFont="1" applyFill="1" applyBorder="1" applyAlignment="1">
      <alignment horizontal="left" vertical="center" wrapText="1"/>
    </xf>
    <xf numFmtId="1" fontId="5" fillId="0" borderId="14" xfId="8" applyNumberFormat="1" applyFont="1" applyFill="1" applyBorder="1" applyAlignment="1">
      <alignment horizontal="center" vertical="center"/>
    </xf>
    <xf numFmtId="168" fontId="27" fillId="0" borderId="14" xfId="8" applyNumberFormat="1" applyFont="1" applyFill="1" applyBorder="1" applyAlignment="1">
      <alignment horizontal="center" vertical="center"/>
    </xf>
    <xf numFmtId="0" fontId="13" fillId="0" borderId="0" xfId="8" applyFont="1" applyBorder="1" applyAlignment="1">
      <alignment wrapText="1"/>
    </xf>
    <xf numFmtId="167" fontId="12" fillId="0" borderId="25" xfId="8" applyNumberFormat="1" applyFont="1" applyBorder="1" applyAlignment="1">
      <alignment horizontal="right" vertical="top"/>
    </xf>
    <xf numFmtId="3" fontId="41" fillId="0" borderId="2" xfId="8" applyNumberFormat="1" applyFont="1" applyFill="1" applyBorder="1" applyAlignment="1">
      <alignment vertical="top"/>
    </xf>
    <xf numFmtId="3" fontId="24" fillId="0" borderId="2" xfId="8" applyNumberFormat="1" applyFont="1" applyFill="1" applyBorder="1" applyAlignment="1">
      <alignment vertical="top"/>
    </xf>
    <xf numFmtId="167" fontId="15" fillId="0" borderId="25" xfId="8" applyNumberFormat="1" applyFont="1" applyFill="1" applyBorder="1" applyAlignment="1">
      <alignment horizontal="right" vertical="top"/>
    </xf>
    <xf numFmtId="0" fontId="5" fillId="0" borderId="2" xfId="8" applyFont="1" applyFill="1" applyBorder="1" applyAlignment="1">
      <alignment horizontal="left" vertical="center" wrapText="1"/>
    </xf>
    <xf numFmtId="167" fontId="9" fillId="0" borderId="25" xfId="8" applyNumberFormat="1" applyFont="1" applyFill="1" applyBorder="1" applyAlignment="1">
      <alignment horizontal="right" vertical="top"/>
    </xf>
    <xf numFmtId="49" fontId="27" fillId="0" borderId="2" xfId="0" applyNumberFormat="1" applyFont="1" applyFill="1" applyBorder="1" applyAlignment="1">
      <alignment horizontal="center" vertical="top"/>
    </xf>
    <xf numFmtId="0" fontId="14" fillId="0" borderId="0" xfId="8" applyFont="1" applyBorder="1" applyAlignment="1">
      <alignment vertical="center"/>
    </xf>
    <xf numFmtId="0" fontId="14" fillId="0" borderId="0" xfId="8" applyFont="1" applyBorder="1" applyAlignment="1">
      <alignment wrapText="1"/>
    </xf>
    <xf numFmtId="1" fontId="5" fillId="0" borderId="0" xfId="0" applyNumberFormat="1" applyFont="1" applyFill="1" applyBorder="1" applyAlignment="1">
      <alignment horizontal="center" vertical="top"/>
    </xf>
    <xf numFmtId="167" fontId="9" fillId="0" borderId="23" xfId="8" applyNumberFormat="1" applyFont="1" applyFill="1" applyBorder="1" applyAlignment="1">
      <alignment horizontal="right" vertical="top"/>
    </xf>
    <xf numFmtId="167" fontId="9" fillId="0" borderId="42" xfId="8" applyNumberFormat="1" applyFont="1" applyFill="1" applyBorder="1" applyAlignment="1">
      <alignment horizontal="right" vertical="top"/>
    </xf>
    <xf numFmtId="3" fontId="12" fillId="0" borderId="2" xfId="4" applyFont="1" applyFill="1" applyBorder="1" applyAlignment="1">
      <alignment horizontal="right" vertical="top"/>
    </xf>
    <xf numFmtId="3" fontId="24" fillId="0" borderId="2" xfId="8" applyNumberFormat="1" applyFont="1" applyBorder="1" applyAlignment="1">
      <alignment vertical="top"/>
    </xf>
    <xf numFmtId="0" fontId="4" fillId="0" borderId="17" xfId="8" applyFont="1" applyFill="1" applyBorder="1" applyAlignment="1">
      <alignment wrapText="1"/>
    </xf>
    <xf numFmtId="1" fontId="13" fillId="0" borderId="17" xfId="8" applyNumberFormat="1" applyFont="1" applyFill="1" applyBorder="1" applyAlignment="1">
      <alignment horizontal="left" wrapText="1"/>
    </xf>
    <xf numFmtId="1" fontId="4" fillId="0" borderId="6" xfId="8" applyNumberFormat="1" applyFont="1" applyFill="1" applyBorder="1" applyAlignment="1">
      <alignment horizontal="center" vertical="top"/>
    </xf>
    <xf numFmtId="1" fontId="4" fillId="0" borderId="2" xfId="8" applyNumberFormat="1" applyFont="1" applyFill="1" applyBorder="1" applyAlignment="1">
      <alignment horizontal="center" vertical="top"/>
    </xf>
    <xf numFmtId="3" fontId="14" fillId="0" borderId="2" xfId="4" applyFont="1" applyFill="1" applyBorder="1" applyAlignment="1">
      <alignment horizontal="right" vertical="top"/>
    </xf>
    <xf numFmtId="3" fontId="22" fillId="0" borderId="2" xfId="8" applyNumberFormat="1" applyFont="1" applyFill="1" applyBorder="1" applyAlignment="1">
      <alignment vertical="top"/>
    </xf>
    <xf numFmtId="167" fontId="22" fillId="0" borderId="21" xfId="8" applyNumberFormat="1" applyFont="1" applyFill="1" applyBorder="1" applyAlignment="1">
      <alignment horizontal="right" vertical="top"/>
    </xf>
    <xf numFmtId="3" fontId="12" fillId="3" borderId="2" xfId="8" applyNumberFormat="1" applyFont="1" applyFill="1" applyBorder="1" applyAlignment="1">
      <alignment horizontal="right" vertical="top"/>
    </xf>
    <xf numFmtId="0" fontId="7" fillId="0" borderId="0" xfId="8" applyFont="1" applyFill="1" applyAlignment="1">
      <alignment vertical="top"/>
    </xf>
    <xf numFmtId="167" fontId="14" fillId="3" borderId="25" xfId="8" applyNumberFormat="1" applyFont="1" applyFill="1" applyBorder="1" applyAlignment="1">
      <alignment horizontal="right" vertical="top"/>
    </xf>
    <xf numFmtId="0" fontId="35" fillId="0" borderId="0" xfId="8" applyFont="1" applyFill="1" applyBorder="1" applyAlignment="1">
      <alignment horizontal="center" vertical="center"/>
    </xf>
    <xf numFmtId="1" fontId="13" fillId="3" borderId="6" xfId="8" applyNumberFormat="1" applyFont="1" applyFill="1" applyBorder="1" applyAlignment="1">
      <alignment horizontal="center" vertical="center"/>
    </xf>
    <xf numFmtId="1" fontId="13" fillId="3" borderId="0" xfId="8" applyNumberFormat="1" applyFont="1" applyFill="1" applyBorder="1" applyAlignment="1">
      <alignment horizontal="center" vertical="center"/>
    </xf>
    <xf numFmtId="0" fontId="22" fillId="5" borderId="0" xfId="8" applyFont="1" applyFill="1" applyBorder="1" applyAlignment="1">
      <alignment vertical="center" wrapText="1"/>
    </xf>
    <xf numFmtId="1" fontId="13" fillId="0" borderId="6" xfId="8" applyNumberFormat="1" applyFont="1" applyFill="1" applyBorder="1" applyAlignment="1">
      <alignment horizontal="center" vertical="center"/>
    </xf>
    <xf numFmtId="1" fontId="13" fillId="0" borderId="0" xfId="8" applyNumberFormat="1" applyFont="1" applyFill="1" applyBorder="1" applyAlignment="1">
      <alignment horizontal="center" vertical="center"/>
    </xf>
    <xf numFmtId="0" fontId="14" fillId="0" borderId="17" xfId="8" applyFont="1" applyFill="1" applyBorder="1" applyAlignment="1"/>
    <xf numFmtId="0" fontId="13" fillId="0" borderId="14" xfId="8" applyFont="1" applyFill="1" applyBorder="1"/>
    <xf numFmtId="167" fontId="12" fillId="0" borderId="21" xfId="8" applyNumberFormat="1" applyFont="1" applyFill="1" applyBorder="1" applyAlignment="1">
      <alignment horizontal="right"/>
    </xf>
    <xf numFmtId="3" fontId="14" fillId="3" borderId="14" xfId="8" applyNumberFormat="1" applyFont="1" applyFill="1" applyBorder="1" applyAlignment="1">
      <alignment horizontal="right"/>
    </xf>
    <xf numFmtId="1" fontId="13" fillId="3" borderId="50" xfId="8" applyNumberFormat="1" applyFont="1" applyFill="1" applyBorder="1" applyAlignment="1">
      <alignment horizontal="center" vertical="center"/>
    </xf>
    <xf numFmtId="1" fontId="13" fillId="3" borderId="14" xfId="8" applyNumberFormat="1" applyFont="1" applyFill="1" applyBorder="1" applyAlignment="1">
      <alignment horizontal="center" vertical="center"/>
    </xf>
    <xf numFmtId="1" fontId="13" fillId="0" borderId="2" xfId="8" applyNumberFormat="1" applyFont="1" applyBorder="1" applyAlignment="1">
      <alignment horizontal="left" vertical="center"/>
    </xf>
    <xf numFmtId="0" fontId="13" fillId="0" borderId="2" xfId="8" applyFont="1" applyBorder="1" applyAlignment="1">
      <alignment vertical="center"/>
    </xf>
    <xf numFmtId="0" fontId="22" fillId="4" borderId="6" xfId="0" applyFont="1" applyFill="1" applyBorder="1" applyAlignment="1">
      <alignment wrapText="1"/>
    </xf>
    <xf numFmtId="0" fontId="4" fillId="0" borderId="0" xfId="8" applyFill="1" applyAlignment="1">
      <alignment wrapText="1"/>
    </xf>
    <xf numFmtId="0" fontId="22" fillId="0" borderId="7" xfId="8" applyFont="1" applyFill="1" applyBorder="1" applyAlignment="1"/>
    <xf numFmtId="0" fontId="22" fillId="0" borderId="8" xfId="8" applyFont="1" applyFill="1" applyBorder="1" applyAlignment="1"/>
    <xf numFmtId="0" fontId="22" fillId="0" borderId="56" xfId="8" applyFont="1" applyFill="1" applyBorder="1" applyAlignment="1"/>
    <xf numFmtId="0" fontId="22" fillId="0" borderId="4" xfId="8" applyFont="1" applyFill="1" applyBorder="1" applyAlignment="1">
      <alignment horizontal="left"/>
    </xf>
    <xf numFmtId="0" fontId="22" fillId="0" borderId="5" xfId="8" applyFont="1" applyFill="1" applyBorder="1" applyAlignment="1">
      <alignment horizontal="left"/>
    </xf>
    <xf numFmtId="0" fontId="4" fillId="0" borderId="0" xfId="8" applyAlignment="1"/>
    <xf numFmtId="166" fontId="12" fillId="0" borderId="0" xfId="8" applyNumberFormat="1" applyFont="1" applyBorder="1" applyAlignment="1">
      <alignment horizontal="right"/>
    </xf>
    <xf numFmtId="4" fontId="41" fillId="4" borderId="0" xfId="8" applyNumberFormat="1" applyFont="1" applyFill="1"/>
    <xf numFmtId="4" fontId="123" fillId="4" borderId="0" xfId="8" applyNumberFormat="1" applyFont="1" applyFill="1"/>
    <xf numFmtId="4" fontId="124" fillId="4" borderId="0" xfId="8" applyNumberFormat="1" applyFont="1" applyFill="1"/>
    <xf numFmtId="4" fontId="93" fillId="4" borderId="19" xfId="0" applyNumberFormat="1" applyFont="1" applyFill="1" applyBorder="1"/>
    <xf numFmtId="0" fontId="62" fillId="4" borderId="11" xfId="0" applyFont="1" applyFill="1" applyBorder="1"/>
    <xf numFmtId="3" fontId="73" fillId="4" borderId="3" xfId="0" applyNumberFormat="1" applyFont="1" applyFill="1" applyBorder="1"/>
    <xf numFmtId="4" fontId="93" fillId="4" borderId="28" xfId="0" applyNumberFormat="1" applyFont="1" applyFill="1" applyBorder="1"/>
    <xf numFmtId="0" fontId="62" fillId="4" borderId="50" xfId="0" applyFont="1" applyFill="1" applyBorder="1"/>
    <xf numFmtId="166" fontId="73" fillId="4" borderId="49" xfId="0" applyNumberFormat="1" applyFont="1" applyFill="1" applyBorder="1"/>
    <xf numFmtId="4" fontId="73" fillId="38" borderId="28" xfId="0" applyNumberFormat="1" applyFont="1" applyFill="1" applyBorder="1"/>
    <xf numFmtId="4" fontId="73" fillId="38" borderId="19" xfId="0" applyNumberFormat="1" applyFont="1" applyFill="1" applyBorder="1"/>
    <xf numFmtId="0" fontId="4" fillId="0" borderId="17" xfId="8" applyFill="1" applyBorder="1" applyAlignment="1">
      <alignment horizontal="center" vertical="center"/>
    </xf>
    <xf numFmtId="4" fontId="4" fillId="0" borderId="0" xfId="8" applyNumberFormat="1" applyFill="1" applyAlignment="1">
      <alignment vertical="center"/>
    </xf>
    <xf numFmtId="0" fontId="4" fillId="0" borderId="0" xfId="8" applyFont="1" applyAlignment="1">
      <alignment horizontal="right"/>
    </xf>
    <xf numFmtId="0" fontId="51" fillId="0" borderId="0" xfId="8" applyFont="1"/>
    <xf numFmtId="49" fontId="4" fillId="0" borderId="0" xfId="8" applyNumberFormat="1" applyFill="1" applyBorder="1" applyAlignment="1">
      <alignment horizontal="center" vertical="center"/>
    </xf>
    <xf numFmtId="49" fontId="4" fillId="0" borderId="9" xfId="8" applyNumberFormat="1" applyFill="1" applyBorder="1" applyAlignment="1">
      <alignment horizontal="center" vertical="center"/>
    </xf>
    <xf numFmtId="166" fontId="35" fillId="4" borderId="21" xfId="8" applyNumberFormat="1" applyFont="1" applyFill="1" applyBorder="1" applyAlignment="1">
      <alignment horizontal="center" vertical="center"/>
    </xf>
    <xf numFmtId="1" fontId="35" fillId="4" borderId="15" xfId="8" applyNumberFormat="1" applyFont="1" applyFill="1" applyBorder="1" applyAlignment="1">
      <alignment horizontal="center" vertical="center" wrapText="1"/>
    </xf>
    <xf numFmtId="1" fontId="35" fillId="4" borderId="2" xfId="8" applyNumberFormat="1" applyFont="1" applyFill="1" applyBorder="1" applyAlignment="1">
      <alignment horizontal="center" vertical="center" wrapText="1"/>
    </xf>
    <xf numFmtId="0" fontId="35" fillId="4" borderId="2" xfId="8" applyFont="1" applyFill="1" applyBorder="1" applyAlignment="1">
      <alignment horizontal="center" vertical="center"/>
    </xf>
    <xf numFmtId="0" fontId="35" fillId="4" borderId="0" xfId="8" applyFont="1" applyFill="1" applyBorder="1" applyAlignment="1">
      <alignment horizontal="center" vertical="center"/>
    </xf>
    <xf numFmtId="0" fontId="35" fillId="4" borderId="12" xfId="8" applyFont="1" applyFill="1" applyBorder="1" applyAlignment="1">
      <alignment horizontal="center" vertical="center"/>
    </xf>
    <xf numFmtId="166" fontId="35" fillId="4" borderId="23" xfId="8" applyNumberFormat="1" applyFont="1" applyFill="1" applyBorder="1" applyAlignment="1">
      <alignment horizontal="center" vertical="center"/>
    </xf>
    <xf numFmtId="1" fontId="35" fillId="4" borderId="9" xfId="8" applyNumberFormat="1" applyFont="1" applyFill="1" applyBorder="1" applyAlignment="1">
      <alignment horizontal="center" vertical="center" wrapText="1"/>
    </xf>
    <xf numFmtId="0" fontId="4" fillId="4" borderId="27" xfId="8" applyFill="1" applyBorder="1"/>
    <xf numFmtId="4" fontId="73" fillId="38" borderId="28" xfId="8" applyNumberFormat="1" applyFont="1" applyFill="1" applyBorder="1"/>
    <xf numFmtId="4" fontId="73" fillId="38" borderId="19" xfId="8" applyNumberFormat="1" applyFont="1" applyFill="1" applyBorder="1"/>
    <xf numFmtId="0" fontId="13" fillId="0" borderId="2" xfId="8" applyFont="1" applyFill="1" applyBorder="1"/>
    <xf numFmtId="0" fontId="22" fillId="4" borderId="17" xfId="0" applyFont="1" applyFill="1" applyBorder="1"/>
    <xf numFmtId="1" fontId="5" fillId="0" borderId="6" xfId="0" applyNumberFormat="1" applyFont="1" applyBorder="1" applyAlignment="1">
      <alignment horizontal="center" vertical="center"/>
    </xf>
    <xf numFmtId="1" fontId="5" fillId="0" borderId="0" xfId="0" applyNumberFormat="1" applyFont="1" applyBorder="1" applyAlignment="1">
      <alignment horizontal="center" vertical="center"/>
    </xf>
    <xf numFmtId="166" fontId="24" fillId="0" borderId="21" xfId="0" applyNumberFormat="1" applyFont="1" applyFill="1" applyBorder="1" applyAlignment="1">
      <alignment vertical="center" wrapText="1"/>
    </xf>
    <xf numFmtId="1" fontId="5" fillId="0" borderId="6" xfId="8" applyNumberFormat="1" applyFont="1" applyBorder="1" applyAlignment="1">
      <alignment horizontal="center" vertical="center"/>
    </xf>
    <xf numFmtId="1" fontId="5" fillId="0" borderId="6" xfId="8" applyNumberFormat="1" applyFont="1" applyFill="1" applyBorder="1" applyAlignment="1">
      <alignment horizontal="center" vertical="center"/>
    </xf>
    <xf numFmtId="164" fontId="4" fillId="4" borderId="19" xfId="0" applyNumberFormat="1" applyFont="1" applyFill="1" applyBorder="1" applyAlignment="1">
      <alignment horizontal="center"/>
    </xf>
    <xf numFmtId="3" fontId="24" fillId="4" borderId="19" xfId="0" applyNumberFormat="1" applyFont="1" applyFill="1" applyBorder="1"/>
    <xf numFmtId="4" fontId="22" fillId="4" borderId="16" xfId="0" applyNumberFormat="1" applyFont="1" applyFill="1" applyBorder="1"/>
    <xf numFmtId="0" fontId="24" fillId="4" borderId="60" xfId="0" applyFont="1" applyFill="1" applyBorder="1"/>
    <xf numFmtId="164" fontId="4" fillId="4" borderId="60" xfId="0" applyNumberFormat="1" applyFont="1" applyFill="1" applyBorder="1" applyAlignment="1">
      <alignment horizontal="center"/>
    </xf>
    <xf numFmtId="3" fontId="22" fillId="4" borderId="60" xfId="0" applyNumberFormat="1" applyFont="1" applyFill="1" applyBorder="1"/>
    <xf numFmtId="4" fontId="22" fillId="4" borderId="52" xfId="0" applyNumberFormat="1" applyFont="1" applyFill="1" applyBorder="1"/>
    <xf numFmtId="0" fontId="24" fillId="0" borderId="17" xfId="0" applyFont="1" applyBorder="1" applyAlignment="1">
      <alignment vertical="top" wrapText="1"/>
    </xf>
    <xf numFmtId="0" fontId="24" fillId="0" borderId="2" xfId="0" applyFont="1" applyBorder="1" applyAlignment="1">
      <alignment vertical="top" wrapText="1"/>
    </xf>
    <xf numFmtId="0" fontId="24" fillId="0" borderId="2" xfId="0" applyFont="1" applyBorder="1" applyAlignment="1">
      <alignment vertical="top" wrapText="1"/>
    </xf>
    <xf numFmtId="0" fontId="4" fillId="0" borderId="27" xfId="0" applyFont="1" applyFill="1" applyBorder="1" applyAlignment="1">
      <alignment vertical="top"/>
    </xf>
    <xf numFmtId="0" fontId="4" fillId="0" borderId="0" xfId="0" applyFont="1" applyFill="1" applyBorder="1" applyAlignment="1">
      <alignment vertical="top"/>
    </xf>
    <xf numFmtId="0" fontId="24" fillId="0" borderId="2" xfId="0" applyFont="1" applyBorder="1" applyAlignment="1">
      <alignment vertical="top" wrapText="1"/>
    </xf>
    <xf numFmtId="0" fontId="12" fillId="0" borderId="17" xfId="0" applyFont="1" applyBorder="1" applyAlignment="1">
      <alignment wrapText="1"/>
    </xf>
    <xf numFmtId="0" fontId="4" fillId="0" borderId="6" xfId="0" applyFont="1" applyBorder="1"/>
    <xf numFmtId="49" fontId="10" fillId="0" borderId="17" xfId="0" applyNumberFormat="1" applyFont="1" applyBorder="1" applyAlignment="1">
      <alignment horizontal="left"/>
    </xf>
    <xf numFmtId="3" fontId="14" fillId="0" borderId="17" xfId="0" applyNumberFormat="1" applyFont="1" applyBorder="1"/>
    <xf numFmtId="1" fontId="12" fillId="0" borderId="17" xfId="0" applyNumberFormat="1" applyFont="1" applyBorder="1" applyAlignment="1">
      <alignment horizontal="left"/>
    </xf>
    <xf numFmtId="3" fontId="15" fillId="0" borderId="17" xfId="0" applyNumberFormat="1" applyFont="1" applyBorder="1"/>
    <xf numFmtId="1" fontId="12" fillId="0" borderId="17" xfId="0" applyNumberFormat="1" applyFont="1" applyBorder="1" applyAlignment="1">
      <alignment horizontal="left" wrapText="1"/>
    </xf>
    <xf numFmtId="49" fontId="10" fillId="0" borderId="0" xfId="0" applyNumberFormat="1" applyFont="1" applyAlignment="1">
      <alignment horizontal="left"/>
    </xf>
    <xf numFmtId="0" fontId="24" fillId="5" borderId="17" xfId="0" applyFont="1" applyFill="1" applyBorder="1"/>
    <xf numFmtId="0" fontId="24" fillId="0" borderId="2" xfId="0" applyFont="1" applyBorder="1" applyAlignment="1">
      <alignment wrapText="1"/>
    </xf>
    <xf numFmtId="0" fontId="24" fillId="0" borderId="2" xfId="0" applyFont="1" applyBorder="1" applyAlignment="1">
      <alignment wrapText="1"/>
    </xf>
    <xf numFmtId="49" fontId="10" fillId="0" borderId="0" xfId="0" applyNumberFormat="1" applyFont="1" applyAlignment="1">
      <alignment horizontal="left" vertical="center"/>
    </xf>
    <xf numFmtId="166" fontId="15" fillId="0" borderId="21" xfId="8" applyNumberFormat="1" applyFont="1" applyFill="1" applyBorder="1" applyAlignment="1">
      <alignment vertical="center"/>
    </xf>
    <xf numFmtId="49" fontId="10" fillId="0" borderId="14" xfId="0" applyNumberFormat="1" applyFont="1" applyBorder="1" applyAlignment="1">
      <alignment horizontal="left"/>
    </xf>
    <xf numFmtId="1" fontId="12" fillId="0" borderId="48" xfId="0" applyNumberFormat="1" applyFont="1" applyBorder="1" applyAlignment="1">
      <alignment horizontal="left"/>
    </xf>
    <xf numFmtId="3" fontId="15" fillId="0" borderId="2" xfId="8" applyNumberFormat="1" applyFont="1" applyFill="1" applyBorder="1" applyAlignment="1">
      <alignment vertical="center"/>
    </xf>
    <xf numFmtId="3" fontId="12" fillId="0" borderId="2" xfId="8" applyNumberFormat="1" applyFont="1" applyFill="1" applyBorder="1" applyAlignment="1">
      <alignment vertical="center"/>
    </xf>
    <xf numFmtId="0" fontId="4" fillId="0" borderId="12" xfId="0" applyFont="1" applyBorder="1"/>
    <xf numFmtId="3" fontId="10" fillId="0" borderId="17" xfId="0" applyNumberFormat="1" applyFont="1" applyBorder="1" applyAlignment="1">
      <alignment horizontal="left"/>
    </xf>
    <xf numFmtId="3" fontId="9" fillId="0" borderId="17" xfId="0" applyNumberFormat="1" applyFont="1" applyBorder="1"/>
    <xf numFmtId="166" fontId="9" fillId="0" borderId="25" xfId="0" applyNumberFormat="1" applyFont="1" applyBorder="1"/>
    <xf numFmtId="0" fontId="4" fillId="0" borderId="33" xfId="0" applyFont="1" applyBorder="1"/>
    <xf numFmtId="0" fontId="4" fillId="0" borderId="48" xfId="0" applyFont="1" applyBorder="1"/>
    <xf numFmtId="3" fontId="15" fillId="0" borderId="17" xfId="0" applyNumberFormat="1" applyFont="1" applyBorder="1" applyAlignment="1">
      <alignment vertical="center"/>
    </xf>
    <xf numFmtId="166" fontId="15" fillId="0" borderId="25" xfId="0" applyNumberFormat="1" applyFont="1" applyBorder="1" applyAlignment="1">
      <alignment vertical="center"/>
    </xf>
    <xf numFmtId="3" fontId="9" fillId="0" borderId="56" xfId="0" applyNumberFormat="1" applyFont="1" applyBorder="1"/>
    <xf numFmtId="166" fontId="9" fillId="0" borderId="22" xfId="0" applyNumberFormat="1" applyFont="1" applyBorder="1"/>
    <xf numFmtId="3" fontId="9" fillId="0" borderId="0" xfId="8" applyNumberFormat="1" applyFont="1" applyFill="1" applyBorder="1" applyAlignment="1">
      <alignment vertical="top"/>
    </xf>
    <xf numFmtId="166" fontId="9" fillId="0" borderId="0" xfId="8" applyNumberFormat="1" applyFont="1" applyFill="1" applyBorder="1" applyAlignment="1">
      <alignment vertical="top"/>
    </xf>
    <xf numFmtId="166" fontId="15" fillId="0" borderId="25" xfId="8" applyNumberFormat="1" applyFont="1" applyFill="1" applyBorder="1" applyAlignment="1">
      <alignment vertical="center"/>
    </xf>
    <xf numFmtId="0" fontId="24" fillId="0" borderId="2" xfId="0" applyFont="1" applyBorder="1" applyAlignment="1">
      <alignment wrapText="1"/>
    </xf>
    <xf numFmtId="3" fontId="15" fillId="0" borderId="0" xfId="0" applyNumberFormat="1" applyFont="1" applyAlignment="1">
      <alignment horizontal="right" vertical="center"/>
    </xf>
    <xf numFmtId="3" fontId="15" fillId="0" borderId="2" xfId="0" applyNumberFormat="1" applyFont="1" applyBorder="1" applyAlignment="1">
      <alignment horizontal="right" vertical="center"/>
    </xf>
    <xf numFmtId="3" fontId="15" fillId="0" borderId="17" xfId="0" applyNumberFormat="1" applyFont="1" applyBorder="1" applyAlignment="1">
      <alignment horizontal="right" vertical="center"/>
    </xf>
    <xf numFmtId="166" fontId="12" fillId="0" borderId="25" xfId="0" applyNumberFormat="1" applyFont="1" applyBorder="1" applyAlignment="1">
      <alignment horizontal="right" vertical="center"/>
    </xf>
    <xf numFmtId="0" fontId="24" fillId="0" borderId="2" xfId="0" applyFont="1" applyBorder="1" applyAlignment="1">
      <alignment vertical="center" wrapText="1"/>
    </xf>
    <xf numFmtId="3" fontId="4" fillId="0" borderId="0" xfId="0" applyNumberFormat="1" applyFont="1"/>
    <xf numFmtId="166" fontId="4" fillId="0" borderId="0" xfId="0" applyNumberFormat="1" applyFont="1"/>
    <xf numFmtId="0" fontId="7" fillId="0" borderId="4" xfId="0" applyFont="1" applyBorder="1" applyAlignment="1">
      <alignment horizontal="center" vertical="center"/>
    </xf>
    <xf numFmtId="0" fontId="7" fillId="0" borderId="56" xfId="0" applyFont="1" applyBorder="1" applyAlignment="1">
      <alignment horizontal="center" vertical="center"/>
    </xf>
    <xf numFmtId="1" fontId="7" fillId="0" borderId="56" xfId="0" applyNumberFormat="1" applyFont="1" applyBorder="1" applyAlignment="1">
      <alignment horizontal="center" vertical="center"/>
    </xf>
    <xf numFmtId="3" fontId="7" fillId="0" borderId="56" xfId="0" applyNumberFormat="1" applyFont="1" applyBorder="1" applyAlignment="1">
      <alignment horizontal="center" vertical="center"/>
    </xf>
    <xf numFmtId="3" fontId="35" fillId="0" borderId="56" xfId="0" applyNumberFormat="1" applyFont="1" applyBorder="1" applyAlignment="1">
      <alignment horizontal="center" vertical="center"/>
    </xf>
    <xf numFmtId="166" fontId="7" fillId="0" borderId="22" xfId="0" applyNumberFormat="1" applyFont="1" applyBorder="1" applyAlignment="1">
      <alignment horizontal="center" vertical="center"/>
    </xf>
    <xf numFmtId="0" fontId="35" fillId="0" borderId="50" xfId="0" applyFont="1" applyBorder="1" applyAlignment="1">
      <alignment horizontal="center" vertical="center"/>
    </xf>
    <xf numFmtId="0" fontId="35" fillId="0" borderId="48" xfId="0" applyFont="1" applyBorder="1" applyAlignment="1">
      <alignment horizontal="center" vertical="center"/>
    </xf>
    <xf numFmtId="1" fontId="35" fillId="0" borderId="48" xfId="0" applyNumberFormat="1" applyFont="1" applyBorder="1" applyAlignment="1">
      <alignment horizontal="center" vertical="center" wrapText="1"/>
    </xf>
    <xf numFmtId="1" fontId="35" fillId="0" borderId="34" xfId="0" applyNumberFormat="1" applyFont="1" applyBorder="1" applyAlignment="1">
      <alignment horizontal="center" vertical="center" wrapText="1"/>
    </xf>
    <xf numFmtId="1" fontId="35" fillId="0" borderId="42" xfId="0" applyNumberFormat="1" applyFont="1" applyBorder="1" applyAlignment="1">
      <alignment horizontal="center" vertical="center" wrapText="1"/>
    </xf>
    <xf numFmtId="0" fontId="4" fillId="0" borderId="47" xfId="0" applyFont="1" applyBorder="1"/>
    <xf numFmtId="1" fontId="5" fillId="0" borderId="52" xfId="0" applyNumberFormat="1" applyFont="1" applyBorder="1" applyAlignment="1">
      <alignment horizontal="left"/>
    </xf>
    <xf numFmtId="3" fontId="10" fillId="0" borderId="52" xfId="0" applyNumberFormat="1" applyFont="1" applyBorder="1" applyAlignment="1">
      <alignment horizontal="left"/>
    </xf>
    <xf numFmtId="0" fontId="9" fillId="0" borderId="52" xfId="0" applyFont="1" applyBorder="1"/>
    <xf numFmtId="3" fontId="9" fillId="0" borderId="52" xfId="0" applyNumberFormat="1" applyFont="1" applyBorder="1"/>
    <xf numFmtId="166" fontId="9" fillId="0" borderId="76" xfId="0" applyNumberFormat="1" applyFont="1" applyBorder="1"/>
    <xf numFmtId="3" fontId="12" fillId="0" borderId="17" xfId="0" applyNumberFormat="1" applyFont="1" applyBorder="1" applyAlignment="1">
      <alignment vertical="center"/>
    </xf>
    <xf numFmtId="166" fontId="15" fillId="0" borderId="25" xfId="0" applyNumberFormat="1" applyFont="1" applyBorder="1"/>
    <xf numFmtId="0" fontId="4" fillId="0" borderId="50" xfId="0" applyFont="1" applyBorder="1"/>
    <xf numFmtId="3" fontId="10" fillId="0" borderId="2" xfId="0" applyNumberFormat="1" applyFont="1" applyBorder="1" applyAlignment="1">
      <alignment horizontal="left"/>
    </xf>
    <xf numFmtId="3" fontId="15" fillId="0" borderId="2" xfId="0" applyNumberFormat="1" applyFont="1" applyBorder="1"/>
    <xf numFmtId="166" fontId="15" fillId="0" borderId="21" xfId="0" applyNumberFormat="1" applyFont="1" applyBorder="1" applyAlignment="1">
      <alignment vertical="center"/>
    </xf>
    <xf numFmtId="0" fontId="12" fillId="0" borderId="17" xfId="0" applyFont="1" applyBorder="1" applyAlignment="1">
      <alignment vertical="center" wrapText="1"/>
    </xf>
    <xf numFmtId="3" fontId="10" fillId="0" borderId="9" xfId="0" applyNumberFormat="1" applyFont="1" applyBorder="1" applyAlignment="1">
      <alignment horizontal="left"/>
    </xf>
    <xf numFmtId="1" fontId="125" fillId="0" borderId="0" xfId="8" applyNumberFormat="1" applyFont="1" applyFill="1" applyBorder="1" applyAlignment="1">
      <alignment horizontal="left"/>
    </xf>
    <xf numFmtId="0" fontId="126" fillId="0" borderId="0" xfId="8" applyFont="1" applyFill="1"/>
    <xf numFmtId="0" fontId="127" fillId="0" borderId="0" xfId="8" applyFont="1" applyFill="1"/>
    <xf numFmtId="0" fontId="128" fillId="0" borderId="0" xfId="8" applyFont="1" applyFill="1"/>
    <xf numFmtId="0" fontId="129" fillId="0" borderId="0" xfId="8" applyFont="1" applyFill="1" applyAlignment="1">
      <alignment vertical="center"/>
    </xf>
    <xf numFmtId="3" fontId="127" fillId="0" borderId="0" xfId="8" applyNumberFormat="1" applyFont="1" applyFill="1"/>
    <xf numFmtId="0" fontId="127" fillId="0" borderId="0" xfId="8" applyFont="1" applyFill="1" applyAlignment="1">
      <alignment vertical="top"/>
    </xf>
    <xf numFmtId="3" fontId="127" fillId="0" borderId="0" xfId="8" applyNumberFormat="1" applyFont="1" applyFill="1" applyAlignment="1">
      <alignment vertical="top"/>
    </xf>
    <xf numFmtId="0" fontId="129" fillId="0" borderId="0" xfId="8" applyFont="1" applyFill="1" applyAlignment="1">
      <alignment vertical="top"/>
    </xf>
    <xf numFmtId="3" fontId="130" fillId="0" borderId="0" xfId="8" applyNumberFormat="1" applyFont="1" applyFill="1" applyBorder="1"/>
    <xf numFmtId="3" fontId="131" fillId="0" borderId="0" xfId="8" applyNumberFormat="1" applyFont="1" applyFill="1"/>
    <xf numFmtId="4" fontId="131" fillId="0" borderId="0" xfId="8" applyNumberFormat="1" applyFont="1" applyFill="1"/>
    <xf numFmtId="0" fontId="127" fillId="0" borderId="0" xfId="8" applyFont="1" applyFill="1" applyBorder="1"/>
    <xf numFmtId="0" fontId="4" fillId="0" borderId="2" xfId="0" applyFont="1" applyFill="1" applyBorder="1" applyAlignment="1">
      <alignment vertical="top" wrapText="1"/>
    </xf>
    <xf numFmtId="166" fontId="12" fillId="0" borderId="25" xfId="8" applyNumberFormat="1" applyFont="1" applyBorder="1" applyAlignment="1">
      <alignment horizontal="right" vertical="top"/>
    </xf>
    <xf numFmtId="3" fontId="15" fillId="0" borderId="0" xfId="8" applyNumberFormat="1" applyFont="1" applyFill="1" applyBorder="1" applyAlignment="1">
      <alignment horizontal="right" vertical="top"/>
    </xf>
    <xf numFmtId="3" fontId="15" fillId="0" borderId="2" xfId="8" applyNumberFormat="1" applyFont="1" applyFill="1" applyBorder="1" applyAlignment="1">
      <alignment horizontal="right" vertical="top"/>
    </xf>
    <xf numFmtId="0" fontId="13" fillId="0" borderId="2" xfId="8" applyFont="1" applyBorder="1" applyAlignment="1">
      <alignment vertical="center" wrapText="1"/>
    </xf>
    <xf numFmtId="0" fontId="13" fillId="0" borderId="0" xfId="8" applyFont="1" applyBorder="1" applyAlignment="1">
      <alignment vertical="top" wrapText="1"/>
    </xf>
    <xf numFmtId="0" fontId="13" fillId="3" borderId="0" xfId="8" applyFont="1" applyFill="1" applyBorder="1" applyAlignment="1">
      <alignment vertical="top"/>
    </xf>
    <xf numFmtId="0" fontId="13" fillId="0" borderId="0" xfId="8" applyFont="1" applyAlignment="1">
      <alignment vertical="top"/>
    </xf>
    <xf numFmtId="167" fontId="12" fillId="3" borderId="25" xfId="8" applyNumberFormat="1" applyFont="1" applyFill="1" applyBorder="1" applyAlignment="1">
      <alignment horizontal="right" vertical="top"/>
    </xf>
    <xf numFmtId="0" fontId="13" fillId="0" borderId="0" xfId="8" applyFont="1" applyBorder="1" applyAlignment="1">
      <alignment vertical="top"/>
    </xf>
    <xf numFmtId="3" fontId="12" fillId="3" borderId="0" xfId="8" applyNumberFormat="1" applyFont="1" applyFill="1" applyBorder="1" applyAlignment="1">
      <alignment horizontal="right" vertical="top"/>
    </xf>
    <xf numFmtId="1" fontId="5" fillId="0" borderId="0" xfId="8" applyNumberFormat="1" applyFont="1" applyFill="1" applyBorder="1" applyAlignment="1">
      <alignment horizontal="center" vertical="center"/>
    </xf>
    <xf numFmtId="3" fontId="15" fillId="0" borderId="0" xfId="8" applyNumberFormat="1" applyFont="1" applyBorder="1" applyAlignment="1">
      <alignment horizontal="right" vertical="top"/>
    </xf>
    <xf numFmtId="1" fontId="41" fillId="0" borderId="6" xfId="8" applyNumberFormat="1" applyFont="1" applyFill="1" applyBorder="1" applyAlignment="1">
      <alignment horizontal="left" vertical="top"/>
    </xf>
    <xf numFmtId="1" fontId="41" fillId="0" borderId="2" xfId="8" applyNumberFormat="1" applyFont="1" applyFill="1" applyBorder="1" applyAlignment="1">
      <alignment horizontal="center" vertical="top"/>
    </xf>
    <xf numFmtId="0" fontId="13" fillId="0" borderId="2" xfId="8" applyFont="1" applyBorder="1" applyAlignment="1">
      <alignment vertical="top" wrapText="1"/>
    </xf>
    <xf numFmtId="4" fontId="28" fillId="0" borderId="0" xfId="8" applyNumberFormat="1" applyFont="1" applyFill="1" applyAlignment="1">
      <alignment vertical="top"/>
    </xf>
    <xf numFmtId="1" fontId="5" fillId="0" borderId="12" xfId="8" applyNumberFormat="1" applyFont="1" applyBorder="1" applyAlignment="1">
      <alignment horizontal="left" vertical="top"/>
    </xf>
    <xf numFmtId="0" fontId="12" fillId="0" borderId="17" xfId="0" applyFont="1" applyFill="1" applyBorder="1" applyAlignment="1">
      <alignment wrapText="1"/>
    </xf>
    <xf numFmtId="0" fontId="4" fillId="39" borderId="0" xfId="0" applyFont="1" applyFill="1"/>
    <xf numFmtId="0" fontId="4" fillId="0" borderId="2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15" xfId="0" applyFont="1" applyFill="1" applyBorder="1" applyAlignment="1">
      <alignment horizontal="center" vertical="center"/>
    </xf>
    <xf numFmtId="1" fontId="5" fillId="0" borderId="17" xfId="0" applyNumberFormat="1" applyFont="1" applyFill="1" applyBorder="1" applyAlignment="1">
      <alignment horizontal="center" vertical="center"/>
    </xf>
    <xf numFmtId="49" fontId="10" fillId="0" borderId="2" xfId="0" applyNumberFormat="1" applyFont="1" applyBorder="1" applyAlignment="1">
      <alignment horizontal="center" vertical="top"/>
    </xf>
    <xf numFmtId="49" fontId="10" fillId="0" borderId="17" xfId="0" applyNumberFormat="1" applyFont="1" applyFill="1" applyBorder="1" applyAlignment="1">
      <alignment horizontal="center" vertical="center"/>
    </xf>
    <xf numFmtId="49" fontId="10" fillId="0" borderId="2" xfId="0" applyNumberFormat="1" applyFont="1" applyBorder="1" applyAlignment="1">
      <alignment horizontal="center" vertical="center"/>
    </xf>
    <xf numFmtId="49" fontId="10" fillId="0" borderId="2" xfId="0" applyNumberFormat="1" applyFont="1" applyFill="1" applyBorder="1" applyAlignment="1">
      <alignment horizontal="center" vertical="center"/>
    </xf>
    <xf numFmtId="3" fontId="24" fillId="0" borderId="2" xfId="0" applyNumberFormat="1" applyFont="1" applyFill="1" applyBorder="1" applyAlignment="1">
      <alignment horizontal="right" vertical="top" wrapText="1"/>
    </xf>
    <xf numFmtId="3" fontId="24" fillId="0" borderId="15" xfId="0" applyNumberFormat="1" applyFont="1" applyFill="1" applyBorder="1" applyAlignment="1">
      <alignment horizontal="right" vertical="top" wrapText="1"/>
    </xf>
    <xf numFmtId="49" fontId="10" fillId="0" borderId="0" xfId="0" applyNumberFormat="1" applyFont="1" applyFill="1" applyBorder="1" applyAlignment="1">
      <alignment horizontal="center" vertical="center"/>
    </xf>
    <xf numFmtId="1" fontId="5" fillId="0" borderId="15" xfId="0" applyNumberFormat="1" applyFont="1" applyFill="1" applyBorder="1" applyAlignment="1">
      <alignment horizontal="center" vertical="center"/>
    </xf>
    <xf numFmtId="3" fontId="27" fillId="0" borderId="15" xfId="0" applyNumberFormat="1" applyFont="1" applyFill="1" applyBorder="1" applyAlignment="1">
      <alignment horizontal="center" vertical="center"/>
    </xf>
    <xf numFmtId="3" fontId="10" fillId="0" borderId="17" xfId="0" applyNumberFormat="1" applyFont="1" applyFill="1" applyBorder="1" applyAlignment="1">
      <alignment horizontal="center" vertical="center"/>
    </xf>
    <xf numFmtId="0" fontId="4" fillId="0" borderId="50" xfId="0" applyFont="1" applyFill="1" applyBorder="1" applyAlignment="1">
      <alignment horizontal="center" vertical="center"/>
    </xf>
    <xf numFmtId="0" fontId="4" fillId="0" borderId="14" xfId="0" applyFont="1" applyFill="1" applyBorder="1" applyAlignment="1">
      <alignment horizontal="center" vertical="center"/>
    </xf>
    <xf numFmtId="49" fontId="10" fillId="0" borderId="14" xfId="0" applyNumberFormat="1" applyFont="1" applyFill="1" applyBorder="1" applyAlignment="1">
      <alignment horizontal="center" vertical="center"/>
    </xf>
    <xf numFmtId="0" fontId="4" fillId="0" borderId="38" xfId="0" applyFont="1" applyFill="1" applyBorder="1" applyAlignment="1">
      <alignment horizontal="center" vertical="center"/>
    </xf>
    <xf numFmtId="1" fontId="5" fillId="0" borderId="9" xfId="0" applyNumberFormat="1" applyFont="1" applyFill="1" applyBorder="1" applyAlignment="1">
      <alignment horizontal="center" vertical="center"/>
    </xf>
    <xf numFmtId="3" fontId="10" fillId="0" borderId="9" xfId="0" applyNumberFormat="1" applyFont="1" applyFill="1" applyBorder="1" applyAlignment="1">
      <alignment horizontal="center" vertical="center"/>
    </xf>
    <xf numFmtId="0" fontId="4" fillId="0" borderId="12" xfId="0" applyFont="1" applyFill="1" applyBorder="1" applyAlignment="1">
      <alignment horizontal="center" vertical="center"/>
    </xf>
    <xf numFmtId="3" fontId="27" fillId="0" borderId="17" xfId="0" applyNumberFormat="1" applyFont="1" applyFill="1" applyBorder="1" applyAlignment="1">
      <alignment horizontal="center" vertical="center"/>
    </xf>
    <xf numFmtId="49" fontId="10" fillId="0" borderId="0" xfId="0" applyNumberFormat="1" applyFont="1" applyBorder="1" applyAlignment="1">
      <alignment horizontal="center" vertical="center"/>
    </xf>
    <xf numFmtId="49" fontId="10" fillId="0" borderId="0" xfId="0" applyNumberFormat="1" applyFont="1" applyFill="1" applyAlignment="1">
      <alignment horizontal="center" vertical="center"/>
    </xf>
    <xf numFmtId="3" fontId="10" fillId="0" borderId="2" xfId="0" applyNumberFormat="1" applyFont="1" applyFill="1" applyBorder="1" applyAlignment="1">
      <alignment horizontal="center" vertical="center"/>
    </xf>
    <xf numFmtId="0" fontId="4" fillId="4" borderId="6" xfId="0" applyFont="1" applyFill="1" applyBorder="1" applyAlignment="1">
      <alignment horizontal="center" vertical="center"/>
    </xf>
    <xf numFmtId="1" fontId="5" fillId="4" borderId="17" xfId="0" applyNumberFormat="1" applyFont="1" applyFill="1" applyBorder="1" applyAlignment="1">
      <alignment horizontal="center" vertical="center"/>
    </xf>
    <xf numFmtId="49" fontId="10" fillId="4" borderId="2" xfId="0" applyNumberFormat="1" applyFont="1" applyFill="1" applyBorder="1" applyAlignment="1">
      <alignment horizontal="center" vertical="center"/>
    </xf>
    <xf numFmtId="1" fontId="5" fillId="4" borderId="2" xfId="0" applyNumberFormat="1" applyFont="1" applyFill="1" applyBorder="1" applyAlignment="1">
      <alignment horizontal="center" vertical="center"/>
    </xf>
    <xf numFmtId="3" fontId="10" fillId="4" borderId="2" xfId="0" applyNumberFormat="1" applyFont="1" applyFill="1" applyBorder="1" applyAlignment="1">
      <alignment horizontal="center" vertical="center"/>
    </xf>
    <xf numFmtId="49" fontId="10" fillId="4" borderId="0" xfId="0" applyNumberFormat="1" applyFont="1" applyFill="1" applyAlignment="1">
      <alignment horizontal="center" vertical="center"/>
    </xf>
    <xf numFmtId="0" fontId="4" fillId="4" borderId="17" xfId="0" applyFont="1" applyFill="1" applyBorder="1" applyAlignment="1">
      <alignment horizontal="center" vertical="center"/>
    </xf>
    <xf numFmtId="49" fontId="10" fillId="4" borderId="17" xfId="0" applyNumberFormat="1" applyFont="1" applyFill="1" applyBorder="1" applyAlignment="1">
      <alignment horizontal="center" vertical="center"/>
    </xf>
    <xf numFmtId="49" fontId="10" fillId="0" borderId="0" xfId="0" applyNumberFormat="1" applyFont="1" applyAlignment="1">
      <alignment horizontal="center" vertical="center"/>
    </xf>
    <xf numFmtId="49" fontId="10" fillId="0" borderId="17" xfId="0" applyNumberFormat="1" applyFont="1" applyFill="1" applyBorder="1" applyAlignment="1">
      <alignment horizontal="center" vertical="top"/>
    </xf>
    <xf numFmtId="0" fontId="4" fillId="0" borderId="6" xfId="0" applyFont="1" applyBorder="1" applyAlignment="1">
      <alignment horizontal="center" vertical="center"/>
    </xf>
    <xf numFmtId="1" fontId="5" fillId="0" borderId="17" xfId="0" applyNumberFormat="1" applyFont="1" applyBorder="1" applyAlignment="1">
      <alignment horizontal="center" vertical="center"/>
    </xf>
    <xf numFmtId="49" fontId="10" fillId="0" borderId="17" xfId="0" applyNumberFormat="1" applyFont="1" applyBorder="1" applyAlignment="1">
      <alignment horizontal="center" vertical="center"/>
    </xf>
    <xf numFmtId="0" fontId="37" fillId="0" borderId="6" xfId="0" applyFont="1" applyFill="1" applyBorder="1" applyAlignment="1">
      <alignment horizontal="center" vertical="center"/>
    </xf>
    <xf numFmtId="3" fontId="27" fillId="0" borderId="2" xfId="0" applyNumberFormat="1" applyFont="1" applyFill="1" applyBorder="1" applyAlignment="1">
      <alignment horizontal="center" vertical="center"/>
    </xf>
    <xf numFmtId="49" fontId="10" fillId="0" borderId="17" xfId="0" applyNumberFormat="1" applyFont="1" applyBorder="1" applyAlignment="1">
      <alignment horizontal="left" vertical="top"/>
    </xf>
    <xf numFmtId="49" fontId="10" fillId="3" borderId="17" xfId="0" applyNumberFormat="1" applyFont="1" applyFill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3" fontId="10" fillId="4" borderId="17" xfId="0" applyNumberFormat="1" applyFont="1" applyFill="1" applyBorder="1" applyAlignment="1">
      <alignment horizontal="center" vertical="center"/>
    </xf>
    <xf numFmtId="49" fontId="10" fillId="0" borderId="2" xfId="0" applyNumberFormat="1" applyFont="1" applyBorder="1" applyAlignment="1">
      <alignment horizontal="center" vertical="center" wrapText="1"/>
    </xf>
    <xf numFmtId="49" fontId="10" fillId="0" borderId="0" xfId="0" applyNumberFormat="1" applyFont="1" applyFill="1" applyBorder="1" applyAlignment="1">
      <alignment horizontal="center" vertical="top"/>
    </xf>
    <xf numFmtId="0" fontId="4" fillId="0" borderId="2" xfId="0" applyFont="1" applyBorder="1" applyAlignment="1">
      <alignment horizontal="center" vertical="center" wrapText="1"/>
    </xf>
    <xf numFmtId="49" fontId="10" fillId="3" borderId="2" xfId="0" applyNumberFormat="1" applyFont="1" applyFill="1" applyBorder="1" applyAlignment="1">
      <alignment horizontal="center" vertical="center"/>
    </xf>
    <xf numFmtId="49" fontId="10" fillId="0" borderId="0" xfId="0" applyNumberFormat="1" applyFont="1" applyBorder="1" applyAlignment="1">
      <alignment horizontal="center" vertical="top"/>
    </xf>
    <xf numFmtId="49" fontId="10" fillId="0" borderId="17" xfId="0" applyNumberFormat="1" applyFont="1" applyBorder="1" applyAlignment="1">
      <alignment horizontal="center" vertical="top"/>
    </xf>
    <xf numFmtId="49" fontId="10" fillId="4" borderId="2" xfId="0" applyNumberFormat="1" applyFont="1" applyFill="1" applyBorder="1" applyAlignment="1">
      <alignment horizontal="center" vertical="center" wrapText="1"/>
    </xf>
    <xf numFmtId="3" fontId="15" fillId="4" borderId="17" xfId="0" applyNumberFormat="1" applyFont="1" applyFill="1" applyBorder="1" applyAlignment="1">
      <alignment vertical="top"/>
    </xf>
    <xf numFmtId="166" fontId="15" fillId="4" borderId="21" xfId="0" applyNumberFormat="1" applyFont="1" applyFill="1" applyBorder="1" applyAlignment="1">
      <alignment vertical="top"/>
    </xf>
    <xf numFmtId="49" fontId="10" fillId="5" borderId="2" xfId="0" applyNumberFormat="1" applyFont="1" applyFill="1" applyBorder="1" applyAlignment="1">
      <alignment horizontal="center" vertical="center"/>
    </xf>
    <xf numFmtId="0" fontId="4" fillId="0" borderId="47" xfId="0" applyFont="1" applyFill="1" applyBorder="1" applyAlignment="1">
      <alignment horizontal="center" vertical="center"/>
    </xf>
    <xf numFmtId="1" fontId="5" fillId="0" borderId="41" xfId="0" applyNumberFormat="1" applyFont="1" applyFill="1" applyBorder="1" applyAlignment="1">
      <alignment horizontal="center" vertical="center"/>
    </xf>
    <xf numFmtId="3" fontId="10" fillId="0" borderId="41" xfId="0" applyNumberFormat="1" applyFont="1" applyFill="1" applyBorder="1" applyAlignment="1">
      <alignment horizontal="center" vertical="center"/>
    </xf>
    <xf numFmtId="3" fontId="15" fillId="0" borderId="2" xfId="0" applyNumberFormat="1" applyFont="1" applyFill="1" applyBorder="1" applyAlignment="1">
      <alignment horizontal="right" vertical="top"/>
    </xf>
    <xf numFmtId="0" fontId="4" fillId="0" borderId="17" xfId="0" applyFont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center" vertical="center"/>
    </xf>
    <xf numFmtId="1" fontId="5" fillId="0" borderId="3" xfId="0" applyNumberFormat="1" applyFont="1" applyFill="1" applyBorder="1" applyAlignment="1">
      <alignment horizontal="center" vertical="center"/>
    </xf>
    <xf numFmtId="1" fontId="5" fillId="0" borderId="55" xfId="0" applyNumberFormat="1" applyFont="1" applyFill="1" applyBorder="1" applyAlignment="1">
      <alignment horizontal="center" vertical="center"/>
    </xf>
    <xf numFmtId="3" fontId="27" fillId="0" borderId="0" xfId="0" applyNumberFormat="1" applyFont="1" applyFill="1" applyBorder="1" applyAlignment="1">
      <alignment horizontal="center" vertical="center"/>
    </xf>
    <xf numFmtId="49" fontId="10" fillId="0" borderId="2" xfId="3" applyNumberFormat="1" applyFont="1" applyBorder="1" applyAlignment="1">
      <alignment horizontal="center" vertical="center"/>
    </xf>
    <xf numFmtId="49" fontId="10" fillId="0" borderId="14" xfId="3" applyNumberFormat="1" applyFont="1" applyBorder="1" applyAlignment="1">
      <alignment horizontal="center" vertical="center"/>
    </xf>
    <xf numFmtId="49" fontId="27" fillId="0" borderId="14" xfId="0" applyNumberFormat="1" applyFont="1" applyFill="1" applyBorder="1" applyAlignment="1">
      <alignment horizontal="center" vertical="center"/>
    </xf>
    <xf numFmtId="1" fontId="13" fillId="0" borderId="50" xfId="8" applyNumberFormat="1" applyFont="1" applyFill="1" applyBorder="1" applyAlignment="1">
      <alignment horizontal="center" vertical="center"/>
    </xf>
    <xf numFmtId="49" fontId="27" fillId="0" borderId="14" xfId="8" applyNumberFormat="1" applyFont="1" applyFill="1" applyBorder="1" applyAlignment="1">
      <alignment horizontal="center" vertical="center"/>
    </xf>
    <xf numFmtId="1" fontId="13" fillId="0" borderId="17" xfId="8" applyNumberFormat="1" applyFont="1" applyFill="1" applyBorder="1" applyAlignment="1">
      <alignment horizontal="center" vertical="center"/>
    </xf>
    <xf numFmtId="1" fontId="5" fillId="0" borderId="50" xfId="8" applyNumberFormat="1" applyFont="1" applyFill="1" applyBorder="1" applyAlignment="1">
      <alignment horizontal="center" vertical="center"/>
    </xf>
    <xf numFmtId="1" fontId="13" fillId="3" borderId="4" xfId="8" applyNumberFormat="1" applyFont="1" applyFill="1" applyBorder="1" applyAlignment="1">
      <alignment horizontal="center" vertical="center"/>
    </xf>
    <xf numFmtId="1" fontId="13" fillId="3" borderId="8" xfId="8" applyNumberFormat="1" applyFont="1" applyFill="1" applyBorder="1" applyAlignment="1">
      <alignment horizontal="center" vertical="center"/>
    </xf>
    <xf numFmtId="168" fontId="27" fillId="3" borderId="5" xfId="8" applyNumberFormat="1" applyFont="1" applyFill="1" applyBorder="1" applyAlignment="1">
      <alignment horizontal="center" vertical="center"/>
    </xf>
    <xf numFmtId="49" fontId="10" fillId="0" borderId="2" xfId="8" applyNumberFormat="1" applyFont="1" applyBorder="1" applyAlignment="1">
      <alignment horizontal="center" vertical="center"/>
    </xf>
    <xf numFmtId="1" fontId="13" fillId="3" borderId="12" xfId="8" applyNumberFormat="1" applyFont="1" applyFill="1" applyBorder="1" applyAlignment="1">
      <alignment horizontal="center" vertical="center"/>
    </xf>
    <xf numFmtId="1" fontId="13" fillId="3" borderId="2" xfId="8" applyNumberFormat="1" applyFont="1" applyFill="1" applyBorder="1" applyAlignment="1">
      <alignment horizontal="center" vertical="center"/>
    </xf>
    <xf numFmtId="168" fontId="27" fillId="3" borderId="2" xfId="8" applyNumberFormat="1" applyFont="1" applyFill="1" applyBorder="1" applyAlignment="1">
      <alignment horizontal="center" vertical="center"/>
    </xf>
    <xf numFmtId="49" fontId="10" fillId="0" borderId="2" xfId="8" applyNumberFormat="1" applyFont="1" applyBorder="1" applyAlignment="1">
      <alignment horizontal="center" vertical="top"/>
    </xf>
    <xf numFmtId="1" fontId="13" fillId="3" borderId="26" xfId="8" applyNumberFormat="1" applyFont="1" applyFill="1" applyBorder="1" applyAlignment="1">
      <alignment horizontal="center" vertical="center"/>
    </xf>
    <xf numFmtId="1" fontId="13" fillId="3" borderId="9" xfId="8" applyNumberFormat="1" applyFont="1" applyFill="1" applyBorder="1" applyAlignment="1">
      <alignment horizontal="center" vertical="center"/>
    </xf>
    <xf numFmtId="168" fontId="27" fillId="3" borderId="9" xfId="8" applyNumberFormat="1" applyFont="1" applyFill="1" applyBorder="1" applyAlignment="1">
      <alignment horizontal="center" vertical="center"/>
    </xf>
    <xf numFmtId="168" fontId="27" fillId="3" borderId="2" xfId="8" applyNumberFormat="1" applyFont="1" applyFill="1" applyBorder="1" applyAlignment="1">
      <alignment horizontal="center" vertical="top"/>
    </xf>
    <xf numFmtId="49" fontId="10" fillId="0" borderId="14" xfId="8" applyNumberFormat="1" applyFont="1" applyFill="1" applyBorder="1" applyAlignment="1">
      <alignment horizontal="center" vertical="center"/>
    </xf>
    <xf numFmtId="49" fontId="10" fillId="0" borderId="0" xfId="8" applyNumberFormat="1" applyFont="1" applyBorder="1" applyAlignment="1">
      <alignment horizontal="center" vertical="center"/>
    </xf>
    <xf numFmtId="1" fontId="14" fillId="0" borderId="2" xfId="8" applyNumberFormat="1" applyFont="1" applyBorder="1" applyAlignment="1">
      <alignment horizontal="center" vertical="center"/>
    </xf>
    <xf numFmtId="168" fontId="41" fillId="0" borderId="9" xfId="8" applyNumberFormat="1" applyFont="1" applyFill="1" applyBorder="1" applyAlignment="1">
      <alignment horizontal="center" vertical="center"/>
    </xf>
    <xf numFmtId="1" fontId="41" fillId="0" borderId="2" xfId="8" applyNumberFormat="1" applyFont="1" applyFill="1" applyBorder="1" applyAlignment="1">
      <alignment horizontal="center" vertical="center"/>
    </xf>
    <xf numFmtId="49" fontId="10" fillId="0" borderId="0" xfId="8" applyNumberFormat="1" applyFont="1" applyBorder="1" applyAlignment="1">
      <alignment horizontal="center" vertical="top"/>
    </xf>
    <xf numFmtId="49" fontId="10" fillId="0" borderId="0" xfId="8" applyNumberFormat="1" applyFont="1" applyFill="1" applyAlignment="1">
      <alignment horizontal="center" vertical="top"/>
    </xf>
    <xf numFmtId="3" fontId="73" fillId="4" borderId="14" xfId="0" applyNumberFormat="1" applyFont="1" applyFill="1" applyBorder="1"/>
    <xf numFmtId="3" fontId="73" fillId="4" borderId="0" xfId="0" applyNumberFormat="1" applyFont="1" applyFill="1" applyBorder="1"/>
    <xf numFmtId="3" fontId="73" fillId="4" borderId="34" xfId="0" applyNumberFormat="1" applyFont="1" applyFill="1" applyBorder="1"/>
    <xf numFmtId="3" fontId="73" fillId="4" borderId="27" xfId="0" applyNumberFormat="1" applyFont="1" applyFill="1" applyBorder="1"/>
    <xf numFmtId="166" fontId="24" fillId="4" borderId="27" xfId="0" applyNumberFormat="1" applyFont="1" applyFill="1" applyBorder="1"/>
    <xf numFmtId="164" fontId="4" fillId="4" borderId="27" xfId="0" applyNumberFormat="1" applyFont="1" applyFill="1" applyBorder="1" applyAlignment="1">
      <alignment horizontal="center"/>
    </xf>
    <xf numFmtId="0" fontId="62" fillId="4" borderId="27" xfId="0" applyFont="1" applyFill="1" applyBorder="1"/>
    <xf numFmtId="166" fontId="73" fillId="4" borderId="42" xfId="0" applyNumberFormat="1" applyFont="1" applyFill="1" applyBorder="1"/>
    <xf numFmtId="166" fontId="73" fillId="4" borderId="27" xfId="0" applyNumberFormat="1" applyFont="1" applyFill="1" applyBorder="1"/>
    <xf numFmtId="0" fontId="62" fillId="4" borderId="34" xfId="0" applyFont="1" applyFill="1" applyBorder="1"/>
    <xf numFmtId="0" fontId="4" fillId="4" borderId="34" xfId="0" applyFont="1" applyFill="1" applyBorder="1"/>
    <xf numFmtId="3" fontId="37" fillId="4" borderId="34" xfId="0" applyNumberFormat="1" applyFont="1" applyFill="1" applyBorder="1" applyAlignment="1">
      <alignment horizontal="center"/>
    </xf>
    <xf numFmtId="1" fontId="5" fillId="0" borderId="12" xfId="0" applyNumberFormat="1" applyFont="1" applyFill="1" applyBorder="1" applyAlignment="1">
      <alignment horizontal="left" vertical="center"/>
    </xf>
    <xf numFmtId="0" fontId="9" fillId="0" borderId="2" xfId="0" applyFont="1" applyFill="1" applyBorder="1" applyAlignment="1">
      <alignment vertical="center" wrapText="1"/>
    </xf>
    <xf numFmtId="3" fontId="9" fillId="0" borderId="2" xfId="0" applyNumberFormat="1" applyFont="1" applyFill="1" applyBorder="1" applyAlignment="1">
      <alignment horizontal="right" vertical="center"/>
    </xf>
    <xf numFmtId="167" fontId="9" fillId="0" borderId="25" xfId="0" applyNumberFormat="1" applyFont="1" applyFill="1" applyBorder="1" applyAlignment="1">
      <alignment horizontal="right" vertical="center"/>
    </xf>
    <xf numFmtId="1" fontId="13" fillId="0" borderId="12" xfId="0" applyNumberFormat="1" applyFont="1" applyFill="1" applyBorder="1" applyAlignment="1">
      <alignment horizontal="center" vertical="center"/>
    </xf>
    <xf numFmtId="1" fontId="14" fillId="0" borderId="2" xfId="0" applyNumberFormat="1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1" fontId="5" fillId="0" borderId="50" xfId="0" applyNumberFormat="1" applyFont="1" applyFill="1" applyBorder="1" applyAlignment="1">
      <alignment horizontal="center"/>
    </xf>
    <xf numFmtId="0" fontId="13" fillId="0" borderId="34" xfId="0" applyFont="1" applyFill="1" applyBorder="1" applyAlignment="1">
      <alignment horizontal="center"/>
    </xf>
    <xf numFmtId="3" fontId="13" fillId="0" borderId="14" xfId="0" applyNumberFormat="1" applyFont="1" applyFill="1" applyBorder="1" applyAlignment="1">
      <alignment horizontal="right"/>
    </xf>
    <xf numFmtId="1" fontId="5" fillId="0" borderId="50" xfId="0" applyNumberFormat="1" applyFont="1" applyBorder="1" applyAlignment="1">
      <alignment horizontal="center"/>
    </xf>
    <xf numFmtId="1" fontId="5" fillId="0" borderId="34" xfId="0" applyNumberFormat="1" applyFont="1" applyBorder="1" applyAlignment="1">
      <alignment horizontal="center"/>
    </xf>
    <xf numFmtId="0" fontId="13" fillId="0" borderId="34" xfId="0" applyFont="1" applyBorder="1" applyAlignment="1"/>
    <xf numFmtId="167" fontId="12" fillId="0" borderId="35" xfId="0" applyNumberFormat="1" applyFont="1" applyBorder="1" applyAlignment="1">
      <alignment horizontal="right"/>
    </xf>
    <xf numFmtId="1" fontId="5" fillId="0" borderId="33" xfId="0" applyNumberFormat="1" applyFont="1" applyBorder="1" applyAlignment="1">
      <alignment horizontal="center"/>
    </xf>
    <xf numFmtId="1" fontId="5" fillId="0" borderId="14" xfId="0" applyNumberFormat="1" applyFont="1" applyBorder="1" applyAlignment="1">
      <alignment horizontal="center"/>
    </xf>
    <xf numFmtId="1" fontId="5" fillId="0" borderId="12" xfId="0" applyNumberFormat="1" applyFont="1" applyBorder="1" applyAlignment="1">
      <alignment horizontal="center" vertical="center"/>
    </xf>
    <xf numFmtId="1" fontId="5" fillId="0" borderId="2" xfId="0" applyNumberFormat="1" applyFont="1" applyBorder="1" applyAlignment="1">
      <alignment horizontal="center" vertical="center"/>
    </xf>
    <xf numFmtId="1" fontId="5" fillId="0" borderId="50" xfId="0" applyNumberFormat="1" applyFont="1" applyBorder="1" applyAlignment="1">
      <alignment horizontal="center" vertical="center"/>
    </xf>
    <xf numFmtId="1" fontId="10" fillId="0" borderId="2" xfId="0" applyNumberFormat="1" applyFont="1" applyBorder="1" applyAlignment="1">
      <alignment horizontal="center" vertical="top"/>
    </xf>
    <xf numFmtId="49" fontId="10" fillId="0" borderId="14" xfId="0" applyNumberFormat="1" applyFont="1" applyBorder="1" applyAlignment="1">
      <alignment horizontal="center" vertical="top"/>
    </xf>
    <xf numFmtId="1" fontId="5" fillId="0" borderId="38" xfId="0" applyNumberFormat="1" applyFont="1" applyBorder="1" applyAlignment="1">
      <alignment horizontal="center" vertical="center"/>
    </xf>
    <xf numFmtId="1" fontId="5" fillId="0" borderId="9" xfId="0" applyNumberFormat="1" applyFont="1" applyBorder="1" applyAlignment="1">
      <alignment horizontal="center" vertical="center"/>
    </xf>
    <xf numFmtId="1" fontId="5" fillId="0" borderId="14" xfId="0" applyNumberFormat="1" applyFont="1" applyBorder="1" applyAlignment="1">
      <alignment horizontal="center" vertical="center"/>
    </xf>
    <xf numFmtId="1" fontId="13" fillId="3" borderId="34" xfId="8" applyNumberFormat="1" applyFont="1" applyFill="1" applyBorder="1" applyAlignment="1">
      <alignment horizontal="center" vertical="center"/>
    </xf>
    <xf numFmtId="49" fontId="10" fillId="0" borderId="14" xfId="8" applyNumberFormat="1" applyFont="1" applyBorder="1" applyAlignment="1">
      <alignment horizontal="center" vertical="top"/>
    </xf>
    <xf numFmtId="0" fontId="13" fillId="0" borderId="34" xfId="8" applyFont="1" applyBorder="1" applyAlignment="1">
      <alignment wrapText="1"/>
    </xf>
    <xf numFmtId="3" fontId="12" fillId="0" borderId="14" xfId="8" applyNumberFormat="1" applyFont="1" applyFill="1" applyBorder="1" applyAlignment="1">
      <alignment horizontal="right" vertical="top"/>
    </xf>
    <xf numFmtId="3" fontId="12" fillId="0" borderId="34" xfId="8" applyNumberFormat="1" applyFont="1" applyFill="1" applyBorder="1" applyAlignment="1">
      <alignment horizontal="right" vertical="top"/>
    </xf>
    <xf numFmtId="167" fontId="12" fillId="0" borderId="35" xfId="8" applyNumberFormat="1" applyFont="1" applyBorder="1" applyAlignment="1">
      <alignment horizontal="right" vertical="top"/>
    </xf>
    <xf numFmtId="1" fontId="13" fillId="3" borderId="33" xfId="8" applyNumberFormat="1" applyFont="1" applyFill="1" applyBorder="1" applyAlignment="1">
      <alignment horizontal="center" vertical="center"/>
    </xf>
    <xf numFmtId="0" fontId="13" fillId="0" borderId="34" xfId="8" applyFont="1" applyBorder="1" applyAlignment="1">
      <alignment vertical="top"/>
    </xf>
    <xf numFmtId="3" fontId="12" fillId="3" borderId="14" xfId="8" applyNumberFormat="1" applyFont="1" applyFill="1" applyBorder="1" applyAlignment="1">
      <alignment horizontal="right" vertical="top"/>
    </xf>
    <xf numFmtId="167" fontId="12" fillId="0" borderId="0" xfId="8" applyNumberFormat="1" applyFont="1" applyBorder="1" applyAlignment="1">
      <alignment horizontal="right" vertical="top"/>
    </xf>
    <xf numFmtId="1" fontId="13" fillId="0" borderId="34" xfId="8" applyNumberFormat="1" applyFont="1" applyFill="1" applyBorder="1" applyAlignment="1">
      <alignment horizontal="center" vertical="center"/>
    </xf>
    <xf numFmtId="0" fontId="13" fillId="0" borderId="34" xfId="8" applyFont="1" applyFill="1" applyBorder="1"/>
    <xf numFmtId="0" fontId="22" fillId="4" borderId="47" xfId="0" applyFont="1" applyFill="1" applyBorder="1" applyAlignment="1">
      <alignment wrapText="1"/>
    </xf>
    <xf numFmtId="0" fontId="22" fillId="4" borderId="12" xfId="0" applyFont="1" applyFill="1" applyBorder="1" applyAlignment="1">
      <alignment wrapText="1"/>
    </xf>
    <xf numFmtId="164" fontId="37" fillId="4" borderId="41" xfId="0" applyNumberFormat="1" applyFont="1" applyFill="1" applyBorder="1" applyAlignment="1">
      <alignment horizontal="center" vertical="top"/>
    </xf>
    <xf numFmtId="3" fontId="22" fillId="4" borderId="41" xfId="0" applyNumberFormat="1" applyFont="1" applyFill="1" applyBorder="1" applyAlignment="1">
      <alignment vertical="top"/>
    </xf>
    <xf numFmtId="166" fontId="22" fillId="4" borderId="21" xfId="0" applyNumberFormat="1" applyFont="1" applyFill="1" applyBorder="1" applyAlignment="1">
      <alignment vertical="top"/>
    </xf>
    <xf numFmtId="3" fontId="51" fillId="0" borderId="0" xfId="0" applyNumberFormat="1" applyFont="1" applyFill="1" applyBorder="1" applyAlignment="1">
      <alignment horizontal="right" vertical="top"/>
    </xf>
    <xf numFmtId="166" fontId="52" fillId="0" borderId="0" xfId="0" applyNumberFormat="1" applyFont="1" applyFill="1" applyBorder="1" applyAlignment="1">
      <alignment horizontal="right" vertical="top"/>
    </xf>
    <xf numFmtId="166" fontId="22" fillId="4" borderId="43" xfId="0" applyNumberFormat="1" applyFont="1" applyFill="1" applyBorder="1" applyAlignment="1">
      <alignment vertical="top"/>
    </xf>
    <xf numFmtId="1" fontId="41" fillId="0" borderId="0" xfId="0" applyNumberFormat="1" applyFont="1" applyFill="1" applyAlignment="1">
      <alignment horizontal="center"/>
    </xf>
    <xf numFmtId="168" fontId="41" fillId="0" borderId="0" xfId="0" applyNumberFormat="1" applyFont="1" applyFill="1" applyAlignment="1">
      <alignment horizontal="center"/>
    </xf>
    <xf numFmtId="3" fontId="41" fillId="0" borderId="0" xfId="0" applyNumberFormat="1" applyFont="1" applyFill="1" applyBorder="1" applyAlignment="1">
      <alignment horizontal="right"/>
    </xf>
    <xf numFmtId="166" fontId="41" fillId="0" borderId="0" xfId="0" applyNumberFormat="1" applyFont="1" applyFill="1" applyBorder="1" applyAlignment="1">
      <alignment horizontal="right"/>
    </xf>
    <xf numFmtId="0" fontId="41" fillId="0" borderId="0" xfId="0" applyFont="1" applyFill="1"/>
    <xf numFmtId="1" fontId="41" fillId="0" borderId="0" xfId="0" applyNumberFormat="1" applyFont="1" applyFill="1" applyAlignment="1">
      <alignment horizontal="left"/>
    </xf>
    <xf numFmtId="167" fontId="26" fillId="0" borderId="0" xfId="0" applyNumberFormat="1" applyFont="1" applyFill="1" applyBorder="1" applyAlignment="1">
      <alignment horizontal="right" vertical="center"/>
    </xf>
    <xf numFmtId="4" fontId="41" fillId="0" borderId="0" xfId="8" applyNumberFormat="1" applyFont="1" applyFill="1"/>
    <xf numFmtId="3" fontId="41" fillId="0" borderId="0" xfId="0" applyNumberFormat="1" applyFont="1" applyFill="1" applyAlignment="1">
      <alignment horizontal="right"/>
    </xf>
    <xf numFmtId="167" fontId="49" fillId="0" borderId="0" xfId="0" applyNumberFormat="1" applyFont="1" applyFill="1" applyBorder="1" applyAlignment="1">
      <alignment horizontal="right" vertical="center"/>
    </xf>
    <xf numFmtId="4" fontId="132" fillId="0" borderId="0" xfId="8" applyNumberFormat="1" applyFont="1" applyFill="1"/>
    <xf numFmtId="0" fontId="4" fillId="0" borderId="2" xfId="0" applyFont="1" applyFill="1" applyBorder="1" applyAlignment="1">
      <alignment horizontal="left" vertical="center" wrapText="1"/>
    </xf>
    <xf numFmtId="0" fontId="13" fillId="0" borderId="2" xfId="0" applyFont="1" applyFill="1" applyBorder="1" applyAlignment="1">
      <alignment horizontal="left" vertical="center" wrapText="1"/>
    </xf>
    <xf numFmtId="1" fontId="12" fillId="0" borderId="2" xfId="0" applyNumberFormat="1" applyFont="1" applyFill="1" applyBorder="1" applyAlignment="1">
      <alignment horizontal="left" wrapText="1"/>
    </xf>
    <xf numFmtId="0" fontId="4" fillId="0" borderId="17" xfId="0" applyFont="1" applyFill="1" applyBorder="1" applyAlignment="1">
      <alignment vertical="top" wrapText="1"/>
    </xf>
    <xf numFmtId="1" fontId="13" fillId="0" borderId="38" xfId="0" applyNumberFormat="1" applyFont="1" applyFill="1" applyBorder="1" applyAlignment="1">
      <alignment horizontal="center" vertical="center"/>
    </xf>
    <xf numFmtId="1" fontId="13" fillId="0" borderId="6" xfId="0" applyNumberFormat="1" applyFont="1" applyFill="1" applyBorder="1" applyAlignment="1">
      <alignment horizontal="center" vertical="center"/>
    </xf>
    <xf numFmtId="1" fontId="13" fillId="0" borderId="6" xfId="0" applyNumberFormat="1" applyFont="1" applyFill="1" applyBorder="1" applyAlignment="1">
      <alignment horizontal="center" vertical="top"/>
    </xf>
    <xf numFmtId="0" fontId="6" fillId="0" borderId="56" xfId="0" applyFont="1" applyFill="1" applyBorder="1"/>
    <xf numFmtId="0" fontId="45" fillId="0" borderId="14" xfId="0" applyFont="1" applyFill="1" applyBorder="1" applyAlignment="1"/>
    <xf numFmtId="49" fontId="10" fillId="0" borderId="14" xfId="0" applyNumberFormat="1" applyFont="1" applyFill="1" applyBorder="1" applyAlignment="1">
      <alignment horizontal="left" vertical="top"/>
    </xf>
    <xf numFmtId="0" fontId="4" fillId="0" borderId="48" xfId="0" applyFont="1" applyFill="1" applyBorder="1" applyAlignment="1">
      <alignment vertical="top" wrapText="1"/>
    </xf>
    <xf numFmtId="3" fontId="12" fillId="0" borderId="14" xfId="0" applyNumberFormat="1" applyFont="1" applyFill="1" applyBorder="1" applyAlignment="1">
      <alignment vertical="top"/>
    </xf>
    <xf numFmtId="1" fontId="5" fillId="0" borderId="12" xfId="0" applyNumberFormat="1" applyFont="1" applyFill="1" applyBorder="1" applyAlignment="1">
      <alignment horizontal="center" vertical="top"/>
    </xf>
    <xf numFmtId="1" fontId="13" fillId="0" borderId="12" xfId="0" applyNumberFormat="1" applyFont="1" applyFill="1" applyBorder="1" applyAlignment="1">
      <alignment horizontal="center"/>
    </xf>
    <xf numFmtId="1" fontId="13" fillId="0" borderId="12" xfId="0" applyNumberFormat="1" applyFont="1" applyFill="1" applyBorder="1" applyAlignment="1">
      <alignment horizontal="center" vertical="top"/>
    </xf>
    <xf numFmtId="1" fontId="5" fillId="0" borderId="33" xfId="0" applyNumberFormat="1" applyFont="1" applyFill="1" applyBorder="1" applyAlignment="1">
      <alignment horizontal="center" vertical="top"/>
    </xf>
    <xf numFmtId="1" fontId="52" fillId="0" borderId="0" xfId="0" applyNumberFormat="1" applyFont="1" applyFill="1" applyBorder="1" applyAlignment="1">
      <alignment horizontal="center"/>
    </xf>
    <xf numFmtId="0" fontId="24" fillId="0" borderId="2" xfId="0" applyFont="1" applyBorder="1" applyAlignment="1">
      <alignment vertical="top" wrapText="1"/>
    </xf>
    <xf numFmtId="0" fontId="22" fillId="0" borderId="7" xfId="8" applyFont="1" applyFill="1" applyBorder="1" applyAlignment="1"/>
    <xf numFmtId="0" fontId="22" fillId="0" borderId="8" xfId="8" applyFont="1" applyFill="1" applyBorder="1" applyAlignment="1"/>
    <xf numFmtId="0" fontId="22" fillId="0" borderId="56" xfId="8" applyFont="1" applyFill="1" applyBorder="1" applyAlignment="1"/>
    <xf numFmtId="0" fontId="22" fillId="0" borderId="4" xfId="8" applyFont="1" applyFill="1" applyBorder="1" applyAlignment="1">
      <alignment horizontal="left"/>
    </xf>
    <xf numFmtId="0" fontId="22" fillId="0" borderId="5" xfId="8" applyFont="1" applyFill="1" applyBorder="1" applyAlignment="1">
      <alignment horizontal="left"/>
    </xf>
    <xf numFmtId="49" fontId="4" fillId="0" borderId="17" xfId="8" applyNumberFormat="1" applyFill="1" applyBorder="1" applyAlignment="1">
      <alignment horizontal="center" vertical="center"/>
    </xf>
    <xf numFmtId="0" fontId="4" fillId="0" borderId="17" xfId="8" applyFont="1" applyBorder="1" applyAlignment="1">
      <alignment horizontal="center" vertical="center"/>
    </xf>
    <xf numFmtId="0" fontId="22" fillId="0" borderId="7" xfId="8" applyFont="1" applyFill="1" applyBorder="1" applyAlignment="1"/>
    <xf numFmtId="0" fontId="22" fillId="0" borderId="8" xfId="8" applyFont="1" applyFill="1" applyBorder="1" applyAlignment="1"/>
    <xf numFmtId="0" fontId="22" fillId="0" borderId="56" xfId="8" applyFont="1" applyFill="1" applyBorder="1" applyAlignment="1"/>
    <xf numFmtId="0" fontId="9" fillId="0" borderId="0" xfId="0" applyFont="1" applyBorder="1" applyAlignment="1"/>
    <xf numFmtId="166" fontId="14" fillId="0" borderId="25" xfId="8" applyNumberFormat="1" applyFont="1" applyBorder="1" applyAlignment="1">
      <alignment horizontal="right" vertical="top"/>
    </xf>
    <xf numFmtId="0" fontId="14" fillId="0" borderId="2" xfId="8" applyFont="1" applyFill="1" applyBorder="1" applyAlignment="1">
      <alignment vertical="center" wrapText="1"/>
    </xf>
    <xf numFmtId="166" fontId="9" fillId="0" borderId="25" xfId="8" applyNumberFormat="1" applyFont="1" applyBorder="1" applyAlignment="1">
      <alignment horizontal="right" vertical="center"/>
    </xf>
    <xf numFmtId="1" fontId="5" fillId="0" borderId="2" xfId="8" applyNumberFormat="1" applyFont="1" applyBorder="1" applyAlignment="1">
      <alignment horizontal="left" vertical="center"/>
    </xf>
    <xf numFmtId="167" fontId="14" fillId="0" borderId="25" xfId="0" applyNumberFormat="1" applyFont="1" applyBorder="1" applyAlignment="1">
      <alignment horizontal="right" vertical="top"/>
    </xf>
    <xf numFmtId="1" fontId="5" fillId="0" borderId="6" xfId="8" applyNumberFormat="1" applyFont="1" applyFill="1" applyBorder="1" applyAlignment="1">
      <alignment horizontal="center"/>
    </xf>
    <xf numFmtId="0" fontId="13" fillId="0" borderId="0" xfId="8" applyFont="1" applyFill="1" applyBorder="1" applyAlignment="1">
      <alignment wrapText="1"/>
    </xf>
    <xf numFmtId="2" fontId="4" fillId="0" borderId="0" xfId="1" applyNumberFormat="1" applyFont="1" applyFill="1" applyBorder="1" applyAlignment="1">
      <alignment horizontal="center" vertical="center" wrapText="1"/>
    </xf>
    <xf numFmtId="2" fontId="13" fillId="0" borderId="0" xfId="0" applyNumberFormat="1" applyFont="1"/>
    <xf numFmtId="2" fontId="4" fillId="0" borderId="0" xfId="0" applyNumberFormat="1" applyFont="1" applyFill="1"/>
    <xf numFmtId="0" fontId="13" fillId="0" borderId="0" xfId="0" applyFont="1" applyBorder="1" applyAlignment="1">
      <alignment wrapText="1"/>
    </xf>
    <xf numFmtId="0" fontId="35" fillId="0" borderId="12" xfId="0" applyFont="1" applyFill="1" applyBorder="1" applyAlignment="1">
      <alignment horizontal="center" vertical="center"/>
    </xf>
    <xf numFmtId="167" fontId="12" fillId="0" borderId="21" xfId="0" applyNumberFormat="1" applyFont="1" applyBorder="1" applyAlignment="1">
      <alignment horizontal="right" vertical="top"/>
    </xf>
    <xf numFmtId="3" fontId="14" fillId="0" borderId="0" xfId="0" applyNumberFormat="1" applyFont="1" applyBorder="1" applyAlignment="1">
      <alignment horizontal="left" vertical="center" wrapText="1"/>
    </xf>
    <xf numFmtId="0" fontId="9" fillId="0" borderId="0" xfId="0" applyFont="1" applyBorder="1" applyAlignment="1">
      <alignment vertical="center" wrapText="1"/>
    </xf>
    <xf numFmtId="3" fontId="14" fillId="0" borderId="2" xfId="8" applyNumberFormat="1" applyFont="1" applyFill="1" applyBorder="1" applyAlignment="1">
      <alignment horizontal="right" vertical="center"/>
    </xf>
    <xf numFmtId="1" fontId="13" fillId="0" borderId="12" xfId="0" applyNumberFormat="1" applyFont="1" applyFill="1" applyBorder="1" applyAlignment="1">
      <alignment horizontal="left" vertical="center"/>
    </xf>
    <xf numFmtId="1" fontId="13" fillId="0" borderId="2" xfId="0" applyNumberFormat="1" applyFont="1" applyFill="1" applyBorder="1" applyAlignment="1">
      <alignment horizontal="left" vertical="center"/>
    </xf>
    <xf numFmtId="1" fontId="14" fillId="0" borderId="17" xfId="0" applyNumberFormat="1" applyFont="1" applyFill="1" applyBorder="1" applyAlignment="1">
      <alignment horizontal="left" vertical="center" wrapText="1"/>
    </xf>
    <xf numFmtId="3" fontId="14" fillId="0" borderId="0" xfId="0" applyNumberFormat="1" applyFont="1" applyFill="1" applyBorder="1" applyAlignment="1">
      <alignment horizontal="right" vertical="center"/>
    </xf>
    <xf numFmtId="166" fontId="9" fillId="0" borderId="25" xfId="0" applyNumberFormat="1" applyFont="1" applyBorder="1" applyAlignment="1">
      <alignment horizontal="right" vertical="center"/>
    </xf>
    <xf numFmtId="1" fontId="13" fillId="3" borderId="12" xfId="0" applyNumberFormat="1" applyFont="1" applyFill="1" applyBorder="1" applyAlignment="1">
      <alignment horizontal="left" vertical="center"/>
    </xf>
    <xf numFmtId="1" fontId="13" fillId="3" borderId="2" xfId="0" applyNumberFormat="1" applyFont="1" applyFill="1" applyBorder="1" applyAlignment="1">
      <alignment horizontal="left" vertical="center"/>
    </xf>
    <xf numFmtId="3" fontId="12" fillId="3" borderId="2" xfId="0" applyNumberFormat="1" applyFont="1" applyFill="1" applyBorder="1" applyAlignment="1">
      <alignment horizontal="right" vertical="center"/>
    </xf>
    <xf numFmtId="2" fontId="133" fillId="0" borderId="0" xfId="0" applyNumberFormat="1" applyFont="1" applyFill="1"/>
    <xf numFmtId="0" fontId="13" fillId="0" borderId="0" xfId="0" applyFont="1" applyBorder="1" applyAlignment="1">
      <alignment vertical="center" wrapText="1"/>
    </xf>
    <xf numFmtId="167" fontId="14" fillId="0" borderId="25" xfId="0" applyNumberFormat="1" applyFont="1" applyBorder="1" applyAlignment="1">
      <alignment horizontal="right" vertical="center"/>
    </xf>
    <xf numFmtId="0" fontId="6" fillId="0" borderId="0" xfId="0" applyFont="1" applyFill="1" applyAlignment="1">
      <alignment vertical="center"/>
    </xf>
    <xf numFmtId="1" fontId="27" fillId="0" borderId="2" xfId="0" applyNumberFormat="1" applyFont="1" applyBorder="1" applyAlignment="1">
      <alignment horizontal="left" vertical="center"/>
    </xf>
    <xf numFmtId="167" fontId="14" fillId="0" borderId="15" xfId="8" applyNumberFormat="1" applyFont="1" applyFill="1" applyBorder="1"/>
    <xf numFmtId="0" fontId="4" fillId="0" borderId="2" xfId="8" applyFont="1" applyFill="1" applyBorder="1" applyAlignment="1">
      <alignment wrapText="1"/>
    </xf>
    <xf numFmtId="3" fontId="14" fillId="0" borderId="15" xfId="8" applyNumberFormat="1" applyFont="1" applyFill="1" applyBorder="1" applyAlignment="1">
      <alignment horizontal="right"/>
    </xf>
    <xf numFmtId="0" fontId="14" fillId="0" borderId="0" xfId="8" applyFont="1" applyFill="1" applyBorder="1" applyAlignment="1">
      <alignment wrapText="1"/>
    </xf>
    <xf numFmtId="12" fontId="13" fillId="0" borderId="0" xfId="8" applyNumberFormat="1" applyFont="1" applyFill="1" applyBorder="1" applyAlignment="1">
      <alignment wrapText="1"/>
    </xf>
    <xf numFmtId="1" fontId="134" fillId="0" borderId="0" xfId="0" applyNumberFormat="1" applyFont="1" applyFill="1" applyBorder="1" applyAlignment="1">
      <alignment horizontal="left"/>
    </xf>
    <xf numFmtId="0" fontId="20" fillId="0" borderId="0" xfId="0" applyFont="1" applyFill="1" applyBorder="1" applyAlignment="1">
      <alignment horizontal="center"/>
    </xf>
    <xf numFmtId="0" fontId="135" fillId="0" borderId="0" xfId="0" applyFont="1" applyFill="1" applyBorder="1" applyAlignment="1">
      <alignment horizontal="center"/>
    </xf>
    <xf numFmtId="0" fontId="135" fillId="0" borderId="0" xfId="0" applyFont="1" applyFill="1" applyBorder="1"/>
    <xf numFmtId="0" fontId="14" fillId="0" borderId="14" xfId="8" applyFont="1" applyFill="1" applyBorder="1" applyAlignment="1">
      <alignment horizontal="left" vertical="center"/>
    </xf>
    <xf numFmtId="0" fontId="14" fillId="0" borderId="0" xfId="8" applyFont="1" applyBorder="1" applyAlignment="1">
      <alignment vertical="center" wrapText="1"/>
    </xf>
    <xf numFmtId="167" fontId="9" fillId="0" borderId="25" xfId="8" applyNumberFormat="1" applyFont="1" applyFill="1" applyBorder="1" applyAlignment="1">
      <alignment horizontal="right" vertical="center"/>
    </xf>
    <xf numFmtId="0" fontId="14" fillId="0" borderId="17" xfId="8" applyFont="1" applyBorder="1" applyAlignment="1">
      <alignment vertical="center"/>
    </xf>
    <xf numFmtId="0" fontId="13" fillId="0" borderId="0" xfId="8" applyFont="1" applyFill="1" applyBorder="1" applyAlignment="1">
      <alignment horizontal="left" vertical="center" wrapText="1"/>
    </xf>
    <xf numFmtId="4" fontId="15" fillId="0" borderId="0" xfId="8" applyNumberFormat="1" applyFont="1" applyFill="1"/>
    <xf numFmtId="0" fontId="14" fillId="0" borderId="0" xfId="8" applyFont="1" applyFill="1" applyBorder="1" applyAlignment="1">
      <alignment horizontal="left" vertical="center" wrapText="1"/>
    </xf>
    <xf numFmtId="3" fontId="14" fillId="0" borderId="0" xfId="8" applyNumberFormat="1" applyFont="1" applyFill="1" applyBorder="1" applyAlignment="1">
      <alignment horizontal="right" vertical="center"/>
    </xf>
    <xf numFmtId="167" fontId="14" fillId="0" borderId="25" xfId="8" applyNumberFormat="1" applyFont="1" applyBorder="1" applyAlignment="1">
      <alignment horizontal="right" vertical="center"/>
    </xf>
    <xf numFmtId="0" fontId="24" fillId="0" borderId="2" xfId="0" applyFont="1" applyBorder="1" applyAlignment="1">
      <alignment wrapText="1"/>
    </xf>
    <xf numFmtId="0" fontId="24" fillId="0" borderId="2" xfId="0" applyFont="1" applyBorder="1" applyAlignment="1">
      <alignment wrapText="1"/>
    </xf>
    <xf numFmtId="0" fontId="22" fillId="0" borderId="0" xfId="0" applyFont="1" applyBorder="1"/>
    <xf numFmtId="3" fontId="9" fillId="0" borderId="0" xfId="0" applyNumberFormat="1" applyFont="1" applyBorder="1"/>
    <xf numFmtId="166" fontId="9" fillId="0" borderId="0" xfId="0" applyNumberFormat="1" applyFont="1" applyBorder="1"/>
    <xf numFmtId="0" fontId="4" fillId="0" borderId="17" xfId="0" applyFont="1" applyBorder="1"/>
    <xf numFmtId="0" fontId="4" fillId="0" borderId="14" xfId="0" applyFont="1" applyBorder="1"/>
    <xf numFmtId="167" fontId="12" fillId="0" borderId="25" xfId="8" applyNumberFormat="1" applyFont="1" applyFill="1" applyBorder="1" applyAlignment="1">
      <alignment horizontal="right" vertical="top"/>
    </xf>
    <xf numFmtId="0" fontId="14" fillId="0" borderId="2" xfId="0" applyFont="1" applyFill="1" applyBorder="1" applyAlignment="1">
      <alignment vertical="center" wrapText="1"/>
    </xf>
    <xf numFmtId="0" fontId="4" fillId="0" borderId="2" xfId="0" applyFont="1" applyFill="1" applyBorder="1" applyAlignment="1">
      <alignment wrapText="1"/>
    </xf>
    <xf numFmtId="1" fontId="9" fillId="0" borderId="9" xfId="0" applyNumberFormat="1" applyFont="1" applyFill="1" applyBorder="1" applyAlignment="1">
      <alignment horizontal="left" vertical="center"/>
    </xf>
    <xf numFmtId="4" fontId="28" fillId="0" borderId="0" xfId="0" applyNumberFormat="1" applyFont="1" applyFill="1" applyAlignment="1">
      <alignment vertical="top"/>
    </xf>
    <xf numFmtId="4" fontId="13" fillId="0" borderId="0" xfId="0" applyNumberFormat="1" applyFont="1" applyFill="1" applyAlignment="1">
      <alignment vertical="top"/>
    </xf>
    <xf numFmtId="4" fontId="13" fillId="0" borderId="0" xfId="0" applyNumberFormat="1" applyFont="1" applyFill="1" applyAlignment="1">
      <alignment horizontal="right" vertical="center"/>
    </xf>
    <xf numFmtId="0" fontId="13" fillId="0" borderId="0" xfId="0" applyFont="1" applyFill="1" applyAlignment="1">
      <alignment vertical="center"/>
    </xf>
    <xf numFmtId="0" fontId="13" fillId="0" borderId="17" xfId="0" applyFont="1" applyFill="1" applyBorder="1" applyAlignment="1">
      <alignment wrapText="1"/>
    </xf>
    <xf numFmtId="0" fontId="4" fillId="0" borderId="2" xfId="0" applyFont="1" applyFill="1" applyBorder="1" applyAlignment="1">
      <alignment wrapText="1"/>
    </xf>
    <xf numFmtId="0" fontId="4" fillId="0" borderId="2" xfId="0" applyFont="1" applyBorder="1" applyAlignment="1">
      <alignment horizontal="left" vertical="top" wrapText="1"/>
    </xf>
    <xf numFmtId="0" fontId="14" fillId="0" borderId="2" xfId="8" applyFont="1" applyFill="1" applyBorder="1" applyAlignment="1">
      <alignment wrapText="1"/>
    </xf>
    <xf numFmtId="49" fontId="27" fillId="0" borderId="0" xfId="0" applyNumberFormat="1" applyFont="1" applyFill="1" applyBorder="1" applyAlignment="1">
      <alignment horizontal="left" vertical="top"/>
    </xf>
    <xf numFmtId="3" fontId="15" fillId="0" borderId="0" xfId="0" applyNumberFormat="1" applyFont="1" applyFill="1" applyBorder="1" applyAlignment="1">
      <alignment horizontal="right" vertical="top"/>
    </xf>
    <xf numFmtId="1" fontId="5" fillId="4" borderId="12" xfId="0" applyNumberFormat="1" applyFont="1" applyFill="1" applyBorder="1" applyAlignment="1">
      <alignment horizontal="center" vertical="center"/>
    </xf>
    <xf numFmtId="3" fontId="14" fillId="4" borderId="2" xfId="0" applyNumberFormat="1" applyFont="1" applyFill="1" applyBorder="1" applyAlignment="1">
      <alignment horizontal="right"/>
    </xf>
    <xf numFmtId="167" fontId="9" fillId="4" borderId="25" xfId="0" applyNumberFormat="1" applyFont="1" applyFill="1" applyBorder="1" applyAlignment="1">
      <alignment horizontal="right"/>
    </xf>
    <xf numFmtId="49" fontId="27" fillId="4" borderId="0" xfId="0" applyNumberFormat="1" applyFont="1" applyFill="1" applyBorder="1" applyAlignment="1">
      <alignment horizontal="left"/>
    </xf>
    <xf numFmtId="167" fontId="12" fillId="4" borderId="25" xfId="0" applyNumberFormat="1" applyFont="1" applyFill="1" applyBorder="1" applyAlignment="1">
      <alignment horizontal="right"/>
    </xf>
    <xf numFmtId="49" fontId="10" fillId="0" borderId="15" xfId="0" applyNumberFormat="1" applyFont="1" applyFill="1" applyBorder="1" applyAlignment="1">
      <alignment horizontal="left"/>
    </xf>
    <xf numFmtId="49" fontId="27" fillId="0" borderId="15" xfId="0" applyNumberFormat="1" applyFont="1" applyFill="1" applyBorder="1" applyAlignment="1">
      <alignment horizontal="left" vertical="top"/>
    </xf>
    <xf numFmtId="168" fontId="10" fillId="4" borderId="15" xfId="0" applyNumberFormat="1" applyFont="1" applyFill="1" applyBorder="1" applyAlignment="1">
      <alignment horizontal="left" vertical="top"/>
    </xf>
    <xf numFmtId="168" fontId="10" fillId="0" borderId="15" xfId="0" applyNumberFormat="1" applyFont="1" applyFill="1" applyBorder="1" applyAlignment="1">
      <alignment horizontal="left" vertical="top"/>
    </xf>
    <xf numFmtId="0" fontId="13" fillId="0" borderId="2" xfId="0" applyFont="1" applyFill="1" applyBorder="1" applyAlignment="1">
      <alignment horizontal="left" wrapText="1"/>
    </xf>
    <xf numFmtId="166" fontId="14" fillId="0" borderId="21" xfId="0" applyNumberFormat="1" applyFont="1" applyFill="1" applyBorder="1" applyAlignment="1">
      <alignment horizontal="right" vertical="top"/>
    </xf>
    <xf numFmtId="1" fontId="5" fillId="0" borderId="2" xfId="0" applyNumberFormat="1" applyFont="1" applyFill="1" applyBorder="1" applyAlignment="1">
      <alignment horizontal="center" vertical="top"/>
    </xf>
    <xf numFmtId="1" fontId="13" fillId="0" borderId="2" xfId="0" applyNumberFormat="1" applyFont="1" applyFill="1" applyBorder="1" applyAlignment="1">
      <alignment horizontal="center" vertical="top"/>
    </xf>
    <xf numFmtId="0" fontId="14" fillId="0" borderId="2" xfId="8" applyFont="1" applyFill="1" applyBorder="1" applyAlignment="1">
      <alignment horizontal="left" vertical="center" wrapText="1"/>
    </xf>
    <xf numFmtId="0" fontId="9" fillId="0" borderId="2" xfId="0" applyFont="1" applyFill="1" applyBorder="1" applyAlignment="1">
      <alignment wrapText="1"/>
    </xf>
    <xf numFmtId="167" fontId="9" fillId="0" borderId="21" xfId="0" applyNumberFormat="1" applyFont="1" applyFill="1" applyBorder="1" applyAlignment="1">
      <alignment horizontal="right" vertical="top"/>
    </xf>
    <xf numFmtId="167" fontId="14" fillId="0" borderId="21" xfId="0" applyNumberFormat="1" applyFont="1" applyFill="1" applyBorder="1" applyAlignment="1">
      <alignment horizontal="right" vertical="top"/>
    </xf>
    <xf numFmtId="1" fontId="5" fillId="0" borderId="6" xfId="8" applyNumberFormat="1" applyFont="1" applyFill="1" applyBorder="1" applyAlignment="1">
      <alignment horizontal="center" vertical="top"/>
    </xf>
    <xf numFmtId="1" fontId="5" fillId="0" borderId="0" xfId="8" applyNumberFormat="1" applyFont="1" applyFill="1" applyBorder="1" applyAlignment="1">
      <alignment horizontal="left" vertical="top"/>
    </xf>
    <xf numFmtId="3" fontId="9" fillId="0" borderId="2" xfId="8" applyNumberFormat="1" applyFont="1" applyFill="1" applyBorder="1" applyAlignment="1">
      <alignment horizontal="right" vertical="top"/>
    </xf>
    <xf numFmtId="166" fontId="14" fillId="0" borderId="25" xfId="8" applyNumberFormat="1" applyFont="1" applyFill="1" applyBorder="1" applyAlignment="1">
      <alignment horizontal="right" vertical="top"/>
    </xf>
    <xf numFmtId="3" fontId="9" fillId="0" borderId="15" xfId="8" applyNumberFormat="1" applyFont="1" applyFill="1" applyBorder="1" applyAlignment="1">
      <alignment horizontal="right"/>
    </xf>
    <xf numFmtId="3" fontId="12" fillId="0" borderId="14" xfId="0" applyNumberFormat="1" applyFont="1" applyFill="1" applyBorder="1" applyAlignment="1">
      <alignment horizontal="right"/>
    </xf>
    <xf numFmtId="3" fontId="12" fillId="0" borderId="34" xfId="0" applyNumberFormat="1" applyFont="1" applyFill="1" applyBorder="1" applyAlignment="1">
      <alignment horizontal="right"/>
    </xf>
    <xf numFmtId="167" fontId="12" fillId="0" borderId="35" xfId="0" applyNumberFormat="1" applyFont="1" applyFill="1" applyBorder="1" applyAlignment="1">
      <alignment horizontal="right"/>
    </xf>
    <xf numFmtId="1" fontId="22" fillId="0" borderId="0" xfId="0" applyNumberFormat="1" applyFont="1" applyFill="1" applyBorder="1" applyAlignment="1">
      <alignment horizontal="right" vertical="center" wrapText="1"/>
    </xf>
    <xf numFmtId="3" fontId="14" fillId="0" borderId="2" xfId="8" applyNumberFormat="1" applyFont="1" applyFill="1" applyBorder="1" applyAlignment="1">
      <alignment horizontal="right" vertical="top"/>
    </xf>
    <xf numFmtId="3" fontId="9" fillId="0" borderId="2" xfId="8" applyNumberFormat="1" applyFont="1" applyFill="1" applyBorder="1" applyAlignment="1">
      <alignment horizontal="right" vertical="center"/>
    </xf>
    <xf numFmtId="1" fontId="24" fillId="0" borderId="2" xfId="0" applyNumberFormat="1" applyFont="1" applyFill="1" applyBorder="1" applyAlignment="1">
      <alignment horizontal="right" vertical="top" wrapText="1"/>
    </xf>
    <xf numFmtId="0" fontId="4" fillId="0" borderId="15" xfId="0" applyFont="1" applyBorder="1" applyAlignment="1">
      <alignment horizontal="left" vertical="top" wrapText="1"/>
    </xf>
    <xf numFmtId="0" fontId="9" fillId="0" borderId="15" xfId="0" applyFont="1" applyBorder="1"/>
    <xf numFmtId="3" fontId="14" fillId="0" borderId="17" xfId="0" applyNumberFormat="1" applyFont="1" applyFill="1" applyBorder="1" applyAlignment="1">
      <alignment horizontal="right"/>
    </xf>
    <xf numFmtId="1" fontId="5" fillId="0" borderId="6" xfId="0" applyNumberFormat="1" applyFont="1" applyBorder="1" applyAlignment="1">
      <alignment horizontal="center" vertical="top"/>
    </xf>
    <xf numFmtId="1" fontId="5" fillId="0" borderId="0" xfId="0" applyNumberFormat="1" applyFont="1" applyBorder="1" applyAlignment="1">
      <alignment horizontal="center" vertical="top"/>
    </xf>
    <xf numFmtId="0" fontId="14" fillId="0" borderId="15" xfId="0" applyFont="1" applyFill="1" applyBorder="1"/>
    <xf numFmtId="0" fontId="14" fillId="0" borderId="0" xfId="0" applyFont="1" applyFill="1" applyBorder="1" applyAlignment="1"/>
    <xf numFmtId="0" fontId="14" fillId="0" borderId="15" xfId="8" applyFont="1" applyFill="1" applyBorder="1" applyAlignment="1">
      <alignment vertical="top" wrapText="1"/>
    </xf>
    <xf numFmtId="1" fontId="14" fillId="0" borderId="15" xfId="8" applyNumberFormat="1" applyFont="1" applyFill="1" applyBorder="1" applyAlignment="1">
      <alignment horizontal="left"/>
    </xf>
    <xf numFmtId="167" fontId="14" fillId="0" borderId="25" xfId="0" applyNumberFormat="1" applyFont="1" applyFill="1" applyBorder="1" applyAlignment="1">
      <alignment horizontal="right" vertical="top"/>
    </xf>
    <xf numFmtId="49" fontId="27" fillId="0" borderId="2" xfId="8" applyNumberFormat="1" applyFont="1" applyFill="1" applyBorder="1" applyAlignment="1">
      <alignment horizontal="center" vertical="top"/>
    </xf>
    <xf numFmtId="3" fontId="15" fillId="0" borderId="2" xfId="4" applyFont="1" applyFill="1" applyBorder="1" applyAlignment="1">
      <alignment horizontal="right" vertical="top"/>
    </xf>
    <xf numFmtId="0" fontId="14" fillId="0" borderId="15" xfId="8" applyFont="1" applyBorder="1"/>
    <xf numFmtId="0" fontId="14" fillId="3" borderId="15" xfId="8" applyFont="1" applyFill="1" applyBorder="1"/>
    <xf numFmtId="0" fontId="22" fillId="0" borderId="15" xfId="8" applyFont="1" applyFill="1" applyBorder="1" applyAlignment="1">
      <alignment vertical="center" wrapText="1"/>
    </xf>
    <xf numFmtId="0" fontId="48" fillId="0" borderId="0" xfId="8" applyFont="1" applyFill="1" applyBorder="1"/>
    <xf numFmtId="3" fontId="47" fillId="0" borderId="0" xfId="8" applyNumberFormat="1" applyFont="1" applyFill="1" applyBorder="1" applyAlignment="1">
      <alignment horizontal="left"/>
    </xf>
    <xf numFmtId="0" fontId="34" fillId="0" borderId="0" xfId="8" applyFont="1" applyFill="1" applyBorder="1"/>
    <xf numFmtId="0" fontId="14" fillId="0" borderId="0" xfId="8" applyFont="1" applyFill="1" applyBorder="1" applyAlignment="1"/>
    <xf numFmtId="0" fontId="13" fillId="0" borderId="15" xfId="8" applyFont="1" applyFill="1" applyBorder="1"/>
    <xf numFmtId="167" fontId="14" fillId="0" borderId="23" xfId="8" applyNumberFormat="1" applyFont="1" applyFill="1" applyBorder="1" applyAlignment="1">
      <alignment horizontal="right"/>
    </xf>
    <xf numFmtId="0" fontId="28" fillId="0" borderId="2" xfId="8" applyFont="1" applyFill="1" applyBorder="1" applyAlignment="1">
      <alignment vertical="center"/>
    </xf>
    <xf numFmtId="0" fontId="28" fillId="0" borderId="21" xfId="8" applyFont="1" applyFill="1" applyBorder="1" applyAlignment="1">
      <alignment vertical="center"/>
    </xf>
    <xf numFmtId="0" fontId="13" fillId="0" borderId="21" xfId="8" applyFont="1" applyFill="1" applyBorder="1"/>
    <xf numFmtId="167" fontId="12" fillId="0" borderId="42" xfId="8" applyNumberFormat="1" applyFont="1" applyFill="1" applyBorder="1" applyAlignment="1">
      <alignment horizontal="right"/>
    </xf>
    <xf numFmtId="0" fontId="22" fillId="4" borderId="6" xfId="0" applyFont="1" applyFill="1" applyBorder="1" applyAlignment="1">
      <alignment wrapText="1"/>
    </xf>
    <xf numFmtId="1" fontId="13" fillId="0" borderId="38" xfId="8" applyNumberFormat="1" applyFont="1" applyFill="1" applyBorder="1" applyAlignment="1">
      <alignment horizontal="left"/>
    </xf>
    <xf numFmtId="49" fontId="10" fillId="0" borderId="9" xfId="8" applyNumberFormat="1" applyFont="1" applyFill="1" applyBorder="1" applyAlignment="1">
      <alignment horizontal="left"/>
    </xf>
    <xf numFmtId="1" fontId="13" fillId="0" borderId="50" xfId="8" applyNumberFormat="1" applyFont="1" applyFill="1" applyBorder="1" applyAlignment="1">
      <alignment horizontal="left"/>
    </xf>
    <xf numFmtId="1" fontId="13" fillId="0" borderId="9" xfId="8" applyNumberFormat="1" applyFont="1" applyFill="1" applyBorder="1" applyAlignment="1">
      <alignment horizontal="left"/>
    </xf>
    <xf numFmtId="0" fontId="14" fillId="0" borderId="9" xfId="8" applyFont="1" applyFill="1" applyBorder="1"/>
    <xf numFmtId="167" fontId="22" fillId="0" borderId="0" xfId="8" applyNumberFormat="1" applyFont="1" applyFill="1" applyBorder="1" applyAlignment="1">
      <alignment horizontal="right"/>
    </xf>
    <xf numFmtId="3" fontId="14" fillId="0" borderId="9" xfId="0" applyNumberFormat="1" applyFont="1" applyFill="1" applyBorder="1" applyAlignment="1">
      <alignment horizontal="right" vertical="top"/>
    </xf>
    <xf numFmtId="49" fontId="10" fillId="0" borderId="0" xfId="0" applyNumberFormat="1" applyFont="1" applyAlignment="1">
      <alignment horizontal="left" vertical="top"/>
    </xf>
    <xf numFmtId="0" fontId="24" fillId="0" borderId="2" xfId="65" applyFont="1" applyBorder="1" applyAlignment="1">
      <alignment vertical="top"/>
    </xf>
    <xf numFmtId="3" fontId="24" fillId="0" borderId="0" xfId="65" applyNumberFormat="1" applyFont="1" applyAlignment="1">
      <alignment vertical="top"/>
    </xf>
    <xf numFmtId="166" fontId="12" fillId="0" borderId="42" xfId="8" applyNumberFormat="1" applyFont="1" applyFill="1" applyBorder="1"/>
    <xf numFmtId="3" fontId="12" fillId="0" borderId="2" xfId="8" applyNumberFormat="1" applyFont="1" applyFill="1" applyBorder="1" applyAlignment="1">
      <alignment vertical="top"/>
    </xf>
    <xf numFmtId="3" fontId="15" fillId="0" borderId="17" xfId="0" applyNumberFormat="1" applyFont="1" applyBorder="1" applyAlignment="1">
      <alignment vertical="top"/>
    </xf>
    <xf numFmtId="166" fontId="15" fillId="0" borderId="25" xfId="0" applyNumberFormat="1" applyFont="1" applyBorder="1" applyAlignment="1">
      <alignment vertical="top"/>
    </xf>
    <xf numFmtId="49" fontId="10" fillId="0" borderId="0" xfId="8" applyNumberFormat="1" applyFont="1" applyBorder="1" applyAlignment="1">
      <alignment horizontal="left" vertical="top"/>
    </xf>
    <xf numFmtId="166" fontId="12" fillId="0" borderId="21" xfId="8" applyNumberFormat="1" applyFont="1" applyFill="1" applyBorder="1" applyAlignment="1">
      <alignment vertical="top"/>
    </xf>
    <xf numFmtId="3" fontId="15" fillId="0" borderId="17" xfId="8" applyNumberFormat="1" applyFont="1" applyFill="1" applyBorder="1" applyAlignment="1">
      <alignment vertical="top"/>
    </xf>
    <xf numFmtId="166" fontId="15" fillId="0" borderId="25" xfId="8" applyNumberFormat="1" applyFont="1" applyFill="1" applyBorder="1" applyAlignment="1">
      <alignment vertical="top"/>
    </xf>
    <xf numFmtId="3" fontId="12" fillId="0" borderId="17" xfId="8" applyNumberFormat="1" applyFont="1" applyFill="1" applyBorder="1" applyAlignment="1">
      <alignment vertical="top"/>
    </xf>
    <xf numFmtId="3" fontId="15" fillId="0" borderId="0" xfId="0" applyNumberFormat="1" applyFont="1" applyAlignment="1">
      <alignment horizontal="right" vertical="top"/>
    </xf>
    <xf numFmtId="3" fontId="15" fillId="0" borderId="2" xfId="0" applyNumberFormat="1" applyFont="1" applyBorder="1" applyAlignment="1">
      <alignment horizontal="right" vertical="top"/>
    </xf>
    <xf numFmtId="3" fontId="15" fillId="0" borderId="17" xfId="0" applyNumberFormat="1" applyFont="1" applyBorder="1" applyAlignment="1">
      <alignment horizontal="right" vertical="top"/>
    </xf>
    <xf numFmtId="3" fontId="12" fillId="0" borderId="17" xfId="0" applyNumberFormat="1" applyFont="1" applyBorder="1" applyAlignment="1">
      <alignment vertical="top"/>
    </xf>
    <xf numFmtId="166" fontId="22" fillId="0" borderId="21" xfId="8" applyNumberFormat="1" applyFont="1" applyFill="1" applyBorder="1" applyAlignment="1">
      <alignment horizontal="right" vertical="center"/>
    </xf>
    <xf numFmtId="166" fontId="22" fillId="0" borderId="23" xfId="8" applyNumberFormat="1" applyFont="1" applyFill="1" applyBorder="1" applyAlignment="1">
      <alignment horizontal="right" vertical="center"/>
    </xf>
    <xf numFmtId="3" fontId="35" fillId="0" borderId="21" xfId="8" applyNumberFormat="1" applyFont="1" applyFill="1" applyBorder="1" applyAlignment="1">
      <alignment horizontal="right" vertical="center"/>
    </xf>
    <xf numFmtId="166" fontId="22" fillId="0" borderId="25" xfId="8" applyNumberFormat="1" applyFont="1" applyBorder="1" applyAlignment="1">
      <alignment vertical="center"/>
    </xf>
    <xf numFmtId="166" fontId="22" fillId="0" borderId="22" xfId="8" applyNumberFormat="1" applyFont="1" applyBorder="1" applyAlignment="1">
      <alignment vertical="center"/>
    </xf>
    <xf numFmtId="166" fontId="22" fillId="0" borderId="25" xfId="8" applyNumberFormat="1" applyFont="1" applyBorder="1" applyAlignment="1">
      <alignment horizontal="right" vertical="center"/>
    </xf>
    <xf numFmtId="166" fontId="22" fillId="0" borderId="22" xfId="8" applyNumberFormat="1" applyFont="1" applyBorder="1" applyAlignment="1">
      <alignment horizontal="right" vertical="center"/>
    </xf>
    <xf numFmtId="166" fontId="22" fillId="0" borderId="25" xfId="8" applyNumberFormat="1" applyFont="1" applyFill="1" applyBorder="1" applyAlignment="1">
      <alignment horizontal="right" vertical="center"/>
    </xf>
    <xf numFmtId="3" fontId="22" fillId="0" borderId="14" xfId="8" applyNumberFormat="1" applyFont="1" applyFill="1" applyBorder="1" applyAlignment="1">
      <alignment vertical="top"/>
    </xf>
    <xf numFmtId="166" fontId="22" fillId="0" borderId="21" xfId="8" applyNumberFormat="1" applyFont="1" applyFill="1" applyBorder="1" applyAlignment="1">
      <alignment horizontal="right" vertical="top"/>
    </xf>
    <xf numFmtId="166" fontId="22" fillId="0" borderId="42" xfId="8" applyNumberFormat="1" applyFont="1" applyFill="1" applyBorder="1" applyAlignment="1">
      <alignment horizontal="right" vertical="top"/>
    </xf>
    <xf numFmtId="49" fontId="4" fillId="0" borderId="2" xfId="8" applyNumberFormat="1" applyFill="1" applyBorder="1" applyAlignment="1">
      <alignment horizontal="center" vertical="top"/>
    </xf>
    <xf numFmtId="166" fontId="22" fillId="0" borderId="21" xfId="8" applyNumberFormat="1" applyFont="1" applyFill="1" applyBorder="1" applyAlignment="1">
      <alignment horizontal="right" vertical="center" wrapText="1"/>
    </xf>
    <xf numFmtId="49" fontId="4" fillId="0" borderId="14" xfId="8" applyNumberFormat="1" applyFill="1" applyBorder="1" applyAlignment="1">
      <alignment horizontal="center" vertical="top"/>
    </xf>
    <xf numFmtId="49" fontId="4" fillId="4" borderId="2" xfId="8" applyNumberFormat="1" applyFill="1" applyBorder="1" applyAlignment="1">
      <alignment horizontal="center" vertical="top"/>
    </xf>
    <xf numFmtId="166" fontId="22" fillId="4" borderId="21" xfId="8" applyNumberFormat="1" applyFont="1" applyFill="1" applyBorder="1" applyAlignment="1">
      <alignment horizontal="right" vertical="center"/>
    </xf>
    <xf numFmtId="166" fontId="22" fillId="4" borderId="42" xfId="8" applyNumberFormat="1" applyFont="1" applyFill="1" applyBorder="1" applyAlignment="1">
      <alignment horizontal="right" vertical="center"/>
    </xf>
    <xf numFmtId="166" fontId="22" fillId="4" borderId="23" xfId="8" applyNumberFormat="1" applyFont="1" applyFill="1" applyBorder="1" applyAlignment="1">
      <alignment horizontal="right" vertical="center"/>
    </xf>
    <xf numFmtId="3" fontId="22" fillId="4" borderId="2" xfId="8" applyNumberFormat="1" applyFont="1" applyFill="1" applyBorder="1" applyAlignment="1">
      <alignment vertical="top"/>
    </xf>
    <xf numFmtId="166" fontId="22" fillId="4" borderId="21" xfId="8" applyNumberFormat="1" applyFont="1" applyFill="1" applyBorder="1" applyAlignment="1">
      <alignment horizontal="right" vertical="top"/>
    </xf>
    <xf numFmtId="166" fontId="22" fillId="4" borderId="24" xfId="8" applyNumberFormat="1" applyFont="1" applyFill="1" applyBorder="1" applyAlignment="1">
      <alignment horizontal="right" vertical="center"/>
    </xf>
    <xf numFmtId="0" fontId="4" fillId="4" borderId="6" xfId="8" applyFill="1" applyBorder="1" applyAlignment="1">
      <alignment horizontal="center" vertical="top"/>
    </xf>
    <xf numFmtId="0" fontId="4" fillId="4" borderId="2" xfId="8" applyFill="1" applyBorder="1" applyAlignment="1">
      <alignment horizontal="center" vertical="top"/>
    </xf>
    <xf numFmtId="49" fontId="4" fillId="4" borderId="2" xfId="8" applyNumberFormat="1" applyFill="1" applyBorder="1" applyAlignment="1">
      <alignment horizontal="center" vertical="top" wrapText="1"/>
    </xf>
    <xf numFmtId="0" fontId="4" fillId="4" borderId="12" xfId="8" applyFill="1" applyBorder="1" applyAlignment="1">
      <alignment horizontal="center" vertical="top"/>
    </xf>
    <xf numFmtId="49" fontId="4" fillId="4" borderId="0" xfId="8" applyNumberFormat="1" applyFill="1" applyBorder="1" applyAlignment="1">
      <alignment horizontal="center" vertical="top"/>
    </xf>
    <xf numFmtId="3" fontId="22" fillId="4" borderId="15" xfId="8" applyNumberFormat="1" applyFont="1" applyFill="1" applyBorder="1" applyAlignment="1">
      <alignment vertical="top"/>
    </xf>
    <xf numFmtId="0" fontId="4" fillId="0" borderId="6" xfId="8" applyFill="1" applyBorder="1" applyAlignment="1">
      <alignment horizontal="center" vertical="top"/>
    </xf>
    <xf numFmtId="0" fontId="4" fillId="0" borderId="2" xfId="8" applyFill="1" applyBorder="1" applyAlignment="1">
      <alignment horizontal="center" vertical="top"/>
    </xf>
    <xf numFmtId="0" fontId="4" fillId="0" borderId="50" xfId="8" applyFill="1" applyBorder="1" applyAlignment="1">
      <alignment horizontal="center" vertical="top"/>
    </xf>
    <xf numFmtId="0" fontId="4" fillId="0" borderId="14" xfId="8" applyFill="1" applyBorder="1" applyAlignment="1">
      <alignment horizontal="center" vertical="top"/>
    </xf>
    <xf numFmtId="171" fontId="4" fillId="4" borderId="0" xfId="8" applyNumberFormat="1" applyFill="1" applyBorder="1" applyAlignment="1">
      <alignment horizontal="center" vertical="top"/>
    </xf>
    <xf numFmtId="166" fontId="22" fillId="4" borderId="42" xfId="8" applyNumberFormat="1" applyFont="1" applyFill="1" applyBorder="1" applyAlignment="1">
      <alignment horizontal="right" vertical="top"/>
    </xf>
    <xf numFmtId="167" fontId="14" fillId="0" borderId="21" xfId="8" applyNumberFormat="1" applyFont="1" applyFill="1" applyBorder="1" applyAlignment="1">
      <alignment horizontal="right" vertical="top"/>
    </xf>
    <xf numFmtId="168" fontId="27" fillId="3" borderId="14" xfId="8" applyNumberFormat="1" applyFont="1" applyFill="1" applyBorder="1" applyAlignment="1">
      <alignment horizontal="center" vertical="center"/>
    </xf>
    <xf numFmtId="0" fontId="14" fillId="3" borderId="14" xfId="8" applyFont="1" applyFill="1" applyBorder="1" applyAlignment="1">
      <alignment horizontal="right"/>
    </xf>
    <xf numFmtId="0" fontId="14" fillId="0" borderId="34" xfId="8" applyFont="1" applyFill="1" applyBorder="1" applyAlignment="1">
      <alignment horizontal="right"/>
    </xf>
    <xf numFmtId="0" fontId="55" fillId="0" borderId="14" xfId="8" applyFont="1" applyFill="1" applyBorder="1" applyAlignment="1">
      <alignment horizontal="right"/>
    </xf>
    <xf numFmtId="0" fontId="14" fillId="3" borderId="9" xfId="8" applyFont="1" applyFill="1" applyBorder="1"/>
    <xf numFmtId="0" fontId="14" fillId="3" borderId="14" xfId="8" applyFont="1" applyFill="1" applyBorder="1"/>
    <xf numFmtId="0" fontId="14" fillId="3" borderId="9" xfId="8" applyFont="1" applyFill="1" applyBorder="1" applyAlignment="1">
      <alignment horizontal="right"/>
    </xf>
    <xf numFmtId="0" fontId="14" fillId="0" borderId="27" xfId="8" applyFont="1" applyFill="1" applyBorder="1" applyAlignment="1">
      <alignment horizontal="right"/>
    </xf>
    <xf numFmtId="0" fontId="55" fillId="0" borderId="9" xfId="8" applyFont="1" applyFill="1" applyBorder="1" applyAlignment="1">
      <alignment horizontal="right"/>
    </xf>
    <xf numFmtId="0" fontId="8" fillId="3" borderId="30" xfId="8" applyFont="1" applyFill="1" applyBorder="1" applyAlignment="1">
      <alignment horizontal="right"/>
    </xf>
    <xf numFmtId="166" fontId="22" fillId="0" borderId="24" xfId="8" applyNumberFormat="1" applyFont="1" applyFill="1" applyBorder="1" applyAlignment="1">
      <alignment horizontal="right"/>
    </xf>
    <xf numFmtId="4" fontId="93" fillId="4" borderId="31" xfId="0" applyNumberFormat="1" applyFont="1" applyFill="1" applyBorder="1"/>
    <xf numFmtId="4" fontId="93" fillId="4" borderId="12" xfId="0" applyNumberFormat="1" applyFont="1" applyFill="1" applyBorder="1" applyAlignment="1">
      <alignment vertical="top"/>
    </xf>
    <xf numFmtId="4" fontId="93" fillId="4" borderId="0" xfId="0" applyNumberFormat="1" applyFont="1" applyFill="1" applyBorder="1" applyAlignment="1">
      <alignment vertical="top"/>
    </xf>
    <xf numFmtId="4" fontId="93" fillId="4" borderId="73" xfId="0" applyNumberFormat="1" applyFont="1" applyFill="1" applyBorder="1" applyAlignment="1">
      <alignment vertical="top"/>
    </xf>
    <xf numFmtId="4" fontId="93" fillId="4" borderId="60" xfId="0" applyNumberFormat="1" applyFont="1" applyFill="1" applyBorder="1" applyAlignment="1">
      <alignment vertical="top"/>
    </xf>
    <xf numFmtId="0" fontId="13" fillId="3" borderId="0" xfId="0" applyFont="1" applyFill="1" applyBorder="1" applyAlignment="1">
      <alignment horizontal="left" wrapText="1"/>
    </xf>
    <xf numFmtId="3" fontId="4" fillId="4" borderId="34" xfId="0" applyNumberFormat="1" applyFont="1" applyFill="1" applyBorder="1" applyAlignment="1">
      <alignment horizontal="right"/>
    </xf>
    <xf numFmtId="0" fontId="24" fillId="0" borderId="2" xfId="0" applyFont="1" applyBorder="1" applyAlignment="1">
      <alignment vertical="top" wrapText="1"/>
    </xf>
    <xf numFmtId="49" fontId="10" fillId="0" borderId="14" xfId="0" applyNumberFormat="1" applyFont="1" applyBorder="1" applyAlignment="1">
      <alignment horizontal="left" vertical="top"/>
    </xf>
    <xf numFmtId="0" fontId="4" fillId="0" borderId="53" xfId="0" applyFont="1" applyFill="1" applyBorder="1" applyAlignment="1">
      <alignment horizontal="center" vertical="center"/>
    </xf>
    <xf numFmtId="0" fontId="24" fillId="0" borderId="17" xfId="0" applyFont="1" applyBorder="1" applyAlignment="1">
      <alignment vertical="top" wrapText="1"/>
    </xf>
    <xf numFmtId="0" fontId="24" fillId="4" borderId="17" xfId="0" applyFont="1" applyFill="1" applyBorder="1" applyAlignment="1">
      <alignment vertical="top" wrapText="1"/>
    </xf>
    <xf numFmtId="3" fontId="12" fillId="0" borderId="17" xfId="0" applyNumberFormat="1" applyFont="1" applyFill="1" applyBorder="1" applyAlignment="1">
      <alignment horizontal="right"/>
    </xf>
    <xf numFmtId="166" fontId="12" fillId="0" borderId="42" xfId="0" applyNumberFormat="1" applyFont="1" applyFill="1" applyBorder="1"/>
    <xf numFmtId="1" fontId="14" fillId="0" borderId="0" xfId="8" applyNumberFormat="1" applyFont="1" applyFill="1" applyAlignment="1">
      <alignment horizontal="left" wrapText="1"/>
    </xf>
    <xf numFmtId="0" fontId="14" fillId="0" borderId="2" xfId="8" applyFont="1" applyFill="1" applyBorder="1" applyAlignment="1">
      <alignment horizontal="left" vertical="center"/>
    </xf>
    <xf numFmtId="1" fontId="5" fillId="0" borderId="2" xfId="8" applyNumberFormat="1" applyFont="1" applyFill="1" applyBorder="1" applyAlignment="1">
      <alignment horizontal="left" vertical="center"/>
    </xf>
    <xf numFmtId="3" fontId="9" fillId="0" borderId="2" xfId="8" applyNumberFormat="1" applyFont="1" applyBorder="1" applyAlignment="1">
      <alignment horizontal="right" vertical="center"/>
    </xf>
    <xf numFmtId="166" fontId="9" fillId="0" borderId="21" xfId="8" applyNumberFormat="1" applyFont="1" applyFill="1" applyBorder="1" applyAlignment="1">
      <alignment vertical="center"/>
    </xf>
    <xf numFmtId="1" fontId="5" fillId="0" borderId="2" xfId="8" applyNumberFormat="1" applyFont="1" applyBorder="1" applyAlignment="1">
      <alignment vertical="center"/>
    </xf>
    <xf numFmtId="1" fontId="5" fillId="0" borderId="2" xfId="8" applyNumberFormat="1" applyFont="1" applyFill="1" applyBorder="1" applyAlignment="1">
      <alignment vertical="center"/>
    </xf>
    <xf numFmtId="0" fontId="4" fillId="0" borderId="38" xfId="8" applyFont="1" applyFill="1" applyBorder="1" applyAlignment="1">
      <alignment horizontal="center" vertical="center"/>
    </xf>
    <xf numFmtId="0" fontId="4" fillId="0" borderId="27" xfId="8" applyFont="1" applyFill="1" applyBorder="1" applyAlignment="1">
      <alignment horizontal="center" vertical="center"/>
    </xf>
    <xf numFmtId="49" fontId="10" fillId="0" borderId="34" xfId="0" applyNumberFormat="1" applyFont="1" applyFill="1" applyBorder="1" applyAlignment="1">
      <alignment horizontal="left"/>
    </xf>
    <xf numFmtId="0" fontId="24" fillId="0" borderId="14" xfId="0" applyFont="1" applyFill="1" applyBorder="1"/>
    <xf numFmtId="1" fontId="4" fillId="0" borderId="6" xfId="0" applyNumberFormat="1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vertical="center"/>
    </xf>
    <xf numFmtId="0" fontId="4" fillId="0" borderId="2" xfId="0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wrapText="1"/>
    </xf>
    <xf numFmtId="0" fontId="12" fillId="0" borderId="2" xfId="0" applyFont="1" applyFill="1" applyBorder="1" applyAlignment="1">
      <alignment wrapText="1"/>
    </xf>
    <xf numFmtId="1" fontId="12" fillId="0" borderId="2" xfId="0" applyNumberFormat="1" applyFont="1" applyFill="1" applyBorder="1" applyAlignment="1">
      <alignment horizontal="left" wrapText="1"/>
    </xf>
    <xf numFmtId="0" fontId="24" fillId="0" borderId="2" xfId="0" applyFont="1" applyBorder="1" applyAlignment="1">
      <alignment wrapText="1"/>
    </xf>
    <xf numFmtId="0" fontId="24" fillId="0" borderId="14" xfId="0" applyFont="1" applyBorder="1" applyAlignment="1">
      <alignment vertical="top" wrapText="1"/>
    </xf>
    <xf numFmtId="0" fontId="24" fillId="4" borderId="0" xfId="0" applyFont="1" applyFill="1" applyBorder="1" applyAlignment="1">
      <alignment wrapText="1"/>
    </xf>
    <xf numFmtId="49" fontId="10" fillId="4" borderId="2" xfId="0" applyNumberFormat="1" applyFont="1" applyFill="1" applyBorder="1" applyAlignment="1">
      <alignment horizontal="center" vertical="top"/>
    </xf>
    <xf numFmtId="3" fontId="15" fillId="4" borderId="14" xfId="0" applyNumberFormat="1" applyFont="1" applyFill="1" applyBorder="1" applyAlignment="1">
      <alignment vertical="top"/>
    </xf>
    <xf numFmtId="0" fontId="24" fillId="5" borderId="17" xfId="0" applyFont="1" applyFill="1" applyBorder="1" applyAlignment="1">
      <alignment wrapText="1"/>
    </xf>
    <xf numFmtId="49" fontId="10" fillId="5" borderId="2" xfId="0" applyNumberFormat="1" applyFont="1" applyFill="1" applyBorder="1" applyAlignment="1">
      <alignment horizontal="center" vertical="top"/>
    </xf>
    <xf numFmtId="0" fontId="57" fillId="0" borderId="0" xfId="0" applyFont="1" applyFill="1" applyBorder="1"/>
    <xf numFmtId="4" fontId="13" fillId="0" borderId="0" xfId="0" applyNumberFormat="1" applyFont="1" applyFill="1" applyBorder="1"/>
    <xf numFmtId="1" fontId="9" fillId="0" borderId="14" xfId="0" applyNumberFormat="1" applyFont="1" applyFill="1" applyBorder="1" applyAlignment="1">
      <alignment horizontal="left" vertical="center"/>
    </xf>
    <xf numFmtId="1" fontId="5" fillId="4" borderId="9" xfId="0" applyNumberFormat="1" applyFont="1" applyFill="1" applyBorder="1" applyAlignment="1">
      <alignment horizontal="center" vertical="center"/>
    </xf>
    <xf numFmtId="3" fontId="37" fillId="4" borderId="0" xfId="0" applyNumberFormat="1" applyFont="1" applyFill="1" applyBorder="1" applyAlignment="1">
      <alignment horizontal="center"/>
    </xf>
    <xf numFmtId="0" fontId="13" fillId="0" borderId="0" xfId="8" applyFont="1" applyFill="1" applyBorder="1" applyAlignment="1">
      <alignment wrapText="1"/>
    </xf>
    <xf numFmtId="1" fontId="5" fillId="0" borderId="2" xfId="8" applyNumberFormat="1" applyFont="1" applyFill="1" applyBorder="1" applyAlignment="1">
      <alignment horizontal="center"/>
    </xf>
    <xf numFmtId="3" fontId="73" fillId="0" borderId="3" xfId="0" applyNumberFormat="1" applyFont="1" applyFill="1" applyBorder="1"/>
    <xf numFmtId="3" fontId="73" fillId="0" borderId="14" xfId="0" applyNumberFormat="1" applyFont="1" applyFill="1" applyBorder="1"/>
    <xf numFmtId="3" fontId="73" fillId="0" borderId="2" xfId="0" applyNumberFormat="1" applyFont="1" applyFill="1" applyBorder="1"/>
    <xf numFmtId="0" fontId="42" fillId="0" borderId="0" xfId="0" applyFont="1" applyFill="1" applyAlignment="1">
      <alignment horizontal="left"/>
    </xf>
    <xf numFmtId="0" fontId="0" fillId="0" borderId="0" xfId="0" applyFill="1" applyAlignment="1"/>
    <xf numFmtId="0" fontId="51" fillId="0" borderId="39" xfId="0" applyFont="1" applyFill="1" applyBorder="1" applyAlignment="1"/>
    <xf numFmtId="0" fontId="0" fillId="0" borderId="40" xfId="0" applyFill="1" applyBorder="1" applyAlignment="1"/>
    <xf numFmtId="1" fontId="18" fillId="0" borderId="39" xfId="0" applyNumberFormat="1" applyFont="1" applyFill="1" applyBorder="1" applyAlignment="1">
      <alignment horizontal="left" wrapText="1"/>
    </xf>
    <xf numFmtId="0" fontId="36" fillId="4" borderId="28" xfId="0" applyFont="1" applyFill="1" applyBorder="1" applyAlignment="1">
      <alignment wrapText="1"/>
    </xf>
    <xf numFmtId="0" fontId="0" fillId="4" borderId="16" xfId="0" applyFill="1" applyBorder="1" applyAlignment="1">
      <alignment wrapText="1"/>
    </xf>
    <xf numFmtId="0" fontId="4" fillId="4" borderId="0" xfId="0" applyFont="1" applyFill="1" applyAlignment="1">
      <alignment wrapText="1"/>
    </xf>
    <xf numFmtId="0" fontId="35" fillId="0" borderId="7" xfId="0" applyFont="1" applyFill="1" applyBorder="1" applyAlignment="1">
      <alignment horizontal="center" vertical="center"/>
    </xf>
    <xf numFmtId="0" fontId="0" fillId="0" borderId="56" xfId="0" applyFill="1" applyBorder="1" applyAlignment="1">
      <alignment horizontal="center" vertical="center"/>
    </xf>
    <xf numFmtId="1" fontId="24" fillId="0" borderId="0" xfId="0" applyNumberFormat="1" applyFont="1" applyFill="1" applyAlignment="1">
      <alignment horizontal="justify" wrapText="1"/>
    </xf>
    <xf numFmtId="0" fontId="0" fillId="0" borderId="0" xfId="0" applyFill="1" applyAlignment="1">
      <alignment wrapText="1"/>
    </xf>
    <xf numFmtId="1" fontId="15" fillId="0" borderId="31" xfId="0" applyNumberFormat="1" applyFont="1" applyFill="1" applyBorder="1" applyAlignment="1">
      <alignment horizontal="left"/>
    </xf>
    <xf numFmtId="0" fontId="0" fillId="0" borderId="59" xfId="0" applyFill="1" applyBorder="1" applyAlignment="1"/>
    <xf numFmtId="0" fontId="35" fillId="4" borderId="7" xfId="0" applyFont="1" applyFill="1" applyBorder="1" applyAlignment="1">
      <alignment horizontal="center" vertical="center" wrapText="1"/>
    </xf>
    <xf numFmtId="0" fontId="0" fillId="4" borderId="56" xfId="0" applyFill="1" applyBorder="1" applyAlignment="1">
      <alignment wrapText="1"/>
    </xf>
    <xf numFmtId="0" fontId="36" fillId="4" borderId="26" xfId="0" applyFont="1" applyFill="1" applyBorder="1" applyAlignment="1">
      <alignment wrapText="1"/>
    </xf>
    <xf numFmtId="0" fontId="0" fillId="4" borderId="18" xfId="0" applyFill="1" applyBorder="1" applyAlignment="1">
      <alignment wrapText="1"/>
    </xf>
    <xf numFmtId="1" fontId="15" fillId="4" borderId="31" xfId="0" applyNumberFormat="1" applyFont="1" applyFill="1" applyBorder="1" applyAlignment="1">
      <alignment horizontal="left" wrapText="1"/>
    </xf>
    <xf numFmtId="0" fontId="0" fillId="4" borderId="59" xfId="0" applyFill="1" applyBorder="1" applyAlignment="1">
      <alignment wrapText="1"/>
    </xf>
    <xf numFmtId="0" fontId="51" fillId="4" borderId="39" xfId="0" applyFont="1" applyFill="1" applyBorder="1" applyAlignment="1">
      <alignment wrapText="1"/>
    </xf>
    <xf numFmtId="0" fontId="0" fillId="4" borderId="40" xfId="0" applyFill="1" applyBorder="1" applyAlignment="1">
      <alignment wrapText="1"/>
    </xf>
    <xf numFmtId="1" fontId="18" fillId="4" borderId="39" xfId="0" applyNumberFormat="1" applyFont="1" applyFill="1" applyBorder="1" applyAlignment="1">
      <alignment horizontal="left" wrapText="1"/>
    </xf>
    <xf numFmtId="0" fontId="0" fillId="4" borderId="40" xfId="0" applyFill="1" applyBorder="1" applyAlignment="1"/>
    <xf numFmtId="0" fontId="22" fillId="4" borderId="6" xfId="0" applyFont="1" applyFill="1" applyBorder="1" applyAlignment="1">
      <alignment wrapText="1"/>
    </xf>
    <xf numFmtId="0" fontId="4" fillId="4" borderId="6" xfId="0" applyFont="1" applyFill="1" applyBorder="1" applyAlignment="1">
      <alignment wrapText="1"/>
    </xf>
    <xf numFmtId="0" fontId="22" fillId="4" borderId="47" xfId="0" applyFont="1" applyFill="1" applyBorder="1" applyAlignment="1">
      <alignment wrapText="1"/>
    </xf>
    <xf numFmtId="1" fontId="13" fillId="4" borderId="0" xfId="0" applyNumberFormat="1" applyFont="1" applyFill="1" applyBorder="1" applyAlignment="1">
      <alignment horizontal="justify" wrapText="1"/>
    </xf>
    <xf numFmtId="0" fontId="4" fillId="4" borderId="0" xfId="0" applyFont="1" applyFill="1" applyAlignment="1">
      <alignment horizontal="justify" wrapText="1"/>
    </xf>
    <xf numFmtId="0" fontId="41" fillId="4" borderId="7" xfId="0" applyFont="1" applyFill="1" applyBorder="1" applyAlignment="1"/>
    <xf numFmtId="0" fontId="41" fillId="4" borderId="56" xfId="0" applyFont="1" applyFill="1" applyBorder="1" applyAlignment="1"/>
    <xf numFmtId="1" fontId="9" fillId="4" borderId="6" xfId="0" applyNumberFormat="1" applyFont="1" applyFill="1" applyBorder="1" applyAlignment="1">
      <alignment horizontal="left" wrapText="1"/>
    </xf>
    <xf numFmtId="0" fontId="42" fillId="4" borderId="0" xfId="0" applyFont="1" applyFill="1" applyAlignment="1">
      <alignment horizontal="left"/>
    </xf>
    <xf numFmtId="0" fontId="4" fillId="4" borderId="0" xfId="0" applyFont="1" applyFill="1" applyAlignment="1">
      <alignment horizontal="left"/>
    </xf>
    <xf numFmtId="0" fontId="42" fillId="4" borderId="0" xfId="0" applyFont="1" applyFill="1" applyAlignment="1">
      <alignment horizontal="center"/>
    </xf>
    <xf numFmtId="0" fontId="4" fillId="4" borderId="0" xfId="0" applyFont="1" applyFill="1" applyAlignment="1">
      <alignment horizontal="center"/>
    </xf>
    <xf numFmtId="0" fontId="22" fillId="4" borderId="47" xfId="0" applyFont="1" applyFill="1" applyBorder="1" applyAlignment="1">
      <alignment vertical="top" wrapText="1"/>
    </xf>
    <xf numFmtId="0" fontId="22" fillId="4" borderId="6" xfId="0" applyFont="1" applyFill="1" applyBorder="1" applyAlignment="1">
      <alignment vertical="top" wrapText="1"/>
    </xf>
    <xf numFmtId="1" fontId="30" fillId="0" borderId="0" xfId="0" applyNumberFormat="1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left" wrapText="1"/>
    </xf>
    <xf numFmtId="0" fontId="14" fillId="0" borderId="2" xfId="8" applyFont="1" applyBorder="1" applyAlignment="1">
      <alignment wrapText="1"/>
    </xf>
    <xf numFmtId="0" fontId="4" fillId="0" borderId="2" xfId="0" applyFont="1" applyBorder="1" applyAlignment="1">
      <alignment wrapText="1"/>
    </xf>
    <xf numFmtId="0" fontId="9" fillId="0" borderId="2" xfId="0" applyFont="1" applyBorder="1" applyAlignment="1">
      <alignment wrapText="1"/>
    </xf>
    <xf numFmtId="49" fontId="10" fillId="0" borderId="2" xfId="0" applyNumberFormat="1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left" vertical="center" wrapText="1"/>
    </xf>
    <xf numFmtId="2" fontId="13" fillId="0" borderId="2" xfId="0" applyNumberFormat="1" applyFont="1" applyFill="1" applyBorder="1" applyAlignment="1">
      <alignment wrapText="1"/>
    </xf>
    <xf numFmtId="2" fontId="4" fillId="0" borderId="2" xfId="0" applyNumberFormat="1" applyFont="1" applyFill="1" applyBorder="1" applyAlignment="1">
      <alignment wrapText="1"/>
    </xf>
    <xf numFmtId="49" fontId="10" fillId="0" borderId="2" xfId="0" applyNumberFormat="1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2" fontId="13" fillId="0" borderId="15" xfId="0" applyNumberFormat="1" applyFont="1" applyBorder="1" applyAlignment="1">
      <alignment wrapText="1"/>
    </xf>
    <xf numFmtId="2" fontId="4" fillId="0" borderId="15" xfId="0" applyNumberFormat="1" applyFont="1" applyBorder="1" applyAlignment="1">
      <alignment wrapText="1"/>
    </xf>
    <xf numFmtId="2" fontId="4" fillId="0" borderId="14" xfId="0" applyNumberFormat="1" applyFont="1" applyFill="1" applyBorder="1" applyAlignment="1">
      <alignment wrapText="1"/>
    </xf>
    <xf numFmtId="0" fontId="4" fillId="0" borderId="14" xfId="0" applyFont="1" applyFill="1" applyBorder="1" applyAlignment="1">
      <alignment horizontal="left" vertical="center" wrapText="1"/>
    </xf>
    <xf numFmtId="0" fontId="31" fillId="0" borderId="10" xfId="0" applyFont="1" applyFill="1" applyBorder="1" applyAlignment="1">
      <alignment horizontal="left" wrapText="1"/>
    </xf>
    <xf numFmtId="1" fontId="41" fillId="0" borderId="0" xfId="0" applyNumberFormat="1" applyFont="1" applyFill="1" applyBorder="1" applyAlignment="1">
      <alignment horizontal="left" wrapText="1"/>
    </xf>
    <xf numFmtId="1" fontId="17" fillId="0" borderId="0" xfId="0" applyNumberFormat="1" applyFont="1" applyFill="1" applyBorder="1" applyAlignment="1">
      <alignment horizontal="justify" wrapText="1"/>
    </xf>
    <xf numFmtId="0" fontId="59" fillId="0" borderId="10" xfId="0" applyFont="1" applyFill="1" applyBorder="1" applyAlignment="1">
      <alignment wrapText="1"/>
    </xf>
    <xf numFmtId="0" fontId="13" fillId="0" borderId="0" xfId="0" applyFont="1" applyBorder="1" applyAlignment="1">
      <alignment vertical="top" wrapText="1"/>
    </xf>
    <xf numFmtId="0" fontId="0" fillId="0" borderId="2" xfId="0" applyBorder="1" applyAlignment="1">
      <alignment horizontal="left" vertical="top" wrapText="1"/>
    </xf>
    <xf numFmtId="167" fontId="67" fillId="2" borderId="60" xfId="0" applyNumberFormat="1" applyFont="1" applyFill="1" applyBorder="1" applyAlignment="1">
      <alignment wrapText="1"/>
    </xf>
    <xf numFmtId="0" fontId="0" fillId="0" borderId="34" xfId="0" applyBorder="1"/>
    <xf numFmtId="0" fontId="50" fillId="2" borderId="60" xfId="0" applyFont="1" applyFill="1" applyBorder="1" applyAlignment="1">
      <alignment horizontal="left" wrapText="1"/>
    </xf>
    <xf numFmtId="0" fontId="0" fillId="0" borderId="60" xfId="0" applyBorder="1"/>
    <xf numFmtId="3" fontId="31" fillId="2" borderId="60" xfId="0" applyNumberFormat="1" applyFont="1" applyFill="1" applyBorder="1" applyAlignment="1">
      <alignment wrapText="1"/>
    </xf>
    <xf numFmtId="0" fontId="22" fillId="2" borderId="4" xfId="0" applyFont="1" applyFill="1" applyBorder="1" applyAlignment="1"/>
    <xf numFmtId="0" fontId="22" fillId="2" borderId="5" xfId="0" applyFont="1" applyFill="1" applyBorder="1" applyAlignment="1"/>
    <xf numFmtId="1" fontId="41" fillId="3" borderId="0" xfId="0" applyNumberFormat="1" applyFont="1" applyFill="1" applyBorder="1" applyAlignment="1">
      <alignment horizontal="left" wrapText="1"/>
    </xf>
    <xf numFmtId="0" fontId="0" fillId="0" borderId="0" xfId="0" applyAlignment="1">
      <alignment wrapText="1"/>
    </xf>
    <xf numFmtId="0" fontId="22" fillId="2" borderId="50" xfId="0" applyFont="1" applyFill="1" applyBorder="1" applyAlignment="1"/>
    <xf numFmtId="0" fontId="22" fillId="2" borderId="14" xfId="0" applyFont="1" applyFill="1" applyBorder="1" applyAlignment="1"/>
    <xf numFmtId="0" fontId="31" fillId="2" borderId="10" xfId="0" applyFont="1" applyFill="1" applyBorder="1" applyAlignment="1">
      <alignment horizontal="left" wrapText="1"/>
    </xf>
    <xf numFmtId="0" fontId="59" fillId="0" borderId="10" xfId="0" applyFont="1" applyBorder="1" applyAlignment="1"/>
    <xf numFmtId="1" fontId="8" fillId="0" borderId="1" xfId="0" applyNumberFormat="1" applyFont="1" applyFill="1" applyBorder="1" applyAlignment="1">
      <alignment horizontal="left" wrapText="1"/>
    </xf>
    <xf numFmtId="0" fontId="0" fillId="0" borderId="1" xfId="0" applyBorder="1" applyAlignment="1">
      <alignment wrapText="1"/>
    </xf>
    <xf numFmtId="0" fontId="59" fillId="0" borderId="10" xfId="0" applyFont="1" applyFill="1" applyBorder="1" applyAlignment="1"/>
    <xf numFmtId="0" fontId="0" fillId="0" borderId="2" xfId="0" applyBorder="1" applyAlignment="1">
      <alignment wrapText="1"/>
    </xf>
    <xf numFmtId="0" fontId="4" fillId="0" borderId="0" xfId="0" applyFont="1" applyFill="1" applyAlignment="1">
      <alignment wrapText="1"/>
    </xf>
    <xf numFmtId="0" fontId="14" fillId="0" borderId="9" xfId="0" applyFont="1" applyFill="1" applyBorder="1" applyAlignment="1">
      <alignment wrapText="1"/>
    </xf>
    <xf numFmtId="0" fontId="4" fillId="0" borderId="2" xfId="0" applyFont="1" applyFill="1" applyBorder="1" applyAlignment="1">
      <alignment wrapText="1"/>
    </xf>
    <xf numFmtId="49" fontId="10" fillId="0" borderId="2" xfId="0" applyNumberFormat="1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vertical="top" wrapText="1"/>
    </xf>
    <xf numFmtId="0" fontId="4" fillId="0" borderId="17" xfId="0" applyFont="1" applyFill="1" applyBorder="1" applyAlignment="1">
      <alignment vertical="top" wrapText="1"/>
    </xf>
    <xf numFmtId="0" fontId="14" fillId="0" borderId="2" xfId="0" applyFont="1" applyFill="1" applyBorder="1" applyAlignment="1">
      <alignment vertical="center" wrapText="1"/>
    </xf>
    <xf numFmtId="0" fontId="4" fillId="0" borderId="2" xfId="0" applyFont="1" applyFill="1" applyBorder="1" applyAlignment="1">
      <alignment vertical="center" wrapText="1"/>
    </xf>
    <xf numFmtId="0" fontId="13" fillId="0" borderId="17" xfId="0" applyFont="1" applyFill="1" applyBorder="1" applyAlignment="1">
      <alignment wrapText="1"/>
    </xf>
    <xf numFmtId="0" fontId="4" fillId="0" borderId="17" xfId="0" applyFont="1" applyFill="1" applyBorder="1" applyAlignment="1">
      <alignment wrapText="1"/>
    </xf>
    <xf numFmtId="1" fontId="5" fillId="0" borderId="6" xfId="0" applyNumberFormat="1" applyFont="1" applyFill="1" applyBorder="1" applyAlignment="1">
      <alignment horizontal="center" vertical="center" textRotation="180" wrapText="1"/>
    </xf>
    <xf numFmtId="1" fontId="5" fillId="0" borderId="50" xfId="0" applyNumberFormat="1" applyFont="1" applyFill="1" applyBorder="1" applyAlignment="1">
      <alignment horizontal="center" vertical="center" textRotation="180" wrapText="1"/>
    </xf>
    <xf numFmtId="1" fontId="5" fillId="0" borderId="38" xfId="0" applyNumberFormat="1" applyFont="1" applyFill="1" applyBorder="1" applyAlignment="1">
      <alignment horizontal="center" vertical="center" textRotation="180" wrapText="1"/>
    </xf>
    <xf numFmtId="0" fontId="22" fillId="0" borderId="4" xfId="0" applyFont="1" applyFill="1" applyBorder="1" applyAlignment="1"/>
    <xf numFmtId="0" fontId="22" fillId="0" borderId="5" xfId="0" applyFont="1" applyFill="1" applyBorder="1" applyAlignment="1"/>
    <xf numFmtId="0" fontId="12" fillId="0" borderId="2" xfId="0" applyFont="1" applyFill="1" applyBorder="1" applyAlignment="1">
      <alignment wrapText="1"/>
    </xf>
    <xf numFmtId="1" fontId="12" fillId="0" borderId="2" xfId="0" applyNumberFormat="1" applyFont="1" applyFill="1" applyBorder="1" applyAlignment="1">
      <alignment horizontal="left" wrapText="1"/>
    </xf>
    <xf numFmtId="0" fontId="4" fillId="0" borderId="2" xfId="0" applyFont="1" applyBorder="1" applyAlignment="1">
      <alignment horizontal="left" wrapText="1"/>
    </xf>
    <xf numFmtId="49" fontId="10" fillId="0" borderId="2" xfId="0" applyNumberFormat="1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1" fontId="12" fillId="0" borderId="2" xfId="0" applyNumberFormat="1" applyFont="1" applyFill="1" applyBorder="1" applyAlignment="1">
      <alignment horizontal="left" vertical="top" wrapText="1"/>
    </xf>
    <xf numFmtId="0" fontId="22" fillId="0" borderId="7" xfId="0" applyFont="1" applyBorder="1"/>
    <xf numFmtId="0" fontId="22" fillId="0" borderId="8" xfId="0" applyFont="1" applyBorder="1"/>
    <xf numFmtId="0" fontId="22" fillId="0" borderId="75" xfId="0" applyFont="1" applyBorder="1"/>
    <xf numFmtId="0" fontId="22" fillId="4" borderId="4" xfId="0" applyFont="1" applyFill="1" applyBorder="1" applyAlignment="1"/>
    <xf numFmtId="0" fontId="22" fillId="4" borderId="5" xfId="0" applyFont="1" applyFill="1" applyBorder="1" applyAlignment="1"/>
    <xf numFmtId="0" fontId="22" fillId="0" borderId="7" xfId="0" applyFont="1" applyFill="1" applyBorder="1" applyAlignment="1"/>
    <xf numFmtId="0" fontId="22" fillId="0" borderId="8" xfId="0" applyFont="1" applyFill="1" applyBorder="1" applyAlignment="1"/>
    <xf numFmtId="0" fontId="22" fillId="0" borderId="56" xfId="0" applyFont="1" applyFill="1" applyBorder="1" applyAlignment="1"/>
    <xf numFmtId="0" fontId="24" fillId="0" borderId="2" xfId="0" applyFont="1" applyBorder="1" applyAlignment="1">
      <alignment wrapText="1"/>
    </xf>
    <xf numFmtId="0" fontId="22" fillId="0" borderId="14" xfId="0" applyFont="1" applyFill="1" applyBorder="1" applyAlignment="1"/>
    <xf numFmtId="0" fontId="22" fillId="0" borderId="4" xfId="0" applyFont="1" applyFill="1" applyBorder="1" applyAlignment="1">
      <alignment vertical="top"/>
    </xf>
    <xf numFmtId="0" fontId="22" fillId="0" borderId="5" xfId="0" applyFont="1" applyFill="1" applyBorder="1" applyAlignment="1">
      <alignment vertical="top"/>
    </xf>
    <xf numFmtId="0" fontId="22" fillId="0" borderId="50" xfId="0" applyFont="1" applyFill="1" applyBorder="1" applyAlignment="1"/>
    <xf numFmtId="0" fontId="12" fillId="0" borderId="17" xfId="0" applyFont="1" applyFill="1" applyBorder="1" applyAlignment="1">
      <alignment wrapText="1"/>
    </xf>
    <xf numFmtId="0" fontId="34" fillId="0" borderId="10" xfId="8" applyFont="1" applyFill="1" applyBorder="1" applyAlignment="1">
      <alignment horizontal="left" wrapText="1"/>
    </xf>
    <xf numFmtId="0" fontId="95" fillId="0" borderId="10" xfId="8" applyFont="1" applyFill="1" applyBorder="1" applyAlignment="1">
      <alignment wrapText="1"/>
    </xf>
    <xf numFmtId="1" fontId="14" fillId="0" borderId="0" xfId="8" applyNumberFormat="1" applyFont="1" applyFill="1" applyBorder="1" applyAlignment="1">
      <alignment horizontal="left" wrapText="1"/>
    </xf>
    <xf numFmtId="0" fontId="13" fillId="0" borderId="17" xfId="8" applyFont="1" applyFill="1" applyBorder="1" applyAlignment="1">
      <alignment wrapText="1"/>
    </xf>
    <xf numFmtId="0" fontId="13" fillId="0" borderId="0" xfId="8" applyFont="1" applyFill="1" applyBorder="1" applyAlignment="1">
      <alignment wrapText="1"/>
    </xf>
    <xf numFmtId="0" fontId="14" fillId="0" borderId="2" xfId="8" applyFont="1" applyFill="1" applyBorder="1" applyAlignment="1">
      <alignment wrapText="1"/>
    </xf>
    <xf numFmtId="0" fontId="4" fillId="0" borderId="2" xfId="8" applyFont="1" applyFill="1" applyBorder="1" applyAlignment="1">
      <alignment wrapText="1"/>
    </xf>
    <xf numFmtId="0" fontId="14" fillId="0" borderId="2" xfId="0" applyFont="1" applyFill="1" applyBorder="1" applyAlignment="1">
      <alignment wrapText="1"/>
    </xf>
    <xf numFmtId="0" fontId="4" fillId="0" borderId="14" xfId="0" applyFont="1" applyFill="1" applyBorder="1" applyAlignment="1">
      <alignment wrapText="1"/>
    </xf>
    <xf numFmtId="0" fontId="31" fillId="0" borderId="10" xfId="8" applyFont="1" applyFill="1" applyBorder="1" applyAlignment="1">
      <alignment horizontal="left" wrapText="1"/>
    </xf>
    <xf numFmtId="0" fontId="4" fillId="0" borderId="10" xfId="8" applyFont="1" applyFill="1" applyBorder="1" applyAlignment="1">
      <alignment wrapText="1"/>
    </xf>
    <xf numFmtId="1" fontId="52" fillId="0" borderId="0" xfId="8" applyNumberFormat="1" applyFont="1" applyFill="1" applyBorder="1" applyAlignment="1">
      <alignment horizontal="left" wrapText="1"/>
    </xf>
    <xf numFmtId="0" fontId="4" fillId="0" borderId="0" xfId="8" applyFill="1" applyAlignment="1">
      <alignment wrapText="1"/>
    </xf>
    <xf numFmtId="1" fontId="52" fillId="0" borderId="60" xfId="8" applyNumberFormat="1" applyFont="1" applyFill="1" applyBorder="1" applyAlignment="1">
      <alignment horizontal="left" wrapText="1"/>
    </xf>
    <xf numFmtId="0" fontId="4" fillId="0" borderId="60" xfId="8" applyFill="1" applyBorder="1" applyAlignment="1">
      <alignment wrapText="1"/>
    </xf>
    <xf numFmtId="0" fontId="4" fillId="0" borderId="34" xfId="8" applyFill="1" applyBorder="1" applyAlignment="1">
      <alignment wrapText="1"/>
    </xf>
    <xf numFmtId="0" fontId="4" fillId="0" borderId="2" xfId="8" applyFont="1" applyFill="1" applyBorder="1" applyAlignment="1">
      <alignment horizontal="left" vertical="center" wrapText="1"/>
    </xf>
    <xf numFmtId="0" fontId="4" fillId="0" borderId="2" xfId="8" applyFill="1" applyBorder="1" applyAlignment="1">
      <alignment horizontal="left" vertical="center" wrapText="1"/>
    </xf>
    <xf numFmtId="0" fontId="31" fillId="0" borderId="10" xfId="8" applyFont="1" applyFill="1" applyBorder="1" applyAlignment="1">
      <alignment horizontal="left" vertical="top" wrapText="1"/>
    </xf>
    <xf numFmtId="0" fontId="4" fillId="0" borderId="10" xfId="8" applyFont="1" applyFill="1" applyBorder="1" applyAlignment="1">
      <alignment vertical="top" wrapText="1"/>
    </xf>
    <xf numFmtId="168" fontId="24" fillId="0" borderId="0" xfId="8" applyNumberFormat="1" applyFont="1" applyFill="1" applyAlignment="1">
      <alignment horizontal="left"/>
    </xf>
    <xf numFmtId="0" fontId="4" fillId="0" borderId="0" xfId="8" applyFont="1" applyFill="1" applyAlignment="1">
      <alignment horizontal="left"/>
    </xf>
    <xf numFmtId="167" fontId="4" fillId="0" borderId="0" xfId="8" applyNumberFormat="1" applyFont="1" applyFill="1" applyAlignment="1">
      <alignment horizontal="center"/>
    </xf>
    <xf numFmtId="167" fontId="4" fillId="0" borderId="34" xfId="8" applyNumberFormat="1" applyFont="1" applyFill="1" applyBorder="1" applyAlignment="1">
      <alignment horizontal="center"/>
    </xf>
    <xf numFmtId="0" fontId="13" fillId="0" borderId="2" xfId="8" applyFont="1" applyBorder="1" applyAlignment="1">
      <alignment vertical="center" wrapText="1"/>
    </xf>
    <xf numFmtId="0" fontId="4" fillId="0" borderId="14" xfId="8" applyBorder="1" applyAlignment="1">
      <alignment vertical="center" wrapText="1"/>
    </xf>
    <xf numFmtId="1" fontId="13" fillId="0" borderId="2" xfId="8" applyNumberFormat="1" applyFont="1" applyFill="1" applyBorder="1" applyAlignment="1">
      <alignment horizontal="left" vertical="center" wrapText="1"/>
    </xf>
    <xf numFmtId="0" fontId="4" fillId="0" borderId="14" xfId="8" applyFont="1" applyBorder="1" applyAlignment="1">
      <alignment horizontal="left" vertical="center" wrapText="1"/>
    </xf>
    <xf numFmtId="0" fontId="13" fillId="0" borderId="0" xfId="8" applyFont="1" applyFill="1" applyAlignment="1">
      <alignment vertical="center" wrapText="1"/>
    </xf>
    <xf numFmtId="1" fontId="28" fillId="0" borderId="0" xfId="8" applyNumberFormat="1" applyFont="1" applyFill="1" applyAlignment="1">
      <alignment wrapText="1"/>
    </xf>
    <xf numFmtId="0" fontId="4" fillId="0" borderId="0" xfId="8" applyFont="1" applyAlignment="1">
      <alignment wrapText="1"/>
    </xf>
    <xf numFmtId="1" fontId="43" fillId="0" borderId="10" xfId="8" applyNumberFormat="1" applyFont="1" applyFill="1" applyBorder="1" applyAlignment="1">
      <alignment wrapText="1"/>
    </xf>
    <xf numFmtId="0" fontId="4" fillId="0" borderId="10" xfId="8" applyBorder="1" applyAlignment="1">
      <alignment wrapText="1"/>
    </xf>
    <xf numFmtId="1" fontId="41" fillId="0" borderId="0" xfId="8" applyNumberFormat="1" applyFont="1" applyFill="1" applyBorder="1" applyAlignment="1">
      <alignment horizontal="left" vertical="top" wrapText="1"/>
    </xf>
    <xf numFmtId="0" fontId="4" fillId="0" borderId="0" xfId="8" applyFont="1" applyFill="1" applyAlignment="1">
      <alignment vertical="top" wrapText="1"/>
    </xf>
    <xf numFmtId="1" fontId="43" fillId="0" borderId="34" xfId="8" applyNumberFormat="1" applyFont="1" applyFill="1" applyBorder="1" applyAlignment="1">
      <alignment wrapText="1"/>
    </xf>
    <xf numFmtId="0" fontId="4" fillId="0" borderId="34" xfId="8" applyFont="1" applyFill="1" applyBorder="1" applyAlignment="1">
      <alignment wrapText="1"/>
    </xf>
    <xf numFmtId="2" fontId="22" fillId="0" borderId="15" xfId="8" applyNumberFormat="1" applyFont="1" applyFill="1" applyBorder="1" applyAlignment="1">
      <alignment vertical="center" wrapText="1"/>
    </xf>
    <xf numFmtId="2" fontId="4" fillId="0" borderId="15" xfId="8" applyNumberFormat="1" applyFill="1" applyBorder="1" applyAlignment="1">
      <alignment vertical="center" wrapText="1"/>
    </xf>
    <xf numFmtId="0" fontId="14" fillId="0" borderId="15" xfId="8" applyFont="1" applyFill="1" applyBorder="1" applyAlignment="1">
      <alignment wrapText="1"/>
    </xf>
    <xf numFmtId="0" fontId="4" fillId="0" borderId="15" xfId="8" applyFont="1" applyFill="1" applyBorder="1" applyAlignment="1">
      <alignment wrapText="1"/>
    </xf>
    <xf numFmtId="2" fontId="22" fillId="0" borderId="2" xfId="8" applyNumberFormat="1" applyFont="1" applyFill="1" applyBorder="1" applyAlignment="1">
      <alignment vertical="center" wrapText="1"/>
    </xf>
    <xf numFmtId="2" fontId="4" fillId="0" borderId="2" xfId="8" applyNumberFormat="1" applyFill="1" applyBorder="1" applyAlignment="1">
      <alignment vertical="center" wrapText="1"/>
    </xf>
    <xf numFmtId="1" fontId="72" fillId="0" borderId="34" xfId="8" applyNumberFormat="1" applyFont="1" applyFill="1" applyBorder="1" applyAlignment="1">
      <alignment wrapText="1"/>
    </xf>
    <xf numFmtId="0" fontId="64" fillId="0" borderId="34" xfId="8" applyFont="1" applyFill="1" applyBorder="1" applyAlignment="1">
      <alignment wrapText="1"/>
    </xf>
    <xf numFmtId="0" fontId="22" fillId="0" borderId="56" xfId="0" applyFont="1" applyBorder="1"/>
    <xf numFmtId="0" fontId="22" fillId="0" borderId="4" xfId="8" applyFont="1" applyFill="1" applyBorder="1" applyAlignment="1"/>
    <xf numFmtId="0" fontId="22" fillId="0" borderId="5" xfId="8" applyFont="1" applyFill="1" applyBorder="1" applyAlignment="1"/>
    <xf numFmtId="0" fontId="22" fillId="0" borderId="4" xfId="8" applyFont="1" applyFill="1" applyBorder="1" applyAlignment="1">
      <alignment vertical="top"/>
    </xf>
    <xf numFmtId="0" fontId="22" fillId="0" borderId="5" xfId="8" applyFont="1" applyFill="1" applyBorder="1" applyAlignment="1">
      <alignment vertical="top"/>
    </xf>
    <xf numFmtId="0" fontId="22" fillId="0" borderId="7" xfId="8" applyFont="1" applyFill="1" applyBorder="1" applyAlignment="1"/>
    <xf numFmtId="0" fontId="22" fillId="0" borderId="8" xfId="8" applyFont="1" applyFill="1" applyBorder="1" applyAlignment="1"/>
    <xf numFmtId="0" fontId="22" fillId="0" borderId="56" xfId="8" applyFont="1" applyFill="1" applyBorder="1" applyAlignment="1"/>
    <xf numFmtId="0" fontId="22" fillId="0" borderId="4" xfId="0" applyFont="1" applyFill="1" applyBorder="1" applyAlignment="1">
      <alignment horizontal="left"/>
    </xf>
    <xf numFmtId="0" fontId="22" fillId="0" borderId="5" xfId="0" applyFont="1" applyFill="1" applyBorder="1" applyAlignment="1">
      <alignment horizontal="left"/>
    </xf>
    <xf numFmtId="0" fontId="0" fillId="0" borderId="10" xfId="0" applyFill="1" applyBorder="1" applyAlignment="1">
      <alignment wrapText="1"/>
    </xf>
    <xf numFmtId="3" fontId="39" fillId="0" borderId="0" xfId="0" applyNumberFormat="1" applyFont="1" applyFill="1" applyAlignment="1">
      <alignment horizontal="right"/>
    </xf>
    <xf numFmtId="3" fontId="0" fillId="0" borderId="0" xfId="0" applyNumberFormat="1" applyFill="1" applyAlignment="1">
      <alignment horizontal="right"/>
    </xf>
    <xf numFmtId="0" fontId="34" fillId="0" borderId="10" xfId="0" applyFont="1" applyFill="1" applyBorder="1" applyAlignment="1">
      <alignment horizontal="left" wrapText="1"/>
    </xf>
    <xf numFmtId="0" fontId="64" fillId="0" borderId="10" xfId="0" applyFont="1" applyFill="1" applyBorder="1" applyAlignment="1">
      <alignment wrapText="1"/>
    </xf>
    <xf numFmtId="0" fontId="39" fillId="0" borderId="1" xfId="0" applyFont="1" applyFill="1" applyBorder="1" applyAlignment="1">
      <alignment horizontal="left" wrapText="1"/>
    </xf>
    <xf numFmtId="0" fontId="0" fillId="0" borderId="1" xfId="0" applyFill="1" applyBorder="1" applyAlignment="1">
      <alignment wrapText="1"/>
    </xf>
    <xf numFmtId="0" fontId="22" fillId="0" borderId="4" xfId="8" applyFont="1" applyFill="1" applyBorder="1" applyAlignment="1">
      <alignment horizontal="left"/>
    </xf>
    <xf numFmtId="0" fontId="22" fillId="0" borderId="5" xfId="8" applyFont="1" applyFill="1" applyBorder="1" applyAlignment="1">
      <alignment horizontal="left"/>
    </xf>
    <xf numFmtId="0" fontId="4" fillId="0" borderId="10" xfId="8" applyFill="1" applyBorder="1" applyAlignment="1">
      <alignment wrapText="1"/>
    </xf>
    <xf numFmtId="1" fontId="8" fillId="0" borderId="1" xfId="8" applyNumberFormat="1" applyFont="1" applyFill="1" applyBorder="1" applyAlignment="1">
      <alignment horizontal="left" vertical="justify" wrapText="1"/>
    </xf>
    <xf numFmtId="0" fontId="31" fillId="4" borderId="10" xfId="8" applyFont="1" applyFill="1" applyBorder="1" applyAlignment="1">
      <alignment horizontal="left" wrapText="1"/>
    </xf>
    <xf numFmtId="0" fontId="4" fillId="4" borderId="10" xfId="8" applyFill="1" applyBorder="1" applyAlignment="1">
      <alignment wrapText="1"/>
    </xf>
    <xf numFmtId="0" fontId="0" fillId="0" borderId="10" xfId="0" applyBorder="1" applyAlignment="1">
      <alignment wrapText="1"/>
    </xf>
    <xf numFmtId="0" fontId="22" fillId="2" borderId="4" xfId="0" applyFont="1" applyFill="1" applyBorder="1" applyAlignment="1">
      <alignment horizontal="left"/>
    </xf>
    <xf numFmtId="0" fontId="22" fillId="2" borderId="5" xfId="0" applyFont="1" applyFill="1" applyBorder="1" applyAlignment="1">
      <alignment horizontal="left"/>
    </xf>
    <xf numFmtId="0" fontId="13" fillId="3" borderId="2" xfId="0" applyFont="1" applyFill="1" applyBorder="1" applyAlignment="1">
      <alignment wrapText="1"/>
    </xf>
    <xf numFmtId="0" fontId="13" fillId="3" borderId="3" xfId="0" applyFont="1" applyFill="1" applyBorder="1" applyAlignment="1">
      <alignment wrapText="1"/>
    </xf>
    <xf numFmtId="1" fontId="70" fillId="2" borderId="10" xfId="0" applyNumberFormat="1" applyFont="1" applyFill="1" applyBorder="1" applyAlignment="1">
      <alignment horizontal="left" wrapText="1"/>
    </xf>
    <xf numFmtId="0" fontId="71" fillId="0" borderId="10" xfId="0" applyFont="1" applyBorder="1" applyAlignment="1">
      <alignment wrapText="1"/>
    </xf>
    <xf numFmtId="0" fontId="13" fillId="0" borderId="2" xfId="0" applyFont="1" applyBorder="1" applyAlignment="1">
      <alignment wrapText="1"/>
    </xf>
    <xf numFmtId="3" fontId="8" fillId="0" borderId="74" xfId="8" applyNumberFormat="1" applyFont="1" applyFill="1" applyBorder="1" applyAlignment="1">
      <alignment horizontal="right" vertical="top"/>
    </xf>
    <xf numFmtId="0" fontId="4" fillId="0" borderId="74" xfId="8" applyFont="1" applyFill="1" applyBorder="1" applyAlignment="1">
      <alignment horizontal="right" vertical="top"/>
    </xf>
    <xf numFmtId="0" fontId="74" fillId="0" borderId="0" xfId="8" applyFont="1" applyFill="1" applyAlignment="1">
      <alignment wrapText="1"/>
    </xf>
    <xf numFmtId="0" fontId="4" fillId="0" borderId="0" xfId="8" applyAlignment="1">
      <alignment wrapText="1"/>
    </xf>
    <xf numFmtId="0" fontId="74" fillId="0" borderId="0" xfId="8" applyFont="1" applyFill="1" applyAlignment="1">
      <alignment horizontal="left" wrapText="1"/>
    </xf>
    <xf numFmtId="0" fontId="74" fillId="0" borderId="0" xfId="8" applyFont="1" applyAlignment="1">
      <alignment horizontal="left" wrapText="1"/>
    </xf>
    <xf numFmtId="0" fontId="4" fillId="0" borderId="0" xfId="8" applyAlignment="1"/>
    <xf numFmtId="0" fontId="22" fillId="0" borderId="7" xfId="8" applyFont="1" applyBorder="1" applyAlignment="1">
      <alignment horizontal="left"/>
    </xf>
    <xf numFmtId="0" fontId="22" fillId="0" borderId="8" xfId="8" applyFont="1" applyBorder="1" applyAlignment="1">
      <alignment horizontal="left"/>
    </xf>
    <xf numFmtId="0" fontId="22" fillId="0" borderId="56" xfId="8" applyFont="1" applyBorder="1" applyAlignment="1">
      <alignment horizontal="left"/>
    </xf>
    <xf numFmtId="0" fontId="4" fillId="0" borderId="10" xfId="8" applyFill="1" applyBorder="1" applyAlignment="1">
      <alignment horizontal="left" wrapText="1"/>
    </xf>
    <xf numFmtId="0" fontId="22" fillId="4" borderId="4" xfId="8" applyFont="1" applyFill="1" applyBorder="1" applyAlignment="1">
      <alignment horizontal="left"/>
    </xf>
    <xf numFmtId="0" fontId="22" fillId="4" borderId="5" xfId="8" applyFont="1" applyFill="1" applyBorder="1" applyAlignment="1">
      <alignment horizontal="left"/>
    </xf>
    <xf numFmtId="0" fontId="22" fillId="4" borderId="7" xfId="8" applyFont="1" applyFill="1" applyBorder="1" applyAlignment="1">
      <alignment horizontal="left"/>
    </xf>
    <xf numFmtId="0" fontId="22" fillId="4" borderId="8" xfId="8" applyFont="1" applyFill="1" applyBorder="1" applyAlignment="1">
      <alignment horizontal="left"/>
    </xf>
    <xf numFmtId="0" fontId="22" fillId="4" borderId="56" xfId="8" applyFont="1" applyFill="1" applyBorder="1" applyAlignment="1">
      <alignment horizontal="left"/>
    </xf>
    <xf numFmtId="0" fontId="31" fillId="4" borderId="10" xfId="8" applyFont="1" applyFill="1" applyBorder="1" applyAlignment="1">
      <alignment horizontal="left" vertical="center" wrapText="1"/>
    </xf>
    <xf numFmtId="0" fontId="39" fillId="0" borderId="0" xfId="8" applyFont="1" applyFill="1" applyBorder="1" applyAlignment="1">
      <alignment horizontal="justify" wrapText="1"/>
    </xf>
    <xf numFmtId="0" fontId="4" fillId="0" borderId="0" xfId="8" applyFill="1" applyBorder="1" applyAlignment="1">
      <alignment horizontal="justify" wrapText="1"/>
    </xf>
    <xf numFmtId="0" fontId="4" fillId="0" borderId="0" xfId="8" applyFill="1" applyBorder="1" applyAlignment="1">
      <alignment wrapText="1"/>
    </xf>
    <xf numFmtId="0" fontId="4" fillId="0" borderId="1" xfId="8" applyFill="1" applyBorder="1" applyAlignment="1">
      <alignment horizontal="justify" wrapText="1"/>
    </xf>
    <xf numFmtId="0" fontId="4" fillId="0" borderId="1" xfId="8" applyFill="1" applyBorder="1" applyAlignment="1">
      <alignment wrapText="1"/>
    </xf>
    <xf numFmtId="0" fontId="77" fillId="0" borderId="0" xfId="8" applyFont="1" applyFill="1" applyAlignment="1">
      <alignment horizontal="justify" wrapText="1"/>
    </xf>
    <xf numFmtId="0" fontId="51" fillId="0" borderId="0" xfId="8" applyFont="1" applyFill="1" applyBorder="1" applyAlignment="1">
      <alignment horizontal="left" wrapText="1"/>
    </xf>
    <xf numFmtId="0" fontId="4" fillId="0" borderId="0" xfId="8" applyAlignment="1">
      <alignment horizontal="left" wrapText="1"/>
    </xf>
    <xf numFmtId="0" fontId="72" fillId="0" borderId="60" xfId="8" applyFont="1" applyFill="1" applyBorder="1" applyAlignment="1">
      <alignment horizontal="left" wrapText="1"/>
    </xf>
    <xf numFmtId="0" fontId="64" fillId="0" borderId="60" xfId="8" applyFont="1" applyBorder="1" applyAlignment="1">
      <alignment horizontal="left" wrapText="1"/>
    </xf>
    <xf numFmtId="0" fontId="64" fillId="0" borderId="0" xfId="8" applyFont="1" applyBorder="1" applyAlignment="1">
      <alignment horizontal="left" wrapText="1"/>
    </xf>
    <xf numFmtId="0" fontId="4" fillId="0" borderId="34" xfId="8" applyBorder="1" applyAlignment="1">
      <alignment wrapText="1"/>
    </xf>
    <xf numFmtId="0" fontId="22" fillId="0" borderId="33" xfId="8" applyFont="1" applyFill="1" applyBorder="1" applyAlignment="1">
      <alignment horizontal="left"/>
    </xf>
    <xf numFmtId="0" fontId="22" fillId="0" borderId="34" xfId="8" applyFont="1" applyFill="1" applyBorder="1" applyAlignment="1">
      <alignment horizontal="left"/>
    </xf>
    <xf numFmtId="0" fontId="22" fillId="0" borderId="48" xfId="8" applyFont="1" applyFill="1" applyBorder="1" applyAlignment="1">
      <alignment horizontal="left"/>
    </xf>
    <xf numFmtId="0" fontId="24" fillId="0" borderId="0" xfId="8" applyFont="1" applyFill="1" applyAlignment="1">
      <alignment horizontal="justify" wrapText="1"/>
    </xf>
    <xf numFmtId="0" fontId="4" fillId="0" borderId="0" xfId="8" applyFill="1" applyAlignment="1">
      <alignment horizontal="justify" wrapText="1"/>
    </xf>
    <xf numFmtId="0" fontId="43" fillId="0" borderId="60" xfId="8" applyFont="1" applyFill="1" applyBorder="1" applyAlignment="1">
      <alignment horizontal="left" wrapText="1"/>
    </xf>
    <xf numFmtId="0" fontId="4" fillId="0" borderId="60" xfId="8" applyBorder="1" applyAlignment="1">
      <alignment horizontal="left" wrapText="1"/>
    </xf>
    <xf numFmtId="0" fontId="4" fillId="0" borderId="34" xfId="8" applyBorder="1" applyAlignment="1">
      <alignment horizontal="left" wrapText="1"/>
    </xf>
  </cellXfs>
  <cellStyles count="66">
    <cellStyle name="20 % – Zvýraznění1" xfId="26" builtinId="30" customBuiltin="1"/>
    <cellStyle name="20 % – Zvýraznění1 2" xfId="53"/>
    <cellStyle name="20 % – Zvýraznění2" xfId="30" builtinId="34" customBuiltin="1"/>
    <cellStyle name="20 % – Zvýraznění2 2" xfId="55"/>
    <cellStyle name="20 % – Zvýraznění3" xfId="34" builtinId="38" customBuiltin="1"/>
    <cellStyle name="20 % – Zvýraznění3 2" xfId="57"/>
    <cellStyle name="20 % – Zvýraznění4" xfId="38" builtinId="42" customBuiltin="1"/>
    <cellStyle name="20 % – Zvýraznění4 2" xfId="59"/>
    <cellStyle name="20 % – Zvýraznění5" xfId="42" builtinId="46" customBuiltin="1"/>
    <cellStyle name="20 % – Zvýraznění5 2" xfId="61"/>
    <cellStyle name="20 % – Zvýraznění6" xfId="46" builtinId="50" customBuiltin="1"/>
    <cellStyle name="20 % – Zvýraznění6 2" xfId="63"/>
    <cellStyle name="40 % – Zvýraznění1" xfId="27" builtinId="31" customBuiltin="1"/>
    <cellStyle name="40 % – Zvýraznění1 2" xfId="54"/>
    <cellStyle name="40 % – Zvýraznění2" xfId="31" builtinId="35" customBuiltin="1"/>
    <cellStyle name="40 % – Zvýraznění2 2" xfId="56"/>
    <cellStyle name="40 % – Zvýraznění3" xfId="35" builtinId="39" customBuiltin="1"/>
    <cellStyle name="40 % – Zvýraznění3 2" xfId="58"/>
    <cellStyle name="40 % – Zvýraznění4" xfId="39" builtinId="43" customBuiltin="1"/>
    <cellStyle name="40 % – Zvýraznění4 2" xfId="60"/>
    <cellStyle name="40 % – Zvýraznění5" xfId="43" builtinId="47" customBuiltin="1"/>
    <cellStyle name="40 % – Zvýraznění5 2" xfId="62"/>
    <cellStyle name="40 % – Zvýraznění6" xfId="47" builtinId="51" customBuiltin="1"/>
    <cellStyle name="40 % – Zvýraznění6 2" xfId="64"/>
    <cellStyle name="60 % – Zvýraznění1" xfId="28" builtinId="32" customBuiltin="1"/>
    <cellStyle name="60 % – Zvýraznění2" xfId="32" builtinId="36" customBuiltin="1"/>
    <cellStyle name="60 % – Zvýraznění3" xfId="36" builtinId="40" customBuiltin="1"/>
    <cellStyle name="60 % – Zvýraznění4" xfId="40" builtinId="44" customBuiltin="1"/>
    <cellStyle name="60 % – Zvýraznění5" xfId="44" builtinId="48" customBuiltin="1"/>
    <cellStyle name="60 % – Zvýraznění6" xfId="48" builtinId="52" customBuiltin="1"/>
    <cellStyle name="Celkem" xfId="24" builtinId="25" customBuiltin="1"/>
    <cellStyle name="Kontrolní buňka" xfId="21" builtinId="23" customBuiltin="1"/>
    <cellStyle name="Nadpis 1" xfId="10" builtinId="16" customBuiltin="1"/>
    <cellStyle name="Nadpis 2" xfId="11" builtinId="17" customBuiltin="1"/>
    <cellStyle name="Nadpis 3" xfId="12" builtinId="18" customBuiltin="1"/>
    <cellStyle name="Nadpis 4" xfId="13" builtinId="19" customBuiltin="1"/>
    <cellStyle name="Název" xfId="9" builtinId="15" customBuiltin="1"/>
    <cellStyle name="Neutrální" xfId="16" builtinId="28" customBuiltin="1"/>
    <cellStyle name="Normální" xfId="0" builtinId="0"/>
    <cellStyle name="Normální 2" xfId="1"/>
    <cellStyle name="Normální 2 2" xfId="8"/>
    <cellStyle name="Normální 3" xfId="7"/>
    <cellStyle name="Normální 4" xfId="49"/>
    <cellStyle name="Normální 4 2" xfId="65"/>
    <cellStyle name="Normální 5" xfId="51"/>
    <cellStyle name="normální_05" xfId="2"/>
    <cellStyle name="normální_10 - PO" xfId="3"/>
    <cellStyle name="normální_13" xfId="4"/>
    <cellStyle name="normální_14" xfId="5"/>
    <cellStyle name="normální_F - 99" xfId="6"/>
    <cellStyle name="Poznámka 2" xfId="50"/>
    <cellStyle name="Poznámka 3" xfId="52"/>
    <cellStyle name="Propojená buňka" xfId="20" builtinId="24" customBuiltin="1"/>
    <cellStyle name="Správně" xfId="14" builtinId="26" customBuiltin="1"/>
    <cellStyle name="Špatně" xfId="15" builtinId="27" customBuiltin="1"/>
    <cellStyle name="Text upozornění" xfId="22" builtinId="11" customBuiltin="1"/>
    <cellStyle name="Vstup" xfId="17" builtinId="20" customBuiltin="1"/>
    <cellStyle name="Výpočet" xfId="19" builtinId="22" customBuiltin="1"/>
    <cellStyle name="Výstup" xfId="18" builtinId="21" customBuiltin="1"/>
    <cellStyle name="Vysvětlující text" xfId="23" builtinId="53" customBuiltin="1"/>
    <cellStyle name="Zvýraznění 1" xfId="25" builtinId="29" customBuiltin="1"/>
    <cellStyle name="Zvýraznění 2" xfId="29" builtinId="33" customBuiltin="1"/>
    <cellStyle name="Zvýraznění 3" xfId="33" builtinId="37" customBuiltin="1"/>
    <cellStyle name="Zvýraznění 4" xfId="37" builtinId="41" customBuiltin="1"/>
    <cellStyle name="Zvýraznění 5" xfId="41" builtinId="45" customBuiltin="1"/>
    <cellStyle name="Zvýraznění 6" xfId="45" builtinId="49" customBuiltin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CCFFFF"/>
      <color rgb="FFFF00FF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">
    <tabColor rgb="FFCCFFFF"/>
  </sheetPr>
  <dimension ref="A1:L39"/>
  <sheetViews>
    <sheetView showGridLines="0" view="pageBreakPreview" zoomScaleNormal="100" zoomScaleSheetLayoutView="100" workbookViewId="0">
      <selection activeCell="E11" sqref="E11"/>
    </sheetView>
  </sheetViews>
  <sheetFormatPr defaultColWidth="9.140625" defaultRowHeight="12.75" x14ac:dyDescent="0.2"/>
  <cols>
    <col min="1" max="1" width="2.5703125" style="344" customWidth="1"/>
    <col min="2" max="2" width="40.5703125" style="344" customWidth="1"/>
    <col min="3" max="3" width="15.85546875" style="344" customWidth="1"/>
    <col min="4" max="4" width="15.5703125" style="344" customWidth="1"/>
    <col min="5" max="5" width="16.7109375" style="344" customWidth="1"/>
    <col min="6" max="6" width="10.140625" style="344" customWidth="1"/>
    <col min="7" max="7" width="4.28515625" style="344" customWidth="1"/>
    <col min="8" max="8" width="19.28515625" style="1340" customWidth="1"/>
    <col min="9" max="9" width="21" style="1340" customWidth="1"/>
    <col min="10" max="10" width="20.7109375" style="1340" customWidth="1"/>
    <col min="11" max="11" width="9.140625" style="344" customWidth="1"/>
    <col min="12" max="16384" width="9.140625" style="344"/>
  </cols>
  <sheetData>
    <row r="1" spans="1:12" ht="23.25" x14ac:dyDescent="0.35">
      <c r="A1" s="3143" t="s">
        <v>1668</v>
      </c>
      <c r="B1" s="3144"/>
      <c r="C1" s="3144"/>
      <c r="D1" s="3144"/>
      <c r="E1" s="3144"/>
      <c r="F1" s="3144"/>
      <c r="G1" s="3144"/>
    </row>
    <row r="3" spans="1:12" ht="18.75" customHeight="1" x14ac:dyDescent="0.2">
      <c r="A3" s="3153" t="s">
        <v>1648</v>
      </c>
      <c r="B3" s="3154"/>
      <c r="C3" s="3154"/>
      <c r="D3" s="3154"/>
      <c r="E3" s="3154"/>
      <c r="F3" s="3154"/>
    </row>
    <row r="4" spans="1:12" x14ac:dyDescent="0.2">
      <c r="A4" s="3154"/>
      <c r="B4" s="3154"/>
      <c r="C4" s="3154"/>
      <c r="D4" s="3154"/>
      <c r="E4" s="3154"/>
      <c r="F4" s="3154"/>
    </row>
    <row r="5" spans="1:12" ht="13.5" customHeight="1" x14ac:dyDescent="0.2">
      <c r="A5" s="3154"/>
      <c r="B5" s="3154"/>
      <c r="C5" s="3154"/>
      <c r="D5" s="3154"/>
      <c r="E5" s="3154"/>
      <c r="F5" s="3154"/>
    </row>
    <row r="6" spans="1:12" ht="21" customHeight="1" x14ac:dyDescent="0.25">
      <c r="A6" s="461" t="s">
        <v>34</v>
      </c>
    </row>
    <row r="7" spans="1:12" ht="15" thickBot="1" x14ac:dyDescent="0.25">
      <c r="B7" s="462"/>
      <c r="C7" s="463"/>
      <c r="D7" s="457"/>
      <c r="E7" s="457"/>
      <c r="F7" s="560" t="s">
        <v>92</v>
      </c>
      <c r="G7" s="373"/>
    </row>
    <row r="8" spans="1:12" s="468" customFormat="1" ht="18.75" customHeight="1" thickTop="1" thickBot="1" x14ac:dyDescent="0.25">
      <c r="A8" s="3151" t="s">
        <v>617</v>
      </c>
      <c r="B8" s="3152"/>
      <c r="C8" s="464" t="s">
        <v>328</v>
      </c>
      <c r="D8" s="464" t="s">
        <v>329</v>
      </c>
      <c r="E8" s="465" t="s">
        <v>448</v>
      </c>
      <c r="F8" s="466" t="s">
        <v>449</v>
      </c>
      <c r="G8" s="467"/>
      <c r="H8" s="1343"/>
      <c r="I8" s="1343"/>
      <c r="J8" s="1343"/>
    </row>
    <row r="9" spans="1:12" s="471" customFormat="1" ht="14.25" thickTop="1" thickBot="1" x14ac:dyDescent="0.25">
      <c r="A9" s="3151">
        <v>1</v>
      </c>
      <c r="B9" s="3152"/>
      <c r="C9" s="464">
        <v>2</v>
      </c>
      <c r="D9" s="464">
        <v>3</v>
      </c>
      <c r="E9" s="464">
        <v>4</v>
      </c>
      <c r="F9" s="469" t="s">
        <v>37</v>
      </c>
      <c r="G9" s="470"/>
      <c r="H9" s="1344"/>
      <c r="I9" s="1344"/>
      <c r="J9" s="1344"/>
    </row>
    <row r="10" spans="1:12" s="475" customFormat="1" ht="29.25" thickTop="1" x14ac:dyDescent="0.2">
      <c r="A10" s="472" t="s">
        <v>494</v>
      </c>
      <c r="B10" s="473" t="s">
        <v>492</v>
      </c>
      <c r="C10" s="417">
        <f>'Odbor celkem'!C304</f>
        <v>686314</v>
      </c>
      <c r="D10" s="417">
        <f>'Odbor celkem'!D304</f>
        <v>8618534</v>
      </c>
      <c r="E10" s="417">
        <f>'Odbor celkem'!E304</f>
        <v>21325259</v>
      </c>
      <c r="F10" s="474">
        <f t="shared" ref="F10:F17" si="0">E10/D10*100</f>
        <v>247.43487697559701</v>
      </c>
      <c r="G10" s="890"/>
      <c r="H10" s="1346"/>
      <c r="I10" s="1346"/>
      <c r="J10" s="1346"/>
      <c r="K10" s="1342"/>
      <c r="L10" s="1342"/>
    </row>
    <row r="11" spans="1:12" s="475" customFormat="1" ht="15" x14ac:dyDescent="0.25">
      <c r="A11" s="420" t="s">
        <v>493</v>
      </c>
      <c r="B11" s="476" t="s">
        <v>1151</v>
      </c>
      <c r="C11" s="417">
        <f>'Odbor celkem'!C305</f>
        <v>289230</v>
      </c>
      <c r="D11" s="417">
        <f>'Odbor celkem'!D305</f>
        <v>370662</v>
      </c>
      <c r="E11" s="417">
        <f>'Odbor celkem'!E305</f>
        <v>346798</v>
      </c>
      <c r="F11" s="2607">
        <f t="shared" si="0"/>
        <v>93.561789446989437</v>
      </c>
      <c r="G11" s="890"/>
      <c r="H11" s="1346"/>
      <c r="I11" s="1346"/>
      <c r="J11" s="1346"/>
      <c r="K11" s="1342"/>
      <c r="L11" s="1342"/>
    </row>
    <row r="12" spans="1:12" s="475" customFormat="1" ht="15" x14ac:dyDescent="0.25">
      <c r="A12" s="420" t="s">
        <v>493</v>
      </c>
      <c r="B12" s="476" t="s">
        <v>323</v>
      </c>
      <c r="C12" s="417">
        <f>'Odbor celkem'!C306</f>
        <v>2496931</v>
      </c>
      <c r="D12" s="417">
        <f>'Odbor celkem'!D306</f>
        <v>2664789</v>
      </c>
      <c r="E12" s="417">
        <f>'Odbor celkem'!E306</f>
        <v>2664635</v>
      </c>
      <c r="F12" s="477">
        <f t="shared" si="0"/>
        <v>99.994220930812901</v>
      </c>
      <c r="G12" s="890"/>
      <c r="H12" s="1346"/>
      <c r="I12" s="1346"/>
      <c r="J12" s="1346"/>
    </row>
    <row r="13" spans="1:12" s="335" customFormat="1" ht="15" x14ac:dyDescent="0.25">
      <c r="A13" s="420" t="s">
        <v>493</v>
      </c>
      <c r="B13" s="476" t="s">
        <v>618</v>
      </c>
      <c r="C13" s="417">
        <f>'Odbor celkem'!C307</f>
        <v>17458</v>
      </c>
      <c r="D13" s="417">
        <f>'Odbor celkem'!D307</f>
        <v>481367</v>
      </c>
      <c r="E13" s="417">
        <f>'Odbor celkem'!E307</f>
        <v>1608529</v>
      </c>
      <c r="F13" s="477">
        <f>E13/D13*100</f>
        <v>334.15855262201188</v>
      </c>
      <c r="G13" s="883"/>
      <c r="H13" s="1346"/>
      <c r="I13" s="1346"/>
      <c r="J13" s="1346"/>
    </row>
    <row r="14" spans="1:12" s="335" customFormat="1" ht="15" x14ac:dyDescent="0.25">
      <c r="A14" s="420" t="s">
        <v>493</v>
      </c>
      <c r="B14" s="476" t="s">
        <v>2001</v>
      </c>
      <c r="C14" s="417">
        <f>'Odbor celkem'!C308</f>
        <v>1081855</v>
      </c>
      <c r="D14" s="417">
        <f>'Odbor celkem'!D308</f>
        <v>1240305</v>
      </c>
      <c r="E14" s="417">
        <f>'Odbor celkem'!E308</f>
        <v>1076560</v>
      </c>
      <c r="F14" s="477">
        <f>E14/D14*100</f>
        <v>86.798005329334316</v>
      </c>
      <c r="G14" s="883"/>
      <c r="H14" s="1346"/>
      <c r="I14" s="1346"/>
      <c r="J14" s="1346"/>
    </row>
    <row r="15" spans="1:12" s="335" customFormat="1" ht="15" x14ac:dyDescent="0.25">
      <c r="A15" s="420" t="s">
        <v>493</v>
      </c>
      <c r="B15" s="476" t="s">
        <v>77</v>
      </c>
      <c r="C15" s="912">
        <f>'Odbor celkem'!C309</f>
        <v>8242</v>
      </c>
      <c r="D15" s="912">
        <f>'Odbor celkem'!D309</f>
        <v>9520</v>
      </c>
      <c r="E15" s="912">
        <f>'Odbor celkem'!E309</f>
        <v>8146</v>
      </c>
      <c r="F15" s="477">
        <f t="shared" si="0"/>
        <v>85.567226890756302</v>
      </c>
      <c r="G15" s="883"/>
      <c r="H15" s="1346"/>
      <c r="I15" s="1346"/>
      <c r="J15" s="1346"/>
    </row>
    <row r="16" spans="1:12" s="475" customFormat="1" ht="42.75" x14ac:dyDescent="0.2">
      <c r="A16" s="888" t="s">
        <v>493</v>
      </c>
      <c r="B16" s="889" t="s">
        <v>78</v>
      </c>
      <c r="C16" s="417">
        <f>'Odbor celkem'!C310</f>
        <v>50000</v>
      </c>
      <c r="D16" s="417">
        <f>'Odbor celkem'!D310</f>
        <v>74155</v>
      </c>
      <c r="E16" s="417">
        <f>'Odbor celkem'!E310</f>
        <v>61080</v>
      </c>
      <c r="F16" s="478">
        <f t="shared" si="0"/>
        <v>82.368012945856648</v>
      </c>
      <c r="G16" s="890"/>
      <c r="H16" s="1346"/>
      <c r="I16" s="1346"/>
      <c r="J16" s="1346"/>
    </row>
    <row r="17" spans="1:12" ht="18.75" customHeight="1" thickBot="1" x14ac:dyDescent="0.3">
      <c r="A17" s="3145" t="s">
        <v>35</v>
      </c>
      <c r="B17" s="3146"/>
      <c r="C17" s="479">
        <f>SUM(C10:C16)</f>
        <v>4630030</v>
      </c>
      <c r="D17" s="479">
        <f>SUM(D10:D16)</f>
        <v>13459332</v>
      </c>
      <c r="E17" s="479">
        <f>SUM(E10:E16)</f>
        <v>27091007</v>
      </c>
      <c r="F17" s="480">
        <f t="shared" si="0"/>
        <v>201.28047216607777</v>
      </c>
      <c r="G17" s="884"/>
      <c r="H17" s="1347"/>
      <c r="I17" s="1347"/>
      <c r="J17" s="1347"/>
      <c r="K17" s="422"/>
      <c r="L17" s="422"/>
    </row>
    <row r="18" spans="1:12" s="355" customFormat="1" ht="15.75" thickTop="1" x14ac:dyDescent="0.2">
      <c r="A18" s="3155" t="s">
        <v>649</v>
      </c>
      <c r="B18" s="3156"/>
      <c r="C18" s="351">
        <f>'Odbor celkem'!C312</f>
        <v>8240</v>
      </c>
      <c r="D18" s="351">
        <f>'Odbor celkem'!D312</f>
        <v>8408</v>
      </c>
      <c r="E18" s="351">
        <f>'Odbor celkem'!E312</f>
        <v>14526118</v>
      </c>
      <c r="F18" s="367">
        <f>(E18/D18)*100</f>
        <v>172765.43767840153</v>
      </c>
      <c r="G18" s="885"/>
      <c r="H18" s="1348"/>
      <c r="I18" s="1348"/>
      <c r="J18" s="1348"/>
    </row>
    <row r="19" spans="1:12" s="355" customFormat="1" ht="33.75" customHeight="1" thickBot="1" x14ac:dyDescent="0.3">
      <c r="A19" s="3147" t="s">
        <v>66</v>
      </c>
      <c r="B19" s="3146"/>
      <c r="C19" s="481">
        <f>C17-C18</f>
        <v>4621790</v>
      </c>
      <c r="D19" s="481">
        <f>D17-D18</f>
        <v>13450924</v>
      </c>
      <c r="E19" s="481">
        <f>E17-E18</f>
        <v>12564889</v>
      </c>
      <c r="F19" s="482">
        <f>(E19/D19)*100</f>
        <v>93.412831713271146</v>
      </c>
      <c r="G19" s="886"/>
      <c r="H19" s="1348"/>
      <c r="I19" s="1348"/>
      <c r="J19" s="1348"/>
      <c r="K19" s="1348"/>
    </row>
    <row r="20" spans="1:12" ht="22.5" customHeight="1" thickTop="1" x14ac:dyDescent="0.2">
      <c r="B20" s="67"/>
      <c r="C20" s="485"/>
      <c r="D20" s="486"/>
      <c r="E20" s="486"/>
      <c r="F20" s="487"/>
      <c r="G20" s="184"/>
      <c r="J20" s="1345"/>
      <c r="K20" s="422"/>
      <c r="L20" s="422"/>
    </row>
    <row r="21" spans="1:12" x14ac:dyDescent="0.2">
      <c r="B21" s="7"/>
      <c r="C21" s="488"/>
      <c r="D21" s="488"/>
      <c r="E21" s="488"/>
      <c r="F21" s="7"/>
      <c r="G21" s="7"/>
    </row>
    <row r="22" spans="1:12" x14ac:dyDescent="0.2">
      <c r="B22" s="7"/>
      <c r="C22" s="15"/>
      <c r="D22" s="15"/>
      <c r="E22" s="15"/>
      <c r="F22" s="7"/>
      <c r="G22" s="7"/>
    </row>
    <row r="23" spans="1:12" x14ac:dyDescent="0.2">
      <c r="A23" s="1530"/>
      <c r="B23" s="1531"/>
      <c r="C23" s="1532"/>
      <c r="D23" s="1532"/>
      <c r="E23" s="1532"/>
      <c r="F23" s="1531"/>
      <c r="G23" s="7"/>
    </row>
    <row r="24" spans="1:12" ht="21" customHeight="1" x14ac:dyDescent="0.25">
      <c r="A24" s="1533" t="s">
        <v>36</v>
      </c>
      <c r="B24" s="1530"/>
      <c r="C24" s="1530"/>
      <c r="D24" s="1530"/>
      <c r="E24" s="1530"/>
      <c r="F24" s="1530"/>
    </row>
    <row r="25" spans="1:12" ht="15" thickBot="1" x14ac:dyDescent="0.25">
      <c r="A25" s="1530"/>
      <c r="B25" s="1534"/>
      <c r="C25" s="1535"/>
      <c r="D25" s="1536"/>
      <c r="E25" s="1536"/>
      <c r="F25" s="1479" t="s">
        <v>92</v>
      </c>
      <c r="G25" s="373"/>
    </row>
    <row r="26" spans="1:12" s="468" customFormat="1" ht="18.75" customHeight="1" thickTop="1" thickBot="1" x14ac:dyDescent="0.25">
      <c r="A26" s="3157" t="s">
        <v>617</v>
      </c>
      <c r="B26" s="3158"/>
      <c r="C26" s="1446" t="s">
        <v>328</v>
      </c>
      <c r="D26" s="1446" t="s">
        <v>329</v>
      </c>
      <c r="E26" s="1399" t="s">
        <v>448</v>
      </c>
      <c r="F26" s="1400" t="s">
        <v>449</v>
      </c>
      <c r="G26" s="881"/>
      <c r="H26" s="1343"/>
      <c r="I26" s="1343"/>
      <c r="J26" s="1343"/>
    </row>
    <row r="27" spans="1:12" s="471" customFormat="1" ht="14.25" thickTop="1" thickBot="1" x14ac:dyDescent="0.25">
      <c r="A27" s="3157">
        <v>1</v>
      </c>
      <c r="B27" s="3158"/>
      <c r="C27" s="1446">
        <v>2</v>
      </c>
      <c r="D27" s="1446">
        <v>3</v>
      </c>
      <c r="E27" s="1446">
        <v>4</v>
      </c>
      <c r="F27" s="1447" t="s">
        <v>37</v>
      </c>
      <c r="G27" s="882"/>
      <c r="H27" s="1344"/>
      <c r="I27" s="1344"/>
      <c r="J27" s="1344"/>
    </row>
    <row r="28" spans="1:12" s="335" customFormat="1" ht="15.75" thickTop="1" x14ac:dyDescent="0.25">
      <c r="A28" s="3159" t="s">
        <v>28</v>
      </c>
      <c r="B28" s="3160"/>
      <c r="C28" s="1537">
        <f>'Odbor celkem'!C315</f>
        <v>3974069</v>
      </c>
      <c r="D28" s="1537">
        <f>'Odbor celkem'!D315</f>
        <v>11955880</v>
      </c>
      <c r="E28" s="1537">
        <f>'Odbor celkem'!E315</f>
        <v>25851502</v>
      </c>
      <c r="F28" s="1538">
        <f>E28/D28*100</f>
        <v>216.22416752259142</v>
      </c>
      <c r="G28" s="883"/>
      <c r="H28" s="1341"/>
      <c r="I28" s="1341"/>
      <c r="J28" s="1341"/>
    </row>
    <row r="29" spans="1:12" s="335" customFormat="1" ht="15" x14ac:dyDescent="0.25">
      <c r="A29" s="3148" t="s">
        <v>29</v>
      </c>
      <c r="B29" s="3149"/>
      <c r="C29" s="1539">
        <f>SUM('Odbor celkem'!C316)</f>
        <v>655961</v>
      </c>
      <c r="D29" s="1539">
        <f>'Odbor celkem'!D316</f>
        <v>1503452</v>
      </c>
      <c r="E29" s="1539">
        <f>'Odbor celkem'!E316</f>
        <v>1239505</v>
      </c>
      <c r="F29" s="1538">
        <f>E29/D29*100</f>
        <v>82.443935689333614</v>
      </c>
      <c r="G29" s="883"/>
      <c r="H29" s="1341"/>
      <c r="I29" s="1341"/>
      <c r="J29" s="1341"/>
    </row>
    <row r="30" spans="1:12" ht="18.75" customHeight="1" thickBot="1" x14ac:dyDescent="0.3">
      <c r="A30" s="3163" t="s">
        <v>79</v>
      </c>
      <c r="B30" s="3164"/>
      <c r="C30" s="1540">
        <f>SUM(C28:C29)</f>
        <v>4630030</v>
      </c>
      <c r="D30" s="1540">
        <f>SUM(D28:D29)</f>
        <v>13459332</v>
      </c>
      <c r="E30" s="1540">
        <f>SUM(E28:E29)</f>
        <v>27091007</v>
      </c>
      <c r="F30" s="1541">
        <f>E30/D30*100</f>
        <v>201.28047216607777</v>
      </c>
      <c r="G30" s="884"/>
      <c r="H30" s="1347"/>
      <c r="I30" s="1347"/>
      <c r="J30" s="1347"/>
      <c r="K30" s="422"/>
      <c r="L30" s="422"/>
    </row>
    <row r="31" spans="1:12" s="355" customFormat="1" ht="15.75" thickTop="1" x14ac:dyDescent="0.2">
      <c r="A31" s="3161" t="s">
        <v>649</v>
      </c>
      <c r="B31" s="3162"/>
      <c r="C31" s="1542">
        <f>'Odbor celkem'!C318</f>
        <v>8240</v>
      </c>
      <c r="D31" s="1542">
        <f>'Odbor celkem'!D318</f>
        <v>8408</v>
      </c>
      <c r="E31" s="1542">
        <f>'Odbor celkem'!E318</f>
        <v>14526118</v>
      </c>
      <c r="F31" s="1543">
        <f>(E31/D31)*100</f>
        <v>172765.43767840153</v>
      </c>
      <c r="G31" s="885"/>
      <c r="H31" s="1348"/>
      <c r="I31" s="1348"/>
      <c r="J31" s="1348"/>
    </row>
    <row r="32" spans="1:12" s="355" customFormat="1" ht="33.75" customHeight="1" thickBot="1" x14ac:dyDescent="0.3">
      <c r="A32" s="3165" t="s">
        <v>66</v>
      </c>
      <c r="B32" s="3166"/>
      <c r="C32" s="1544">
        <f>C30-C31</f>
        <v>4621790</v>
      </c>
      <c r="D32" s="1544">
        <f>D30-D31</f>
        <v>13450924</v>
      </c>
      <c r="E32" s="1544">
        <f>E30-E31</f>
        <v>12564889</v>
      </c>
      <c r="F32" s="1545">
        <f>(E32/D32)*100</f>
        <v>93.412831713271146</v>
      </c>
      <c r="G32" s="886"/>
      <c r="H32" s="1348"/>
      <c r="I32" s="1348"/>
      <c r="J32" s="1348"/>
    </row>
    <row r="33" spans="1:7" ht="13.5" thickTop="1" x14ac:dyDescent="0.2">
      <c r="A33" s="1530"/>
      <c r="B33" s="1530"/>
      <c r="C33" s="1530"/>
      <c r="D33" s="1530"/>
      <c r="E33" s="1546"/>
      <c r="F33" s="1530"/>
      <c r="G33" s="887"/>
    </row>
    <row r="34" spans="1:7" x14ac:dyDescent="0.2">
      <c r="A34" s="3150" t="s">
        <v>30</v>
      </c>
      <c r="B34" s="3150"/>
      <c r="C34" s="3150"/>
      <c r="D34" s="3150"/>
      <c r="E34" s="3150"/>
      <c r="F34" s="3150"/>
      <c r="G34" s="887"/>
    </row>
    <row r="35" spans="1:7" x14ac:dyDescent="0.2">
      <c r="A35" s="3150"/>
      <c r="B35" s="3150"/>
      <c r="C35" s="3150"/>
      <c r="D35" s="3150"/>
      <c r="E35" s="3150"/>
      <c r="F35" s="3150"/>
      <c r="G35" s="887"/>
    </row>
    <row r="36" spans="1:7" x14ac:dyDescent="0.2">
      <c r="G36" s="887"/>
    </row>
    <row r="37" spans="1:7" x14ac:dyDescent="0.2">
      <c r="G37" s="887"/>
    </row>
    <row r="38" spans="1:7" x14ac:dyDescent="0.2">
      <c r="G38" s="887"/>
    </row>
    <row r="39" spans="1:7" x14ac:dyDescent="0.2">
      <c r="G39" s="887"/>
    </row>
  </sheetData>
  <mergeCells count="15">
    <mergeCell ref="A1:G1"/>
    <mergeCell ref="A17:B17"/>
    <mergeCell ref="A19:B19"/>
    <mergeCell ref="A29:B29"/>
    <mergeCell ref="A34:F35"/>
    <mergeCell ref="A8:B8"/>
    <mergeCell ref="A9:B9"/>
    <mergeCell ref="A3:F5"/>
    <mergeCell ref="A18:B18"/>
    <mergeCell ref="A26:B26"/>
    <mergeCell ref="A27:B27"/>
    <mergeCell ref="A28:B28"/>
    <mergeCell ref="A31:B31"/>
    <mergeCell ref="A30:B30"/>
    <mergeCell ref="A32:B32"/>
  </mergeCells>
  <phoneticPr fontId="35" type="noConversion"/>
  <pageMargins left="0.98425196850393704" right="0.98425196850393704" top="0.98425196850393704" bottom="0.98425196850393704" header="0.51181102362204722" footer="0.51181102362204722"/>
  <pageSetup paperSize="9" scale="80" firstPageNumber="19" orientation="portrait" useFirstPageNumber="1" r:id="rId1"/>
  <headerFooter alignWithMargins="0">
    <oddFooter>&amp;L&amp;"Arial,Kurzíva"Zastupitelstvo Olomouckého kraje 25. 6. 2018
5. - Rozpočet Olomouckého kraje 2017 - závěrečný  účet 
Příloha č. 3: Plnění rozpočtu výdajů Olomouckého kraje k 31. 12. 2017&amp;R&amp;"Arial,Kurzíva"Strana &amp;P (celkem 478)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indexed="33"/>
  </sheetPr>
  <dimension ref="A1:J48"/>
  <sheetViews>
    <sheetView showGridLines="0" zoomScaleNormal="100" workbookViewId="0">
      <selection activeCell="A5" sqref="A5"/>
    </sheetView>
  </sheetViews>
  <sheetFormatPr defaultColWidth="9.140625" defaultRowHeight="12.75" x14ac:dyDescent="0.2"/>
  <cols>
    <col min="1" max="1" width="6.140625" style="1" customWidth="1"/>
    <col min="2" max="2" width="5.42578125" style="119" customWidth="1"/>
    <col min="3" max="3" width="6.7109375" style="143" customWidth="1"/>
    <col min="4" max="4" width="47.85546875" style="119" customWidth="1"/>
    <col min="5" max="5" width="12.140625" style="120" customWidth="1"/>
    <col min="6" max="6" width="12.7109375" style="120" customWidth="1"/>
    <col min="7" max="7" width="11.5703125" style="120" customWidth="1"/>
    <col min="8" max="8" width="8.7109375" style="198" customWidth="1"/>
    <col min="9" max="10" width="9.140625" style="120"/>
    <col min="11" max="16384" width="9.140625" style="119"/>
  </cols>
  <sheetData>
    <row r="1" spans="1:10" ht="18.75" thickBot="1" x14ac:dyDescent="0.3">
      <c r="A1" s="2" t="s">
        <v>67</v>
      </c>
      <c r="B1" s="26"/>
      <c r="C1" s="138"/>
      <c r="D1" s="9"/>
      <c r="E1" s="149"/>
      <c r="F1" s="11" t="s">
        <v>68</v>
      </c>
      <c r="I1" s="18"/>
    </row>
    <row r="2" spans="1:10" ht="12.75" customHeight="1" x14ac:dyDescent="0.25">
      <c r="A2" s="6"/>
      <c r="B2" s="28"/>
      <c r="C2" s="139"/>
      <c r="D2" s="10"/>
      <c r="E2" s="134"/>
      <c r="F2" s="134"/>
      <c r="G2" s="16"/>
      <c r="H2" s="190"/>
      <c r="I2" s="18"/>
    </row>
    <row r="3" spans="1:10" ht="12.75" customHeight="1" x14ac:dyDescent="0.25">
      <c r="A3" s="67" t="s">
        <v>201</v>
      </c>
      <c r="B3" s="28"/>
      <c r="C3" s="140" t="s">
        <v>121</v>
      </c>
      <c r="D3" s="14"/>
      <c r="E3" s="134"/>
      <c r="F3" s="16"/>
      <c r="G3" s="17"/>
      <c r="H3" s="191"/>
      <c r="I3" s="119"/>
      <c r="J3" s="119"/>
    </row>
    <row r="4" spans="1:10" ht="12.75" customHeight="1" x14ac:dyDescent="0.25">
      <c r="A4" s="6"/>
      <c r="B4" s="28"/>
      <c r="C4" s="140" t="s">
        <v>122</v>
      </c>
      <c r="D4" s="132"/>
      <c r="E4" s="135"/>
      <c r="F4" s="16"/>
      <c r="G4" s="17"/>
      <c r="H4" s="191"/>
      <c r="I4" s="119"/>
      <c r="J4" s="119"/>
    </row>
    <row r="5" spans="1:10" ht="12.75" customHeight="1" x14ac:dyDescent="0.25">
      <c r="A5" s="6"/>
      <c r="B5" s="28"/>
      <c r="C5" s="139"/>
      <c r="D5" s="10"/>
      <c r="E5" s="134"/>
      <c r="F5" s="134"/>
      <c r="G5" s="16"/>
      <c r="H5" s="190"/>
      <c r="I5" s="18"/>
    </row>
    <row r="6" spans="1:10" ht="18" x14ac:dyDescent="0.25">
      <c r="A6" s="33" t="s">
        <v>450</v>
      </c>
      <c r="B6" s="28"/>
      <c r="C6" s="139"/>
      <c r="D6" s="10"/>
      <c r="E6" s="134"/>
      <c r="F6" s="134"/>
      <c r="G6" s="16"/>
      <c r="H6" s="190"/>
      <c r="I6" s="18"/>
    </row>
    <row r="7" spans="1:10" ht="13.5" thickBot="1" x14ac:dyDescent="0.25">
      <c r="A7" s="25"/>
      <c r="B7" s="25"/>
      <c r="C7" s="141"/>
      <c r="D7" s="3"/>
      <c r="G7" s="137"/>
      <c r="H7" s="198" t="s">
        <v>92</v>
      </c>
    </row>
    <row r="8" spans="1:10" s="24" customFormat="1" ht="20.25" customHeight="1" thickTop="1" thickBot="1" x14ac:dyDescent="0.25">
      <c r="A8" s="21" t="s">
        <v>93</v>
      </c>
      <c r="B8" s="22" t="s">
        <v>94</v>
      </c>
      <c r="C8" s="169" t="s">
        <v>364</v>
      </c>
      <c r="D8" s="46" t="s">
        <v>95</v>
      </c>
      <c r="E8" s="46" t="s">
        <v>96</v>
      </c>
      <c r="F8" s="46" t="s">
        <v>447</v>
      </c>
      <c r="G8" s="46" t="s">
        <v>448</v>
      </c>
      <c r="H8" s="193" t="s">
        <v>449</v>
      </c>
      <c r="I8" s="54"/>
      <c r="J8" s="54"/>
    </row>
    <row r="9" spans="1:10" ht="15.75" thickTop="1" x14ac:dyDescent="0.25">
      <c r="A9" s="34">
        <v>6172</v>
      </c>
      <c r="B9" s="19">
        <v>5163</v>
      </c>
      <c r="C9" s="121"/>
      <c r="D9" s="127" t="s">
        <v>452</v>
      </c>
      <c r="E9" s="29"/>
      <c r="F9" s="145">
        <v>4</v>
      </c>
      <c r="G9" s="146">
        <v>3</v>
      </c>
      <c r="H9" s="186">
        <f>(G9/F9)*100</f>
        <v>75</v>
      </c>
    </row>
    <row r="10" spans="1:10" ht="18" x14ac:dyDescent="0.25">
      <c r="A10" s="34"/>
      <c r="B10" s="19"/>
      <c r="C10" s="121"/>
      <c r="D10" s="83" t="s">
        <v>218</v>
      </c>
      <c r="E10" s="29"/>
      <c r="F10" s="129"/>
      <c r="G10" s="147"/>
      <c r="H10" s="186"/>
    </row>
    <row r="11" spans="1:10" ht="15.75" thickBot="1" x14ac:dyDescent="0.3">
      <c r="A11" s="49"/>
      <c r="B11" s="20"/>
      <c r="C11" s="126"/>
      <c r="D11" s="32" t="s">
        <v>69</v>
      </c>
      <c r="E11" s="30"/>
      <c r="F11" s="96">
        <v>4</v>
      </c>
      <c r="G11" s="148"/>
      <c r="H11" s="189"/>
    </row>
    <row r="12" spans="1:10" s="8" customFormat="1" ht="35.25" customHeight="1" thickTop="1" thickBot="1" x14ac:dyDescent="0.3">
      <c r="A12" s="35" t="s">
        <v>134</v>
      </c>
      <c r="B12" s="51"/>
      <c r="C12" s="142"/>
      <c r="D12" s="36"/>
      <c r="E12" s="37">
        <v>0</v>
      </c>
      <c r="F12" s="37">
        <v>4</v>
      </c>
      <c r="G12" s="37">
        <v>3</v>
      </c>
      <c r="H12" s="187">
        <f>(G12/F12)*100</f>
        <v>75</v>
      </c>
    </row>
    <row r="13" spans="1:10" ht="13.5" thickTop="1" x14ac:dyDescent="0.2">
      <c r="A13" s="25"/>
      <c r="B13" s="27"/>
      <c r="I13" s="150"/>
      <c r="J13" s="119"/>
    </row>
    <row r="14" spans="1:10" x14ac:dyDescent="0.2">
      <c r="A14" s="25"/>
      <c r="B14" s="27"/>
      <c r="I14" s="150"/>
      <c r="J14" s="119"/>
    </row>
    <row r="15" spans="1:10" ht="15.75" x14ac:dyDescent="0.25">
      <c r="A15" s="158" t="s">
        <v>531</v>
      </c>
      <c r="B15" s="27"/>
      <c r="I15" s="150"/>
      <c r="J15" s="119"/>
    </row>
    <row r="16" spans="1:10" x14ac:dyDescent="0.2">
      <c r="A16" s="25"/>
      <c r="B16" s="27"/>
      <c r="I16" s="150"/>
      <c r="J16" s="119"/>
    </row>
    <row r="17" spans="1:10" customFormat="1" ht="13.5" thickBot="1" x14ac:dyDescent="0.25">
      <c r="A17" s="70" t="s">
        <v>70</v>
      </c>
      <c r="B17" s="1"/>
      <c r="D17" s="143"/>
      <c r="F17" s="12"/>
      <c r="G17" s="12"/>
      <c r="H17" s="112" t="s">
        <v>92</v>
      </c>
      <c r="I17" s="12"/>
    </row>
    <row r="18" spans="1:10" s="24" customFormat="1" ht="20.25" customHeight="1" thickTop="1" thickBot="1" x14ac:dyDescent="0.25">
      <c r="A18" s="21" t="s">
        <v>93</v>
      </c>
      <c r="B18" s="22" t="s">
        <v>94</v>
      </c>
      <c r="C18" s="169" t="s">
        <v>364</v>
      </c>
      <c r="D18" s="46" t="s">
        <v>95</v>
      </c>
      <c r="E18" s="46" t="s">
        <v>96</v>
      </c>
      <c r="F18" s="46" t="s">
        <v>447</v>
      </c>
      <c r="G18" s="46" t="s">
        <v>448</v>
      </c>
      <c r="H18" s="193" t="s">
        <v>449</v>
      </c>
      <c r="I18" s="54"/>
      <c r="J18" s="54"/>
    </row>
    <row r="19" spans="1:10" ht="15.75" thickTop="1" x14ac:dyDescent="0.25">
      <c r="A19" s="34">
        <v>3314</v>
      </c>
      <c r="B19" s="19">
        <v>6119</v>
      </c>
      <c r="C19" s="121"/>
      <c r="D19" s="127" t="s">
        <v>71</v>
      </c>
      <c r="E19" s="29"/>
      <c r="F19" s="61">
        <v>346</v>
      </c>
      <c r="G19" s="59">
        <v>346</v>
      </c>
      <c r="H19" s="186">
        <f>(G19/F19)*100</f>
        <v>100</v>
      </c>
    </row>
    <row r="20" spans="1:10" ht="15" x14ac:dyDescent="0.25">
      <c r="A20" s="34"/>
      <c r="B20" s="19"/>
      <c r="C20" s="121"/>
      <c r="D20" s="83" t="s">
        <v>218</v>
      </c>
      <c r="E20" s="29"/>
      <c r="F20" s="124"/>
      <c r="G20" s="173"/>
      <c r="H20" s="186"/>
    </row>
    <row r="21" spans="1:10" ht="15.75" thickBot="1" x14ac:dyDescent="0.3">
      <c r="A21" s="49"/>
      <c r="B21" s="20"/>
      <c r="C21" s="126"/>
      <c r="D21" s="85" t="s">
        <v>72</v>
      </c>
      <c r="E21" s="30"/>
      <c r="F21" s="174">
        <v>346</v>
      </c>
      <c r="G21" s="175"/>
      <c r="H21" s="185"/>
    </row>
    <row r="22" spans="1:10" s="8" customFormat="1" ht="35.25" customHeight="1" thickTop="1" thickBot="1" x14ac:dyDescent="0.3">
      <c r="A22" s="35" t="s">
        <v>73</v>
      </c>
      <c r="B22" s="51"/>
      <c r="C22" s="142"/>
      <c r="D22" s="36"/>
      <c r="E22" s="37">
        <v>0</v>
      </c>
      <c r="F22" s="37">
        <v>346</v>
      </c>
      <c r="G22" s="37">
        <v>346</v>
      </c>
      <c r="H22" s="187">
        <f>(G22/F22)*100</f>
        <v>100</v>
      </c>
    </row>
    <row r="23" spans="1:10" ht="13.5" thickTop="1" x14ac:dyDescent="0.2">
      <c r="A23" s="25"/>
      <c r="B23" s="27"/>
      <c r="I23" s="150"/>
      <c r="J23" s="119"/>
    </row>
    <row r="24" spans="1:10" x14ac:dyDescent="0.2">
      <c r="A24" s="25"/>
      <c r="B24" s="27"/>
      <c r="I24" s="150"/>
      <c r="J24" s="119"/>
    </row>
    <row r="25" spans="1:10" customFormat="1" ht="13.5" thickBot="1" x14ac:dyDescent="0.25">
      <c r="A25" s="70" t="s">
        <v>476</v>
      </c>
      <c r="B25" s="1"/>
      <c r="D25" s="143"/>
      <c r="F25" s="12"/>
      <c r="G25" s="12"/>
      <c r="H25" s="112" t="s">
        <v>92</v>
      </c>
      <c r="I25" s="12"/>
    </row>
    <row r="26" spans="1:10" s="24" customFormat="1" ht="20.25" customHeight="1" thickTop="1" thickBot="1" x14ac:dyDescent="0.25">
      <c r="A26" s="21" t="s">
        <v>93</v>
      </c>
      <c r="B26" s="22" t="s">
        <v>94</v>
      </c>
      <c r="C26" s="169" t="s">
        <v>364</v>
      </c>
      <c r="D26" s="46" t="s">
        <v>95</v>
      </c>
      <c r="E26" s="46" t="s">
        <v>96</v>
      </c>
      <c r="F26" s="46" t="s">
        <v>447</v>
      </c>
      <c r="G26" s="46" t="s">
        <v>448</v>
      </c>
      <c r="H26" s="193" t="s">
        <v>449</v>
      </c>
      <c r="I26" s="54"/>
      <c r="J26" s="54"/>
    </row>
    <row r="27" spans="1:10" ht="15.75" thickTop="1" x14ac:dyDescent="0.25">
      <c r="A27" s="34">
        <v>2140</v>
      </c>
      <c r="B27" s="19">
        <v>5169</v>
      </c>
      <c r="C27" s="121"/>
      <c r="D27" s="127" t="s">
        <v>430</v>
      </c>
      <c r="E27" s="29"/>
      <c r="F27" s="61">
        <v>251</v>
      </c>
      <c r="G27" s="59">
        <v>251</v>
      </c>
      <c r="H27" s="186">
        <f>(G27/F27)*100</f>
        <v>100</v>
      </c>
    </row>
    <row r="28" spans="1:10" ht="15" x14ac:dyDescent="0.25">
      <c r="A28" s="34"/>
      <c r="B28" s="19"/>
      <c r="C28" s="121"/>
      <c r="D28" s="83" t="s">
        <v>218</v>
      </c>
      <c r="E28" s="29"/>
      <c r="F28" s="124"/>
      <c r="G28" s="173"/>
      <c r="H28" s="186"/>
    </row>
    <row r="29" spans="1:10" ht="15.75" thickBot="1" x14ac:dyDescent="0.3">
      <c r="A29" s="49"/>
      <c r="B29" s="20"/>
      <c r="C29" s="126">
        <v>4</v>
      </c>
      <c r="D29" s="85" t="s">
        <v>477</v>
      </c>
      <c r="E29" s="30"/>
      <c r="F29" s="174">
        <v>251</v>
      </c>
      <c r="G29" s="175">
        <v>251</v>
      </c>
      <c r="H29" s="185">
        <f>(G29/F29)*100</f>
        <v>100</v>
      </c>
    </row>
    <row r="30" spans="1:10" s="8" customFormat="1" ht="35.25" customHeight="1" thickTop="1" thickBot="1" x14ac:dyDescent="0.3">
      <c r="A30" s="35" t="s">
        <v>532</v>
      </c>
      <c r="B30" s="51"/>
      <c r="C30" s="142"/>
      <c r="D30" s="36"/>
      <c r="E30" s="37">
        <v>0</v>
      </c>
      <c r="F30" s="37">
        <v>251</v>
      </c>
      <c r="G30" s="37">
        <v>251</v>
      </c>
      <c r="H30" s="187">
        <f>(G30/F30)*100</f>
        <v>100</v>
      </c>
    </row>
    <row r="31" spans="1:10" ht="13.5" thickTop="1" x14ac:dyDescent="0.2">
      <c r="A31" s="25"/>
      <c r="B31" s="27"/>
      <c r="I31" s="150"/>
      <c r="J31" s="119"/>
    </row>
    <row r="32" spans="1:10" x14ac:dyDescent="0.2">
      <c r="A32" s="25"/>
      <c r="B32" s="27"/>
      <c r="I32" s="150"/>
      <c r="J32" s="119"/>
    </row>
    <row r="33" spans="1:10" customFormat="1" ht="13.5" thickBot="1" x14ac:dyDescent="0.25">
      <c r="A33" s="70" t="s">
        <v>529</v>
      </c>
      <c r="B33" s="1"/>
      <c r="D33" s="143"/>
      <c r="F33" s="12"/>
      <c r="G33" s="12"/>
      <c r="H33" s="112" t="s">
        <v>92</v>
      </c>
      <c r="I33" s="12"/>
    </row>
    <row r="34" spans="1:10" s="24" customFormat="1" ht="20.25" customHeight="1" thickTop="1" thickBot="1" x14ac:dyDescent="0.25">
      <c r="A34" s="21" t="s">
        <v>93</v>
      </c>
      <c r="B34" s="22" t="s">
        <v>94</v>
      </c>
      <c r="C34" s="169" t="s">
        <v>364</v>
      </c>
      <c r="D34" s="46" t="s">
        <v>95</v>
      </c>
      <c r="E34" s="46" t="s">
        <v>96</v>
      </c>
      <c r="F34" s="46" t="s">
        <v>447</v>
      </c>
      <c r="G34" s="46" t="s">
        <v>448</v>
      </c>
      <c r="H34" s="193" t="s">
        <v>449</v>
      </c>
      <c r="I34" s="54"/>
      <c r="J34" s="54"/>
    </row>
    <row r="35" spans="1:10" ht="15.75" thickTop="1" x14ac:dyDescent="0.25">
      <c r="A35" s="34">
        <v>2212</v>
      </c>
      <c r="B35" s="19">
        <v>6121</v>
      </c>
      <c r="C35" s="121"/>
      <c r="D35" s="127" t="s">
        <v>312</v>
      </c>
      <c r="E35" s="29"/>
      <c r="F35" s="145">
        <v>123</v>
      </c>
      <c r="G35" s="146">
        <v>123</v>
      </c>
      <c r="H35" s="186">
        <f>(G35/F35)*100</f>
        <v>100</v>
      </c>
    </row>
    <row r="36" spans="1:10" ht="18" x14ac:dyDescent="0.25">
      <c r="A36" s="34"/>
      <c r="B36" s="19"/>
      <c r="C36" s="121"/>
      <c r="D36" s="83" t="s">
        <v>218</v>
      </c>
      <c r="E36" s="29"/>
      <c r="F36" s="129"/>
      <c r="G36" s="147"/>
      <c r="H36" s="186"/>
    </row>
    <row r="37" spans="1:10" ht="15.75" thickBot="1" x14ac:dyDescent="0.3">
      <c r="A37" s="49"/>
      <c r="B37" s="20"/>
      <c r="C37" s="126"/>
      <c r="D37" s="85" t="s">
        <v>530</v>
      </c>
      <c r="E37" s="30"/>
      <c r="F37" s="96">
        <v>123</v>
      </c>
      <c r="G37" s="148"/>
      <c r="H37" s="189"/>
    </row>
    <row r="38" spans="1:10" s="8" customFormat="1" ht="35.25" customHeight="1" thickTop="1" thickBot="1" x14ac:dyDescent="0.3">
      <c r="A38" s="35" t="s">
        <v>73</v>
      </c>
      <c r="B38" s="51"/>
      <c r="C38" s="142"/>
      <c r="D38" s="36"/>
      <c r="E38" s="37">
        <v>0</v>
      </c>
      <c r="F38" s="37">
        <v>123</v>
      </c>
      <c r="G38" s="37">
        <v>123</v>
      </c>
      <c r="H38" s="187">
        <f>(G38/F38)*100</f>
        <v>100</v>
      </c>
    </row>
    <row r="39" spans="1:10" ht="13.5" thickTop="1" x14ac:dyDescent="0.2">
      <c r="A39" s="25"/>
      <c r="B39" s="27"/>
      <c r="I39" s="150"/>
      <c r="J39" s="119"/>
    </row>
    <row r="40" spans="1:10" s="98" customFormat="1" ht="15.75" x14ac:dyDescent="0.25">
      <c r="A40" s="100" t="s">
        <v>75</v>
      </c>
      <c r="B40" s="101"/>
      <c r="C40" s="102"/>
      <c r="D40" s="103"/>
      <c r="E40" s="99"/>
      <c r="F40" s="99">
        <f>SUM(F12)</f>
        <v>4</v>
      </c>
      <c r="G40" s="99">
        <f>SUM(G12)</f>
        <v>3</v>
      </c>
      <c r="H40" s="205">
        <f>G40/F40*100</f>
        <v>75</v>
      </c>
    </row>
    <row r="41" spans="1:10" s="98" customFormat="1" ht="15.75" x14ac:dyDescent="0.25">
      <c r="A41" s="100" t="s">
        <v>533</v>
      </c>
      <c r="B41" s="100"/>
      <c r="C41" s="104"/>
      <c r="D41" s="105"/>
      <c r="E41" s="99"/>
      <c r="F41" s="99">
        <f>SUM(F30)</f>
        <v>251</v>
      </c>
      <c r="G41" s="99">
        <f>SUM(G30)</f>
        <v>251</v>
      </c>
      <c r="H41" s="205">
        <f>G41/F41*100</f>
        <v>100</v>
      </c>
    </row>
    <row r="42" spans="1:10" s="98" customFormat="1" ht="15.75" x14ac:dyDescent="0.25">
      <c r="A42" s="100" t="s">
        <v>534</v>
      </c>
      <c r="B42" s="100"/>
      <c r="C42" s="104"/>
      <c r="D42" s="105"/>
      <c r="E42" s="99"/>
      <c r="F42" s="99">
        <f>SUM(F22,F38)</f>
        <v>469</v>
      </c>
      <c r="G42" s="99">
        <f>SUM(G22,G38)</f>
        <v>469</v>
      </c>
      <c r="H42" s="205">
        <f>G42/F42*100</f>
        <v>100</v>
      </c>
    </row>
    <row r="43" spans="1:10" x14ac:dyDescent="0.2">
      <c r="A43" s="25"/>
      <c r="B43" s="27"/>
      <c r="I43" s="150"/>
      <c r="J43" s="119"/>
    </row>
    <row r="44" spans="1:10" x14ac:dyDescent="0.2">
      <c r="A44" s="25"/>
      <c r="B44" s="27"/>
      <c r="I44" s="150"/>
      <c r="J44" s="119"/>
    </row>
    <row r="45" spans="1:10" x14ac:dyDescent="0.2">
      <c r="A45" s="25"/>
      <c r="B45" s="27"/>
      <c r="I45" s="150"/>
      <c r="J45" s="119"/>
    </row>
    <row r="46" spans="1:10" x14ac:dyDescent="0.2">
      <c r="A46" s="25"/>
      <c r="B46" s="27"/>
      <c r="I46" s="150"/>
      <c r="J46" s="119"/>
    </row>
    <row r="47" spans="1:10" s="58" customFormat="1" ht="47.25" customHeight="1" thickBot="1" x14ac:dyDescent="0.4">
      <c r="A47" s="3213" t="s">
        <v>373</v>
      </c>
      <c r="B47" s="3214"/>
      <c r="C47" s="3214"/>
      <c r="D47" s="3214"/>
      <c r="E47" s="44">
        <v>0</v>
      </c>
      <c r="F47" s="44">
        <f>SUM(F40,F41,F42)</f>
        <v>724</v>
      </c>
      <c r="G47" s="44">
        <f>SUM(G40,G41,G42)</f>
        <v>723</v>
      </c>
      <c r="H47" s="188">
        <f>(G47/F47)*100</f>
        <v>99.861878453038671</v>
      </c>
      <c r="I47" s="114"/>
    </row>
    <row r="48" spans="1:10" s="4" customFormat="1" ht="13.5" thickTop="1" x14ac:dyDescent="0.2">
      <c r="A48" s="1"/>
      <c r="B48" s="1"/>
      <c r="C48" s="144"/>
      <c r="E48" s="53"/>
      <c r="F48" s="56"/>
      <c r="G48" s="13"/>
      <c r="H48" s="201"/>
      <c r="I48" s="53"/>
      <c r="J48" s="53"/>
    </row>
  </sheetData>
  <mergeCells count="1">
    <mergeCell ref="A47:D47"/>
  </mergeCells>
  <phoneticPr fontId="35" type="noConversion"/>
  <pageMargins left="0.59055118110236227" right="0.39370078740157483" top="0.98425196850393704" bottom="0.98425196850393704" header="0.51181102362204722" footer="0.51181102362204722"/>
  <pageSetup paperSize="9" scale="85" firstPageNumber="69" orientation="portrait" r:id="rId1"/>
  <headerFooter alignWithMargins="0">
    <oddFooter xml:space="preserve">&amp;L&amp;"Arial,Kurzíva"Zastupitelstvo Olomouckého kraje 22.4.2005
5-Rozpočet Olomouckého kraje 2004 - závěrečný účet Olomouckého kraje za rok 2004
Příloha č. 2: Plnění rozpočtu výdajů OK k 31.12.2004&amp;R&amp;"Arial,Kurzíva"Stránka &amp;P (celkem 700)
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/>
  <dimension ref="A1"/>
  <sheetViews>
    <sheetView workbookViewId="0"/>
  </sheetViews>
  <sheetFormatPr defaultRowHeight="12.75" x14ac:dyDescent="0.2"/>
  <sheetData/>
  <phoneticPr fontId="35" type="noConversion"/>
  <pageMargins left="0.78740157499999996" right="0.78740157499999996" top="0.984251969" bottom="0.984251969" header="0.4921259845" footer="0.4921259845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rgb="FFCCFFFF"/>
  </sheetPr>
  <dimension ref="A1:R237"/>
  <sheetViews>
    <sheetView showGridLines="0" view="pageBreakPreview" zoomScaleNormal="100" zoomScaleSheetLayoutView="100" workbookViewId="0">
      <selection activeCell="G168" sqref="G168"/>
    </sheetView>
  </sheetViews>
  <sheetFormatPr defaultColWidth="9.140625" defaultRowHeight="12.75" x14ac:dyDescent="0.2"/>
  <cols>
    <col min="1" max="1" width="5.28515625" style="584" customWidth="1"/>
    <col min="2" max="2" width="5.28515625" style="747" customWidth="1"/>
    <col min="3" max="3" width="9.5703125" style="748" customWidth="1"/>
    <col min="4" max="4" width="48.42578125" style="491" customWidth="1"/>
    <col min="5" max="5" width="14.42578125" style="459" customWidth="1"/>
    <col min="6" max="6" width="14.5703125" style="459" customWidth="1"/>
    <col min="7" max="7" width="13.5703125" style="459" customWidth="1"/>
    <col min="8" max="8" width="8.5703125" style="596" customWidth="1"/>
    <col min="9" max="9" width="9.140625" style="459"/>
    <col min="10" max="10" width="17.42578125" style="459" customWidth="1"/>
    <col min="11" max="11" width="19" style="491" customWidth="1"/>
    <col min="12" max="12" width="17.85546875" style="491" bestFit="1" customWidth="1"/>
    <col min="13" max="14" width="9.140625" style="491"/>
    <col min="15" max="15" width="18.7109375" style="491" bestFit="1" customWidth="1"/>
    <col min="16" max="16384" width="9.140625" style="491"/>
  </cols>
  <sheetData>
    <row r="1" spans="1:10" ht="18.75" thickBot="1" x14ac:dyDescent="0.3">
      <c r="A1" s="3215" t="s">
        <v>1649</v>
      </c>
      <c r="B1" s="3216"/>
      <c r="C1" s="3216"/>
      <c r="D1" s="3216"/>
      <c r="E1" s="3216"/>
      <c r="F1" s="445" t="s">
        <v>195</v>
      </c>
      <c r="I1" s="17"/>
    </row>
    <row r="2" spans="1:10" ht="12.75" customHeight="1" x14ac:dyDescent="0.25">
      <c r="A2" s="6"/>
      <c r="B2" s="28"/>
      <c r="C2" s="139"/>
      <c r="D2" s="10"/>
      <c r="E2" s="134"/>
      <c r="F2" s="134"/>
      <c r="G2" s="16"/>
      <c r="H2" s="190"/>
      <c r="I2" s="17"/>
    </row>
    <row r="3" spans="1:10" ht="12.75" customHeight="1" x14ac:dyDescent="0.25">
      <c r="A3" s="67" t="s">
        <v>201</v>
      </c>
      <c r="B3" s="28"/>
      <c r="C3" s="1087" t="s">
        <v>944</v>
      </c>
      <c r="D3" s="569"/>
      <c r="E3" s="134"/>
      <c r="F3" s="16"/>
      <c r="G3" s="17"/>
      <c r="H3" s="190"/>
      <c r="I3" s="491"/>
      <c r="J3" s="491"/>
    </row>
    <row r="4" spans="1:10" ht="12.75" customHeight="1" x14ac:dyDescent="0.25">
      <c r="A4" s="6"/>
      <c r="B4" s="28"/>
      <c r="C4" s="1086" t="s">
        <v>781</v>
      </c>
      <c r="D4" s="1084"/>
      <c r="E4" s="135"/>
      <c r="F4" s="16"/>
      <c r="G4" s="17"/>
      <c r="H4" s="190"/>
      <c r="I4" s="491"/>
      <c r="J4" s="491"/>
    </row>
    <row r="5" spans="1:10" ht="12.75" customHeight="1" x14ac:dyDescent="0.25">
      <c r="A5" s="6"/>
      <c r="B5" s="28"/>
      <c r="C5" s="139"/>
      <c r="D5" s="10"/>
      <c r="E5" s="134"/>
      <c r="F5" s="134"/>
      <c r="G5" s="16"/>
      <c r="H5" s="190"/>
      <c r="I5" s="17"/>
    </row>
    <row r="6" spans="1:10" ht="15.75" customHeight="1" x14ac:dyDescent="0.25">
      <c r="A6" s="33" t="s">
        <v>450</v>
      </c>
      <c r="B6" s="28"/>
      <c r="C6" s="139"/>
      <c r="D6" s="10"/>
      <c r="E6" s="134"/>
      <c r="F6" s="134"/>
      <c r="G6" s="16"/>
      <c r="I6" s="17"/>
    </row>
    <row r="7" spans="1:10" ht="13.5" thickBot="1" x14ac:dyDescent="0.25">
      <c r="A7" s="570"/>
      <c r="B7" s="570"/>
      <c r="C7" s="606"/>
      <c r="D7" s="571"/>
      <c r="G7" s="740"/>
      <c r="H7" s="596" t="s">
        <v>92</v>
      </c>
    </row>
    <row r="8" spans="1:10" s="106" customFormat="1" ht="20.25" customHeight="1" thickTop="1" thickBot="1" x14ac:dyDescent="0.25">
      <c r="A8" s="572" t="s">
        <v>93</v>
      </c>
      <c r="B8" s="573" t="s">
        <v>94</v>
      </c>
      <c r="C8" s="601" t="s">
        <v>364</v>
      </c>
      <c r="D8" s="575" t="s">
        <v>95</v>
      </c>
      <c r="E8" s="575" t="s">
        <v>328</v>
      </c>
      <c r="F8" s="575" t="s">
        <v>329</v>
      </c>
      <c r="G8" s="575" t="s">
        <v>448</v>
      </c>
      <c r="H8" s="576" t="s">
        <v>449</v>
      </c>
      <c r="I8" s="715"/>
      <c r="J8" s="715"/>
    </row>
    <row r="9" spans="1:10" s="374" customFormat="1" ht="13.5" thickTop="1" thickBot="1" x14ac:dyDescent="0.25">
      <c r="A9" s="511">
        <v>1</v>
      </c>
      <c r="B9" s="512">
        <v>2</v>
      </c>
      <c r="C9" s="512">
        <v>3</v>
      </c>
      <c r="D9" s="512">
        <v>4</v>
      </c>
      <c r="E9" s="512">
        <v>5</v>
      </c>
      <c r="F9" s="499">
        <v>6</v>
      </c>
      <c r="G9" s="499">
        <v>7</v>
      </c>
      <c r="H9" s="577" t="s">
        <v>33</v>
      </c>
      <c r="I9" s="106"/>
    </row>
    <row r="10" spans="1:10" s="374" customFormat="1" ht="15.75" thickTop="1" x14ac:dyDescent="0.25">
      <c r="A10" s="219">
        <v>2141</v>
      </c>
      <c r="B10" s="95">
        <v>5169</v>
      </c>
      <c r="C10" s="824"/>
      <c r="D10" s="845" t="s">
        <v>430</v>
      </c>
      <c r="E10" s="60">
        <v>250</v>
      </c>
      <c r="F10" s="60">
        <v>250</v>
      </c>
      <c r="G10" s="60">
        <v>200</v>
      </c>
      <c r="H10" s="815">
        <f t="shared" ref="H10" si="0">(G10/F10)*100</f>
        <v>80</v>
      </c>
      <c r="I10" s="106"/>
    </row>
    <row r="11" spans="1:10" s="835" customFormat="1" ht="13.5" hidden="1" customHeight="1" x14ac:dyDescent="0.25">
      <c r="A11" s="219">
        <v>3319</v>
      </c>
      <c r="B11" s="95">
        <v>5166</v>
      </c>
      <c r="C11" s="843"/>
      <c r="D11" s="845" t="s">
        <v>317</v>
      </c>
      <c r="E11" s="123"/>
      <c r="F11" s="308"/>
      <c r="G11" s="310"/>
      <c r="H11" s="208" t="e">
        <f t="shared" ref="H11:H16" si="1">(G11/F11)*100</f>
        <v>#DIV/0!</v>
      </c>
    </row>
    <row r="12" spans="1:10" s="425" customFormat="1" ht="13.5" hidden="1" customHeight="1" x14ac:dyDescent="0.25">
      <c r="A12" s="1650">
        <v>3319</v>
      </c>
      <c r="B12" s="502">
        <v>5169</v>
      </c>
      <c r="C12" s="2321"/>
      <c r="D12" s="845" t="s">
        <v>430</v>
      </c>
      <c r="E12" s="311"/>
      <c r="F12" s="308"/>
      <c r="G12" s="310"/>
      <c r="H12" s="1644" t="e">
        <f t="shared" si="1"/>
        <v>#DIV/0!</v>
      </c>
    </row>
    <row r="13" spans="1:10" s="425" customFormat="1" ht="13.5" customHeight="1" x14ac:dyDescent="0.25">
      <c r="A13" s="1650">
        <v>3321</v>
      </c>
      <c r="B13" s="502">
        <v>5169</v>
      </c>
      <c r="C13" s="2321"/>
      <c r="D13" s="845" t="s">
        <v>430</v>
      </c>
      <c r="E13" s="60">
        <v>0</v>
      </c>
      <c r="F13" s="308">
        <v>40</v>
      </c>
      <c r="G13" s="310">
        <v>36</v>
      </c>
      <c r="H13" s="1644">
        <f t="shared" si="1"/>
        <v>90</v>
      </c>
    </row>
    <row r="14" spans="1:10" s="425" customFormat="1" ht="13.5" customHeight="1" x14ac:dyDescent="0.25">
      <c r="A14" s="1650">
        <v>3635</v>
      </c>
      <c r="B14" s="502">
        <v>5139</v>
      </c>
      <c r="C14" s="2321"/>
      <c r="D14" s="932" t="s">
        <v>396</v>
      </c>
      <c r="E14" s="60">
        <v>0</v>
      </c>
      <c r="F14" s="308">
        <v>6</v>
      </c>
      <c r="G14" s="310">
        <v>5</v>
      </c>
      <c r="H14" s="1644">
        <f t="shared" si="1"/>
        <v>83.333333333333343</v>
      </c>
    </row>
    <row r="15" spans="1:10" s="835" customFormat="1" ht="13.5" customHeight="1" x14ac:dyDescent="0.25">
      <c r="A15" s="219">
        <v>3635</v>
      </c>
      <c r="B15" s="95">
        <v>5166</v>
      </c>
      <c r="C15" s="824"/>
      <c r="D15" s="845" t="s">
        <v>317</v>
      </c>
      <c r="E15" s="60">
        <v>375</v>
      </c>
      <c r="F15" s="308">
        <v>735</v>
      </c>
      <c r="G15" s="310">
        <v>428</v>
      </c>
      <c r="H15" s="208">
        <f t="shared" si="1"/>
        <v>58.231292517006807</v>
      </c>
    </row>
    <row r="16" spans="1:10" s="835" customFormat="1" ht="13.5" customHeight="1" x14ac:dyDescent="0.25">
      <c r="A16" s="219">
        <v>3635</v>
      </c>
      <c r="B16" s="95">
        <v>5168</v>
      </c>
      <c r="C16" s="824"/>
      <c r="D16" s="3185" t="s">
        <v>821</v>
      </c>
      <c r="E16" s="60">
        <v>995</v>
      </c>
      <c r="F16" s="308">
        <v>595</v>
      </c>
      <c r="G16" s="310">
        <v>595</v>
      </c>
      <c r="H16" s="208">
        <f t="shared" si="1"/>
        <v>100</v>
      </c>
    </row>
    <row r="17" spans="1:8" s="835" customFormat="1" ht="13.5" customHeight="1" x14ac:dyDescent="0.25">
      <c r="A17" s="219"/>
      <c r="B17" s="95"/>
      <c r="C17" s="824"/>
      <c r="D17" s="3218"/>
      <c r="E17" s="60"/>
      <c r="F17" s="308"/>
      <c r="G17" s="310"/>
      <c r="H17" s="208"/>
    </row>
    <row r="18" spans="1:8" s="799" customFormat="1" ht="15" x14ac:dyDescent="0.25">
      <c r="A18" s="50">
        <v>3635</v>
      </c>
      <c r="B18" s="19">
        <v>5169</v>
      </c>
      <c r="C18" s="841"/>
      <c r="D18" s="845" t="s">
        <v>430</v>
      </c>
      <c r="E18" s="48">
        <v>2575</v>
      </c>
      <c r="F18" s="165">
        <v>2569</v>
      </c>
      <c r="G18" s="310">
        <v>1764</v>
      </c>
      <c r="H18" s="815">
        <f>(G18/F18)*100</f>
        <v>68.664850136239792</v>
      </c>
    </row>
    <row r="19" spans="1:8" s="799" customFormat="1" ht="15" x14ac:dyDescent="0.25">
      <c r="A19" s="50">
        <v>3635</v>
      </c>
      <c r="B19" s="19">
        <v>5192</v>
      </c>
      <c r="C19" s="841"/>
      <c r="D19" s="845" t="s">
        <v>826</v>
      </c>
      <c r="E19" s="48">
        <v>220</v>
      </c>
      <c r="F19" s="165">
        <v>220</v>
      </c>
      <c r="G19" s="310">
        <v>95</v>
      </c>
      <c r="H19" s="815">
        <f>(G19/F19)*100</f>
        <v>43.18181818181818</v>
      </c>
    </row>
    <row r="20" spans="1:8" s="799" customFormat="1" ht="15" x14ac:dyDescent="0.25">
      <c r="A20" s="50">
        <v>3636</v>
      </c>
      <c r="B20" s="19">
        <v>5169</v>
      </c>
      <c r="C20" s="841"/>
      <c r="D20" s="845" t="s">
        <v>430</v>
      </c>
      <c r="E20" s="48"/>
      <c r="F20" s="165"/>
      <c r="G20" s="310"/>
      <c r="H20" s="815"/>
    </row>
    <row r="21" spans="1:8" s="799" customFormat="1" ht="15" x14ac:dyDescent="0.25">
      <c r="A21" s="50">
        <v>3636</v>
      </c>
      <c r="B21" s="19">
        <v>5175</v>
      </c>
      <c r="C21" s="841"/>
      <c r="D21" s="900" t="s">
        <v>352</v>
      </c>
      <c r="E21" s="48">
        <v>157</v>
      </c>
      <c r="F21" s="165">
        <v>157</v>
      </c>
      <c r="G21" s="310">
        <v>151</v>
      </c>
      <c r="H21" s="815">
        <f t="shared" ref="H21:H35" si="2">(G21/F21)*100</f>
        <v>96.178343949044589</v>
      </c>
    </row>
    <row r="22" spans="1:8" s="799" customFormat="1" ht="15" x14ac:dyDescent="0.25">
      <c r="A22" s="50">
        <v>3636</v>
      </c>
      <c r="B22" s="19">
        <v>5179</v>
      </c>
      <c r="C22" s="841"/>
      <c r="D22" s="845" t="s">
        <v>1130</v>
      </c>
      <c r="E22" s="2325">
        <f>E23</f>
        <v>350</v>
      </c>
      <c r="F22" s="48">
        <f>F23</f>
        <v>350</v>
      </c>
      <c r="G22" s="48">
        <f>G23</f>
        <v>350</v>
      </c>
      <c r="H22" s="815">
        <f t="shared" ref="H22:H23" si="3">(G22/F22)*100</f>
        <v>100</v>
      </c>
    </row>
    <row r="23" spans="1:8" s="799" customFormat="1" ht="14.25" x14ac:dyDescent="0.2">
      <c r="A23" s="50"/>
      <c r="B23" s="19"/>
      <c r="C23" s="621" t="s">
        <v>1085</v>
      </c>
      <c r="D23" s="163" t="s">
        <v>1089</v>
      </c>
      <c r="E23" s="55">
        <v>350</v>
      </c>
      <c r="F23" s="309">
        <v>350</v>
      </c>
      <c r="G23" s="311">
        <v>350</v>
      </c>
      <c r="H23" s="816">
        <f t="shared" si="3"/>
        <v>100</v>
      </c>
    </row>
    <row r="24" spans="1:8" s="799" customFormat="1" ht="15" hidden="1" x14ac:dyDescent="0.25">
      <c r="A24" s="50">
        <v>3636</v>
      </c>
      <c r="B24" s="19">
        <v>5229</v>
      </c>
      <c r="C24" s="824"/>
      <c r="D24" s="901" t="s">
        <v>528</v>
      </c>
      <c r="E24" s="71">
        <f>E25</f>
        <v>0</v>
      </c>
      <c r="F24" s="308">
        <f>F25</f>
        <v>0</v>
      </c>
      <c r="G24" s="310">
        <f>G25</f>
        <v>0</v>
      </c>
      <c r="H24" s="208" t="e">
        <f t="shared" si="2"/>
        <v>#DIV/0!</v>
      </c>
    </row>
    <row r="25" spans="1:8" s="799" customFormat="1" ht="14.25" hidden="1" x14ac:dyDescent="0.2">
      <c r="A25" s="50"/>
      <c r="B25" s="19"/>
      <c r="C25" s="621" t="s">
        <v>1085</v>
      </c>
      <c r="D25" s="163" t="s">
        <v>1089</v>
      </c>
      <c r="E25" s="55"/>
      <c r="F25" s="309"/>
      <c r="G25" s="311"/>
      <c r="H25" s="816" t="e">
        <f t="shared" si="2"/>
        <v>#DIV/0!</v>
      </c>
    </row>
    <row r="26" spans="1:8" s="799" customFormat="1" ht="15" hidden="1" x14ac:dyDescent="0.25">
      <c r="A26" s="50">
        <v>3636</v>
      </c>
      <c r="B26" s="19">
        <v>5532</v>
      </c>
      <c r="C26" s="824"/>
      <c r="D26" s="1130" t="s">
        <v>1126</v>
      </c>
      <c r="E26" s="310">
        <f>E27</f>
        <v>400</v>
      </c>
      <c r="F26" s="310">
        <f>F27</f>
        <v>0</v>
      </c>
      <c r="G26" s="310">
        <f>G27</f>
        <v>0</v>
      </c>
      <c r="H26" s="208" t="e">
        <f t="shared" si="2"/>
        <v>#DIV/0!</v>
      </c>
    </row>
    <row r="27" spans="1:8" s="799" customFormat="1" ht="14.25" x14ac:dyDescent="0.2">
      <c r="A27" s="50"/>
      <c r="B27" s="19"/>
      <c r="C27" s="621" t="s">
        <v>1085</v>
      </c>
      <c r="D27" s="163" t="s">
        <v>1089</v>
      </c>
      <c r="E27" s="55">
        <v>400</v>
      </c>
      <c r="F27" s="309">
        <v>0</v>
      </c>
      <c r="G27" s="311">
        <v>0</v>
      </c>
      <c r="H27" s="816">
        <v>0</v>
      </c>
    </row>
    <row r="28" spans="1:8" s="799" customFormat="1" ht="30" x14ac:dyDescent="0.2">
      <c r="A28" s="1614">
        <v>3636</v>
      </c>
      <c r="B28" s="1635">
        <v>5542</v>
      </c>
      <c r="C28" s="824"/>
      <c r="D28" s="1130" t="s">
        <v>1848</v>
      </c>
      <c r="E28" s="429">
        <f>E29</f>
        <v>0</v>
      </c>
      <c r="F28" s="429">
        <f>F29</f>
        <v>400</v>
      </c>
      <c r="G28" s="429">
        <f>G29</f>
        <v>353</v>
      </c>
      <c r="H28" s="1559">
        <f t="shared" ref="H28:H29" si="4">(G28/F28)*100</f>
        <v>88.25</v>
      </c>
    </row>
    <row r="29" spans="1:8" s="799" customFormat="1" ht="14.25" x14ac:dyDescent="0.2">
      <c r="A29" s="50"/>
      <c r="B29" s="19"/>
      <c r="C29" s="621" t="s">
        <v>1085</v>
      </c>
      <c r="D29" s="163" t="s">
        <v>1089</v>
      </c>
      <c r="E29" s="55">
        <v>0</v>
      </c>
      <c r="F29" s="309">
        <v>400</v>
      </c>
      <c r="G29" s="311">
        <v>353</v>
      </c>
      <c r="H29" s="816">
        <f t="shared" si="4"/>
        <v>88.25</v>
      </c>
    </row>
    <row r="30" spans="1:8" s="799" customFormat="1" ht="15" x14ac:dyDescent="0.25">
      <c r="A30" s="50">
        <v>3639</v>
      </c>
      <c r="B30" s="19">
        <v>5139</v>
      </c>
      <c r="C30" s="824"/>
      <c r="D30" s="932" t="s">
        <v>396</v>
      </c>
      <c r="E30" s="71">
        <v>150</v>
      </c>
      <c r="F30" s="308">
        <v>331</v>
      </c>
      <c r="G30" s="310">
        <v>329</v>
      </c>
      <c r="H30" s="208">
        <f t="shared" si="2"/>
        <v>99.395770392749256</v>
      </c>
    </row>
    <row r="31" spans="1:8" s="799" customFormat="1" ht="15" x14ac:dyDescent="0.25">
      <c r="A31" s="50">
        <v>3639</v>
      </c>
      <c r="B31" s="19">
        <v>5164</v>
      </c>
      <c r="C31" s="824"/>
      <c r="D31" s="846" t="s">
        <v>101</v>
      </c>
      <c r="E31" s="71">
        <v>215</v>
      </c>
      <c r="F31" s="308">
        <v>225</v>
      </c>
      <c r="G31" s="310">
        <v>193</v>
      </c>
      <c r="H31" s="208">
        <f t="shared" si="2"/>
        <v>85.777777777777771</v>
      </c>
    </row>
    <row r="32" spans="1:8" s="799" customFormat="1" ht="15" x14ac:dyDescent="0.25">
      <c r="A32" s="50">
        <v>3639</v>
      </c>
      <c r="B32" s="19">
        <v>5166</v>
      </c>
      <c r="C32" s="841"/>
      <c r="D32" s="845" t="s">
        <v>317</v>
      </c>
      <c r="E32" s="48">
        <v>962</v>
      </c>
      <c r="F32" s="165">
        <v>1512</v>
      </c>
      <c r="G32" s="310">
        <v>1379</v>
      </c>
      <c r="H32" s="815">
        <f t="shared" si="2"/>
        <v>91.203703703703709</v>
      </c>
    </row>
    <row r="33" spans="1:18" s="799" customFormat="1" ht="15" x14ac:dyDescent="0.25">
      <c r="A33" s="50">
        <v>3639</v>
      </c>
      <c r="B33" s="19">
        <v>5169</v>
      </c>
      <c r="C33" s="841"/>
      <c r="D33" s="845" t="s">
        <v>430</v>
      </c>
      <c r="E33" s="48">
        <v>2900</v>
      </c>
      <c r="F33" s="48">
        <v>2156</v>
      </c>
      <c r="G33" s="48">
        <v>683</v>
      </c>
      <c r="H33" s="815">
        <f t="shared" si="2"/>
        <v>31.679035250463823</v>
      </c>
    </row>
    <row r="34" spans="1:18" s="799" customFormat="1" ht="15" x14ac:dyDescent="0.25">
      <c r="A34" s="50">
        <v>3639</v>
      </c>
      <c r="B34" s="19">
        <v>5179</v>
      </c>
      <c r="C34" s="841"/>
      <c r="D34" s="845" t="s">
        <v>1130</v>
      </c>
      <c r="E34" s="2325">
        <f>E35</f>
        <v>300</v>
      </c>
      <c r="F34" s="48">
        <f>F35</f>
        <v>300</v>
      </c>
      <c r="G34" s="48">
        <f>G35</f>
        <v>300</v>
      </c>
      <c r="H34" s="815">
        <f t="shared" si="2"/>
        <v>100</v>
      </c>
    </row>
    <row r="35" spans="1:18" s="799" customFormat="1" ht="14.25" x14ac:dyDescent="0.2">
      <c r="A35" s="50"/>
      <c r="B35" s="19"/>
      <c r="C35" s="621" t="s">
        <v>1085</v>
      </c>
      <c r="D35" s="163" t="s">
        <v>1089</v>
      </c>
      <c r="E35" s="55">
        <v>300</v>
      </c>
      <c r="F35" s="309">
        <v>300</v>
      </c>
      <c r="G35" s="311">
        <v>300</v>
      </c>
      <c r="H35" s="816">
        <f t="shared" si="2"/>
        <v>100</v>
      </c>
    </row>
    <row r="36" spans="1:18" s="799" customFormat="1" ht="15" x14ac:dyDescent="0.25">
      <c r="A36" s="50">
        <v>3639</v>
      </c>
      <c r="B36" s="19">
        <v>5212</v>
      </c>
      <c r="C36" s="841"/>
      <c r="D36" s="845" t="s">
        <v>547</v>
      </c>
      <c r="E36" s="428">
        <f>E37</f>
        <v>100</v>
      </c>
      <c r="F36" s="165">
        <f>F37</f>
        <v>0</v>
      </c>
      <c r="G36" s="310">
        <f>G37</f>
        <v>0</v>
      </c>
      <c r="H36" s="815">
        <v>0</v>
      </c>
    </row>
    <row r="37" spans="1:18" s="799" customFormat="1" ht="14.25" x14ac:dyDescent="0.2">
      <c r="A37" s="50"/>
      <c r="B37" s="19"/>
      <c r="C37" s="621" t="s">
        <v>1087</v>
      </c>
      <c r="D37" s="831" t="s">
        <v>1088</v>
      </c>
      <c r="E37" s="55">
        <v>100</v>
      </c>
      <c r="F37" s="309">
        <v>0</v>
      </c>
      <c r="G37" s="311">
        <v>0</v>
      </c>
      <c r="H37" s="816">
        <v>0</v>
      </c>
    </row>
    <row r="38" spans="1:18" s="799" customFormat="1" ht="15" x14ac:dyDescent="0.25">
      <c r="A38" s="50">
        <v>3639</v>
      </c>
      <c r="B38" s="19">
        <v>5213</v>
      </c>
      <c r="C38" s="841"/>
      <c r="D38" s="845" t="s">
        <v>120</v>
      </c>
      <c r="E38" s="428">
        <f>E39</f>
        <v>0</v>
      </c>
      <c r="F38" s="165">
        <f>F39</f>
        <v>100</v>
      </c>
      <c r="G38" s="310">
        <f>G39</f>
        <v>100</v>
      </c>
      <c r="H38" s="815">
        <f>(G38/F38)*100</f>
        <v>100</v>
      </c>
    </row>
    <row r="39" spans="1:18" s="799" customFormat="1" ht="14.25" x14ac:dyDescent="0.2">
      <c r="A39" s="50"/>
      <c r="B39" s="19"/>
      <c r="C39" s="621" t="s">
        <v>1087</v>
      </c>
      <c r="D39" s="831" t="s">
        <v>1088</v>
      </c>
      <c r="E39" s="55">
        <v>0</v>
      </c>
      <c r="F39" s="309">
        <v>100</v>
      </c>
      <c r="G39" s="311">
        <v>100</v>
      </c>
      <c r="H39" s="816">
        <f t="shared" ref="H39" si="5">(G39/F39)*100</f>
        <v>100</v>
      </c>
    </row>
    <row r="40" spans="1:18" s="799" customFormat="1" ht="15" hidden="1" x14ac:dyDescent="0.25">
      <c r="A40" s="50">
        <v>3639</v>
      </c>
      <c r="B40" s="19">
        <v>5229</v>
      </c>
      <c r="C40" s="843"/>
      <c r="D40" s="901" t="s">
        <v>528</v>
      </c>
      <c r="E40" s="71">
        <f>E41</f>
        <v>0</v>
      </c>
      <c r="F40" s="71">
        <f>F41</f>
        <v>0</v>
      </c>
      <c r="G40" s="71">
        <f>G41</f>
        <v>0</v>
      </c>
      <c r="H40" s="208" t="e">
        <f t="shared" ref="H40:H42" si="6">(G40/F40)*100</f>
        <v>#DIV/0!</v>
      </c>
    </row>
    <row r="41" spans="1:18" s="799" customFormat="1" ht="14.25" hidden="1" x14ac:dyDescent="0.2">
      <c r="A41" s="50"/>
      <c r="B41" s="19"/>
      <c r="C41" s="621" t="s">
        <v>1085</v>
      </c>
      <c r="D41" s="163" t="s">
        <v>1089</v>
      </c>
      <c r="E41" s="55">
        <v>0</v>
      </c>
      <c r="F41" s="309">
        <v>0</v>
      </c>
      <c r="G41" s="311">
        <v>0</v>
      </c>
      <c r="H41" s="816" t="e">
        <f t="shared" si="6"/>
        <v>#DIV/0!</v>
      </c>
    </row>
    <row r="42" spans="1:18" s="799" customFormat="1" ht="13.5" customHeight="1" x14ac:dyDescent="0.25">
      <c r="A42" s="50">
        <v>3639</v>
      </c>
      <c r="B42" s="19">
        <v>5321</v>
      </c>
      <c r="C42" s="841"/>
      <c r="D42" s="845" t="s">
        <v>566</v>
      </c>
      <c r="E42" s="48">
        <f>E43</f>
        <v>500</v>
      </c>
      <c r="F42" s="48">
        <f>F43</f>
        <v>500</v>
      </c>
      <c r="G42" s="48">
        <f>G43</f>
        <v>500</v>
      </c>
      <c r="H42" s="207">
        <f t="shared" si="6"/>
        <v>100</v>
      </c>
      <c r="J42" s="830"/>
      <c r="R42"/>
    </row>
    <row r="43" spans="1:18" s="799" customFormat="1" ht="14.25" customHeight="1" x14ac:dyDescent="0.2">
      <c r="A43" s="50"/>
      <c r="B43" s="19"/>
      <c r="C43" s="621" t="s">
        <v>1087</v>
      </c>
      <c r="D43" s="831" t="s">
        <v>1088</v>
      </c>
      <c r="E43" s="844">
        <v>500</v>
      </c>
      <c r="F43" s="430">
        <v>500</v>
      </c>
      <c r="G43" s="311">
        <v>500</v>
      </c>
      <c r="H43" s="856">
        <f>(G43/F43)*100</f>
        <v>100</v>
      </c>
      <c r="J43" s="813"/>
      <c r="R43"/>
    </row>
    <row r="44" spans="1:18" s="799" customFormat="1" ht="16.5" thickBot="1" x14ac:dyDescent="0.3">
      <c r="A44" s="34">
        <v>3713</v>
      </c>
      <c r="B44" s="19">
        <v>5169</v>
      </c>
      <c r="C44" s="841"/>
      <c r="D44" s="907" t="s">
        <v>430</v>
      </c>
      <c r="E44" s="71">
        <v>648</v>
      </c>
      <c r="F44" s="310">
        <v>648</v>
      </c>
      <c r="G44" s="310">
        <v>515</v>
      </c>
      <c r="H44" s="1636">
        <f>(G44/F44)*100</f>
        <v>79.475308641975303</v>
      </c>
      <c r="J44" s="813"/>
      <c r="R44"/>
    </row>
    <row r="45" spans="1:18" s="355" customFormat="1" ht="35.25" customHeight="1" thickTop="1" thickBot="1" x14ac:dyDescent="0.3">
      <c r="A45" s="578" t="s">
        <v>134</v>
      </c>
      <c r="B45" s="579"/>
      <c r="C45" s="580"/>
      <c r="D45" s="581"/>
      <c r="E45" s="582">
        <f>E44+E40+E33+E32+E31+E30+E24+E21+E19+E18+E16+E10+E13+E11+E12+E15+E17+E26+E34+E36+E42+E14+E20+E22+E28+E38</f>
        <v>11097</v>
      </c>
      <c r="F45" s="582">
        <f>F44+F40+F33+F32+F31+F30+F24+F21+F19+F18+F16+F10+F13+F11+F12+F15+F17+F26+F34+F36+F42+F14+F20+F22+F28+F38</f>
        <v>11094</v>
      </c>
      <c r="G45" s="582">
        <f>G44+G40+G33+G32+G31+G30+G24+G21+G19+G18+G16+G10+G13+G11+G12+G15+G17+G26+G34+G36+G42+G14+G20+G22+G28+G38</f>
        <v>7976</v>
      </c>
      <c r="H45" s="583">
        <f>(G45/F45)*100</f>
        <v>71.894717865512888</v>
      </c>
      <c r="J45" s="619"/>
      <c r="K45" s="619"/>
    </row>
    <row r="46" spans="1:18" s="136" customFormat="1" ht="15.75" thickTop="1" x14ac:dyDescent="0.25">
      <c r="A46" s="584"/>
      <c r="B46" s="570"/>
      <c r="C46" s="741"/>
      <c r="D46" s="229"/>
      <c r="E46" s="1085"/>
      <c r="F46" s="742"/>
      <c r="G46" s="1085"/>
      <c r="H46" s="743"/>
      <c r="I46" s="134"/>
      <c r="J46" s="134"/>
    </row>
    <row r="47" spans="1:18" s="136" customFormat="1" ht="15" x14ac:dyDescent="0.25">
      <c r="A47" s="584"/>
      <c r="B47" s="570"/>
      <c r="C47" s="741"/>
      <c r="D47" s="229"/>
      <c r="E47" s="1085"/>
      <c r="F47" s="742"/>
      <c r="G47" s="1085"/>
      <c r="H47" s="743"/>
      <c r="I47" s="134"/>
      <c r="J47" s="134"/>
    </row>
    <row r="48" spans="1:18" s="136" customFormat="1" ht="15" x14ac:dyDescent="0.25">
      <c r="A48" s="584"/>
      <c r="B48" s="570"/>
      <c r="C48" s="741"/>
      <c r="D48" s="229"/>
      <c r="E48" s="1085"/>
      <c r="F48" s="742"/>
      <c r="G48" s="1085"/>
      <c r="H48" s="743"/>
      <c r="I48" s="134"/>
      <c r="J48" s="134"/>
    </row>
    <row r="49" spans="1:18" s="136" customFormat="1" ht="15.75" customHeight="1" x14ac:dyDescent="0.25">
      <c r="A49" s="33" t="s">
        <v>594</v>
      </c>
      <c r="B49" s="28"/>
      <c r="C49" s="10"/>
      <c r="E49" s="134"/>
      <c r="F49" s="16"/>
      <c r="G49" s="17"/>
      <c r="H49" s="596"/>
      <c r="I49" s="134"/>
      <c r="J49" s="134"/>
    </row>
    <row r="50" spans="1:18" s="136" customFormat="1" ht="13.5" thickBot="1" x14ac:dyDescent="0.25">
      <c r="A50" s="570"/>
      <c r="B50" s="570"/>
      <c r="C50" s="571"/>
      <c r="D50" s="491"/>
      <c r="E50" s="459"/>
      <c r="F50" s="740"/>
      <c r="G50" s="459"/>
      <c r="H50" s="596" t="s">
        <v>92</v>
      </c>
      <c r="I50" s="134"/>
      <c r="J50" s="134"/>
    </row>
    <row r="51" spans="1:18" s="106" customFormat="1" ht="20.25" customHeight="1" thickTop="1" thickBot="1" x14ac:dyDescent="0.25">
      <c r="A51" s="572" t="s">
        <v>93</v>
      </c>
      <c r="B51" s="573" t="s">
        <v>94</v>
      </c>
      <c r="C51" s="601" t="s">
        <v>364</v>
      </c>
      <c r="D51" s="639" t="s">
        <v>95</v>
      </c>
      <c r="E51" s="639" t="s">
        <v>328</v>
      </c>
      <c r="F51" s="575" t="s">
        <v>329</v>
      </c>
      <c r="G51" s="575" t="s">
        <v>448</v>
      </c>
      <c r="H51" s="576" t="s">
        <v>449</v>
      </c>
    </row>
    <row r="52" spans="1:18" s="374" customFormat="1" ht="13.5" thickTop="1" thickBot="1" x14ac:dyDescent="0.25">
      <c r="A52" s="511">
        <v>1</v>
      </c>
      <c r="B52" s="512">
        <v>2</v>
      </c>
      <c r="C52" s="512">
        <v>3</v>
      </c>
      <c r="D52" s="512">
        <v>4</v>
      </c>
      <c r="E52" s="512">
        <v>5</v>
      </c>
      <c r="F52" s="499">
        <v>6</v>
      </c>
      <c r="G52" s="499">
        <v>7</v>
      </c>
      <c r="H52" s="577" t="s">
        <v>33</v>
      </c>
      <c r="I52" s="106"/>
    </row>
    <row r="53" spans="1:18" s="799" customFormat="1" ht="17.25" thickTop="1" thickBot="1" x14ac:dyDescent="0.3">
      <c r="A53" s="34">
        <v>3713</v>
      </c>
      <c r="B53" s="825">
        <v>6122</v>
      </c>
      <c r="C53" s="811"/>
      <c r="D53" s="817" t="s">
        <v>313</v>
      </c>
      <c r="E53" s="71">
        <v>1544</v>
      </c>
      <c r="F53" s="308">
        <v>1544</v>
      </c>
      <c r="G53" s="310">
        <v>1541</v>
      </c>
      <c r="H53" s="199">
        <f>(G53/F53)*100</f>
        <v>99.80569948186529</v>
      </c>
      <c r="J53" s="813"/>
      <c r="R53"/>
    </row>
    <row r="54" spans="1:18" s="355" customFormat="1" ht="37.5" customHeight="1" thickTop="1" thickBot="1" x14ac:dyDescent="0.3">
      <c r="A54" s="578" t="s">
        <v>133</v>
      </c>
      <c r="B54" s="744"/>
      <c r="C54" s="605"/>
      <c r="D54" s="581"/>
      <c r="E54" s="582">
        <f>E53</f>
        <v>1544</v>
      </c>
      <c r="F54" s="582">
        <f t="shared" ref="F54:G54" si="7">F53</f>
        <v>1544</v>
      </c>
      <c r="G54" s="582">
        <f t="shared" si="7"/>
        <v>1541</v>
      </c>
      <c r="H54" s="745">
        <f>(G54/F54)*100</f>
        <v>99.80569948186529</v>
      </c>
      <c r="I54" s="746"/>
    </row>
    <row r="55" spans="1:18" s="355" customFormat="1" ht="18.75" thickTop="1" x14ac:dyDescent="0.25">
      <c r="A55" s="353"/>
      <c r="B55" s="2351"/>
      <c r="C55" s="139"/>
      <c r="D55" s="354"/>
      <c r="E55" s="17"/>
      <c r="F55" s="17"/>
      <c r="G55" s="17"/>
      <c r="H55" s="190"/>
      <c r="I55" s="746"/>
    </row>
    <row r="56" spans="1:18" s="355" customFormat="1" ht="18" x14ac:dyDescent="0.25">
      <c r="A56" s="353"/>
      <c r="B56" s="2351"/>
      <c r="C56" s="139"/>
      <c r="D56" s="354"/>
      <c r="E56" s="17"/>
      <c r="F56" s="17"/>
      <c r="G56" s="17"/>
      <c r="H56" s="190"/>
      <c r="I56" s="746"/>
    </row>
    <row r="57" spans="1:18" s="355" customFormat="1" ht="15.75" x14ac:dyDescent="0.2">
      <c r="A57" s="3181" t="s">
        <v>1151</v>
      </c>
      <c r="B57" s="3181"/>
      <c r="C57" s="3181"/>
      <c r="D57" s="3181"/>
      <c r="E57" s="3181"/>
      <c r="F57" s="3181"/>
      <c r="G57" s="3181"/>
      <c r="H57" s="3181"/>
      <c r="I57" s="746"/>
    </row>
    <row r="58" spans="1:18" s="355" customFormat="1" ht="15" x14ac:dyDescent="0.2">
      <c r="A58" s="3182" t="s">
        <v>1163</v>
      </c>
      <c r="B58" s="3182"/>
      <c r="C58" s="3182"/>
      <c r="D58" s="3182"/>
      <c r="E58" s="3182"/>
      <c r="F58" s="3182"/>
      <c r="G58" s="3182"/>
      <c r="H58" s="3182"/>
      <c r="I58" s="746"/>
    </row>
    <row r="59" spans="1:18" s="355" customFormat="1" ht="16.5" thickBot="1" x14ac:dyDescent="0.3">
      <c r="A59" s="33"/>
      <c r="B59" s="570"/>
      <c r="C59" s="571"/>
      <c r="D59" s="372"/>
      <c r="E59" s="373"/>
      <c r="F59" s="560"/>
      <c r="G59" s="373"/>
      <c r="H59" s="1568" t="s">
        <v>92</v>
      </c>
      <c r="I59" s="746"/>
    </row>
    <row r="60" spans="1:18" s="355" customFormat="1" ht="16.5" thickTop="1" thickBot="1" x14ac:dyDescent="0.25">
      <c r="A60" s="572" t="s">
        <v>93</v>
      </c>
      <c r="B60" s="573" t="s">
        <v>94</v>
      </c>
      <c r="C60" s="575" t="s">
        <v>364</v>
      </c>
      <c r="D60" s="639" t="s">
        <v>95</v>
      </c>
      <c r="E60" s="639" t="s">
        <v>328</v>
      </c>
      <c r="F60" s="639" t="s">
        <v>329</v>
      </c>
      <c r="G60" s="639" t="s">
        <v>448</v>
      </c>
      <c r="H60" s="576" t="s">
        <v>449</v>
      </c>
      <c r="I60" s="746"/>
    </row>
    <row r="61" spans="1:18" s="355" customFormat="1" ht="16.5" thickTop="1" thickBot="1" x14ac:dyDescent="0.25">
      <c r="A61" s="511">
        <v>1</v>
      </c>
      <c r="B61" s="512">
        <v>2</v>
      </c>
      <c r="C61" s="512">
        <v>3</v>
      </c>
      <c r="D61" s="512">
        <v>4</v>
      </c>
      <c r="E61" s="512">
        <v>5</v>
      </c>
      <c r="F61" s="499">
        <v>6</v>
      </c>
      <c r="G61" s="499">
        <v>7</v>
      </c>
      <c r="H61" s="577" t="s">
        <v>33</v>
      </c>
      <c r="I61" s="746"/>
    </row>
    <row r="62" spans="1:18" s="355" customFormat="1" ht="16.5" thickTop="1" x14ac:dyDescent="0.25">
      <c r="A62" s="1650">
        <v>3299</v>
      </c>
      <c r="B62" s="502">
        <v>5213</v>
      </c>
      <c r="C62" s="925" t="s">
        <v>1097</v>
      </c>
      <c r="D62" s="602" t="s">
        <v>120</v>
      </c>
      <c r="E62" s="310">
        <v>0</v>
      </c>
      <c r="F62" s="308">
        <v>1530</v>
      </c>
      <c r="G62" s="310">
        <v>1530</v>
      </c>
      <c r="H62" s="1644">
        <f t="shared" ref="H62:H68" si="8">(G62/F62)*100</f>
        <v>100</v>
      </c>
      <c r="I62" s="746"/>
    </row>
    <row r="63" spans="1:18" s="355" customFormat="1" ht="15.75" hidden="1" x14ac:dyDescent="0.25">
      <c r="A63" s="1650">
        <v>3319</v>
      </c>
      <c r="B63" s="502">
        <v>5339</v>
      </c>
      <c r="C63" s="925" t="s">
        <v>1097</v>
      </c>
      <c r="D63" s="1088" t="s">
        <v>1230</v>
      </c>
      <c r="E63" s="311"/>
      <c r="F63" s="308"/>
      <c r="G63" s="310"/>
      <c r="H63" s="1644" t="e">
        <f t="shared" si="8"/>
        <v>#DIV/0!</v>
      </c>
      <c r="I63" s="746"/>
    </row>
    <row r="64" spans="1:18" s="355" customFormat="1" ht="30" x14ac:dyDescent="0.2">
      <c r="A64" s="2920">
        <v>3322</v>
      </c>
      <c r="B64" s="2921">
        <v>5223</v>
      </c>
      <c r="C64" s="925" t="s">
        <v>1097</v>
      </c>
      <c r="D64" s="2922" t="s">
        <v>1820</v>
      </c>
      <c r="E64" s="699">
        <v>0</v>
      </c>
      <c r="F64" s="2923">
        <v>322</v>
      </c>
      <c r="G64" s="704">
        <v>322</v>
      </c>
      <c r="H64" s="2924">
        <f t="shared" si="8"/>
        <v>100</v>
      </c>
      <c r="I64" s="746"/>
    </row>
    <row r="65" spans="1:9" s="355" customFormat="1" ht="30" x14ac:dyDescent="0.2">
      <c r="A65" s="2920">
        <v>3322</v>
      </c>
      <c r="B65" s="2921">
        <v>5229</v>
      </c>
      <c r="C65" s="925" t="s">
        <v>1097</v>
      </c>
      <c r="D65" s="2922" t="s">
        <v>484</v>
      </c>
      <c r="E65" s="699">
        <v>0</v>
      </c>
      <c r="F65" s="2923">
        <v>156</v>
      </c>
      <c r="G65" s="704">
        <v>156</v>
      </c>
      <c r="H65" s="2924">
        <f t="shared" si="8"/>
        <v>100</v>
      </c>
      <c r="I65" s="746"/>
    </row>
    <row r="66" spans="1:9" s="355" customFormat="1" ht="15.75" x14ac:dyDescent="0.25">
      <c r="A66" s="219">
        <v>3322</v>
      </c>
      <c r="B66" s="95">
        <v>5321</v>
      </c>
      <c r="C66" s="925" t="s">
        <v>1097</v>
      </c>
      <c r="D66" s="845" t="s">
        <v>566</v>
      </c>
      <c r="E66" s="123">
        <v>0</v>
      </c>
      <c r="F66" s="308">
        <v>460</v>
      </c>
      <c r="G66" s="310">
        <v>460</v>
      </c>
      <c r="H66" s="815">
        <f t="shared" si="8"/>
        <v>100</v>
      </c>
      <c r="I66" s="746"/>
    </row>
    <row r="67" spans="1:9" s="355" customFormat="1" ht="30" x14ac:dyDescent="0.2">
      <c r="A67" s="2925">
        <v>3322</v>
      </c>
      <c r="B67" s="2926">
        <v>6323</v>
      </c>
      <c r="C67" s="925" t="s">
        <v>1097</v>
      </c>
      <c r="D67" s="2922" t="s">
        <v>1845</v>
      </c>
      <c r="E67" s="2927">
        <v>0</v>
      </c>
      <c r="F67" s="2923">
        <v>100</v>
      </c>
      <c r="G67" s="704">
        <v>100</v>
      </c>
      <c r="H67" s="2924">
        <f t="shared" si="8"/>
        <v>100</v>
      </c>
      <c r="I67" s="746"/>
    </row>
    <row r="68" spans="1:9" s="355" customFormat="1" ht="15.75" x14ac:dyDescent="0.25">
      <c r="A68" s="2925">
        <v>3326</v>
      </c>
      <c r="B68" s="2926">
        <v>6341</v>
      </c>
      <c r="C68" s="925" t="s">
        <v>1097</v>
      </c>
      <c r="D68" s="800" t="s">
        <v>136</v>
      </c>
      <c r="E68" s="2927">
        <v>0</v>
      </c>
      <c r="F68" s="2923">
        <v>500</v>
      </c>
      <c r="G68" s="704">
        <v>500</v>
      </c>
      <c r="H68" s="2924">
        <f t="shared" si="8"/>
        <v>100</v>
      </c>
      <c r="I68" s="746"/>
    </row>
    <row r="69" spans="1:9" s="355" customFormat="1" ht="15.75" hidden="1" x14ac:dyDescent="0.25">
      <c r="A69" s="50">
        <v>3639</v>
      </c>
      <c r="B69" s="19">
        <v>5212</v>
      </c>
      <c r="C69" s="925" t="s">
        <v>1097</v>
      </c>
      <c r="D69" s="845" t="s">
        <v>547</v>
      </c>
      <c r="E69" s="48"/>
      <c r="F69" s="165"/>
      <c r="G69" s="310"/>
      <c r="H69" s="1644">
        <v>0</v>
      </c>
      <c r="I69" s="746"/>
    </row>
    <row r="70" spans="1:9" s="355" customFormat="1" ht="15.75" hidden="1" x14ac:dyDescent="0.25">
      <c r="A70" s="50">
        <v>3639</v>
      </c>
      <c r="B70" s="19">
        <v>5321</v>
      </c>
      <c r="C70" s="925" t="s">
        <v>1097</v>
      </c>
      <c r="D70" s="845" t="s">
        <v>566</v>
      </c>
      <c r="E70" s="310"/>
      <c r="F70" s="308"/>
      <c r="G70" s="310"/>
      <c r="H70" s="1644">
        <v>0</v>
      </c>
      <c r="I70" s="746"/>
    </row>
    <row r="71" spans="1:9" s="355" customFormat="1" ht="15.75" x14ac:dyDescent="0.25">
      <c r="A71" s="34">
        <v>3636</v>
      </c>
      <c r="B71" s="825">
        <v>5325</v>
      </c>
      <c r="C71" s="925" t="s">
        <v>1097</v>
      </c>
      <c r="D71" s="800" t="s">
        <v>1846</v>
      </c>
      <c r="E71" s="310">
        <v>0</v>
      </c>
      <c r="F71" s="308">
        <v>350</v>
      </c>
      <c r="G71" s="310">
        <v>350</v>
      </c>
      <c r="H71" s="1644">
        <f>G71/F71*100</f>
        <v>100</v>
      </c>
      <c r="I71" s="746"/>
    </row>
    <row r="72" spans="1:9" s="355" customFormat="1" ht="16.5" thickBot="1" x14ac:dyDescent="0.3">
      <c r="A72" s="34">
        <v>3636</v>
      </c>
      <c r="B72" s="825">
        <v>6341</v>
      </c>
      <c r="C72" s="925" t="s">
        <v>1097</v>
      </c>
      <c r="D72" s="800" t="s">
        <v>136</v>
      </c>
      <c r="E72" s="310">
        <v>0</v>
      </c>
      <c r="F72" s="308">
        <v>705</v>
      </c>
      <c r="G72" s="310">
        <v>705</v>
      </c>
      <c r="H72" s="1644">
        <f t="shared" ref="H72" si="9">(G72/F72)*100</f>
        <v>100</v>
      </c>
      <c r="I72" s="746"/>
    </row>
    <row r="73" spans="1:9" s="355" customFormat="1" ht="19.5" thickTop="1" thickBot="1" x14ac:dyDescent="0.3">
      <c r="A73" s="578" t="s">
        <v>1167</v>
      </c>
      <c r="B73" s="744"/>
      <c r="C73" s="580"/>
      <c r="D73" s="581"/>
      <c r="E73" s="582">
        <f>SUM(E62:E72)</f>
        <v>0</v>
      </c>
      <c r="F73" s="582">
        <f>SUM(F62:F72)</f>
        <v>4123</v>
      </c>
      <c r="G73" s="582">
        <f>SUM(G62:G72)</f>
        <v>4123</v>
      </c>
      <c r="H73" s="783">
        <f>(G73/F73)*100</f>
        <v>100</v>
      </c>
      <c r="I73" s="746"/>
    </row>
    <row r="74" spans="1:9" s="355" customFormat="1" ht="18.75" thickTop="1" x14ac:dyDescent="0.25">
      <c r="A74" s="353"/>
      <c r="B74" s="2351"/>
      <c r="C74" s="139"/>
      <c r="D74" s="354"/>
      <c r="E74" s="17"/>
      <c r="F74" s="17"/>
      <c r="G74" s="17"/>
      <c r="H74" s="190"/>
      <c r="I74" s="746"/>
    </row>
    <row r="75" spans="1:9" s="355" customFormat="1" ht="15" hidden="1" x14ac:dyDescent="0.2">
      <c r="A75" s="3182" t="s">
        <v>1164</v>
      </c>
      <c r="B75" s="3182"/>
      <c r="C75" s="3182"/>
      <c r="D75" s="3182"/>
      <c r="E75" s="3182"/>
      <c r="F75" s="3182"/>
      <c r="G75" s="3182"/>
      <c r="H75" s="3182"/>
      <c r="I75" s="746"/>
    </row>
    <row r="76" spans="1:9" s="355" customFormat="1" ht="18.75" hidden="1" thickBot="1" x14ac:dyDescent="0.3">
      <c r="A76" s="353"/>
      <c r="B76" s="2351"/>
      <c r="C76" s="139"/>
      <c r="D76" s="354"/>
      <c r="E76" s="17"/>
      <c r="F76" s="17"/>
      <c r="G76" s="17"/>
      <c r="H76" s="190"/>
      <c r="I76" s="746"/>
    </row>
    <row r="77" spans="1:9" s="355" customFormat="1" ht="16.5" hidden="1" thickTop="1" thickBot="1" x14ac:dyDescent="0.25">
      <c r="A77" s="572" t="s">
        <v>93</v>
      </c>
      <c r="B77" s="573" t="s">
        <v>94</v>
      </c>
      <c r="C77" s="575" t="s">
        <v>364</v>
      </c>
      <c r="D77" s="639" t="s">
        <v>95</v>
      </c>
      <c r="E77" s="639" t="s">
        <v>328</v>
      </c>
      <c r="F77" s="639" t="s">
        <v>329</v>
      </c>
      <c r="G77" s="639" t="s">
        <v>448</v>
      </c>
      <c r="H77" s="576" t="s">
        <v>449</v>
      </c>
      <c r="I77" s="746"/>
    </row>
    <row r="78" spans="1:9" s="355" customFormat="1" ht="16.5" hidden="1" thickTop="1" thickBot="1" x14ac:dyDescent="0.25">
      <c r="A78" s="511">
        <v>1</v>
      </c>
      <c r="B78" s="512">
        <v>2</v>
      </c>
      <c r="C78" s="512">
        <v>3</v>
      </c>
      <c r="D78" s="512">
        <v>4</v>
      </c>
      <c r="E78" s="512">
        <v>5</v>
      </c>
      <c r="F78" s="499">
        <v>6</v>
      </c>
      <c r="G78" s="499">
        <v>7</v>
      </c>
      <c r="H78" s="577" t="s">
        <v>33</v>
      </c>
      <c r="I78" s="746"/>
    </row>
    <row r="79" spans="1:9" s="355" customFormat="1" ht="31.5" hidden="1" thickTop="1" thickBot="1" x14ac:dyDescent="0.25">
      <c r="A79" s="1614">
        <v>3636</v>
      </c>
      <c r="B79" s="1635">
        <v>5629</v>
      </c>
      <c r="C79" s="810" t="s">
        <v>1113</v>
      </c>
      <c r="D79" s="1198" t="s">
        <v>897</v>
      </c>
      <c r="E79" s="55"/>
      <c r="F79" s="1556"/>
      <c r="G79" s="429"/>
      <c r="H79" s="1559" t="e">
        <f>(G79/F79)*100</f>
        <v>#DIV/0!</v>
      </c>
      <c r="I79" s="746"/>
    </row>
    <row r="80" spans="1:9" s="355" customFormat="1" ht="19.5" hidden="1" thickTop="1" thickBot="1" x14ac:dyDescent="0.3">
      <c r="A80" s="578" t="s">
        <v>1170</v>
      </c>
      <c r="B80" s="744"/>
      <c r="C80" s="580"/>
      <c r="D80" s="581"/>
      <c r="E80" s="582">
        <f>SUM(E79:E79)</f>
        <v>0</v>
      </c>
      <c r="F80" s="582">
        <f>SUM(F79:F79)</f>
        <v>0</v>
      </c>
      <c r="G80" s="582">
        <f>SUM(G79:G79)</f>
        <v>0</v>
      </c>
      <c r="H80" s="783" t="e">
        <f>(G80/F80)*100</f>
        <v>#DIV/0!</v>
      </c>
      <c r="I80" s="746"/>
    </row>
    <row r="81" spans="1:9" s="355" customFormat="1" ht="18" hidden="1" x14ac:dyDescent="0.25">
      <c r="A81" s="353"/>
      <c r="B81" s="2351"/>
      <c r="C81" s="139"/>
      <c r="D81" s="354"/>
      <c r="E81" s="17"/>
      <c r="F81" s="17"/>
      <c r="G81" s="17"/>
      <c r="H81" s="190"/>
      <c r="I81" s="746"/>
    </row>
    <row r="82" spans="1:9" s="355" customFormat="1" ht="15" hidden="1" x14ac:dyDescent="0.2">
      <c r="A82" s="3182" t="s">
        <v>1165</v>
      </c>
      <c r="B82" s="3182"/>
      <c r="C82" s="3182"/>
      <c r="D82" s="3182"/>
      <c r="E82" s="3182"/>
      <c r="F82" s="3182"/>
      <c r="G82" s="3182"/>
      <c r="H82" s="3182"/>
      <c r="I82" s="746"/>
    </row>
    <row r="83" spans="1:9" s="355" customFormat="1" ht="16.5" hidden="1" thickBot="1" x14ac:dyDescent="0.3">
      <c r="A83" s="33"/>
      <c r="B83" s="570"/>
      <c r="C83" s="571"/>
      <c r="D83" s="372"/>
      <c r="E83" s="373"/>
      <c r="F83" s="560"/>
      <c r="G83" s="373"/>
      <c r="H83" s="1568" t="s">
        <v>92</v>
      </c>
      <c r="I83" s="746"/>
    </row>
    <row r="84" spans="1:9" s="355" customFormat="1" ht="16.5" hidden="1" thickTop="1" thickBot="1" x14ac:dyDescent="0.25">
      <c r="A84" s="572" t="s">
        <v>93</v>
      </c>
      <c r="B84" s="573" t="s">
        <v>94</v>
      </c>
      <c r="C84" s="575" t="s">
        <v>364</v>
      </c>
      <c r="D84" s="639" t="s">
        <v>95</v>
      </c>
      <c r="E84" s="639" t="s">
        <v>328</v>
      </c>
      <c r="F84" s="639" t="s">
        <v>329</v>
      </c>
      <c r="G84" s="639" t="s">
        <v>448</v>
      </c>
      <c r="H84" s="576" t="s">
        <v>449</v>
      </c>
      <c r="I84" s="746"/>
    </row>
    <row r="85" spans="1:9" s="355" customFormat="1" ht="16.5" hidden="1" thickTop="1" thickBot="1" x14ac:dyDescent="0.25">
      <c r="A85" s="511">
        <v>1</v>
      </c>
      <c r="B85" s="512">
        <v>2</v>
      </c>
      <c r="C85" s="512">
        <v>3</v>
      </c>
      <c r="D85" s="512">
        <v>4</v>
      </c>
      <c r="E85" s="512">
        <v>5</v>
      </c>
      <c r="F85" s="499">
        <v>6</v>
      </c>
      <c r="G85" s="499">
        <v>7</v>
      </c>
      <c r="H85" s="577" t="s">
        <v>33</v>
      </c>
      <c r="I85" s="746"/>
    </row>
    <row r="86" spans="1:9" s="355" customFormat="1" ht="30.75" hidden="1" thickTop="1" x14ac:dyDescent="0.2">
      <c r="A86" s="1614">
        <v>3636</v>
      </c>
      <c r="B86" s="1635">
        <v>5613</v>
      </c>
      <c r="C86" s="810" t="s">
        <v>1112</v>
      </c>
      <c r="D86" s="1198" t="s">
        <v>1127</v>
      </c>
      <c r="E86" s="2356"/>
      <c r="F86" s="1556"/>
      <c r="G86" s="429"/>
      <c r="H86" s="1559" t="e">
        <f>(G86/F86)*100</f>
        <v>#DIV/0!</v>
      </c>
      <c r="I86" s="746"/>
    </row>
    <row r="87" spans="1:9" s="355" customFormat="1" ht="15.75" hidden="1" x14ac:dyDescent="0.25">
      <c r="A87" s="50">
        <v>3636</v>
      </c>
      <c r="B87" s="19">
        <v>5621</v>
      </c>
      <c r="C87" s="925" t="s">
        <v>1112</v>
      </c>
      <c r="D87" s="1198" t="s">
        <v>1128</v>
      </c>
      <c r="E87" s="55"/>
      <c r="F87" s="308"/>
      <c r="G87" s="310"/>
      <c r="H87" s="208" t="e">
        <f>(G87/F87)*100</f>
        <v>#DIV/0!</v>
      </c>
      <c r="I87" s="746"/>
    </row>
    <row r="88" spans="1:9" s="355" customFormat="1" ht="16.5" hidden="1" thickBot="1" x14ac:dyDescent="0.3">
      <c r="A88" s="50">
        <v>3636</v>
      </c>
      <c r="B88" s="19">
        <v>5622</v>
      </c>
      <c r="C88" s="925" t="s">
        <v>1112</v>
      </c>
      <c r="D88" s="1198" t="s">
        <v>1129</v>
      </c>
      <c r="E88" s="55"/>
      <c r="F88" s="308"/>
      <c r="G88" s="310"/>
      <c r="H88" s="208" t="e">
        <f>(G88/F88)*100</f>
        <v>#DIV/0!</v>
      </c>
      <c r="I88" s="746"/>
    </row>
    <row r="89" spans="1:9" s="355" customFormat="1" ht="19.5" hidden="1" thickTop="1" thickBot="1" x14ac:dyDescent="0.3">
      <c r="A89" s="578" t="s">
        <v>1169</v>
      </c>
      <c r="B89" s="744"/>
      <c r="C89" s="580"/>
      <c r="D89" s="581"/>
      <c r="E89" s="582">
        <f>SUM(E86:E88)</f>
        <v>0</v>
      </c>
      <c r="F89" s="582">
        <f>SUM(F86:F88)</f>
        <v>0</v>
      </c>
      <c r="G89" s="582">
        <f>SUM(G86:G88)</f>
        <v>0</v>
      </c>
      <c r="H89" s="783" t="e">
        <f>(G89/F89)*100</f>
        <v>#DIV/0!</v>
      </c>
      <c r="I89" s="746"/>
    </row>
    <row r="90" spans="1:9" s="355" customFormat="1" ht="18.75" hidden="1" thickTop="1" x14ac:dyDescent="0.25">
      <c r="A90" s="353"/>
      <c r="B90" s="2351"/>
      <c r="C90" s="57"/>
      <c r="D90" s="354"/>
      <c r="E90" s="17"/>
      <c r="F90" s="17"/>
      <c r="G90" s="17"/>
      <c r="H90" s="2352"/>
      <c r="I90" s="746"/>
    </row>
    <row r="91" spans="1:9" s="355" customFormat="1" ht="15" x14ac:dyDescent="0.2">
      <c r="A91" s="3182" t="s">
        <v>1166</v>
      </c>
      <c r="B91" s="3182"/>
      <c r="C91" s="3182"/>
      <c r="D91" s="3182"/>
      <c r="E91" s="3182"/>
      <c r="F91" s="3182"/>
      <c r="G91" s="3182"/>
      <c r="H91" s="3182"/>
      <c r="I91" s="746"/>
    </row>
    <row r="92" spans="1:9" s="355" customFormat="1" ht="16.5" thickBot="1" x14ac:dyDescent="0.3">
      <c r="A92" s="33"/>
      <c r="B92" s="570"/>
      <c r="C92" s="571"/>
      <c r="D92" s="372"/>
      <c r="E92" s="373"/>
      <c r="F92" s="560"/>
      <c r="G92" s="373"/>
      <c r="H92" s="1568" t="s">
        <v>92</v>
      </c>
      <c r="I92" s="746"/>
    </row>
    <row r="93" spans="1:9" s="355" customFormat="1" ht="16.5" thickTop="1" thickBot="1" x14ac:dyDescent="0.25">
      <c r="A93" s="572" t="s">
        <v>93</v>
      </c>
      <c r="B93" s="573" t="s">
        <v>94</v>
      </c>
      <c r="C93" s="575" t="s">
        <v>364</v>
      </c>
      <c r="D93" s="639" t="s">
        <v>95</v>
      </c>
      <c r="E93" s="639" t="s">
        <v>328</v>
      </c>
      <c r="F93" s="639" t="s">
        <v>329</v>
      </c>
      <c r="G93" s="639" t="s">
        <v>448</v>
      </c>
      <c r="H93" s="576" t="s">
        <v>449</v>
      </c>
      <c r="I93" s="746"/>
    </row>
    <row r="94" spans="1:9" s="355" customFormat="1" ht="16.5" thickTop="1" thickBot="1" x14ac:dyDescent="0.25">
      <c r="A94" s="511">
        <v>1</v>
      </c>
      <c r="B94" s="512">
        <v>2</v>
      </c>
      <c r="C94" s="512">
        <v>3</v>
      </c>
      <c r="D94" s="512">
        <v>4</v>
      </c>
      <c r="E94" s="512">
        <v>5</v>
      </c>
      <c r="F94" s="499">
        <v>6</v>
      </c>
      <c r="G94" s="499">
        <v>7</v>
      </c>
      <c r="H94" s="577" t="s">
        <v>33</v>
      </c>
      <c r="I94" s="746"/>
    </row>
    <row r="95" spans="1:9" s="355" customFormat="1" ht="16.5" thickTop="1" x14ac:dyDescent="0.25">
      <c r="A95" s="219">
        <v>2141</v>
      </c>
      <c r="B95" s="95">
        <v>5213</v>
      </c>
      <c r="C95" s="925" t="s">
        <v>1109</v>
      </c>
      <c r="D95" s="602" t="s">
        <v>1947</v>
      </c>
      <c r="E95" s="2356">
        <v>0</v>
      </c>
      <c r="F95" s="60">
        <v>150</v>
      </c>
      <c r="G95" s="60">
        <v>150</v>
      </c>
      <c r="H95" s="815">
        <f t="shared" ref="H95" si="10">(G95/F95)*100</f>
        <v>100</v>
      </c>
      <c r="I95" s="746"/>
    </row>
    <row r="96" spans="1:9" s="355" customFormat="1" ht="15.75" x14ac:dyDescent="0.25">
      <c r="A96" s="219">
        <v>2141</v>
      </c>
      <c r="B96" s="95">
        <v>5221</v>
      </c>
      <c r="C96" s="925" t="s">
        <v>1109</v>
      </c>
      <c r="D96" s="602" t="s">
        <v>1608</v>
      </c>
      <c r="E96" s="2356">
        <v>500</v>
      </c>
      <c r="F96" s="1556">
        <v>80</v>
      </c>
      <c r="G96" s="429">
        <v>80</v>
      </c>
      <c r="H96" s="1559">
        <f>(G96/F96)*100</f>
        <v>100</v>
      </c>
      <c r="I96" s="746"/>
    </row>
    <row r="97" spans="1:9" s="355" customFormat="1" ht="15.75" x14ac:dyDescent="0.25">
      <c r="A97" s="219">
        <v>2141</v>
      </c>
      <c r="B97" s="95">
        <v>5222</v>
      </c>
      <c r="C97" s="925" t="s">
        <v>1109</v>
      </c>
      <c r="D97" s="1653" t="s">
        <v>800</v>
      </c>
      <c r="E97" s="2356">
        <v>0</v>
      </c>
      <c r="F97" s="308">
        <v>100</v>
      </c>
      <c r="G97" s="310">
        <v>100</v>
      </c>
      <c r="H97" s="208">
        <f>(G97/F97)*100</f>
        <v>100</v>
      </c>
      <c r="I97" s="746"/>
    </row>
    <row r="98" spans="1:9" s="355" customFormat="1" ht="16.5" thickBot="1" x14ac:dyDescent="0.3">
      <c r="A98" s="219">
        <v>2141</v>
      </c>
      <c r="B98" s="95">
        <v>5229</v>
      </c>
      <c r="C98" s="925" t="s">
        <v>1109</v>
      </c>
      <c r="D98" s="2322" t="s">
        <v>1946</v>
      </c>
      <c r="E98" s="2356">
        <v>0</v>
      </c>
      <c r="F98" s="308">
        <v>83</v>
      </c>
      <c r="G98" s="310">
        <v>83</v>
      </c>
      <c r="H98" s="208">
        <f>(G98/F98)*100</f>
        <v>100</v>
      </c>
      <c r="I98" s="746"/>
    </row>
    <row r="99" spans="1:9" s="355" customFormat="1" ht="19.5" thickTop="1" thickBot="1" x14ac:dyDescent="0.3">
      <c r="A99" s="578" t="s">
        <v>1168</v>
      </c>
      <c r="B99" s="744"/>
      <c r="C99" s="580"/>
      <c r="D99" s="581"/>
      <c r="E99" s="582">
        <f>SUM(E95:E98)</f>
        <v>500</v>
      </c>
      <c r="F99" s="582">
        <f t="shared" ref="F99:G99" si="11">SUM(F95:F98)</f>
        <v>413</v>
      </c>
      <c r="G99" s="582">
        <f t="shared" si="11"/>
        <v>413</v>
      </c>
      <c r="H99" s="783">
        <f>(G99/F99)*100</f>
        <v>100</v>
      </c>
      <c r="I99" s="746"/>
    </row>
    <row r="100" spans="1:9" s="355" customFormat="1" ht="18.75" thickTop="1" x14ac:dyDescent="0.25">
      <c r="A100" s="353"/>
      <c r="B100" s="2351"/>
      <c r="C100" s="57"/>
      <c r="D100" s="354"/>
      <c r="E100" s="17"/>
      <c r="F100" s="17"/>
      <c r="G100" s="17"/>
      <c r="H100" s="2352"/>
      <c r="I100" s="746"/>
    </row>
    <row r="101" spans="1:9" s="355" customFormat="1" ht="15" x14ac:dyDescent="0.2">
      <c r="A101" s="3182" t="s">
        <v>1172</v>
      </c>
      <c r="B101" s="3182"/>
      <c r="C101" s="3182"/>
      <c r="D101" s="3182"/>
      <c r="E101" s="3182"/>
      <c r="F101" s="3182"/>
      <c r="G101" s="3182"/>
      <c r="H101" s="3182"/>
      <c r="I101" s="746"/>
    </row>
    <row r="102" spans="1:9" s="355" customFormat="1" ht="16.5" thickBot="1" x14ac:dyDescent="0.3">
      <c r="A102" s="33"/>
      <c r="B102" s="570"/>
      <c r="C102" s="571"/>
      <c r="D102" s="372"/>
      <c r="E102" s="373"/>
      <c r="F102" s="560"/>
      <c r="G102" s="373"/>
      <c r="H102" s="1568" t="s">
        <v>92</v>
      </c>
      <c r="I102" s="746"/>
    </row>
    <row r="103" spans="1:9" s="355" customFormat="1" ht="16.5" thickTop="1" thickBot="1" x14ac:dyDescent="0.25">
      <c r="A103" s="572" t="s">
        <v>93</v>
      </c>
      <c r="B103" s="573" t="s">
        <v>94</v>
      </c>
      <c r="C103" s="575" t="s">
        <v>364</v>
      </c>
      <c r="D103" s="639" t="s">
        <v>95</v>
      </c>
      <c r="E103" s="639" t="s">
        <v>328</v>
      </c>
      <c r="F103" s="639" t="s">
        <v>329</v>
      </c>
      <c r="G103" s="639" t="s">
        <v>448</v>
      </c>
      <c r="H103" s="576" t="s">
        <v>449</v>
      </c>
      <c r="I103" s="746"/>
    </row>
    <row r="104" spans="1:9" s="355" customFormat="1" ht="16.5" thickTop="1" thickBot="1" x14ac:dyDescent="0.25">
      <c r="A104" s="511">
        <v>1</v>
      </c>
      <c r="B104" s="512">
        <v>2</v>
      </c>
      <c r="C104" s="512">
        <v>3</v>
      </c>
      <c r="D104" s="512">
        <v>4</v>
      </c>
      <c r="E104" s="512">
        <v>5</v>
      </c>
      <c r="F104" s="499">
        <v>6</v>
      </c>
      <c r="G104" s="499">
        <v>7</v>
      </c>
      <c r="H104" s="577" t="s">
        <v>33</v>
      </c>
      <c r="I104" s="746"/>
    </row>
    <row r="105" spans="1:9" s="355" customFormat="1" ht="16.5" thickTop="1" x14ac:dyDescent="0.25">
      <c r="A105" s="219">
        <v>2141</v>
      </c>
      <c r="B105" s="95">
        <v>5212</v>
      </c>
      <c r="C105" s="925" t="s">
        <v>1110</v>
      </c>
      <c r="D105" s="602" t="s">
        <v>1847</v>
      </c>
      <c r="E105" s="60">
        <v>0</v>
      </c>
      <c r="F105" s="60">
        <v>45</v>
      </c>
      <c r="G105" s="60">
        <v>45</v>
      </c>
      <c r="H105" s="815">
        <f>(G105/F105)*100</f>
        <v>100</v>
      </c>
      <c r="I105" s="746"/>
    </row>
    <row r="106" spans="1:9" s="355" customFormat="1" ht="15.75" x14ac:dyDescent="0.25">
      <c r="A106" s="219">
        <v>2141</v>
      </c>
      <c r="B106" s="95">
        <v>5213</v>
      </c>
      <c r="C106" s="925" t="s">
        <v>1110</v>
      </c>
      <c r="D106" s="602" t="s">
        <v>1609</v>
      </c>
      <c r="E106" s="60">
        <v>200</v>
      </c>
      <c r="F106" s="60">
        <v>75</v>
      </c>
      <c r="G106" s="60">
        <v>75</v>
      </c>
      <c r="H106" s="815">
        <f>(G106/F106)*100</f>
        <v>100</v>
      </c>
      <c r="I106" s="746"/>
    </row>
    <row r="107" spans="1:9" s="355" customFormat="1" ht="16.5" hidden="1" thickTop="1" x14ac:dyDescent="0.25">
      <c r="A107" s="219">
        <v>2141</v>
      </c>
      <c r="B107" s="95">
        <v>5221</v>
      </c>
      <c r="C107" s="925" t="s">
        <v>1110</v>
      </c>
      <c r="D107" s="602" t="s">
        <v>1608</v>
      </c>
      <c r="E107" s="60"/>
      <c r="F107" s="60"/>
      <c r="G107" s="60"/>
      <c r="H107" s="815">
        <v>0</v>
      </c>
      <c r="I107" s="746"/>
    </row>
    <row r="108" spans="1:9" s="355" customFormat="1" ht="16.5" thickBot="1" x14ac:dyDescent="0.3">
      <c r="A108" s="219">
        <v>2141</v>
      </c>
      <c r="B108" s="95">
        <v>5222</v>
      </c>
      <c r="C108" s="925" t="s">
        <v>1110</v>
      </c>
      <c r="D108" s="1653" t="s">
        <v>800</v>
      </c>
      <c r="E108" s="60">
        <v>0</v>
      </c>
      <c r="F108" s="308">
        <v>15</v>
      </c>
      <c r="G108" s="310">
        <v>15</v>
      </c>
      <c r="H108" s="208">
        <f>(G108/F108)*100</f>
        <v>100</v>
      </c>
      <c r="I108" s="746"/>
    </row>
    <row r="109" spans="1:9" s="355" customFormat="1" ht="16.5" hidden="1" thickBot="1" x14ac:dyDescent="0.3">
      <c r="A109" s="219">
        <v>2141</v>
      </c>
      <c r="B109" s="95">
        <v>5321</v>
      </c>
      <c r="C109" s="925" t="s">
        <v>1110</v>
      </c>
      <c r="D109" s="602" t="s">
        <v>566</v>
      </c>
      <c r="E109" s="123"/>
      <c r="F109" s="308"/>
      <c r="G109" s="310"/>
      <c r="H109" s="208" t="e">
        <f>(G109/F109)*100</f>
        <v>#DIV/0!</v>
      </c>
      <c r="I109" s="746"/>
    </row>
    <row r="110" spans="1:9" s="355" customFormat="1" ht="19.5" thickTop="1" thickBot="1" x14ac:dyDescent="0.3">
      <c r="A110" s="578" t="s">
        <v>1171</v>
      </c>
      <c r="B110" s="744"/>
      <c r="C110" s="580"/>
      <c r="D110" s="581"/>
      <c r="E110" s="582">
        <f>SUM(E105:E109)</f>
        <v>200</v>
      </c>
      <c r="F110" s="582">
        <f t="shared" ref="F110:G110" si="12">SUM(F105:F109)</f>
        <v>135</v>
      </c>
      <c r="G110" s="582">
        <f t="shared" si="12"/>
        <v>135</v>
      </c>
      <c r="H110" s="783">
        <f>(G110/F110)*100</f>
        <v>100</v>
      </c>
      <c r="I110" s="746"/>
    </row>
    <row r="111" spans="1:9" s="355" customFormat="1" ht="18.75" thickTop="1" x14ac:dyDescent="0.25">
      <c r="A111" s="353"/>
      <c r="B111" s="2351"/>
      <c r="C111" s="57"/>
      <c r="D111" s="354"/>
      <c r="E111" s="17"/>
      <c r="F111" s="17"/>
      <c r="G111" s="17"/>
      <c r="H111" s="2352"/>
      <c r="I111" s="746"/>
    </row>
    <row r="112" spans="1:9" s="355" customFormat="1" ht="15" x14ac:dyDescent="0.2">
      <c r="A112" s="3182" t="s">
        <v>1173</v>
      </c>
      <c r="B112" s="3182"/>
      <c r="C112" s="3182"/>
      <c r="D112" s="3182"/>
      <c r="E112" s="3182"/>
      <c r="F112" s="3182"/>
      <c r="G112" s="3182"/>
      <c r="H112" s="3182"/>
      <c r="I112" s="746"/>
    </row>
    <row r="113" spans="1:9" s="355" customFormat="1" ht="16.5" thickBot="1" x14ac:dyDescent="0.3">
      <c r="A113" s="33"/>
      <c r="B113" s="570"/>
      <c r="C113" s="571"/>
      <c r="D113" s="372"/>
      <c r="E113" s="373"/>
      <c r="F113" s="560"/>
      <c r="G113" s="373"/>
      <c r="H113" s="1568" t="s">
        <v>92</v>
      </c>
      <c r="I113" s="746"/>
    </row>
    <row r="114" spans="1:9" s="355" customFormat="1" ht="16.5" thickTop="1" thickBot="1" x14ac:dyDescent="0.25">
      <c r="A114" s="572" t="s">
        <v>93</v>
      </c>
      <c r="B114" s="573" t="s">
        <v>94</v>
      </c>
      <c r="C114" s="575" t="s">
        <v>364</v>
      </c>
      <c r="D114" s="639" t="s">
        <v>95</v>
      </c>
      <c r="E114" s="639" t="s">
        <v>328</v>
      </c>
      <c r="F114" s="639" t="s">
        <v>329</v>
      </c>
      <c r="G114" s="639" t="s">
        <v>448</v>
      </c>
      <c r="H114" s="576" t="s">
        <v>449</v>
      </c>
      <c r="I114" s="746"/>
    </row>
    <row r="115" spans="1:9" s="355" customFormat="1" ht="16.5" thickTop="1" thickBot="1" x14ac:dyDescent="0.25">
      <c r="A115" s="511">
        <v>1</v>
      </c>
      <c r="B115" s="512">
        <v>2</v>
      </c>
      <c r="C115" s="512">
        <v>3</v>
      </c>
      <c r="D115" s="512">
        <v>4</v>
      </c>
      <c r="E115" s="512">
        <v>5</v>
      </c>
      <c r="F115" s="499">
        <v>6</v>
      </c>
      <c r="G115" s="499">
        <v>7</v>
      </c>
      <c r="H115" s="577" t="s">
        <v>33</v>
      </c>
      <c r="I115" s="746"/>
    </row>
    <row r="116" spans="1:9" s="355" customFormat="1" ht="16.5" thickTop="1" x14ac:dyDescent="0.25">
      <c r="A116" s="219">
        <v>2125</v>
      </c>
      <c r="B116" s="95">
        <v>5213</v>
      </c>
      <c r="C116" s="925" t="s">
        <v>1108</v>
      </c>
      <c r="D116" s="602" t="s">
        <v>1609</v>
      </c>
      <c r="E116" s="60">
        <v>100</v>
      </c>
      <c r="F116" s="60">
        <v>65</v>
      </c>
      <c r="G116" s="60">
        <v>65</v>
      </c>
      <c r="H116" s="815">
        <f>(G116/F116)*100</f>
        <v>100</v>
      </c>
      <c r="I116" s="746"/>
    </row>
    <row r="117" spans="1:9" s="355" customFormat="1" ht="16.5" thickBot="1" x14ac:dyDescent="0.3">
      <c r="A117" s="219">
        <v>2125</v>
      </c>
      <c r="B117" s="95">
        <v>5332</v>
      </c>
      <c r="C117" s="925" t="s">
        <v>1108</v>
      </c>
      <c r="D117" s="1071" t="s">
        <v>1123</v>
      </c>
      <c r="E117" s="60">
        <v>0</v>
      </c>
      <c r="F117" s="60">
        <v>100</v>
      </c>
      <c r="G117" s="60">
        <v>100</v>
      </c>
      <c r="H117" s="815">
        <f>(G117/F117)*100</f>
        <v>100</v>
      </c>
      <c r="I117" s="746"/>
    </row>
    <row r="118" spans="1:9" s="355" customFormat="1" ht="16.5" hidden="1" thickBot="1" x14ac:dyDescent="0.3">
      <c r="A118" s="219">
        <v>3349</v>
      </c>
      <c r="B118" s="95">
        <v>5213</v>
      </c>
      <c r="C118" s="925" t="s">
        <v>1108</v>
      </c>
      <c r="D118" s="845" t="s">
        <v>1609</v>
      </c>
      <c r="E118" s="60"/>
      <c r="F118" s="60"/>
      <c r="G118" s="60"/>
      <c r="H118" s="815">
        <v>0</v>
      </c>
      <c r="I118" s="746"/>
    </row>
    <row r="119" spans="1:9" s="355" customFormat="1" ht="19.5" thickTop="1" thickBot="1" x14ac:dyDescent="0.3">
      <c r="A119" s="578" t="s">
        <v>1174</v>
      </c>
      <c r="B119" s="744"/>
      <c r="C119" s="580"/>
      <c r="D119" s="581"/>
      <c r="E119" s="582">
        <f>SUM(E116:E118)</f>
        <v>100</v>
      </c>
      <c r="F119" s="582">
        <f t="shared" ref="F119:G119" si="13">SUM(F116:F118)</f>
        <v>165</v>
      </c>
      <c r="G119" s="582">
        <f t="shared" si="13"/>
        <v>165</v>
      </c>
      <c r="H119" s="783">
        <f>(G119/F119)*100</f>
        <v>100</v>
      </c>
      <c r="I119" s="746"/>
    </row>
    <row r="120" spans="1:9" s="355" customFormat="1" ht="18.75" thickTop="1" x14ac:dyDescent="0.25">
      <c r="A120" s="353"/>
      <c r="B120" s="2351"/>
      <c r="C120" s="57"/>
      <c r="D120" s="354"/>
      <c r="E120" s="17"/>
      <c r="F120" s="17"/>
      <c r="G120" s="17"/>
      <c r="H120" s="2352"/>
      <c r="I120" s="746"/>
    </row>
    <row r="121" spans="1:9" s="355" customFormat="1" ht="15" x14ac:dyDescent="0.2">
      <c r="A121" s="3182" t="s">
        <v>1175</v>
      </c>
      <c r="B121" s="3182"/>
      <c r="C121" s="3182"/>
      <c r="D121" s="3182"/>
      <c r="E121" s="3182"/>
      <c r="F121" s="3182"/>
      <c r="G121" s="3182"/>
      <c r="H121" s="3182"/>
      <c r="I121" s="746"/>
    </row>
    <row r="122" spans="1:9" s="355" customFormat="1" ht="16.5" thickBot="1" x14ac:dyDescent="0.3">
      <c r="A122" s="33"/>
      <c r="B122" s="570"/>
      <c r="C122" s="571"/>
      <c r="D122" s="372"/>
      <c r="E122" s="373"/>
      <c r="F122" s="560"/>
      <c r="G122" s="373"/>
      <c r="H122" s="1568" t="s">
        <v>92</v>
      </c>
      <c r="I122" s="746"/>
    </row>
    <row r="123" spans="1:9" s="355" customFormat="1" ht="16.5" thickTop="1" thickBot="1" x14ac:dyDescent="0.25">
      <c r="A123" s="572" t="s">
        <v>93</v>
      </c>
      <c r="B123" s="573" t="s">
        <v>94</v>
      </c>
      <c r="C123" s="575" t="s">
        <v>364</v>
      </c>
      <c r="D123" s="639" t="s">
        <v>95</v>
      </c>
      <c r="E123" s="639" t="s">
        <v>328</v>
      </c>
      <c r="F123" s="639" t="s">
        <v>329</v>
      </c>
      <c r="G123" s="639" t="s">
        <v>448</v>
      </c>
      <c r="H123" s="576" t="s">
        <v>449</v>
      </c>
      <c r="I123" s="746"/>
    </row>
    <row r="124" spans="1:9" s="355" customFormat="1" ht="16.5" thickTop="1" thickBot="1" x14ac:dyDescent="0.25">
      <c r="A124" s="511">
        <v>1</v>
      </c>
      <c r="B124" s="512">
        <v>2</v>
      </c>
      <c r="C124" s="512">
        <v>3</v>
      </c>
      <c r="D124" s="512">
        <v>4</v>
      </c>
      <c r="E124" s="512">
        <v>5</v>
      </c>
      <c r="F124" s="499">
        <v>6</v>
      </c>
      <c r="G124" s="499">
        <v>7</v>
      </c>
      <c r="H124" s="577" t="s">
        <v>33</v>
      </c>
      <c r="I124" s="746"/>
    </row>
    <row r="125" spans="1:9" s="355" customFormat="1" ht="16.5" thickTop="1" x14ac:dyDescent="0.25">
      <c r="A125" s="219">
        <v>2125</v>
      </c>
      <c r="B125" s="95">
        <v>5213</v>
      </c>
      <c r="C125" s="925" t="s">
        <v>1105</v>
      </c>
      <c r="D125" s="602" t="s">
        <v>1609</v>
      </c>
      <c r="E125" s="60">
        <v>800</v>
      </c>
      <c r="F125" s="60">
        <v>500</v>
      </c>
      <c r="G125" s="60">
        <v>500</v>
      </c>
      <c r="H125" s="815">
        <f>(G125/F125)*100</f>
        <v>100</v>
      </c>
      <c r="I125" s="746"/>
    </row>
    <row r="126" spans="1:9" s="355" customFormat="1" ht="16.5" thickBot="1" x14ac:dyDescent="0.3">
      <c r="A126" s="219">
        <v>2125</v>
      </c>
      <c r="B126" s="95">
        <v>5229</v>
      </c>
      <c r="C126" s="925" t="s">
        <v>1105</v>
      </c>
      <c r="D126" s="370" t="s">
        <v>1946</v>
      </c>
      <c r="E126" s="60">
        <v>0</v>
      </c>
      <c r="F126" s="60">
        <v>65</v>
      </c>
      <c r="G126" s="60">
        <v>65</v>
      </c>
      <c r="H126" s="815">
        <f>(G126/F126)*100</f>
        <v>100</v>
      </c>
      <c r="I126" s="746"/>
    </row>
    <row r="127" spans="1:9" s="355" customFormat="1" ht="15.75" hidden="1" x14ac:dyDescent="0.25">
      <c r="A127" s="219">
        <v>2125</v>
      </c>
      <c r="B127" s="95">
        <v>5332</v>
      </c>
      <c r="C127" s="925" t="s">
        <v>1105</v>
      </c>
      <c r="D127" s="1071" t="s">
        <v>1123</v>
      </c>
      <c r="E127" s="879"/>
      <c r="F127" s="60"/>
      <c r="G127" s="60"/>
      <c r="H127" s="815" t="e">
        <f>(G127/F127)*100</f>
        <v>#DIV/0!</v>
      </c>
      <c r="I127" s="746"/>
    </row>
    <row r="128" spans="1:9" s="355" customFormat="1" ht="15.75" hidden="1" x14ac:dyDescent="0.25">
      <c r="A128" s="219">
        <v>3349</v>
      </c>
      <c r="B128" s="95">
        <v>5213</v>
      </c>
      <c r="C128" s="925" t="s">
        <v>1105</v>
      </c>
      <c r="D128" s="845" t="s">
        <v>1609</v>
      </c>
      <c r="E128" s="60"/>
      <c r="F128" s="308"/>
      <c r="G128" s="310"/>
      <c r="H128" s="815">
        <v>0</v>
      </c>
      <c r="I128" s="746"/>
    </row>
    <row r="129" spans="1:9" s="355" customFormat="1" ht="16.5" hidden="1" thickBot="1" x14ac:dyDescent="0.3">
      <c r="A129" s="219">
        <v>3349</v>
      </c>
      <c r="B129" s="95">
        <v>5229</v>
      </c>
      <c r="C129" s="925" t="s">
        <v>1105</v>
      </c>
      <c r="D129" s="901" t="s">
        <v>1229</v>
      </c>
      <c r="E129" s="123"/>
      <c r="F129" s="308"/>
      <c r="G129" s="310"/>
      <c r="H129" s="815" t="e">
        <f t="shared" ref="H129" si="14">(G129/F129)*100</f>
        <v>#DIV/0!</v>
      </c>
      <c r="I129" s="746"/>
    </row>
    <row r="130" spans="1:9" s="355" customFormat="1" ht="19.5" thickTop="1" thickBot="1" x14ac:dyDescent="0.3">
      <c r="A130" s="578" t="s">
        <v>1176</v>
      </c>
      <c r="B130" s="744"/>
      <c r="C130" s="580"/>
      <c r="D130" s="581"/>
      <c r="E130" s="582">
        <f>SUM(E125:E129)</f>
        <v>800</v>
      </c>
      <c r="F130" s="582">
        <f>SUM(F125:F129)</f>
        <v>565</v>
      </c>
      <c r="G130" s="582">
        <f>SUM(G125:G129)</f>
        <v>565</v>
      </c>
      <c r="H130" s="783">
        <f>(G130/F130)*100</f>
        <v>100</v>
      </c>
      <c r="I130" s="746"/>
    </row>
    <row r="131" spans="1:9" s="355" customFormat="1" ht="18.75" thickTop="1" x14ac:dyDescent="0.25">
      <c r="A131" s="353"/>
      <c r="B131" s="2351"/>
      <c r="C131" s="57"/>
      <c r="D131" s="354"/>
      <c r="E131" s="17"/>
      <c r="F131" s="17"/>
      <c r="G131" s="17"/>
      <c r="H131" s="2352"/>
      <c r="I131" s="746"/>
    </row>
    <row r="132" spans="1:9" s="355" customFormat="1" ht="15" x14ac:dyDescent="0.2">
      <c r="A132" s="3182" t="s">
        <v>1177</v>
      </c>
      <c r="B132" s="3182"/>
      <c r="C132" s="3182"/>
      <c r="D132" s="3182"/>
      <c r="E132" s="3182"/>
      <c r="F132" s="3182"/>
      <c r="G132" s="3182"/>
      <c r="H132" s="3182"/>
      <c r="I132" s="746"/>
    </row>
    <row r="133" spans="1:9" s="355" customFormat="1" ht="16.5" thickBot="1" x14ac:dyDescent="0.3">
      <c r="A133" s="33"/>
      <c r="B133" s="570"/>
      <c r="C133" s="571"/>
      <c r="D133" s="372"/>
      <c r="E133" s="373"/>
      <c r="F133" s="560"/>
      <c r="G133" s="373"/>
      <c r="H133" s="1568" t="s">
        <v>92</v>
      </c>
      <c r="I133" s="746"/>
    </row>
    <row r="134" spans="1:9" s="355" customFormat="1" ht="16.5" thickTop="1" thickBot="1" x14ac:dyDescent="0.25">
      <c r="A134" s="572" t="s">
        <v>93</v>
      </c>
      <c r="B134" s="573" t="s">
        <v>94</v>
      </c>
      <c r="C134" s="575" t="s">
        <v>364</v>
      </c>
      <c r="D134" s="639" t="s">
        <v>95</v>
      </c>
      <c r="E134" s="639" t="s">
        <v>328</v>
      </c>
      <c r="F134" s="639" t="s">
        <v>329</v>
      </c>
      <c r="G134" s="639" t="s">
        <v>448</v>
      </c>
      <c r="H134" s="576" t="s">
        <v>449</v>
      </c>
      <c r="I134" s="746"/>
    </row>
    <row r="135" spans="1:9" s="355" customFormat="1" ht="16.5" thickTop="1" thickBot="1" x14ac:dyDescent="0.25">
      <c r="A135" s="511">
        <v>1</v>
      </c>
      <c r="B135" s="512">
        <v>2</v>
      </c>
      <c r="C135" s="512">
        <v>3</v>
      </c>
      <c r="D135" s="512">
        <v>4</v>
      </c>
      <c r="E135" s="512">
        <v>5</v>
      </c>
      <c r="F135" s="499">
        <v>6</v>
      </c>
      <c r="G135" s="499">
        <v>7</v>
      </c>
      <c r="H135" s="577" t="s">
        <v>33</v>
      </c>
      <c r="I135" s="746"/>
    </row>
    <row r="136" spans="1:9" s="355" customFormat="1" ht="16.5" thickTop="1" x14ac:dyDescent="0.25">
      <c r="A136" s="219">
        <v>2212</v>
      </c>
      <c r="B136" s="95">
        <v>5321</v>
      </c>
      <c r="C136" s="925" t="s">
        <v>1111</v>
      </c>
      <c r="D136" s="370" t="s">
        <v>566</v>
      </c>
      <c r="E136" s="362">
        <v>0</v>
      </c>
      <c r="F136" s="308">
        <v>4658</v>
      </c>
      <c r="G136" s="310">
        <v>4582</v>
      </c>
      <c r="H136" s="208">
        <f t="shared" ref="H136:H141" si="15">(G136/F136)*100</f>
        <v>98.368398454272224</v>
      </c>
      <c r="I136" s="746"/>
    </row>
    <row r="137" spans="1:9" s="355" customFormat="1" ht="15.75" x14ac:dyDescent="0.25">
      <c r="A137" s="1650">
        <v>2219</v>
      </c>
      <c r="B137" s="502">
        <v>5321</v>
      </c>
      <c r="C137" s="925" t="s">
        <v>1111</v>
      </c>
      <c r="D137" s="370" t="s">
        <v>566</v>
      </c>
      <c r="E137" s="310">
        <v>0</v>
      </c>
      <c r="F137" s="308">
        <v>1791</v>
      </c>
      <c r="G137" s="310">
        <v>1759</v>
      </c>
      <c r="H137" s="1644">
        <f t="shared" si="15"/>
        <v>98.213288665549968</v>
      </c>
      <c r="I137" s="746"/>
    </row>
    <row r="138" spans="1:9" s="355" customFormat="1" ht="15.75" x14ac:dyDescent="0.25">
      <c r="A138" s="1650">
        <v>3326</v>
      </c>
      <c r="B138" s="502">
        <v>5321</v>
      </c>
      <c r="C138" s="925" t="s">
        <v>1111</v>
      </c>
      <c r="D138" s="800" t="s">
        <v>566</v>
      </c>
      <c r="E138" s="310">
        <v>0</v>
      </c>
      <c r="F138" s="308">
        <v>725</v>
      </c>
      <c r="G138" s="310">
        <v>725</v>
      </c>
      <c r="H138" s="815">
        <f t="shared" si="15"/>
        <v>100</v>
      </c>
      <c r="I138" s="746"/>
    </row>
    <row r="139" spans="1:9" s="355" customFormat="1" ht="15.75" x14ac:dyDescent="0.25">
      <c r="A139" s="1650">
        <v>3412</v>
      </c>
      <c r="B139" s="502">
        <v>5321</v>
      </c>
      <c r="C139" s="925" t="s">
        <v>1111</v>
      </c>
      <c r="D139" s="800" t="s">
        <v>566</v>
      </c>
      <c r="E139" s="310">
        <v>0</v>
      </c>
      <c r="F139" s="308">
        <v>310</v>
      </c>
      <c r="G139" s="310">
        <v>297</v>
      </c>
      <c r="H139" s="815">
        <f t="shared" si="15"/>
        <v>95.806451612903217</v>
      </c>
      <c r="I139" s="746"/>
    </row>
    <row r="140" spans="1:9" s="355" customFormat="1" ht="15.75" x14ac:dyDescent="0.25">
      <c r="A140" s="219">
        <v>3631</v>
      </c>
      <c r="B140" s="95">
        <v>5321</v>
      </c>
      <c r="C140" s="925" t="s">
        <v>1111</v>
      </c>
      <c r="D140" s="800" t="s">
        <v>566</v>
      </c>
      <c r="E140" s="310">
        <v>0</v>
      </c>
      <c r="F140" s="308">
        <v>1190</v>
      </c>
      <c r="G140" s="310">
        <v>1172</v>
      </c>
      <c r="H140" s="208">
        <f t="shared" si="15"/>
        <v>98.487394957983199</v>
      </c>
      <c r="I140" s="746"/>
    </row>
    <row r="141" spans="1:9" s="355" customFormat="1" ht="15.75" x14ac:dyDescent="0.25">
      <c r="A141" s="50">
        <v>3636</v>
      </c>
      <c r="B141" s="19">
        <v>5321</v>
      </c>
      <c r="C141" s="925" t="s">
        <v>1111</v>
      </c>
      <c r="D141" s="800" t="s">
        <v>566</v>
      </c>
      <c r="E141" s="310">
        <v>0</v>
      </c>
      <c r="F141" s="308">
        <v>3488</v>
      </c>
      <c r="G141" s="310">
        <v>3329</v>
      </c>
      <c r="H141" s="208">
        <f t="shared" si="15"/>
        <v>95.441513761467888</v>
      </c>
      <c r="I141" s="746"/>
    </row>
    <row r="142" spans="1:9" s="355" customFormat="1" ht="15.75" x14ac:dyDescent="0.25">
      <c r="A142" s="50">
        <v>3639</v>
      </c>
      <c r="B142" s="19">
        <v>5321</v>
      </c>
      <c r="C142" s="925" t="s">
        <v>1111</v>
      </c>
      <c r="D142" s="800" t="s">
        <v>566</v>
      </c>
      <c r="E142" s="310">
        <v>19500</v>
      </c>
      <c r="F142" s="3003">
        <v>175</v>
      </c>
      <c r="G142" s="310">
        <v>0</v>
      </c>
      <c r="H142" s="208">
        <f t="shared" ref="H142" si="16">(G142/F142)*100</f>
        <v>0</v>
      </c>
      <c r="I142" s="746"/>
    </row>
    <row r="143" spans="1:9" s="355" customFormat="1" ht="15.75" x14ac:dyDescent="0.25">
      <c r="A143" s="34">
        <v>5519</v>
      </c>
      <c r="B143" s="19">
        <v>5321</v>
      </c>
      <c r="C143" s="925" t="s">
        <v>1111</v>
      </c>
      <c r="D143" s="3002" t="s">
        <v>566</v>
      </c>
      <c r="E143" s="310">
        <v>0</v>
      </c>
      <c r="F143" s="3003">
        <v>839</v>
      </c>
      <c r="G143" s="310">
        <v>759</v>
      </c>
      <c r="H143" s="1636">
        <f t="shared" ref="H143:H155" si="17">(G143/F143)*100</f>
        <v>90.464839094159714</v>
      </c>
      <c r="I143" s="746"/>
    </row>
    <row r="144" spans="1:9" s="355" customFormat="1" ht="15.75" x14ac:dyDescent="0.25">
      <c r="A144" s="854">
        <v>2212</v>
      </c>
      <c r="B144" s="263">
        <v>6341</v>
      </c>
      <c r="C144" s="925" t="s">
        <v>1111</v>
      </c>
      <c r="D144" s="800" t="s">
        <v>136</v>
      </c>
      <c r="E144" s="310">
        <v>0</v>
      </c>
      <c r="F144" s="308">
        <v>2096</v>
      </c>
      <c r="G144" s="310">
        <v>1877</v>
      </c>
      <c r="H144" s="199">
        <f t="shared" si="17"/>
        <v>89.551526717557252</v>
      </c>
      <c r="I144" s="746"/>
    </row>
    <row r="145" spans="1:9" s="355" customFormat="1" ht="15.75" x14ac:dyDescent="0.25">
      <c r="A145" s="2323">
        <v>2219</v>
      </c>
      <c r="B145" s="2324">
        <v>6341</v>
      </c>
      <c r="C145" s="925" t="s">
        <v>1111</v>
      </c>
      <c r="D145" s="370" t="s">
        <v>136</v>
      </c>
      <c r="E145" s="310">
        <v>0</v>
      </c>
      <c r="F145" s="308">
        <v>4245</v>
      </c>
      <c r="G145" s="310">
        <v>4200</v>
      </c>
      <c r="H145" s="504">
        <f t="shared" si="17"/>
        <v>98.939929328621915</v>
      </c>
      <c r="I145" s="746"/>
    </row>
    <row r="146" spans="1:9" s="355" customFormat="1" ht="15.75" x14ac:dyDescent="0.25">
      <c r="A146" s="2323">
        <v>2321</v>
      </c>
      <c r="B146" s="2324">
        <v>6341</v>
      </c>
      <c r="C146" s="925" t="s">
        <v>1111</v>
      </c>
      <c r="D146" s="370" t="s">
        <v>136</v>
      </c>
      <c r="E146" s="310">
        <v>0</v>
      </c>
      <c r="F146" s="308">
        <v>300</v>
      </c>
      <c r="G146" s="310">
        <v>300</v>
      </c>
      <c r="H146" s="504">
        <f t="shared" si="17"/>
        <v>100</v>
      </c>
      <c r="I146" s="746"/>
    </row>
    <row r="147" spans="1:9" s="355" customFormat="1" ht="15.75" x14ac:dyDescent="0.25">
      <c r="A147" s="2323">
        <v>3111</v>
      </c>
      <c r="B147" s="2324">
        <v>5321</v>
      </c>
      <c r="C147" s="925" t="s">
        <v>1111</v>
      </c>
      <c r="D147" s="370" t="s">
        <v>566</v>
      </c>
      <c r="E147" s="310">
        <v>0</v>
      </c>
      <c r="F147" s="308">
        <v>598</v>
      </c>
      <c r="G147" s="310">
        <v>598</v>
      </c>
      <c r="H147" s="504">
        <f t="shared" si="17"/>
        <v>100</v>
      </c>
      <c r="I147" s="746"/>
    </row>
    <row r="148" spans="1:9" s="355" customFormat="1" ht="15.75" x14ac:dyDescent="0.25">
      <c r="A148" s="2323">
        <v>3113</v>
      </c>
      <c r="B148" s="2324">
        <v>5321</v>
      </c>
      <c r="C148" s="925" t="s">
        <v>1111</v>
      </c>
      <c r="D148" s="370" t="s">
        <v>566</v>
      </c>
      <c r="E148" s="310">
        <v>0</v>
      </c>
      <c r="F148" s="308">
        <v>1216</v>
      </c>
      <c r="G148" s="310">
        <v>1196</v>
      </c>
      <c r="H148" s="504">
        <f t="shared" si="17"/>
        <v>98.35526315789474</v>
      </c>
      <c r="I148" s="746"/>
    </row>
    <row r="149" spans="1:9" s="355" customFormat="1" ht="15.75" x14ac:dyDescent="0.25">
      <c r="A149" s="2323">
        <v>3319</v>
      </c>
      <c r="B149" s="2324">
        <v>5321</v>
      </c>
      <c r="C149" s="925" t="s">
        <v>1111</v>
      </c>
      <c r="D149" s="370" t="s">
        <v>566</v>
      </c>
      <c r="E149" s="310">
        <v>0</v>
      </c>
      <c r="F149" s="308">
        <v>1400</v>
      </c>
      <c r="G149" s="310">
        <v>1400</v>
      </c>
      <c r="H149" s="504">
        <f t="shared" si="17"/>
        <v>100</v>
      </c>
      <c r="I149" s="746"/>
    </row>
    <row r="150" spans="1:9" s="355" customFormat="1" ht="15.75" x14ac:dyDescent="0.25">
      <c r="A150" s="2323">
        <v>3319</v>
      </c>
      <c r="B150" s="2324">
        <v>6341</v>
      </c>
      <c r="C150" s="925" t="s">
        <v>1111</v>
      </c>
      <c r="D150" s="370" t="s">
        <v>136</v>
      </c>
      <c r="E150" s="310">
        <v>0</v>
      </c>
      <c r="F150" s="308">
        <v>1246</v>
      </c>
      <c r="G150" s="310">
        <v>1246</v>
      </c>
      <c r="H150" s="504">
        <f t="shared" si="17"/>
        <v>100</v>
      </c>
      <c r="I150" s="746"/>
    </row>
    <row r="151" spans="1:9" s="355" customFormat="1" ht="15.75" hidden="1" x14ac:dyDescent="0.25">
      <c r="A151" s="2323">
        <v>3322</v>
      </c>
      <c r="B151" s="2324">
        <v>6341</v>
      </c>
      <c r="C151" s="925" t="s">
        <v>1111</v>
      </c>
      <c r="D151" s="370" t="s">
        <v>136</v>
      </c>
      <c r="E151" s="310"/>
      <c r="F151" s="308"/>
      <c r="G151" s="310"/>
      <c r="H151" s="504" t="e">
        <f t="shared" si="17"/>
        <v>#DIV/0!</v>
      </c>
      <c r="I151" s="746"/>
    </row>
    <row r="152" spans="1:9" s="355" customFormat="1" ht="15.75" x14ac:dyDescent="0.25">
      <c r="A152" s="2323">
        <v>3326</v>
      </c>
      <c r="B152" s="2324">
        <v>6341</v>
      </c>
      <c r="C152" s="925" t="s">
        <v>1111</v>
      </c>
      <c r="D152" s="370" t="s">
        <v>136</v>
      </c>
      <c r="E152" s="310">
        <v>0</v>
      </c>
      <c r="F152" s="308">
        <v>300</v>
      </c>
      <c r="G152" s="310">
        <v>300</v>
      </c>
      <c r="H152" s="504">
        <f t="shared" si="17"/>
        <v>100</v>
      </c>
      <c r="I152" s="746"/>
    </row>
    <row r="153" spans="1:9" s="355" customFormat="1" ht="15.75" x14ac:dyDescent="0.25">
      <c r="A153" s="2323">
        <v>3412</v>
      </c>
      <c r="B153" s="2324">
        <v>6341</v>
      </c>
      <c r="C153" s="925" t="s">
        <v>1111</v>
      </c>
      <c r="D153" s="370" t="s">
        <v>136</v>
      </c>
      <c r="E153" s="310">
        <v>0</v>
      </c>
      <c r="F153" s="308">
        <v>896</v>
      </c>
      <c r="G153" s="310">
        <v>896</v>
      </c>
      <c r="H153" s="504">
        <f t="shared" si="17"/>
        <v>100</v>
      </c>
      <c r="I153" s="746"/>
    </row>
    <row r="154" spans="1:9" s="355" customFormat="1" ht="15.75" hidden="1" x14ac:dyDescent="0.25">
      <c r="A154" s="2323">
        <v>3349</v>
      </c>
      <c r="B154" s="2324">
        <v>6341</v>
      </c>
      <c r="C154" s="925" t="s">
        <v>1111</v>
      </c>
      <c r="D154" s="370" t="s">
        <v>136</v>
      </c>
      <c r="E154" s="310"/>
      <c r="F154" s="308"/>
      <c r="G154" s="310"/>
      <c r="H154" s="504" t="e">
        <f t="shared" si="17"/>
        <v>#DIV/0!</v>
      </c>
      <c r="I154" s="746"/>
    </row>
    <row r="155" spans="1:9" s="355" customFormat="1" ht="15.75" x14ac:dyDescent="0.25">
      <c r="A155" s="2323">
        <v>3631</v>
      </c>
      <c r="B155" s="2324">
        <v>6341</v>
      </c>
      <c r="C155" s="925" t="s">
        <v>1111</v>
      </c>
      <c r="D155" s="370" t="s">
        <v>136</v>
      </c>
      <c r="E155" s="310">
        <v>0</v>
      </c>
      <c r="F155" s="308">
        <v>1740</v>
      </c>
      <c r="G155" s="310">
        <v>1740</v>
      </c>
      <c r="H155" s="504">
        <f t="shared" si="17"/>
        <v>100</v>
      </c>
      <c r="I155" s="746"/>
    </row>
    <row r="156" spans="1:9" s="355" customFormat="1" ht="15.75" x14ac:dyDescent="0.25">
      <c r="A156" s="34">
        <v>3636</v>
      </c>
      <c r="B156" s="825">
        <v>6341</v>
      </c>
      <c r="C156" s="925" t="s">
        <v>1111</v>
      </c>
      <c r="D156" s="800" t="s">
        <v>136</v>
      </c>
      <c r="E156" s="310">
        <v>0</v>
      </c>
      <c r="F156" s="308">
        <v>2262</v>
      </c>
      <c r="G156" s="310">
        <v>2122</v>
      </c>
      <c r="H156" s="804">
        <f t="shared" ref="H156" si="18">(G156/F156)*100</f>
        <v>93.810786914235194</v>
      </c>
      <c r="I156" s="746"/>
    </row>
    <row r="157" spans="1:9" s="355" customFormat="1" ht="16.5" thickBot="1" x14ac:dyDescent="0.3">
      <c r="A157" s="34">
        <v>5519</v>
      </c>
      <c r="B157" s="825">
        <v>6341</v>
      </c>
      <c r="C157" s="925" t="s">
        <v>1111</v>
      </c>
      <c r="D157" s="800" t="s">
        <v>136</v>
      </c>
      <c r="E157" s="426">
        <v>0</v>
      </c>
      <c r="F157" s="308">
        <v>300</v>
      </c>
      <c r="G157" s="310">
        <v>300</v>
      </c>
      <c r="H157" s="804">
        <f>(G157/F157)*100</f>
        <v>100</v>
      </c>
      <c r="I157" s="746"/>
    </row>
    <row r="158" spans="1:9" s="355" customFormat="1" ht="19.5" thickTop="1" thickBot="1" x14ac:dyDescent="0.3">
      <c r="A158" s="578" t="s">
        <v>1178</v>
      </c>
      <c r="B158" s="744"/>
      <c r="C158" s="580"/>
      <c r="D158" s="581"/>
      <c r="E158" s="582">
        <f>SUM(E136:E157)</f>
        <v>19500</v>
      </c>
      <c r="F158" s="582">
        <f>SUM(F136:F157)</f>
        <v>29775</v>
      </c>
      <c r="G158" s="582">
        <f>SUM(G136:G157)</f>
        <v>28798</v>
      </c>
      <c r="H158" s="783">
        <f>(G158/F158)*100</f>
        <v>96.718723761544922</v>
      </c>
      <c r="I158" s="746"/>
    </row>
    <row r="159" spans="1:9" s="355" customFormat="1" ht="18.75" thickTop="1" x14ac:dyDescent="0.25">
      <c r="A159" s="353"/>
      <c r="B159" s="2351"/>
      <c r="C159" s="57"/>
      <c r="D159" s="354"/>
      <c r="E159" s="17"/>
      <c r="F159" s="17"/>
      <c r="G159" s="17"/>
      <c r="H159" s="2352"/>
      <c r="I159" s="746"/>
    </row>
    <row r="160" spans="1:9" s="355" customFormat="1" ht="18" x14ac:dyDescent="0.25">
      <c r="A160" s="353"/>
      <c r="B160" s="2351"/>
      <c r="C160" s="57"/>
      <c r="D160" s="354"/>
      <c r="E160" s="17"/>
      <c r="F160" s="17"/>
      <c r="G160" s="17"/>
      <c r="H160" s="2352"/>
      <c r="I160" s="746"/>
    </row>
    <row r="161" spans="1:9" s="355" customFormat="1" ht="18" x14ac:dyDescent="0.25">
      <c r="A161" s="353"/>
      <c r="B161" s="2351"/>
      <c r="C161" s="57"/>
      <c r="D161" s="354"/>
      <c r="E161" s="17"/>
      <c r="F161" s="17"/>
      <c r="G161" s="17"/>
      <c r="H161" s="2352"/>
      <c r="I161" s="746"/>
    </row>
    <row r="162" spans="1:9" s="355" customFormat="1" ht="18" x14ac:dyDescent="0.25">
      <c r="A162" s="353"/>
      <c r="B162" s="2351"/>
      <c r="C162" s="57"/>
      <c r="D162" s="354"/>
      <c r="E162" s="17"/>
      <c r="F162" s="17"/>
      <c r="G162" s="17"/>
      <c r="H162" s="2352"/>
      <c r="I162" s="746"/>
    </row>
    <row r="163" spans="1:9" s="355" customFormat="1" ht="18" x14ac:dyDescent="0.25">
      <c r="A163" s="353"/>
      <c r="B163" s="2351"/>
      <c r="C163" s="57"/>
      <c r="D163" s="354"/>
      <c r="E163" s="17"/>
      <c r="F163" s="17"/>
      <c r="G163" s="17"/>
      <c r="H163" s="2352"/>
      <c r="I163" s="746"/>
    </row>
    <row r="164" spans="1:9" s="355" customFormat="1" ht="15" x14ac:dyDescent="0.2">
      <c r="A164" s="3182" t="s">
        <v>1179</v>
      </c>
      <c r="B164" s="3182"/>
      <c r="C164" s="3182"/>
      <c r="D164" s="3182"/>
      <c r="E164" s="3182"/>
      <c r="F164" s="3182"/>
      <c r="G164" s="3182"/>
      <c r="H164" s="3182"/>
      <c r="I164" s="746"/>
    </row>
    <row r="165" spans="1:9" s="355" customFormat="1" ht="16.5" thickBot="1" x14ac:dyDescent="0.3">
      <c r="A165" s="33"/>
      <c r="B165" s="570"/>
      <c r="C165" s="571"/>
      <c r="D165" s="372"/>
      <c r="E165" s="373"/>
      <c r="F165" s="560"/>
      <c r="G165" s="373"/>
      <c r="H165" s="1568" t="s">
        <v>92</v>
      </c>
      <c r="I165" s="746"/>
    </row>
    <row r="166" spans="1:9" s="355" customFormat="1" ht="16.5" thickTop="1" thickBot="1" x14ac:dyDescent="0.25">
      <c r="A166" s="572" t="s">
        <v>93</v>
      </c>
      <c r="B166" s="573" t="s">
        <v>94</v>
      </c>
      <c r="C166" s="575" t="s">
        <v>364</v>
      </c>
      <c r="D166" s="639" t="s">
        <v>95</v>
      </c>
      <c r="E166" s="639" t="s">
        <v>328</v>
      </c>
      <c r="F166" s="639" t="s">
        <v>329</v>
      </c>
      <c r="G166" s="639" t="s">
        <v>448</v>
      </c>
      <c r="H166" s="576" t="s">
        <v>449</v>
      </c>
      <c r="I166" s="746"/>
    </row>
    <row r="167" spans="1:9" s="355" customFormat="1" ht="16.5" thickTop="1" thickBot="1" x14ac:dyDescent="0.25">
      <c r="A167" s="511">
        <v>1</v>
      </c>
      <c r="B167" s="512">
        <v>2</v>
      </c>
      <c r="C167" s="512">
        <v>3</v>
      </c>
      <c r="D167" s="512">
        <v>4</v>
      </c>
      <c r="E167" s="512">
        <v>5</v>
      </c>
      <c r="F167" s="499">
        <v>6</v>
      </c>
      <c r="G167" s="499">
        <v>7</v>
      </c>
      <c r="H167" s="577" t="s">
        <v>33</v>
      </c>
      <c r="I167" s="746"/>
    </row>
    <row r="168" spans="1:9" s="355" customFormat="1" ht="16.5" thickTop="1" x14ac:dyDescent="0.25">
      <c r="A168" s="50">
        <v>3639</v>
      </c>
      <c r="B168" s="19">
        <v>5321</v>
      </c>
      <c r="C168" s="925" t="s">
        <v>1114</v>
      </c>
      <c r="D168" s="845" t="s">
        <v>566</v>
      </c>
      <c r="E168" s="308">
        <v>500</v>
      </c>
      <c r="F168" s="310">
        <v>0</v>
      </c>
      <c r="G168" s="310">
        <v>0</v>
      </c>
      <c r="H168" s="208">
        <v>0</v>
      </c>
      <c r="I168" s="746"/>
    </row>
    <row r="169" spans="1:9" s="355" customFormat="1" ht="16.5" thickBot="1" x14ac:dyDescent="0.3">
      <c r="A169" s="34">
        <v>3636</v>
      </c>
      <c r="B169" s="825">
        <v>6341</v>
      </c>
      <c r="C169" s="925" t="s">
        <v>1114</v>
      </c>
      <c r="D169" s="800" t="s">
        <v>136</v>
      </c>
      <c r="E169" s="426">
        <v>0</v>
      </c>
      <c r="F169" s="308">
        <v>547</v>
      </c>
      <c r="G169" s="310">
        <v>292</v>
      </c>
      <c r="H169" s="804">
        <f t="shared" ref="H169" si="19">(G169/F169)*100</f>
        <v>53.382084095063988</v>
      </c>
      <c r="I169" s="746"/>
    </row>
    <row r="170" spans="1:9" s="355" customFormat="1" ht="19.5" thickTop="1" thickBot="1" x14ac:dyDescent="0.3">
      <c r="A170" s="578" t="s">
        <v>1180</v>
      </c>
      <c r="B170" s="744"/>
      <c r="C170" s="580"/>
      <c r="D170" s="581"/>
      <c r="E170" s="582">
        <f>SUM(E168:E169)</f>
        <v>500</v>
      </c>
      <c r="F170" s="582">
        <f>SUM(F168:F169)</f>
        <v>547</v>
      </c>
      <c r="G170" s="582">
        <f>SUM(G168:G169)</f>
        <v>292</v>
      </c>
      <c r="H170" s="783">
        <f>(G170/F170)*100</f>
        <v>53.382084095063988</v>
      </c>
      <c r="I170" s="746"/>
    </row>
    <row r="171" spans="1:9" s="355" customFormat="1" ht="18.75" thickTop="1" x14ac:dyDescent="0.25">
      <c r="A171" s="353"/>
      <c r="B171" s="2351"/>
      <c r="C171" s="57"/>
      <c r="D171" s="354"/>
      <c r="E171" s="17"/>
      <c r="F171" s="17"/>
      <c r="G171" s="17"/>
      <c r="H171" s="2352"/>
      <c r="I171" s="746"/>
    </row>
    <row r="172" spans="1:9" s="355" customFormat="1" ht="15" x14ac:dyDescent="0.2">
      <c r="A172" s="3182" t="s">
        <v>1181</v>
      </c>
      <c r="B172" s="3182"/>
      <c r="C172" s="3182"/>
      <c r="D172" s="3182"/>
      <c r="E172" s="3182"/>
      <c r="F172" s="3182"/>
      <c r="G172" s="3182"/>
      <c r="H172" s="3182"/>
      <c r="I172" s="746"/>
    </row>
    <row r="173" spans="1:9" s="355" customFormat="1" ht="16.5" thickBot="1" x14ac:dyDescent="0.3">
      <c r="A173" s="33"/>
      <c r="B173" s="570"/>
      <c r="C173" s="571"/>
      <c r="D173" s="372"/>
      <c r="E173" s="373"/>
      <c r="F173" s="560"/>
      <c r="G173" s="373"/>
      <c r="H173" s="1568" t="s">
        <v>92</v>
      </c>
      <c r="I173" s="746"/>
    </row>
    <row r="174" spans="1:9" s="355" customFormat="1" ht="16.5" thickTop="1" thickBot="1" x14ac:dyDescent="0.25">
      <c r="A174" s="572" t="s">
        <v>93</v>
      </c>
      <c r="B174" s="573" t="s">
        <v>94</v>
      </c>
      <c r="C174" s="575" t="s">
        <v>364</v>
      </c>
      <c r="D174" s="639" t="s">
        <v>95</v>
      </c>
      <c r="E174" s="639" t="s">
        <v>328</v>
      </c>
      <c r="F174" s="639" t="s">
        <v>329</v>
      </c>
      <c r="G174" s="639" t="s">
        <v>448</v>
      </c>
      <c r="H174" s="576" t="s">
        <v>449</v>
      </c>
      <c r="I174" s="746"/>
    </row>
    <row r="175" spans="1:9" s="355" customFormat="1" ht="16.5" thickTop="1" thickBot="1" x14ac:dyDescent="0.25">
      <c r="A175" s="511">
        <v>1</v>
      </c>
      <c r="B175" s="512">
        <v>2</v>
      </c>
      <c r="C175" s="512">
        <v>3</v>
      </c>
      <c r="D175" s="512">
        <v>4</v>
      </c>
      <c r="E175" s="512">
        <v>5</v>
      </c>
      <c r="F175" s="499">
        <v>6</v>
      </c>
      <c r="G175" s="499">
        <v>7</v>
      </c>
      <c r="H175" s="577" t="s">
        <v>33</v>
      </c>
      <c r="I175" s="746"/>
    </row>
    <row r="176" spans="1:9" s="355" customFormat="1" ht="17.25" thickTop="1" thickBot="1" x14ac:dyDescent="0.3">
      <c r="A176" s="219">
        <v>2125</v>
      </c>
      <c r="B176" s="95">
        <v>5213</v>
      </c>
      <c r="C176" s="925" t="s">
        <v>1106</v>
      </c>
      <c r="D176" s="602" t="s">
        <v>1609</v>
      </c>
      <c r="E176" s="308">
        <v>0</v>
      </c>
      <c r="F176" s="310">
        <v>120</v>
      </c>
      <c r="G176" s="310">
        <v>120</v>
      </c>
      <c r="H176" s="208">
        <f>(G176/F176)*100</f>
        <v>100</v>
      </c>
      <c r="I176" s="746"/>
    </row>
    <row r="177" spans="1:9" s="355" customFormat="1" ht="19.5" thickTop="1" thickBot="1" x14ac:dyDescent="0.3">
      <c r="A177" s="578" t="s">
        <v>1182</v>
      </c>
      <c r="B177" s="744"/>
      <c r="C177" s="580"/>
      <c r="D177" s="581"/>
      <c r="E177" s="582">
        <f>SUM(E176:E176)</f>
        <v>0</v>
      </c>
      <c r="F177" s="582">
        <f>SUM(F176:F176)</f>
        <v>120</v>
      </c>
      <c r="G177" s="582">
        <f>SUM(G176:G176)</f>
        <v>120</v>
      </c>
      <c r="H177" s="783">
        <f>(G177/F177)*100</f>
        <v>100</v>
      </c>
      <c r="I177" s="746"/>
    </row>
    <row r="178" spans="1:9" s="355" customFormat="1" ht="18.75" thickTop="1" x14ac:dyDescent="0.25">
      <c r="A178" s="353"/>
      <c r="B178" s="2351"/>
      <c r="C178" s="57"/>
      <c r="D178" s="354"/>
      <c r="E178" s="17"/>
      <c r="F178" s="17"/>
      <c r="G178" s="17"/>
      <c r="H178" s="2352"/>
      <c r="I178" s="746"/>
    </row>
    <row r="179" spans="1:9" s="355" customFormat="1" ht="15" hidden="1" x14ac:dyDescent="0.2">
      <c r="A179" s="3182" t="s">
        <v>1183</v>
      </c>
      <c r="B179" s="3182"/>
      <c r="C179" s="3182"/>
      <c r="D179" s="3182"/>
      <c r="E179" s="3182"/>
      <c r="F179" s="3182"/>
      <c r="G179" s="3182"/>
      <c r="H179" s="3182"/>
      <c r="I179" s="746"/>
    </row>
    <row r="180" spans="1:9" s="355" customFormat="1" ht="16.5" hidden="1" thickBot="1" x14ac:dyDescent="0.3">
      <c r="A180" s="33"/>
      <c r="B180" s="570"/>
      <c r="C180" s="571"/>
      <c r="D180" s="372"/>
      <c r="E180" s="373"/>
      <c r="F180" s="560"/>
      <c r="G180" s="373"/>
      <c r="H180" s="1568" t="s">
        <v>92</v>
      </c>
      <c r="I180" s="746"/>
    </row>
    <row r="181" spans="1:9" s="355" customFormat="1" ht="16.5" hidden="1" thickTop="1" thickBot="1" x14ac:dyDescent="0.25">
      <c r="A181" s="572" t="s">
        <v>93</v>
      </c>
      <c r="B181" s="573" t="s">
        <v>94</v>
      </c>
      <c r="C181" s="575" t="s">
        <v>364</v>
      </c>
      <c r="D181" s="639" t="s">
        <v>95</v>
      </c>
      <c r="E181" s="639" t="s">
        <v>328</v>
      </c>
      <c r="F181" s="639" t="s">
        <v>329</v>
      </c>
      <c r="G181" s="639" t="s">
        <v>448</v>
      </c>
      <c r="H181" s="576" t="s">
        <v>449</v>
      </c>
      <c r="I181" s="746"/>
    </row>
    <row r="182" spans="1:9" s="355" customFormat="1" ht="16.5" hidden="1" thickTop="1" thickBot="1" x14ac:dyDescent="0.25">
      <c r="A182" s="511">
        <v>1</v>
      </c>
      <c r="B182" s="512">
        <v>2</v>
      </c>
      <c r="C182" s="512">
        <v>3</v>
      </c>
      <c r="D182" s="512">
        <v>4</v>
      </c>
      <c r="E182" s="512">
        <v>5</v>
      </c>
      <c r="F182" s="499">
        <v>6</v>
      </c>
      <c r="G182" s="499">
        <v>7</v>
      </c>
      <c r="H182" s="577" t="s">
        <v>33</v>
      </c>
      <c r="I182" s="746"/>
    </row>
    <row r="183" spans="1:9" s="355" customFormat="1" ht="17.25" hidden="1" thickTop="1" thickBot="1" x14ac:dyDescent="0.3">
      <c r="A183" s="219">
        <v>2125</v>
      </c>
      <c r="B183" s="95">
        <v>5213</v>
      </c>
      <c r="C183" s="925" t="s">
        <v>1107</v>
      </c>
      <c r="D183" s="602" t="s">
        <v>1609</v>
      </c>
      <c r="E183" s="60"/>
      <c r="F183" s="60"/>
      <c r="G183" s="60"/>
      <c r="H183" s="815" t="e">
        <f>(G183/F183)*100</f>
        <v>#DIV/0!</v>
      </c>
      <c r="I183" s="746"/>
    </row>
    <row r="184" spans="1:9" s="355" customFormat="1" ht="19.5" hidden="1" thickTop="1" thickBot="1" x14ac:dyDescent="0.3">
      <c r="A184" s="578" t="s">
        <v>1184</v>
      </c>
      <c r="B184" s="744"/>
      <c r="C184" s="580"/>
      <c r="D184" s="581"/>
      <c r="E184" s="582">
        <f>E183</f>
        <v>0</v>
      </c>
      <c r="F184" s="582">
        <f t="shared" ref="F184:G184" si="20">F183</f>
        <v>0</v>
      </c>
      <c r="G184" s="582">
        <f t="shared" si="20"/>
        <v>0</v>
      </c>
      <c r="H184" s="783" t="e">
        <f>(G184/F184)*100</f>
        <v>#DIV/0!</v>
      </c>
      <c r="I184" s="746"/>
    </row>
    <row r="185" spans="1:9" s="355" customFormat="1" ht="18.75" hidden="1" thickTop="1" x14ac:dyDescent="0.25">
      <c r="A185" s="353"/>
      <c r="B185" s="2351"/>
      <c r="C185" s="57"/>
      <c r="D185" s="354"/>
      <c r="E185" s="17"/>
      <c r="F185" s="17"/>
      <c r="G185" s="17"/>
      <c r="H185" s="2352"/>
      <c r="I185" s="746"/>
    </row>
    <row r="186" spans="1:9" s="355" customFormat="1" ht="15" x14ac:dyDescent="0.2">
      <c r="A186" s="3182" t="s">
        <v>1185</v>
      </c>
      <c r="B186" s="3182"/>
      <c r="C186" s="3182"/>
      <c r="D186" s="3182"/>
      <c r="E186" s="3182"/>
      <c r="F186" s="3182"/>
      <c r="G186" s="3182"/>
      <c r="H186" s="3182"/>
      <c r="I186" s="746"/>
    </row>
    <row r="187" spans="1:9" s="355" customFormat="1" ht="16.5" thickBot="1" x14ac:dyDescent="0.3">
      <c r="A187" s="33"/>
      <c r="B187" s="570"/>
      <c r="C187" s="571"/>
      <c r="D187" s="372"/>
      <c r="E187" s="373"/>
      <c r="F187" s="560"/>
      <c r="G187" s="373"/>
      <c r="H187" s="1568" t="s">
        <v>92</v>
      </c>
      <c r="I187" s="746"/>
    </row>
    <row r="188" spans="1:9" s="355" customFormat="1" ht="16.5" thickTop="1" thickBot="1" x14ac:dyDescent="0.25">
      <c r="A188" s="572" t="s">
        <v>93</v>
      </c>
      <c r="B188" s="573" t="s">
        <v>94</v>
      </c>
      <c r="C188" s="575" t="s">
        <v>364</v>
      </c>
      <c r="D188" s="639" t="s">
        <v>95</v>
      </c>
      <c r="E188" s="639" t="s">
        <v>328</v>
      </c>
      <c r="F188" s="639" t="s">
        <v>329</v>
      </c>
      <c r="G188" s="639" t="s">
        <v>448</v>
      </c>
      <c r="H188" s="576" t="s">
        <v>449</v>
      </c>
      <c r="I188" s="746"/>
    </row>
    <row r="189" spans="1:9" s="355" customFormat="1" ht="16.5" thickTop="1" thickBot="1" x14ac:dyDescent="0.25">
      <c r="A189" s="511">
        <v>1</v>
      </c>
      <c r="B189" s="512">
        <v>2</v>
      </c>
      <c r="C189" s="512">
        <v>3</v>
      </c>
      <c r="D189" s="512">
        <v>4</v>
      </c>
      <c r="E189" s="512">
        <v>5</v>
      </c>
      <c r="F189" s="499">
        <v>6</v>
      </c>
      <c r="G189" s="499">
        <v>7</v>
      </c>
      <c r="H189" s="577" t="s">
        <v>33</v>
      </c>
      <c r="I189" s="746"/>
    </row>
    <row r="190" spans="1:9" s="355" customFormat="1" ht="16.5" thickTop="1" x14ac:dyDescent="0.25">
      <c r="A190" s="1650">
        <v>3319</v>
      </c>
      <c r="B190" s="502">
        <v>5222</v>
      </c>
      <c r="C190" s="925" t="s">
        <v>898</v>
      </c>
      <c r="D190" s="1653" t="s">
        <v>800</v>
      </c>
      <c r="E190" s="310">
        <v>10500</v>
      </c>
      <c r="F190" s="308">
        <v>30</v>
      </c>
      <c r="G190" s="310">
        <v>0</v>
      </c>
      <c r="H190" s="1644">
        <f t="shared" ref="H190:H197" si="21">(G190/F190)*100</f>
        <v>0</v>
      </c>
      <c r="I190" s="746"/>
    </row>
    <row r="191" spans="1:9" s="355" customFormat="1" ht="15.75" x14ac:dyDescent="0.25">
      <c r="A191" s="1650">
        <v>3322</v>
      </c>
      <c r="B191" s="502">
        <v>5213</v>
      </c>
      <c r="C191" s="925" t="s">
        <v>898</v>
      </c>
      <c r="D191" s="602" t="s">
        <v>1609</v>
      </c>
      <c r="E191" s="310">
        <v>0</v>
      </c>
      <c r="F191" s="308">
        <v>700</v>
      </c>
      <c r="G191" s="310">
        <v>700</v>
      </c>
      <c r="H191" s="1644">
        <f t="shared" si="21"/>
        <v>100</v>
      </c>
      <c r="I191" s="746"/>
    </row>
    <row r="192" spans="1:9" s="355" customFormat="1" ht="15.75" x14ac:dyDescent="0.25">
      <c r="A192" s="1650">
        <v>3322</v>
      </c>
      <c r="B192" s="502">
        <v>5222</v>
      </c>
      <c r="C192" s="925" t="s">
        <v>898</v>
      </c>
      <c r="D192" s="853" t="s">
        <v>800</v>
      </c>
      <c r="E192" s="310">
        <v>0</v>
      </c>
      <c r="F192" s="308">
        <v>300</v>
      </c>
      <c r="G192" s="310">
        <v>300</v>
      </c>
      <c r="H192" s="1644">
        <f t="shared" si="21"/>
        <v>100</v>
      </c>
      <c r="I192" s="746"/>
    </row>
    <row r="193" spans="1:14" s="355" customFormat="1" ht="15.75" x14ac:dyDescent="0.25">
      <c r="A193" s="1650">
        <v>3322</v>
      </c>
      <c r="B193" s="502">
        <v>5223</v>
      </c>
      <c r="C193" s="925" t="s">
        <v>898</v>
      </c>
      <c r="D193" s="304" t="s">
        <v>1246</v>
      </c>
      <c r="E193" s="310">
        <v>0</v>
      </c>
      <c r="F193" s="308">
        <v>5100</v>
      </c>
      <c r="G193" s="310">
        <v>5100</v>
      </c>
      <c r="H193" s="1644">
        <f t="shared" si="21"/>
        <v>100</v>
      </c>
      <c r="I193" s="746"/>
    </row>
    <row r="194" spans="1:14" s="355" customFormat="1" ht="15.75" hidden="1" x14ac:dyDescent="0.25">
      <c r="A194" s="1650">
        <v>3322</v>
      </c>
      <c r="B194" s="502">
        <v>5225</v>
      </c>
      <c r="C194" s="925" t="s">
        <v>898</v>
      </c>
      <c r="D194" s="1198" t="s">
        <v>1125</v>
      </c>
      <c r="E194" s="310"/>
      <c r="F194" s="308"/>
      <c r="G194" s="310"/>
      <c r="H194" s="1644" t="e">
        <f t="shared" si="21"/>
        <v>#DIV/0!</v>
      </c>
      <c r="I194" s="746"/>
    </row>
    <row r="195" spans="1:14" s="355" customFormat="1" ht="15.75" x14ac:dyDescent="0.25">
      <c r="A195" s="219">
        <v>3322</v>
      </c>
      <c r="B195" s="95">
        <v>5321</v>
      </c>
      <c r="C195" s="925" t="s">
        <v>898</v>
      </c>
      <c r="D195" s="845" t="s">
        <v>566</v>
      </c>
      <c r="E195" s="310">
        <v>0</v>
      </c>
      <c r="F195" s="308">
        <v>3930</v>
      </c>
      <c r="G195" s="310">
        <v>3530</v>
      </c>
      <c r="H195" s="1644">
        <f t="shared" si="21"/>
        <v>89.821882951653947</v>
      </c>
      <c r="I195" s="746"/>
    </row>
    <row r="196" spans="1:14" s="355" customFormat="1" ht="16.5" thickBot="1" x14ac:dyDescent="0.3">
      <c r="A196" s="1650">
        <v>3322</v>
      </c>
      <c r="B196" s="502">
        <v>5493</v>
      </c>
      <c r="C196" s="925" t="s">
        <v>898</v>
      </c>
      <c r="D196" s="304" t="s">
        <v>1629</v>
      </c>
      <c r="E196" s="310">
        <v>0</v>
      </c>
      <c r="F196" s="308">
        <v>550</v>
      </c>
      <c r="G196" s="310">
        <v>525</v>
      </c>
      <c r="H196" s="1644">
        <f t="shared" si="21"/>
        <v>95.454545454545453</v>
      </c>
      <c r="I196" s="746"/>
    </row>
    <row r="197" spans="1:14" s="355" customFormat="1" ht="19.5" thickTop="1" thickBot="1" x14ac:dyDescent="0.3">
      <c r="A197" s="578" t="s">
        <v>1186</v>
      </c>
      <c r="B197" s="744"/>
      <c r="C197" s="580"/>
      <c r="D197" s="581"/>
      <c r="E197" s="582">
        <f>SUM(E190:E196)</f>
        <v>10500</v>
      </c>
      <c r="F197" s="582">
        <f t="shared" ref="F197:G197" si="22">SUM(F190:F196)</f>
        <v>10610</v>
      </c>
      <c r="G197" s="582">
        <f t="shared" si="22"/>
        <v>10155</v>
      </c>
      <c r="H197" s="783">
        <f t="shared" si="21"/>
        <v>95.711592836946281</v>
      </c>
      <c r="I197" s="746"/>
    </row>
    <row r="198" spans="1:14" s="355" customFormat="1" ht="18.75" thickTop="1" x14ac:dyDescent="0.25">
      <c r="A198" s="353"/>
      <c r="B198" s="2351"/>
      <c r="C198" s="57"/>
      <c r="D198" s="354"/>
      <c r="E198" s="17"/>
      <c r="F198" s="17"/>
      <c r="G198" s="17"/>
      <c r="H198" s="2352"/>
      <c r="I198" s="746"/>
    </row>
    <row r="199" spans="1:14" s="355" customFormat="1" ht="15" x14ac:dyDescent="0.2">
      <c r="A199" s="3182" t="s">
        <v>1187</v>
      </c>
      <c r="B199" s="3182"/>
      <c r="C199" s="3182"/>
      <c r="D199" s="3182"/>
      <c r="E199" s="3182"/>
      <c r="F199" s="3182"/>
      <c r="G199" s="3182"/>
      <c r="H199" s="3182"/>
      <c r="I199" s="746"/>
    </row>
    <row r="200" spans="1:14" s="355" customFormat="1" ht="16.5" thickBot="1" x14ac:dyDescent="0.3">
      <c r="A200" s="33"/>
      <c r="B200" s="570"/>
      <c r="C200" s="571"/>
      <c r="D200" s="372"/>
      <c r="E200" s="373"/>
      <c r="F200" s="560"/>
      <c r="G200" s="373"/>
      <c r="H200" s="1568" t="s">
        <v>92</v>
      </c>
      <c r="I200" s="746"/>
    </row>
    <row r="201" spans="1:14" s="355" customFormat="1" ht="16.5" thickTop="1" thickBot="1" x14ac:dyDescent="0.25">
      <c r="A201" s="572" t="s">
        <v>93</v>
      </c>
      <c r="B201" s="573" t="s">
        <v>94</v>
      </c>
      <c r="C201" s="575" t="s">
        <v>364</v>
      </c>
      <c r="D201" s="639" t="s">
        <v>95</v>
      </c>
      <c r="E201" s="639" t="s">
        <v>328</v>
      </c>
      <c r="F201" s="639" t="s">
        <v>329</v>
      </c>
      <c r="G201" s="639" t="s">
        <v>448</v>
      </c>
      <c r="H201" s="576" t="s">
        <v>449</v>
      </c>
      <c r="I201" s="746"/>
    </row>
    <row r="202" spans="1:14" s="355" customFormat="1" ht="16.5" thickTop="1" thickBot="1" x14ac:dyDescent="0.25">
      <c r="A202" s="511">
        <v>1</v>
      </c>
      <c r="B202" s="512">
        <v>2</v>
      </c>
      <c r="C202" s="512">
        <v>3</v>
      </c>
      <c r="D202" s="512">
        <v>4</v>
      </c>
      <c r="E202" s="512">
        <v>5</v>
      </c>
      <c r="F202" s="499">
        <v>6</v>
      </c>
      <c r="G202" s="499">
        <v>7</v>
      </c>
      <c r="H202" s="577" t="s">
        <v>33</v>
      </c>
      <c r="I202" s="746"/>
    </row>
    <row r="203" spans="1:14" s="355" customFormat="1" ht="16.5" thickTop="1" x14ac:dyDescent="0.25">
      <c r="A203" s="1650">
        <v>3319</v>
      </c>
      <c r="B203" s="502">
        <v>5222</v>
      </c>
      <c r="C203" s="925" t="s">
        <v>992</v>
      </c>
      <c r="D203" s="853" t="s">
        <v>800</v>
      </c>
      <c r="E203" s="310">
        <v>1500</v>
      </c>
      <c r="F203" s="308">
        <v>0</v>
      </c>
      <c r="G203" s="362">
        <v>0</v>
      </c>
      <c r="H203" s="1644">
        <v>0</v>
      </c>
      <c r="I203" s="746"/>
    </row>
    <row r="204" spans="1:14" s="355" customFormat="1" ht="15.75" x14ac:dyDescent="0.25">
      <c r="A204" s="1650">
        <v>3322</v>
      </c>
      <c r="B204" s="502">
        <v>5222</v>
      </c>
      <c r="C204" s="925" t="s">
        <v>992</v>
      </c>
      <c r="D204" s="853" t="s">
        <v>800</v>
      </c>
      <c r="E204" s="310">
        <v>0</v>
      </c>
      <c r="F204" s="308">
        <v>48</v>
      </c>
      <c r="G204" s="310">
        <v>48</v>
      </c>
      <c r="H204" s="1644">
        <f t="shared" ref="H204:H208" si="23">(G204/F204)*100</f>
        <v>100</v>
      </c>
      <c r="I204" s="746"/>
    </row>
    <row r="205" spans="1:14" s="355" customFormat="1" ht="15.75" x14ac:dyDescent="0.25">
      <c r="A205" s="1650">
        <v>3322</v>
      </c>
      <c r="B205" s="502">
        <v>5223</v>
      </c>
      <c r="C205" s="925" t="s">
        <v>992</v>
      </c>
      <c r="D205" s="304" t="s">
        <v>1246</v>
      </c>
      <c r="E205" s="310">
        <v>0</v>
      </c>
      <c r="F205" s="308">
        <v>50</v>
      </c>
      <c r="G205" s="310">
        <v>50</v>
      </c>
      <c r="H205" s="1644">
        <f t="shared" si="23"/>
        <v>100</v>
      </c>
      <c r="I205" s="746"/>
    </row>
    <row r="206" spans="1:14" s="355" customFormat="1" ht="16.5" thickBot="1" x14ac:dyDescent="0.3">
      <c r="A206" s="219">
        <v>3322</v>
      </c>
      <c r="B206" s="95">
        <v>5321</v>
      </c>
      <c r="C206" s="925" t="s">
        <v>992</v>
      </c>
      <c r="D206" s="845" t="s">
        <v>566</v>
      </c>
      <c r="E206" s="310">
        <v>0</v>
      </c>
      <c r="F206" s="308">
        <v>1292</v>
      </c>
      <c r="G206" s="310">
        <v>1198</v>
      </c>
      <c r="H206" s="1644">
        <f t="shared" si="23"/>
        <v>92.724458204334368</v>
      </c>
      <c r="I206" s="746"/>
    </row>
    <row r="207" spans="1:14" s="355" customFormat="1" ht="16.5" hidden="1" thickBot="1" x14ac:dyDescent="0.3">
      <c r="A207" s="1650">
        <v>3322</v>
      </c>
      <c r="B207" s="502">
        <v>5493</v>
      </c>
      <c r="C207" s="925" t="s">
        <v>992</v>
      </c>
      <c r="D207" s="304" t="s">
        <v>1629</v>
      </c>
      <c r="E207" s="123"/>
      <c r="F207" s="308"/>
      <c r="G207" s="310"/>
      <c r="H207" s="815" t="e">
        <f t="shared" si="23"/>
        <v>#DIV/0!</v>
      </c>
      <c r="I207" s="746"/>
    </row>
    <row r="208" spans="1:14" s="355" customFormat="1" ht="19.5" thickTop="1" thickBot="1" x14ac:dyDescent="0.3">
      <c r="A208" s="578" t="s">
        <v>1188</v>
      </c>
      <c r="B208" s="744"/>
      <c r="C208" s="580"/>
      <c r="D208" s="581"/>
      <c r="E208" s="582">
        <f>SUM(E203:E207)</f>
        <v>1500</v>
      </c>
      <c r="F208" s="582">
        <f t="shared" ref="F208:G208" si="24">SUM(F203:F207)</f>
        <v>1390</v>
      </c>
      <c r="G208" s="582">
        <f t="shared" si="24"/>
        <v>1296</v>
      </c>
      <c r="H208" s="783">
        <f t="shared" si="23"/>
        <v>93.237410071942449</v>
      </c>
      <c r="I208" s="746"/>
      <c r="J208" s="372" t="s">
        <v>1512</v>
      </c>
      <c r="K208" s="373">
        <f>E62+E63+E64+E65+E66+E69+E70+E71+E79+E86+E87+E88+E95+E96+E97+E98+E105+E106+E107+E108+E109+E116+E117+E118+E125+E126+E127+E128+E129+E136+E137+E138+E139+E140+E141+E142+E143+E147+E148+E149+E168+E176+E183+E190+E191+E192+E193+E194+E195+E196+E203+E204+E205+E206+E207</f>
        <v>33600</v>
      </c>
      <c r="L208" s="373">
        <f t="shared" ref="L208:M208" si="25">F62+F63+F64+F65+F66+F69+F70+F71+F79+F86+F87+F88+F95+F96+F97+F98+F105+F106+F107+F108+F109+F116+F117+F118+F125+F126+F127+F128+F129+F136+F137+F138+F139+F140+F141+F142+F143+F147+F148+F149+F168+F176+F183+F190+F191+F192+F193+F194+F195+F196+F203+F204+F205+F206+F207</f>
        <v>32606</v>
      </c>
      <c r="M208" s="373">
        <f t="shared" si="25"/>
        <v>31484</v>
      </c>
      <c r="N208" s="373"/>
    </row>
    <row r="209" spans="1:15" s="355" customFormat="1" ht="19.5" thickTop="1" thickBot="1" x14ac:dyDescent="0.3">
      <c r="A209" s="353"/>
      <c r="B209" s="2351"/>
      <c r="C209" s="57"/>
      <c r="D209" s="354"/>
      <c r="E209" s="17"/>
      <c r="F209" s="17"/>
      <c r="G209" s="17"/>
      <c r="H209" s="2352"/>
      <c r="I209" s="746"/>
      <c r="J209" s="372" t="s">
        <v>1511</v>
      </c>
      <c r="K209" s="373">
        <f>E68+E67+E72+E144+E145+E146+E150+E151+E152+E153+E154+E155+E156+E157+E169</f>
        <v>0</v>
      </c>
      <c r="L209" s="373">
        <f t="shared" ref="L209:M209" si="26">F68+F67+F72+F144+F145+F146+F150+F151+F152+F153+F154+F155+F156+F157+F169</f>
        <v>15237</v>
      </c>
      <c r="M209" s="373">
        <f t="shared" si="26"/>
        <v>14578</v>
      </c>
    </row>
    <row r="210" spans="1:15" s="355" customFormat="1" ht="23.25" customHeight="1" thickTop="1" thickBot="1" x14ac:dyDescent="0.3">
      <c r="A210" s="578" t="s">
        <v>1152</v>
      </c>
      <c r="B210" s="744"/>
      <c r="C210" s="580"/>
      <c r="D210" s="581"/>
      <c r="E210" s="582">
        <f>E208+E197+E184+E177+E170+E158+E130+E119+E110+E99+E89+E80+E73</f>
        <v>33600</v>
      </c>
      <c r="F210" s="582">
        <f>F208+F197+F184+F177+F170+F158+F130+F119+F110+F99+F89+F80+F73</f>
        <v>47843</v>
      </c>
      <c r="G210" s="582">
        <f t="shared" ref="G210" si="27">G208+G197+G184+G177+G170+G158+G130+G119+G110+G99+G89+G80+G73</f>
        <v>46062</v>
      </c>
      <c r="H210" s="783">
        <f>(G210/F210)*100</f>
        <v>96.277407353217811</v>
      </c>
      <c r="I210" s="746"/>
      <c r="J210" s="372"/>
      <c r="K210" s="526">
        <f>SUM(K208:K209)</f>
        <v>33600</v>
      </c>
      <c r="L210" s="526">
        <f t="shared" ref="L210:M210" si="28">SUM(L208:L209)</f>
        <v>47843</v>
      </c>
      <c r="M210" s="526">
        <f t="shared" si="28"/>
        <v>46062</v>
      </c>
    </row>
    <row r="211" spans="1:15" s="355" customFormat="1" ht="18.75" thickTop="1" x14ac:dyDescent="0.25">
      <c r="A211" s="353"/>
      <c r="B211" s="2351"/>
      <c r="C211" s="57"/>
      <c r="D211" s="354"/>
      <c r="E211" s="17"/>
      <c r="F211" s="17"/>
      <c r="G211" s="17"/>
      <c r="H211" s="2352"/>
      <c r="I211" s="746"/>
    </row>
    <row r="212" spans="1:15" s="355" customFormat="1" ht="18" x14ac:dyDescent="0.25">
      <c r="A212" s="353"/>
      <c r="B212" s="2351"/>
      <c r="C212" s="57"/>
      <c r="D212" s="354"/>
      <c r="E212" s="17"/>
      <c r="F212" s="17"/>
      <c r="G212" s="17"/>
      <c r="H212" s="2352"/>
      <c r="I212" s="746"/>
    </row>
    <row r="213" spans="1:15" x14ac:dyDescent="0.2">
      <c r="A213" s="570"/>
      <c r="I213" s="749"/>
      <c r="J213" s="491"/>
    </row>
    <row r="214" spans="1:15" x14ac:dyDescent="0.2">
      <c r="A214" s="570"/>
      <c r="I214" s="749"/>
      <c r="J214" s="491"/>
    </row>
    <row r="215" spans="1:15" s="597" customFormat="1" ht="16.5" x14ac:dyDescent="0.25">
      <c r="A215" s="356" t="s">
        <v>308</v>
      </c>
      <c r="B215" s="357"/>
      <c r="C215" s="358"/>
      <c r="D215" s="358"/>
      <c r="E215" s="734">
        <f>E216+E217+E218+E219</f>
        <v>12641</v>
      </c>
      <c r="F215" s="734">
        <f>F216+F217+F218+F219</f>
        <v>12638</v>
      </c>
      <c r="G215" s="734">
        <f>G216+G217+G218+G219</f>
        <v>9517</v>
      </c>
      <c r="H215" s="300">
        <f>G215/F215*100</f>
        <v>75.304636809621769</v>
      </c>
      <c r="J215" s="1291">
        <f>SUM(J216:J219)</f>
        <v>12641000</v>
      </c>
      <c r="K215" s="1291">
        <f t="shared" ref="K215:L215" si="29">SUM(K216:K219)</f>
        <v>12637648</v>
      </c>
      <c r="L215" s="1291">
        <f t="shared" si="29"/>
        <v>9517321.2599999998</v>
      </c>
    </row>
    <row r="216" spans="1:15" s="860" customFormat="1" ht="15" x14ac:dyDescent="0.2">
      <c r="A216" s="507" t="s">
        <v>147</v>
      </c>
      <c r="B216" s="528"/>
      <c r="C216" s="529"/>
      <c r="D216" s="529"/>
      <c r="E216" s="735">
        <f>E45</f>
        <v>11097</v>
      </c>
      <c r="F216" s="735">
        <f>F45</f>
        <v>11094</v>
      </c>
      <c r="G216" s="735">
        <f>G45</f>
        <v>7976</v>
      </c>
      <c r="H216" s="301">
        <f>G216/F216*100</f>
        <v>71.894717865512888</v>
      </c>
      <c r="J216" s="2312">
        <v>11097000</v>
      </c>
      <c r="K216" s="2312">
        <f>9443648+1050000+600000</f>
        <v>11093648</v>
      </c>
      <c r="L216" s="2312">
        <f>6373274.13+1002773.12+600000</f>
        <v>7976047.25</v>
      </c>
    </row>
    <row r="217" spans="1:15" s="860" customFormat="1" ht="15" x14ac:dyDescent="0.2">
      <c r="A217" s="507" t="s">
        <v>148</v>
      </c>
      <c r="B217" s="533"/>
      <c r="C217" s="529"/>
      <c r="D217" s="529"/>
      <c r="E217" s="736">
        <f>E54</f>
        <v>1544</v>
      </c>
      <c r="F217" s="736">
        <f>F54</f>
        <v>1544</v>
      </c>
      <c r="G217" s="736">
        <f>G54</f>
        <v>1541</v>
      </c>
      <c r="H217" s="301">
        <f>G217/F217*100</f>
        <v>99.80569948186529</v>
      </c>
      <c r="J217" s="2312">
        <v>1544000</v>
      </c>
      <c r="K217" s="2312">
        <v>1544000</v>
      </c>
      <c r="L217" s="2312">
        <v>1541274.01</v>
      </c>
    </row>
    <row r="218" spans="1:15" s="860" customFormat="1" ht="15" x14ac:dyDescent="0.2">
      <c r="A218" s="507" t="s">
        <v>119</v>
      </c>
      <c r="B218" s="533"/>
      <c r="C218" s="529"/>
      <c r="D218" s="529"/>
      <c r="E218" s="735">
        <v>0</v>
      </c>
      <c r="F218" s="531">
        <v>0</v>
      </c>
      <c r="G218" s="531">
        <v>0</v>
      </c>
      <c r="H218" s="301">
        <v>0</v>
      </c>
      <c r="J218" s="2312">
        <v>0</v>
      </c>
      <c r="K218" s="2312">
        <v>0</v>
      </c>
      <c r="L218" s="2312">
        <v>0</v>
      </c>
    </row>
    <row r="219" spans="1:15" s="860" customFormat="1" ht="15" x14ac:dyDescent="0.2">
      <c r="A219" s="507" t="s">
        <v>537</v>
      </c>
      <c r="B219" s="533"/>
      <c r="C219" s="529"/>
      <c r="D219" s="529"/>
      <c r="E219" s="735">
        <v>0</v>
      </c>
      <c r="F219" s="535">
        <v>0</v>
      </c>
      <c r="G219" s="535">
        <v>0</v>
      </c>
      <c r="H219" s="301">
        <v>0</v>
      </c>
      <c r="J219" s="2312">
        <v>0</v>
      </c>
      <c r="K219" s="2312">
        <v>0</v>
      </c>
      <c r="L219" s="2312">
        <v>0</v>
      </c>
    </row>
    <row r="220" spans="1:15" s="860" customFormat="1" ht="15" x14ac:dyDescent="0.2">
      <c r="A220" s="507"/>
      <c r="B220" s="533"/>
      <c r="C220" s="529"/>
      <c r="D220" s="529"/>
      <c r="E220" s="735"/>
      <c r="F220" s="535"/>
      <c r="G220" s="535"/>
      <c r="H220" s="301"/>
      <c r="J220" s="2312"/>
      <c r="K220" s="2312"/>
      <c r="L220" s="2312"/>
    </row>
    <row r="221" spans="1:15" s="2868" customFormat="1" ht="16.5" x14ac:dyDescent="0.25">
      <c r="A221" s="356" t="s">
        <v>1151</v>
      </c>
      <c r="B221" s="2869"/>
      <c r="C221" s="2865"/>
      <c r="D221" s="2865"/>
      <c r="E221" s="2872">
        <f>E210</f>
        <v>33600</v>
      </c>
      <c r="F221" s="2872">
        <f>F210</f>
        <v>47843</v>
      </c>
      <c r="G221" s="2872">
        <f>G210</f>
        <v>46062</v>
      </c>
      <c r="H221" s="2873">
        <f t="shared" ref="H221" si="30">G221/F221*100</f>
        <v>96.277407353217811</v>
      </c>
      <c r="J221" s="2575">
        <v>33600000</v>
      </c>
      <c r="K221" s="2575">
        <f>2818000+1305000+29788265+13931735</f>
        <v>47843000</v>
      </c>
      <c r="L221" s="2575">
        <f>41938637.05+4123000</f>
        <v>46061637.049999997</v>
      </c>
      <c r="O221" s="2928">
        <v>4123000</v>
      </c>
    </row>
    <row r="222" spans="1:15" s="860" customFormat="1" ht="15" x14ac:dyDescent="0.2">
      <c r="A222" s="507"/>
      <c r="B222" s="533"/>
      <c r="C222" s="529"/>
      <c r="D222" s="529"/>
      <c r="E222" s="735"/>
      <c r="F222" s="735"/>
      <c r="G222" s="735"/>
      <c r="H222" s="301"/>
      <c r="J222" s="2312"/>
      <c r="K222" s="2312"/>
      <c r="L222" s="2312"/>
      <c r="O222" s="2928">
        <v>413401</v>
      </c>
    </row>
    <row r="223" spans="1:15" s="58" customFormat="1" ht="47.25" customHeight="1" thickBot="1" x14ac:dyDescent="0.4">
      <c r="A223" s="3196" t="s">
        <v>23</v>
      </c>
      <c r="B223" s="3217"/>
      <c r="C223" s="3217"/>
      <c r="D223" s="3217"/>
      <c r="E223" s="536">
        <f>E54+E45+E210</f>
        <v>46241</v>
      </c>
      <c r="F223" s="536">
        <f>F54+F45+F210</f>
        <v>60481</v>
      </c>
      <c r="G223" s="536">
        <f>G54+G45+G210</f>
        <v>55579</v>
      </c>
      <c r="H223" s="630">
        <f>(G223/F223)*100</f>
        <v>91.894975281493359</v>
      </c>
      <c r="I223" s="114"/>
      <c r="J223" s="2575">
        <f>J221+J215</f>
        <v>46241000</v>
      </c>
      <c r="K223" s="2575">
        <f>K221+K215</f>
        <v>60480648</v>
      </c>
      <c r="L223" s="2575">
        <f>L221+L215</f>
        <v>55578958.309999995</v>
      </c>
      <c r="O223" s="2928">
        <v>165000</v>
      </c>
    </row>
    <row r="224" spans="1:15" s="585" customFormat="1" ht="13.5" thickTop="1" x14ac:dyDescent="0.2">
      <c r="A224" s="584"/>
      <c r="B224" s="570"/>
      <c r="C224" s="750"/>
      <c r="E224" s="721"/>
      <c r="F224" s="751"/>
      <c r="G224" s="752"/>
      <c r="H224" s="753"/>
      <c r="I224" s="721"/>
      <c r="J224" s="721"/>
      <c r="O224" s="2928">
        <v>565000</v>
      </c>
    </row>
    <row r="225" spans="15:15" x14ac:dyDescent="0.2">
      <c r="O225" s="2928">
        <v>28796943.050000001</v>
      </c>
    </row>
    <row r="226" spans="15:15" x14ac:dyDescent="0.2">
      <c r="O226" s="2928">
        <v>291800.5</v>
      </c>
    </row>
    <row r="227" spans="15:15" x14ac:dyDescent="0.2">
      <c r="O227" s="2928">
        <v>120000</v>
      </c>
    </row>
    <row r="228" spans="15:15" x14ac:dyDescent="0.2">
      <c r="O228" s="2928">
        <v>10154785.5</v>
      </c>
    </row>
    <row r="229" spans="15:15" x14ac:dyDescent="0.2">
      <c r="O229" s="2928">
        <v>1296307</v>
      </c>
    </row>
    <row r="230" spans="15:15" x14ac:dyDescent="0.2">
      <c r="O230" s="2928">
        <v>135400</v>
      </c>
    </row>
    <row r="231" spans="15:15" x14ac:dyDescent="0.2">
      <c r="O231" s="2928">
        <f>SUM(O221:O230)</f>
        <v>46061637.049999997</v>
      </c>
    </row>
    <row r="232" spans="15:15" x14ac:dyDescent="0.2">
      <c r="O232" s="2928"/>
    </row>
    <row r="233" spans="15:15" x14ac:dyDescent="0.2">
      <c r="O233" s="2928"/>
    </row>
    <row r="234" spans="15:15" x14ac:dyDescent="0.2">
      <c r="O234" s="2928"/>
    </row>
    <row r="235" spans="15:15" x14ac:dyDescent="0.2">
      <c r="O235" s="2928"/>
    </row>
    <row r="236" spans="15:15" x14ac:dyDescent="0.2">
      <c r="O236" s="2928"/>
    </row>
    <row r="237" spans="15:15" x14ac:dyDescent="0.2">
      <c r="O237" s="2928"/>
    </row>
  </sheetData>
  <mergeCells count="17">
    <mergeCell ref="A179:H179"/>
    <mergeCell ref="A186:H186"/>
    <mergeCell ref="A199:H199"/>
    <mergeCell ref="A223:D223"/>
    <mergeCell ref="D16:D17"/>
    <mergeCell ref="A91:H91"/>
    <mergeCell ref="A101:H101"/>
    <mergeCell ref="A112:H112"/>
    <mergeCell ref="A121:H121"/>
    <mergeCell ref="A132:H132"/>
    <mergeCell ref="A164:H164"/>
    <mergeCell ref="A172:H172"/>
    <mergeCell ref="A1:E1"/>
    <mergeCell ref="A57:H57"/>
    <mergeCell ref="A58:H58"/>
    <mergeCell ref="A75:H75"/>
    <mergeCell ref="A82:H82"/>
  </mergeCells>
  <phoneticPr fontId="0" type="noConversion"/>
  <pageMargins left="0.98425196850393704" right="0.98425196850393704" top="0.98425196850393704" bottom="0.98425196850393704" header="0.51181102362204722" footer="0.51181102362204722"/>
  <pageSetup paperSize="9" scale="66" firstPageNumber="34" orientation="portrait" useFirstPageNumber="1" r:id="rId1"/>
  <headerFooter alignWithMargins="0">
    <oddFooter>&amp;L&amp;"Arial,Kurzíva"Zastupitelstvo Olomouckého kraje 25. 6. 2018
5. - Rozpočet Olomouckého kraje 2017 - závěrečný  účet 
Příloha č. 3: Plnění rozpočtu výdajů Olomouckého kraje k 31. 12. 2017&amp;R&amp;"Arial,Kurzíva"Strana &amp;P (celkem 478)</oddFooter>
  </headerFooter>
  <ignoredErrors>
    <ignoredError sqref="F73:G73 E89:G89 E99:G99 E130:G130 E158:F158 G158" formulaRange="1"/>
    <ignoredError sqref="C72 C127:C129 C62:C63 C69:C70 C125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">
    <tabColor rgb="FFCCFFFF"/>
  </sheetPr>
  <dimension ref="A1:M181"/>
  <sheetViews>
    <sheetView showGridLines="0" view="pageBreakPreview" zoomScaleNormal="100" zoomScaleSheetLayoutView="100" workbookViewId="0">
      <selection activeCell="H176" sqref="H176"/>
    </sheetView>
  </sheetViews>
  <sheetFormatPr defaultColWidth="9.140625" defaultRowHeight="14.25" x14ac:dyDescent="0.2"/>
  <cols>
    <col min="1" max="1" width="5.28515625" style="584" customWidth="1"/>
    <col min="2" max="2" width="5.140625" style="491" customWidth="1"/>
    <col min="3" max="3" width="9.5703125" style="595" customWidth="1"/>
    <col min="4" max="4" width="47.28515625" style="491" customWidth="1"/>
    <col min="5" max="5" width="14.5703125" style="457" customWidth="1"/>
    <col min="6" max="6" width="14.140625" style="457" customWidth="1"/>
    <col min="7" max="7" width="13.140625" style="457" customWidth="1"/>
    <col min="8" max="8" width="8.5703125" style="647" customWidth="1"/>
    <col min="9" max="9" width="9.140625" style="597"/>
    <col min="10" max="10" width="17.7109375" style="597" customWidth="1"/>
    <col min="11" max="11" width="20" style="597" customWidth="1"/>
    <col min="12" max="12" width="18.42578125" style="597" customWidth="1"/>
    <col min="13" max="16384" width="9.140625" style="597"/>
  </cols>
  <sheetData>
    <row r="1" spans="1:10" s="491" customFormat="1" ht="18.75" thickBot="1" x14ac:dyDescent="0.3">
      <c r="A1" s="441" t="s">
        <v>365</v>
      </c>
      <c r="B1" s="442"/>
      <c r="C1" s="443"/>
      <c r="D1" s="453"/>
      <c r="E1" s="456"/>
      <c r="F1" s="445" t="s">
        <v>366</v>
      </c>
      <c r="G1" s="457"/>
      <c r="H1" s="647"/>
      <c r="I1" s="17"/>
      <c r="J1" s="459"/>
    </row>
    <row r="2" spans="1:10" s="491" customFormat="1" ht="12.75" customHeight="1" x14ac:dyDescent="0.25">
      <c r="A2" s="6"/>
      <c r="B2" s="28"/>
      <c r="C2" s="139"/>
      <c r="D2" s="10"/>
      <c r="E2" s="164"/>
      <c r="F2" s="164"/>
      <c r="G2" s="165"/>
      <c r="H2" s="206"/>
      <c r="I2" s="17"/>
      <c r="J2" s="459"/>
    </row>
    <row r="3" spans="1:10" s="491" customFormat="1" ht="12.75" customHeight="1" x14ac:dyDescent="0.25">
      <c r="A3" s="67" t="s">
        <v>201</v>
      </c>
      <c r="B3" s="28"/>
      <c r="C3" s="1361" t="s">
        <v>944</v>
      </c>
      <c r="D3" s="569"/>
      <c r="E3" s="164"/>
      <c r="F3" s="165"/>
      <c r="G3" s="177"/>
      <c r="H3" s="206"/>
    </row>
    <row r="4" spans="1:10" s="491" customFormat="1" ht="12.75" customHeight="1" x14ac:dyDescent="0.25">
      <c r="A4" s="6"/>
      <c r="B4" s="28"/>
      <c r="C4" s="598" t="s">
        <v>221</v>
      </c>
      <c r="D4" s="599"/>
      <c r="E4" s="164"/>
      <c r="F4" s="165"/>
      <c r="G4" s="177"/>
      <c r="H4" s="206"/>
    </row>
    <row r="5" spans="1:10" s="491" customFormat="1" ht="12.75" customHeight="1" x14ac:dyDescent="0.25">
      <c r="A5" s="6"/>
      <c r="B5" s="28"/>
      <c r="C5" s="139"/>
      <c r="D5" s="10"/>
      <c r="E5" s="164"/>
      <c r="F5" s="164"/>
      <c r="G5" s="165"/>
      <c r="H5" s="206"/>
      <c r="I5" s="17"/>
      <c r="J5" s="459"/>
    </row>
    <row r="6" spans="1:10" s="491" customFormat="1" ht="18" x14ac:dyDescent="0.25">
      <c r="A6" s="33" t="s">
        <v>450</v>
      </c>
      <c r="B6" s="28"/>
      <c r="C6" s="139"/>
      <c r="D6" s="10"/>
      <c r="E6" s="164"/>
      <c r="F6" s="164"/>
      <c r="G6" s="165"/>
      <c r="H6" s="206"/>
      <c r="I6" s="17"/>
      <c r="J6" s="459"/>
    </row>
    <row r="7" spans="1:10" ht="12" customHeight="1" thickBot="1" x14ac:dyDescent="0.25">
      <c r="A7" s="570"/>
      <c r="B7" s="570"/>
      <c r="C7" s="606"/>
      <c r="D7" s="571"/>
      <c r="G7" s="650"/>
      <c r="H7" s="647" t="s">
        <v>92</v>
      </c>
      <c r="I7" s="599"/>
      <c r="J7" s="599"/>
    </row>
    <row r="8" spans="1:10" s="106" customFormat="1" ht="20.25" customHeight="1" thickTop="1" thickBot="1" x14ac:dyDescent="0.25">
      <c r="A8" s="572" t="s">
        <v>93</v>
      </c>
      <c r="B8" s="573" t="s">
        <v>94</v>
      </c>
      <c r="C8" s="601" t="s">
        <v>364</v>
      </c>
      <c r="D8" s="575" t="s">
        <v>95</v>
      </c>
      <c r="E8" s="575" t="s">
        <v>328</v>
      </c>
      <c r="F8" s="575" t="s">
        <v>329</v>
      </c>
      <c r="G8" s="575" t="s">
        <v>448</v>
      </c>
      <c r="H8" s="651" t="s">
        <v>449</v>
      </c>
      <c r="I8" s="715"/>
      <c r="J8" s="715"/>
    </row>
    <row r="9" spans="1:10" s="374" customFormat="1" ht="13.5" thickTop="1" thickBot="1" x14ac:dyDescent="0.25">
      <c r="A9" s="511">
        <v>1</v>
      </c>
      <c r="B9" s="512">
        <v>2</v>
      </c>
      <c r="C9" s="512">
        <v>3</v>
      </c>
      <c r="D9" s="512">
        <v>4</v>
      </c>
      <c r="E9" s="512">
        <v>5</v>
      </c>
      <c r="F9" s="499">
        <v>6</v>
      </c>
      <c r="G9" s="499">
        <v>7</v>
      </c>
      <c r="H9" s="577" t="s">
        <v>33</v>
      </c>
      <c r="I9" s="106"/>
    </row>
    <row r="10" spans="1:10" s="835" customFormat="1" ht="15" hidden="1" customHeight="1" thickTop="1" x14ac:dyDescent="0.25">
      <c r="A10" s="2605">
        <v>1019</v>
      </c>
      <c r="B10" s="2606">
        <v>5169</v>
      </c>
      <c r="C10" s="824"/>
      <c r="D10" s="803" t="s">
        <v>430</v>
      </c>
      <c r="E10" s="362"/>
      <c r="F10" s="362"/>
      <c r="G10" s="310"/>
      <c r="H10" s="199">
        <v>0</v>
      </c>
    </row>
    <row r="11" spans="1:10" s="799" customFormat="1" ht="15.75" thickTop="1" x14ac:dyDescent="0.25">
      <c r="A11" s="2605">
        <v>1032</v>
      </c>
      <c r="B11" s="2606">
        <v>5165</v>
      </c>
      <c r="C11" s="902"/>
      <c r="D11" s="800" t="s">
        <v>482</v>
      </c>
      <c r="E11" s="48">
        <v>2</v>
      </c>
      <c r="F11" s="428">
        <v>2</v>
      </c>
      <c r="G11" s="310">
        <v>1</v>
      </c>
      <c r="H11" s="199">
        <f>(G11/F11)*100</f>
        <v>50</v>
      </c>
    </row>
    <row r="12" spans="1:10" s="799" customFormat="1" ht="15" x14ac:dyDescent="0.25">
      <c r="A12" s="2605">
        <v>1036</v>
      </c>
      <c r="B12" s="2606">
        <v>5134</v>
      </c>
      <c r="C12" s="902"/>
      <c r="D12" s="800" t="s">
        <v>315</v>
      </c>
      <c r="E12" s="48">
        <v>60</v>
      </c>
      <c r="F12" s="428">
        <v>55</v>
      </c>
      <c r="G12" s="310">
        <v>44</v>
      </c>
      <c r="H12" s="199">
        <f>(G12/F12)*100</f>
        <v>80</v>
      </c>
    </row>
    <row r="13" spans="1:10" s="799" customFormat="1" ht="15" hidden="1" x14ac:dyDescent="0.25">
      <c r="A13" s="2605">
        <v>1036</v>
      </c>
      <c r="B13" s="2606">
        <v>5164</v>
      </c>
      <c r="C13" s="902"/>
      <c r="D13" s="3006" t="s">
        <v>101</v>
      </c>
      <c r="E13" s="48"/>
      <c r="F13" s="428"/>
      <c r="G13" s="310"/>
      <c r="H13" s="199" t="e">
        <f>(G13/F13)*100</f>
        <v>#DIV/0!</v>
      </c>
    </row>
    <row r="14" spans="1:10" s="799" customFormat="1" ht="15" x14ac:dyDescent="0.25">
      <c r="A14" s="2605">
        <v>1036</v>
      </c>
      <c r="B14" s="2606">
        <v>5169</v>
      </c>
      <c r="C14" s="902"/>
      <c r="D14" s="800" t="s">
        <v>430</v>
      </c>
      <c r="E14" s="48">
        <v>95</v>
      </c>
      <c r="F14" s="428">
        <v>100</v>
      </c>
      <c r="G14" s="310">
        <v>100</v>
      </c>
      <c r="H14" s="199">
        <f t="shared" ref="H14:H20" si="0">(G14/F14)*100</f>
        <v>100</v>
      </c>
    </row>
    <row r="15" spans="1:10" s="799" customFormat="1" ht="15" hidden="1" x14ac:dyDescent="0.25">
      <c r="A15" s="2605">
        <v>1036</v>
      </c>
      <c r="B15" s="2606">
        <v>5175</v>
      </c>
      <c r="C15" s="902"/>
      <c r="D15" s="1557" t="s">
        <v>352</v>
      </c>
      <c r="E15" s="48"/>
      <c r="F15" s="428"/>
      <c r="G15" s="310"/>
      <c r="H15" s="199" t="e">
        <f t="shared" si="0"/>
        <v>#DIV/0!</v>
      </c>
    </row>
    <row r="16" spans="1:10" s="799" customFormat="1" ht="15" x14ac:dyDescent="0.25">
      <c r="A16" s="2605">
        <v>1037</v>
      </c>
      <c r="B16" s="2606">
        <v>5213</v>
      </c>
      <c r="C16" s="811"/>
      <c r="D16" s="87" t="s">
        <v>1610</v>
      </c>
      <c r="E16" s="48">
        <f>E17</f>
        <v>0</v>
      </c>
      <c r="F16" s="48">
        <f t="shared" ref="F16:G16" si="1">F17</f>
        <v>173</v>
      </c>
      <c r="G16" s="48">
        <f t="shared" si="1"/>
        <v>173</v>
      </c>
      <c r="H16" s="199">
        <f t="shared" si="0"/>
        <v>100</v>
      </c>
    </row>
    <row r="17" spans="1:8" s="799" customFormat="1" ht="25.5" x14ac:dyDescent="0.2">
      <c r="A17" s="2605"/>
      <c r="B17" s="2606"/>
      <c r="C17" s="2360" t="s">
        <v>1851</v>
      </c>
      <c r="D17" s="2929" t="s">
        <v>1852</v>
      </c>
      <c r="E17" s="2313">
        <v>0</v>
      </c>
      <c r="F17" s="893">
        <v>173</v>
      </c>
      <c r="G17" s="893">
        <v>173</v>
      </c>
      <c r="H17" s="904">
        <f>G17/F17*100</f>
        <v>100</v>
      </c>
    </row>
    <row r="18" spans="1:8" s="799" customFormat="1" ht="15" hidden="1" x14ac:dyDescent="0.25">
      <c r="A18" s="2605">
        <v>1098</v>
      </c>
      <c r="B18" s="2606">
        <v>5164</v>
      </c>
      <c r="C18" s="811"/>
      <c r="D18" s="3006" t="s">
        <v>101</v>
      </c>
      <c r="E18" s="55"/>
      <c r="F18" s="310"/>
      <c r="G18" s="310"/>
      <c r="H18" s="199" t="e">
        <f t="shared" si="0"/>
        <v>#DIV/0!</v>
      </c>
    </row>
    <row r="19" spans="1:8" s="799" customFormat="1" ht="15" hidden="1" x14ac:dyDescent="0.25">
      <c r="A19" s="2605">
        <v>1098</v>
      </c>
      <c r="B19" s="2606">
        <v>5169</v>
      </c>
      <c r="C19" s="824"/>
      <c r="D19" s="3002" t="s">
        <v>430</v>
      </c>
      <c r="E19" s="55"/>
      <c r="F19" s="310"/>
      <c r="G19" s="310"/>
      <c r="H19" s="199" t="e">
        <f t="shared" si="0"/>
        <v>#DIV/0!</v>
      </c>
    </row>
    <row r="20" spans="1:8" s="799" customFormat="1" ht="15" hidden="1" x14ac:dyDescent="0.25">
      <c r="A20" s="2605">
        <v>1098</v>
      </c>
      <c r="B20" s="2606">
        <v>5175</v>
      </c>
      <c r="C20" s="824"/>
      <c r="D20" s="1557" t="s">
        <v>352</v>
      </c>
      <c r="E20" s="55"/>
      <c r="F20" s="310"/>
      <c r="G20" s="310"/>
      <c r="H20" s="199" t="e">
        <f t="shared" si="0"/>
        <v>#DIV/0!</v>
      </c>
    </row>
    <row r="21" spans="1:8" s="799" customFormat="1" ht="15" x14ac:dyDescent="0.25">
      <c r="A21" s="2605">
        <v>1099</v>
      </c>
      <c r="B21" s="2606">
        <v>5192</v>
      </c>
      <c r="C21" s="121"/>
      <c r="D21" s="800" t="s">
        <v>826</v>
      </c>
      <c r="E21" s="71">
        <v>60</v>
      </c>
      <c r="F21" s="310">
        <v>60</v>
      </c>
      <c r="G21" s="310">
        <v>0</v>
      </c>
      <c r="H21" s="199">
        <f t="shared" ref="H21:H24" si="2">(G21/F21)*100</f>
        <v>0</v>
      </c>
    </row>
    <row r="22" spans="1:8" s="799" customFormat="1" ht="15" x14ac:dyDescent="0.25">
      <c r="A22" s="2605">
        <v>2369</v>
      </c>
      <c r="B22" s="2606">
        <v>5166</v>
      </c>
      <c r="C22" s="902"/>
      <c r="D22" s="800" t="s">
        <v>317</v>
      </c>
      <c r="E22" s="48">
        <v>760</v>
      </c>
      <c r="F22" s="428">
        <v>769</v>
      </c>
      <c r="G22" s="310">
        <v>709</v>
      </c>
      <c r="H22" s="199">
        <f t="shared" si="2"/>
        <v>92.197659297789329</v>
      </c>
    </row>
    <row r="23" spans="1:8" s="799" customFormat="1" ht="30" x14ac:dyDescent="0.2">
      <c r="A23" s="3004">
        <v>2369</v>
      </c>
      <c r="B23" s="3005">
        <v>5168</v>
      </c>
      <c r="C23" s="2932"/>
      <c r="D23" s="2918" t="s">
        <v>838</v>
      </c>
      <c r="E23" s="2314">
        <v>0</v>
      </c>
      <c r="F23" s="2319">
        <v>10</v>
      </c>
      <c r="G23" s="429">
        <v>10</v>
      </c>
      <c r="H23" s="2908">
        <f t="shared" si="2"/>
        <v>100</v>
      </c>
    </row>
    <row r="24" spans="1:8" s="799" customFormat="1" ht="15" x14ac:dyDescent="0.25">
      <c r="A24" s="2605">
        <v>2369</v>
      </c>
      <c r="B24" s="2606">
        <v>5169</v>
      </c>
      <c r="C24" s="902"/>
      <c r="D24" s="3002" t="s">
        <v>430</v>
      </c>
      <c r="E24" s="48">
        <v>0</v>
      </c>
      <c r="F24" s="428">
        <v>180</v>
      </c>
      <c r="G24" s="310">
        <v>180</v>
      </c>
      <c r="H24" s="2930">
        <f t="shared" si="2"/>
        <v>100</v>
      </c>
    </row>
    <row r="25" spans="1:8" s="799" customFormat="1" ht="15" hidden="1" x14ac:dyDescent="0.25">
      <c r="A25" s="2605">
        <v>2399</v>
      </c>
      <c r="B25" s="2606">
        <v>5169</v>
      </c>
      <c r="C25" s="902"/>
      <c r="D25" s="3002" t="s">
        <v>430</v>
      </c>
      <c r="E25" s="48"/>
      <c r="F25" s="428"/>
      <c r="G25" s="310"/>
      <c r="H25" s="199">
        <v>0</v>
      </c>
    </row>
    <row r="26" spans="1:8" s="799" customFormat="1" ht="15" x14ac:dyDescent="0.25">
      <c r="A26" s="2605">
        <v>3719</v>
      </c>
      <c r="B26" s="2606">
        <v>5166</v>
      </c>
      <c r="C26" s="902"/>
      <c r="D26" s="800" t="s">
        <v>317</v>
      </c>
      <c r="E26" s="48">
        <v>50</v>
      </c>
      <c r="F26" s="428">
        <v>50</v>
      </c>
      <c r="G26" s="310">
        <v>0</v>
      </c>
      <c r="H26" s="199">
        <f t="shared" ref="H26:H38" si="3">(G26/F26)*100</f>
        <v>0</v>
      </c>
    </row>
    <row r="27" spans="1:8" s="799" customFormat="1" ht="15" x14ac:dyDescent="0.25">
      <c r="A27" s="2605">
        <v>3725</v>
      </c>
      <c r="B27" s="2606">
        <v>5137</v>
      </c>
      <c r="C27" s="902"/>
      <c r="D27" s="3002" t="s">
        <v>88</v>
      </c>
      <c r="E27" s="48">
        <v>0</v>
      </c>
      <c r="F27" s="428">
        <v>112</v>
      </c>
      <c r="G27" s="310">
        <v>102</v>
      </c>
      <c r="H27" s="199">
        <f t="shared" si="3"/>
        <v>91.071428571428569</v>
      </c>
    </row>
    <row r="28" spans="1:8" s="799" customFormat="1" ht="15" x14ac:dyDescent="0.25">
      <c r="A28" s="2605">
        <v>3725</v>
      </c>
      <c r="B28" s="2606">
        <v>5139</v>
      </c>
      <c r="C28" s="902"/>
      <c r="D28" s="800" t="s">
        <v>396</v>
      </c>
      <c r="E28" s="48">
        <v>0</v>
      </c>
      <c r="F28" s="428">
        <v>24</v>
      </c>
      <c r="G28" s="310">
        <v>0</v>
      </c>
      <c r="H28" s="199">
        <f t="shared" si="3"/>
        <v>0</v>
      </c>
    </row>
    <row r="29" spans="1:8" s="799" customFormat="1" ht="15" hidden="1" x14ac:dyDescent="0.25">
      <c r="A29" s="2605">
        <v>3725</v>
      </c>
      <c r="B29" s="2606">
        <v>5166</v>
      </c>
      <c r="C29" s="902"/>
      <c r="D29" s="800" t="s">
        <v>317</v>
      </c>
      <c r="E29" s="48"/>
      <c r="F29" s="428"/>
      <c r="G29" s="310"/>
      <c r="H29" s="199" t="e">
        <f t="shared" si="3"/>
        <v>#DIV/0!</v>
      </c>
    </row>
    <row r="30" spans="1:8" s="799" customFormat="1" ht="15" x14ac:dyDescent="0.25">
      <c r="A30" s="2605">
        <v>3725</v>
      </c>
      <c r="B30" s="2606">
        <v>5169</v>
      </c>
      <c r="C30" s="902"/>
      <c r="D30" s="800" t="s">
        <v>430</v>
      </c>
      <c r="E30" s="48">
        <v>700</v>
      </c>
      <c r="F30" s="428">
        <v>23</v>
      </c>
      <c r="G30" s="310">
        <v>20</v>
      </c>
      <c r="H30" s="199">
        <f t="shared" si="3"/>
        <v>86.956521739130437</v>
      </c>
    </row>
    <row r="31" spans="1:8" s="799" customFormat="1" ht="15" hidden="1" x14ac:dyDescent="0.25">
      <c r="A31" s="2605">
        <v>3725</v>
      </c>
      <c r="B31" s="2837">
        <v>5175</v>
      </c>
      <c r="C31" s="811"/>
      <c r="D31" s="3002" t="s">
        <v>352</v>
      </c>
      <c r="E31" s="55"/>
      <c r="F31" s="310"/>
      <c r="G31" s="310"/>
      <c r="H31" s="199" t="e">
        <f t="shared" si="3"/>
        <v>#DIV/0!</v>
      </c>
    </row>
    <row r="32" spans="1:8" s="799" customFormat="1" ht="15" x14ac:dyDescent="0.25">
      <c r="A32" s="2605">
        <v>3725</v>
      </c>
      <c r="B32" s="2606">
        <v>5321</v>
      </c>
      <c r="C32" s="811"/>
      <c r="D32" s="800" t="s">
        <v>566</v>
      </c>
      <c r="E32" s="310">
        <f>E33</f>
        <v>0</v>
      </c>
      <c r="F32" s="310">
        <f>F33</f>
        <v>240</v>
      </c>
      <c r="G32" s="310">
        <f>G33</f>
        <v>240</v>
      </c>
      <c r="H32" s="199">
        <f t="shared" si="3"/>
        <v>100</v>
      </c>
    </row>
    <row r="33" spans="1:8" s="799" customFormat="1" x14ac:dyDescent="0.2">
      <c r="A33" s="2605"/>
      <c r="B33" s="2606"/>
      <c r="C33" s="824" t="s">
        <v>1087</v>
      </c>
      <c r="D33" s="806" t="s">
        <v>1354</v>
      </c>
      <c r="E33" s="55">
        <v>0</v>
      </c>
      <c r="F33" s="311">
        <v>240</v>
      </c>
      <c r="G33" s="311">
        <v>240</v>
      </c>
      <c r="H33" s="807">
        <f t="shared" si="3"/>
        <v>100</v>
      </c>
    </row>
    <row r="34" spans="1:8" s="799" customFormat="1" ht="15" x14ac:dyDescent="0.25">
      <c r="A34" s="2605">
        <v>3725</v>
      </c>
      <c r="B34" s="2606">
        <v>5194</v>
      </c>
      <c r="C34" s="811"/>
      <c r="D34" s="800" t="s">
        <v>309</v>
      </c>
      <c r="E34" s="310">
        <f>E35</f>
        <v>0</v>
      </c>
      <c r="F34" s="310">
        <f>F35</f>
        <v>240</v>
      </c>
      <c r="G34" s="310">
        <f>G35</f>
        <v>0</v>
      </c>
      <c r="H34" s="199">
        <f t="shared" ref="H34:H35" si="4">(G34/F34)*100</f>
        <v>0</v>
      </c>
    </row>
    <row r="35" spans="1:8" s="799" customFormat="1" x14ac:dyDescent="0.2">
      <c r="A35" s="2605"/>
      <c r="B35" s="2606"/>
      <c r="C35" s="824" t="s">
        <v>1086</v>
      </c>
      <c r="D35" s="806" t="s">
        <v>1090</v>
      </c>
      <c r="E35" s="55">
        <v>0</v>
      </c>
      <c r="F35" s="311">
        <v>240</v>
      </c>
      <c r="G35" s="311">
        <v>0</v>
      </c>
      <c r="H35" s="807">
        <f t="shared" si="4"/>
        <v>0</v>
      </c>
    </row>
    <row r="36" spans="1:8" s="799" customFormat="1" ht="15" x14ac:dyDescent="0.25">
      <c r="A36" s="2605">
        <v>3729</v>
      </c>
      <c r="B36" s="2606">
        <v>5166</v>
      </c>
      <c r="C36" s="902"/>
      <c r="D36" s="800" t="s">
        <v>317</v>
      </c>
      <c r="E36" s="48">
        <v>50</v>
      </c>
      <c r="F36" s="48">
        <v>15</v>
      </c>
      <c r="G36" s="48">
        <v>0</v>
      </c>
      <c r="H36" s="199">
        <v>0</v>
      </c>
    </row>
    <row r="37" spans="1:8" s="799" customFormat="1" ht="15" x14ac:dyDescent="0.25">
      <c r="A37" s="2605">
        <v>3729</v>
      </c>
      <c r="B37" s="2606">
        <v>5179</v>
      </c>
      <c r="C37" s="902"/>
      <c r="D37" s="800" t="s">
        <v>1130</v>
      </c>
      <c r="E37" s="48">
        <f>E38</f>
        <v>100</v>
      </c>
      <c r="F37" s="48">
        <f>F38</f>
        <v>100</v>
      </c>
      <c r="G37" s="48">
        <f>G38</f>
        <v>100</v>
      </c>
      <c r="H37" s="1362">
        <f t="shared" si="3"/>
        <v>100</v>
      </c>
    </row>
    <row r="38" spans="1:8" s="799" customFormat="1" x14ac:dyDescent="0.2">
      <c r="A38" s="2605"/>
      <c r="B38" s="2606"/>
      <c r="C38" s="824" t="s">
        <v>1085</v>
      </c>
      <c r="D38" s="806" t="s">
        <v>1089</v>
      </c>
      <c r="E38" s="55">
        <v>100</v>
      </c>
      <c r="F38" s="311">
        <v>100</v>
      </c>
      <c r="G38" s="311">
        <v>100</v>
      </c>
      <c r="H38" s="807">
        <f t="shared" si="3"/>
        <v>100</v>
      </c>
    </row>
    <row r="39" spans="1:8" s="799" customFormat="1" ht="15" hidden="1" x14ac:dyDescent="0.25">
      <c r="A39" s="2605">
        <v>3729</v>
      </c>
      <c r="B39" s="2837">
        <v>5229</v>
      </c>
      <c r="C39" s="811"/>
      <c r="D39" s="3007" t="s">
        <v>528</v>
      </c>
      <c r="E39" s="310">
        <f>E40</f>
        <v>0</v>
      </c>
      <c r="F39" s="310">
        <f>F40</f>
        <v>0</v>
      </c>
      <c r="G39" s="310">
        <f>G40</f>
        <v>0</v>
      </c>
      <c r="H39" s="1362">
        <v>0</v>
      </c>
    </row>
    <row r="40" spans="1:8" s="799" customFormat="1" hidden="1" x14ac:dyDescent="0.2">
      <c r="A40" s="2605"/>
      <c r="B40" s="2837"/>
      <c r="C40" s="824" t="s">
        <v>1085</v>
      </c>
      <c r="D40" s="806" t="s">
        <v>1089</v>
      </c>
      <c r="E40" s="55"/>
      <c r="F40" s="311"/>
      <c r="G40" s="311"/>
      <c r="H40" s="2361">
        <v>0</v>
      </c>
    </row>
    <row r="41" spans="1:8" s="799" customFormat="1" ht="15" x14ac:dyDescent="0.25">
      <c r="A41" s="2605">
        <v>3741</v>
      </c>
      <c r="B41" s="2837">
        <v>5169</v>
      </c>
      <c r="C41" s="824"/>
      <c r="D41" s="800" t="s">
        <v>430</v>
      </c>
      <c r="E41" s="55"/>
      <c r="F41" s="310">
        <v>97</v>
      </c>
      <c r="G41" s="310">
        <v>97</v>
      </c>
      <c r="H41" s="2361">
        <f>G41/F41*100</f>
        <v>100</v>
      </c>
    </row>
    <row r="42" spans="1:8" s="799" customFormat="1" ht="15" hidden="1" x14ac:dyDescent="0.25">
      <c r="A42" s="2605">
        <v>3742</v>
      </c>
      <c r="B42" s="2837">
        <v>5139</v>
      </c>
      <c r="C42" s="824"/>
      <c r="D42" s="87" t="s">
        <v>396</v>
      </c>
      <c r="E42" s="48"/>
      <c r="F42" s="310"/>
      <c r="G42" s="310"/>
      <c r="H42" s="1636" t="e">
        <f t="shared" ref="H42:H50" si="5">(G42/F42)*100</f>
        <v>#DIV/0!</v>
      </c>
    </row>
    <row r="43" spans="1:8" s="799" customFormat="1" ht="15" hidden="1" x14ac:dyDescent="0.25">
      <c r="A43" s="2605">
        <v>3742</v>
      </c>
      <c r="B43" s="2837">
        <v>5164</v>
      </c>
      <c r="C43" s="824"/>
      <c r="D43" s="3002" t="s">
        <v>101</v>
      </c>
      <c r="E43" s="48"/>
      <c r="F43" s="310"/>
      <c r="G43" s="310"/>
      <c r="H43" s="1636" t="e">
        <f t="shared" si="5"/>
        <v>#DIV/0!</v>
      </c>
    </row>
    <row r="44" spans="1:8" s="799" customFormat="1" ht="15" x14ac:dyDescent="0.25">
      <c r="A44" s="2836">
        <v>3742</v>
      </c>
      <c r="B44" s="2837">
        <v>5166</v>
      </c>
      <c r="C44" s="902"/>
      <c r="D44" s="800" t="s">
        <v>317</v>
      </c>
      <c r="E44" s="48">
        <v>250</v>
      </c>
      <c r="F44" s="428">
        <v>551</v>
      </c>
      <c r="G44" s="310">
        <v>472</v>
      </c>
      <c r="H44" s="208">
        <f t="shared" si="5"/>
        <v>85.662431941923785</v>
      </c>
    </row>
    <row r="45" spans="1:8" s="799" customFormat="1" ht="15" x14ac:dyDescent="0.25">
      <c r="A45" s="2836">
        <v>3742</v>
      </c>
      <c r="B45" s="2837">
        <v>5169</v>
      </c>
      <c r="C45" s="902"/>
      <c r="D45" s="800" t="s">
        <v>430</v>
      </c>
      <c r="E45" s="48">
        <v>3282</v>
      </c>
      <c r="F45" s="428">
        <v>2813</v>
      </c>
      <c r="G45" s="310">
        <v>2429</v>
      </c>
      <c r="H45" s="208">
        <f t="shared" si="5"/>
        <v>86.349093494489864</v>
      </c>
    </row>
    <row r="46" spans="1:8" s="799" customFormat="1" ht="15" x14ac:dyDescent="0.25">
      <c r="A46" s="2836">
        <v>3742</v>
      </c>
      <c r="B46" s="2837">
        <v>5171</v>
      </c>
      <c r="C46" s="902"/>
      <c r="D46" s="800" t="s">
        <v>585</v>
      </c>
      <c r="E46" s="48">
        <v>0</v>
      </c>
      <c r="F46" s="428">
        <v>167</v>
      </c>
      <c r="G46" s="310">
        <v>167</v>
      </c>
      <c r="H46" s="208">
        <f t="shared" si="5"/>
        <v>100</v>
      </c>
    </row>
    <row r="47" spans="1:8" s="799" customFormat="1" ht="15" x14ac:dyDescent="0.25">
      <c r="A47" s="2836">
        <v>3769</v>
      </c>
      <c r="B47" s="2837">
        <v>5169</v>
      </c>
      <c r="C47" s="902"/>
      <c r="D47" s="800" t="s">
        <v>430</v>
      </c>
      <c r="E47" s="48">
        <v>670</v>
      </c>
      <c r="F47" s="428">
        <v>640</v>
      </c>
      <c r="G47" s="310">
        <v>318</v>
      </c>
      <c r="H47" s="208">
        <f t="shared" si="5"/>
        <v>49.6875</v>
      </c>
    </row>
    <row r="48" spans="1:8" s="799" customFormat="1" ht="15" x14ac:dyDescent="0.25">
      <c r="A48" s="2836">
        <v>3769</v>
      </c>
      <c r="B48" s="2837">
        <v>5175</v>
      </c>
      <c r="C48" s="902"/>
      <c r="D48" s="800" t="s">
        <v>352</v>
      </c>
      <c r="E48" s="48">
        <v>0</v>
      </c>
      <c r="F48" s="428">
        <v>30</v>
      </c>
      <c r="G48" s="310">
        <v>24</v>
      </c>
      <c r="H48" s="208">
        <f t="shared" si="5"/>
        <v>80</v>
      </c>
    </row>
    <row r="49" spans="1:12" s="799" customFormat="1" ht="15" x14ac:dyDescent="0.25">
      <c r="A49" s="2836">
        <v>3769</v>
      </c>
      <c r="B49" s="2837">
        <v>5192</v>
      </c>
      <c r="C49" s="902"/>
      <c r="D49" s="800" t="s">
        <v>826</v>
      </c>
      <c r="E49" s="428">
        <f>E50</f>
        <v>0</v>
      </c>
      <c r="F49" s="428">
        <f>F50</f>
        <v>370</v>
      </c>
      <c r="G49" s="310">
        <f>G50</f>
        <v>370</v>
      </c>
      <c r="H49" s="208">
        <f t="shared" si="5"/>
        <v>100</v>
      </c>
    </row>
    <row r="50" spans="1:12" s="799" customFormat="1" ht="15" thickBot="1" x14ac:dyDescent="0.25">
      <c r="A50" s="2605"/>
      <c r="B50" s="2755"/>
      <c r="C50" s="811" t="s">
        <v>899</v>
      </c>
      <c r="D50" s="806" t="s">
        <v>318</v>
      </c>
      <c r="E50" s="2994">
        <v>0</v>
      </c>
      <c r="F50" s="2994">
        <v>370</v>
      </c>
      <c r="G50" s="311">
        <v>370</v>
      </c>
      <c r="H50" s="816">
        <f t="shared" si="5"/>
        <v>100</v>
      </c>
      <c r="J50" s="826"/>
      <c r="K50" s="826"/>
    </row>
    <row r="51" spans="1:12" s="355" customFormat="1" ht="35.25" customHeight="1" thickTop="1" thickBot="1" x14ac:dyDescent="0.3">
      <c r="A51" s="578" t="s">
        <v>134</v>
      </c>
      <c r="B51" s="579"/>
      <c r="C51" s="605"/>
      <c r="D51" s="581"/>
      <c r="E51" s="582">
        <f>E47+E45+E44+E39+E36+E30+E26+E25+E22+E21+E14+E12+E11+E10+E13+E16+E15+E23+E24+E27+E28+E29+E32+E34+E37+E39+E41+E42+E43+E46+E48+E49</f>
        <v>6079</v>
      </c>
      <c r="F51" s="582">
        <f>F47+F45+F44+F39+F36+F30+F26+F25+F22+F21+F14+F12+F11+F10+F13+F16+F15+F23+F24+F27+F28+F29+F32+F34+F37+F39+F41+F42+F43+F46+F48+F49</f>
        <v>6821</v>
      </c>
      <c r="G51" s="582">
        <f t="shared" ref="G51" si="6">G47+G45+G44+G39+G36+G30+G26+G25+G22+G21+G14+G12+G11+G10+G13+G16+G15+G23+G24+G27+G28+G29+G32+G34+G37+G39+G41+G42+G43+G46+G48+G49</f>
        <v>5556</v>
      </c>
      <c r="H51" s="733">
        <f>(G51/F51)*100</f>
        <v>81.454332209353467</v>
      </c>
      <c r="J51" s="619"/>
      <c r="K51" s="619"/>
      <c r="L51" s="619"/>
    </row>
    <row r="52" spans="1:12" s="355" customFormat="1" ht="18.75" customHeight="1" thickTop="1" x14ac:dyDescent="0.25">
      <c r="A52" s="353"/>
      <c r="B52" s="354"/>
      <c r="C52" s="139"/>
      <c r="D52" s="354"/>
      <c r="E52" s="177"/>
      <c r="F52" s="177"/>
      <c r="G52" s="177"/>
      <c r="H52" s="206"/>
    </row>
    <row r="53" spans="1:12" s="355" customFormat="1" ht="18.75" customHeight="1" x14ac:dyDescent="0.25">
      <c r="A53" s="353"/>
      <c r="B53" s="354"/>
      <c r="C53" s="139"/>
      <c r="D53" s="354"/>
      <c r="E53" s="177"/>
      <c r="F53" s="177"/>
      <c r="G53" s="177"/>
      <c r="H53" s="206"/>
    </row>
    <row r="54" spans="1:12" s="355" customFormat="1" ht="18.75" customHeight="1" x14ac:dyDescent="0.25">
      <c r="A54" s="33" t="s">
        <v>594</v>
      </c>
      <c r="B54" s="28"/>
      <c r="C54" s="10"/>
      <c r="D54" s="136"/>
      <c r="E54" s="134"/>
      <c r="F54" s="16"/>
      <c r="G54" s="17"/>
      <c r="H54" s="596"/>
    </row>
    <row r="55" spans="1:12" s="355" customFormat="1" ht="18.75" customHeight="1" thickBot="1" x14ac:dyDescent="0.25">
      <c r="A55" s="570"/>
      <c r="B55" s="570"/>
      <c r="C55" s="571"/>
      <c r="D55" s="491"/>
      <c r="E55" s="459"/>
      <c r="F55" s="740"/>
      <c r="G55" s="459"/>
      <c r="H55" s="596" t="s">
        <v>92</v>
      </c>
    </row>
    <row r="56" spans="1:12" s="355" customFormat="1" ht="18.75" customHeight="1" thickTop="1" thickBot="1" x14ac:dyDescent="0.25">
      <c r="A56" s="572" t="s">
        <v>93</v>
      </c>
      <c r="B56" s="573" t="s">
        <v>94</v>
      </c>
      <c r="C56" s="601" t="s">
        <v>364</v>
      </c>
      <c r="D56" s="639" t="s">
        <v>95</v>
      </c>
      <c r="E56" s="639" t="s">
        <v>328</v>
      </c>
      <c r="F56" s="575" t="s">
        <v>329</v>
      </c>
      <c r="G56" s="575" t="s">
        <v>448</v>
      </c>
      <c r="H56" s="576" t="s">
        <v>449</v>
      </c>
    </row>
    <row r="57" spans="1:12" s="355" customFormat="1" ht="18.75" customHeight="1" thickTop="1" thickBot="1" x14ac:dyDescent="0.25">
      <c r="A57" s="511">
        <v>1</v>
      </c>
      <c r="B57" s="512">
        <v>2</v>
      </c>
      <c r="C57" s="512">
        <v>3</v>
      </c>
      <c r="D57" s="512">
        <v>4</v>
      </c>
      <c r="E57" s="512">
        <v>5</v>
      </c>
      <c r="F57" s="499">
        <v>6</v>
      </c>
      <c r="G57" s="499">
        <v>7</v>
      </c>
      <c r="H57" s="577" t="s">
        <v>33</v>
      </c>
    </row>
    <row r="58" spans="1:12" s="355" customFormat="1" ht="18.75" customHeight="1" thickTop="1" x14ac:dyDescent="0.25">
      <c r="A58" s="34">
        <v>1037</v>
      </c>
      <c r="B58" s="825">
        <v>6313</v>
      </c>
      <c r="C58" s="811"/>
      <c r="D58" s="87" t="s">
        <v>1854</v>
      </c>
      <c r="E58" s="71">
        <f>E59</f>
        <v>0</v>
      </c>
      <c r="F58" s="71">
        <f t="shared" ref="F58:G58" si="7">F59</f>
        <v>4000</v>
      </c>
      <c r="G58" s="71">
        <f t="shared" si="7"/>
        <v>4000</v>
      </c>
      <c r="H58" s="199">
        <f>(G58/F58)*100</f>
        <v>100</v>
      </c>
    </row>
    <row r="59" spans="1:12" s="355" customFormat="1" ht="29.25" customHeight="1" thickBot="1" x14ac:dyDescent="0.25">
      <c r="A59" s="34"/>
      <c r="B59" s="825"/>
      <c r="C59" s="925" t="s">
        <v>1853</v>
      </c>
      <c r="D59" s="2929" t="s">
        <v>1855</v>
      </c>
      <c r="E59" s="911">
        <v>0</v>
      </c>
      <c r="F59" s="894">
        <v>4000</v>
      </c>
      <c r="G59" s="893">
        <v>4000</v>
      </c>
      <c r="H59" s="904">
        <f>G59/F59*100</f>
        <v>100</v>
      </c>
      <c r="I59" s="2931"/>
    </row>
    <row r="60" spans="1:12" s="355" customFormat="1" ht="18.75" customHeight="1" thickTop="1" thickBot="1" x14ac:dyDescent="0.3">
      <c r="A60" s="578" t="s">
        <v>133</v>
      </c>
      <c r="B60" s="744"/>
      <c r="C60" s="605"/>
      <c r="D60" s="581"/>
      <c r="E60" s="582">
        <f>E58</f>
        <v>0</v>
      </c>
      <c r="F60" s="582">
        <f t="shared" ref="F60:G60" si="8">F58</f>
        <v>4000</v>
      </c>
      <c r="G60" s="582">
        <f t="shared" si="8"/>
        <v>4000</v>
      </c>
      <c r="H60" s="745">
        <f>(G60/F60)*100</f>
        <v>100</v>
      </c>
    </row>
    <row r="61" spans="1:12" s="355" customFormat="1" ht="18.75" thickTop="1" x14ac:dyDescent="0.25">
      <c r="A61" s="353"/>
      <c r="B61" s="354"/>
      <c r="C61" s="139"/>
      <c r="D61" s="354"/>
      <c r="E61" s="17"/>
      <c r="F61" s="17"/>
      <c r="G61" s="17"/>
      <c r="H61" s="2359"/>
    </row>
    <row r="62" spans="1:12" s="355" customFormat="1" ht="15.75" x14ac:dyDescent="0.2">
      <c r="A62" s="3181" t="s">
        <v>1151</v>
      </c>
      <c r="B62" s="3181"/>
      <c r="C62" s="3181"/>
      <c r="D62" s="3181"/>
      <c r="E62" s="3181"/>
      <c r="F62" s="3181"/>
      <c r="G62" s="3181"/>
      <c r="H62" s="3181"/>
    </row>
    <row r="63" spans="1:12" s="355" customFormat="1" ht="15" x14ac:dyDescent="0.2">
      <c r="A63" s="3182" t="s">
        <v>1163</v>
      </c>
      <c r="B63" s="3182"/>
      <c r="C63" s="3182"/>
      <c r="D63" s="3182"/>
      <c r="E63" s="3182"/>
      <c r="F63" s="3182"/>
      <c r="G63" s="3182"/>
      <c r="H63" s="3182"/>
    </row>
    <row r="64" spans="1:12" s="355" customFormat="1" ht="16.5" thickBot="1" x14ac:dyDescent="0.3">
      <c r="A64" s="33"/>
      <c r="B64" s="570"/>
      <c r="C64" s="571"/>
      <c r="D64" s="372"/>
      <c r="E64" s="373"/>
      <c r="F64" s="560"/>
      <c r="G64" s="373"/>
      <c r="H64" s="1568" t="s">
        <v>92</v>
      </c>
    </row>
    <row r="65" spans="1:8" s="355" customFormat="1" ht="16.5" thickTop="1" thickBot="1" x14ac:dyDescent="0.25">
      <c r="A65" s="572" t="s">
        <v>93</v>
      </c>
      <c r="B65" s="573" t="s">
        <v>94</v>
      </c>
      <c r="C65" s="575" t="s">
        <v>364</v>
      </c>
      <c r="D65" s="639" t="s">
        <v>95</v>
      </c>
      <c r="E65" s="639" t="s">
        <v>328</v>
      </c>
      <c r="F65" s="639" t="s">
        <v>329</v>
      </c>
      <c r="G65" s="639" t="s">
        <v>448</v>
      </c>
      <c r="H65" s="576" t="s">
        <v>449</v>
      </c>
    </row>
    <row r="66" spans="1:8" s="355" customFormat="1" ht="16.5" thickTop="1" thickBot="1" x14ac:dyDescent="0.25">
      <c r="A66" s="511">
        <v>1</v>
      </c>
      <c r="B66" s="512">
        <v>2</v>
      </c>
      <c r="C66" s="512">
        <v>3</v>
      </c>
      <c r="D66" s="512">
        <v>4</v>
      </c>
      <c r="E66" s="512">
        <v>5</v>
      </c>
      <c r="F66" s="499">
        <v>6</v>
      </c>
      <c r="G66" s="499">
        <v>7</v>
      </c>
      <c r="H66" s="577" t="s">
        <v>33</v>
      </c>
    </row>
    <row r="67" spans="1:8" s="355" customFormat="1" ht="16.5" thickTop="1" x14ac:dyDescent="0.25">
      <c r="A67" s="2605">
        <v>2310</v>
      </c>
      <c r="B67" s="2606">
        <v>5321</v>
      </c>
      <c r="C67" s="2360" t="s">
        <v>1097</v>
      </c>
      <c r="D67" s="800" t="s">
        <v>566</v>
      </c>
      <c r="E67" s="48">
        <v>0</v>
      </c>
      <c r="F67" s="308">
        <v>2000</v>
      </c>
      <c r="G67" s="310">
        <v>2000</v>
      </c>
      <c r="H67" s="199">
        <f>(G67/F67)*100</f>
        <v>100</v>
      </c>
    </row>
    <row r="68" spans="1:8" s="355" customFormat="1" ht="15.75" hidden="1" x14ac:dyDescent="0.25">
      <c r="A68" s="2605">
        <v>1019</v>
      </c>
      <c r="B68" s="2606">
        <v>5213</v>
      </c>
      <c r="C68" s="2360" t="s">
        <v>1097</v>
      </c>
      <c r="D68" s="87" t="s">
        <v>1610</v>
      </c>
      <c r="E68" s="48"/>
      <c r="F68" s="308"/>
      <c r="G68" s="310"/>
      <c r="H68" s="199" t="e">
        <f>(G68/F68)*100</f>
        <v>#DIV/0!</v>
      </c>
    </row>
    <row r="69" spans="1:8" s="355" customFormat="1" ht="15.75" x14ac:dyDescent="0.25">
      <c r="A69" s="2605">
        <v>2399</v>
      </c>
      <c r="B69" s="2606">
        <v>5213</v>
      </c>
      <c r="C69" s="2360" t="s">
        <v>1097</v>
      </c>
      <c r="D69" s="87" t="s">
        <v>1610</v>
      </c>
      <c r="E69" s="48">
        <v>0</v>
      </c>
      <c r="F69" s="308">
        <v>250</v>
      </c>
      <c r="G69" s="310">
        <v>250</v>
      </c>
      <c r="H69" s="199">
        <f>(G69/F69)*100</f>
        <v>100</v>
      </c>
    </row>
    <row r="70" spans="1:8" s="355" customFormat="1" ht="15.75" x14ac:dyDescent="0.25">
      <c r="A70" s="2605">
        <v>2399</v>
      </c>
      <c r="B70" s="2606">
        <v>5222</v>
      </c>
      <c r="C70" s="2360" t="s">
        <v>1097</v>
      </c>
      <c r="D70" s="853" t="s">
        <v>800</v>
      </c>
      <c r="E70" s="48">
        <v>0</v>
      </c>
      <c r="F70" s="308">
        <v>100</v>
      </c>
      <c r="G70" s="310">
        <v>100</v>
      </c>
      <c r="H70" s="199">
        <f t="shared" ref="H70:H77" si="9">(G70/F70)*100</f>
        <v>100</v>
      </c>
    </row>
    <row r="71" spans="1:8" s="355" customFormat="1" ht="15.75" x14ac:dyDescent="0.25">
      <c r="A71" s="2605">
        <v>3429</v>
      </c>
      <c r="B71" s="2606">
        <v>5212</v>
      </c>
      <c r="C71" s="2360" t="s">
        <v>1097</v>
      </c>
      <c r="D71" s="87" t="s">
        <v>1611</v>
      </c>
      <c r="E71" s="48">
        <v>0</v>
      </c>
      <c r="F71" s="308">
        <v>60</v>
      </c>
      <c r="G71" s="310">
        <v>60</v>
      </c>
      <c r="H71" s="199">
        <f t="shared" si="9"/>
        <v>100</v>
      </c>
    </row>
    <row r="72" spans="1:8" s="355" customFormat="1" ht="15.75" x14ac:dyDescent="0.25">
      <c r="A72" s="2605">
        <v>3429</v>
      </c>
      <c r="B72" s="2606">
        <v>5222</v>
      </c>
      <c r="C72" s="2360" t="s">
        <v>1097</v>
      </c>
      <c r="D72" s="87" t="s">
        <v>800</v>
      </c>
      <c r="E72" s="48">
        <v>0</v>
      </c>
      <c r="F72" s="308">
        <v>90</v>
      </c>
      <c r="G72" s="310">
        <v>90</v>
      </c>
      <c r="H72" s="199">
        <f t="shared" si="9"/>
        <v>100</v>
      </c>
    </row>
    <row r="73" spans="1:8" s="355" customFormat="1" ht="15.75" x14ac:dyDescent="0.25">
      <c r="A73" s="2605">
        <v>3729</v>
      </c>
      <c r="B73" s="2606">
        <v>5222</v>
      </c>
      <c r="C73" s="2360" t="s">
        <v>1097</v>
      </c>
      <c r="D73" s="853" t="s">
        <v>800</v>
      </c>
      <c r="E73" s="48">
        <v>0</v>
      </c>
      <c r="F73" s="308">
        <v>801</v>
      </c>
      <c r="G73" s="310">
        <v>801</v>
      </c>
      <c r="H73" s="199">
        <f t="shared" si="9"/>
        <v>100</v>
      </c>
    </row>
    <row r="74" spans="1:8" s="355" customFormat="1" ht="15.75" x14ac:dyDescent="0.25">
      <c r="A74" s="2605">
        <v>3739</v>
      </c>
      <c r="B74" s="2606">
        <v>5321</v>
      </c>
      <c r="C74" s="2360" t="s">
        <v>1097</v>
      </c>
      <c r="D74" s="800" t="s">
        <v>566</v>
      </c>
      <c r="E74" s="48">
        <v>0</v>
      </c>
      <c r="F74" s="308">
        <v>714</v>
      </c>
      <c r="G74" s="310">
        <v>714</v>
      </c>
      <c r="H74" s="199">
        <f t="shared" si="9"/>
        <v>100</v>
      </c>
    </row>
    <row r="75" spans="1:8" s="355" customFormat="1" ht="15.75" x14ac:dyDescent="0.25">
      <c r="A75" s="2605">
        <v>3716</v>
      </c>
      <c r="B75" s="2606">
        <v>6341</v>
      </c>
      <c r="C75" s="2360" t="s">
        <v>1097</v>
      </c>
      <c r="D75" s="800" t="s">
        <v>136</v>
      </c>
      <c r="E75" s="48">
        <v>0</v>
      </c>
      <c r="F75" s="308">
        <v>399</v>
      </c>
      <c r="G75" s="310">
        <v>399</v>
      </c>
      <c r="H75" s="199">
        <f t="shared" si="9"/>
        <v>100</v>
      </c>
    </row>
    <row r="76" spans="1:8" s="355" customFormat="1" ht="15.75" hidden="1" x14ac:dyDescent="0.25">
      <c r="A76" s="2605">
        <v>3725</v>
      </c>
      <c r="B76" s="2606">
        <v>6322</v>
      </c>
      <c r="C76" s="2360" t="s">
        <v>1097</v>
      </c>
      <c r="D76" s="87" t="s">
        <v>1630</v>
      </c>
      <c r="E76" s="48"/>
      <c r="F76" s="308"/>
      <c r="G76" s="310"/>
      <c r="H76" s="199" t="e">
        <f t="shared" si="9"/>
        <v>#DIV/0!</v>
      </c>
    </row>
    <row r="77" spans="1:8" s="355" customFormat="1" ht="16.5" thickBot="1" x14ac:dyDescent="0.3">
      <c r="A77" s="2605">
        <v>3729</v>
      </c>
      <c r="B77" s="2606">
        <v>6341</v>
      </c>
      <c r="C77" s="2360" t="s">
        <v>1097</v>
      </c>
      <c r="D77" s="800" t="s">
        <v>136</v>
      </c>
      <c r="E77" s="48">
        <v>0</v>
      </c>
      <c r="F77" s="308">
        <v>26</v>
      </c>
      <c r="G77" s="310">
        <v>26</v>
      </c>
      <c r="H77" s="199">
        <f t="shared" si="9"/>
        <v>100</v>
      </c>
    </row>
    <row r="78" spans="1:8" s="355" customFormat="1" ht="19.5" thickTop="1" thickBot="1" x14ac:dyDescent="0.3">
      <c r="A78" s="578" t="s">
        <v>1167</v>
      </c>
      <c r="B78" s="744"/>
      <c r="C78" s="580"/>
      <c r="D78" s="581"/>
      <c r="E78" s="582">
        <f>SUM(E67:E77)</f>
        <v>0</v>
      </c>
      <c r="F78" s="582">
        <f>SUM(F67:F77)</f>
        <v>4440</v>
      </c>
      <c r="G78" s="582">
        <f>SUM(G67:G77)</f>
        <v>4440</v>
      </c>
      <c r="H78" s="783">
        <f>(G78/F78)*100</f>
        <v>100</v>
      </c>
    </row>
    <row r="79" spans="1:8" s="355" customFormat="1" ht="18.75" thickTop="1" x14ac:dyDescent="0.25">
      <c r="A79" s="353"/>
      <c r="B79" s="354"/>
      <c r="C79" s="139"/>
      <c r="D79" s="354"/>
      <c r="E79" s="17"/>
      <c r="F79" s="17"/>
      <c r="G79" s="17"/>
      <c r="H79" s="2359"/>
    </row>
    <row r="80" spans="1:8" s="355" customFormat="1" ht="15" customHeight="1" x14ac:dyDescent="0.2">
      <c r="A80" s="3182" t="s">
        <v>1190</v>
      </c>
      <c r="B80" s="3182"/>
      <c r="C80" s="3182"/>
      <c r="D80" s="3182"/>
      <c r="E80" s="3182"/>
      <c r="F80" s="3182"/>
      <c r="G80" s="3182"/>
      <c r="H80" s="3182"/>
    </row>
    <row r="81" spans="1:8" s="355" customFormat="1" ht="16.5" thickBot="1" x14ac:dyDescent="0.3">
      <c r="A81" s="33"/>
      <c r="B81" s="570"/>
      <c r="C81" s="571"/>
      <c r="D81" s="372"/>
      <c r="E81" s="373"/>
      <c r="F81" s="560"/>
      <c r="G81" s="373"/>
      <c r="H81" s="1568" t="s">
        <v>92</v>
      </c>
    </row>
    <row r="82" spans="1:8" s="355" customFormat="1" ht="16.5" thickTop="1" thickBot="1" x14ac:dyDescent="0.25">
      <c r="A82" s="572" t="s">
        <v>93</v>
      </c>
      <c r="B82" s="573" t="s">
        <v>94</v>
      </c>
      <c r="C82" s="575" t="s">
        <v>364</v>
      </c>
      <c r="D82" s="639" t="s">
        <v>95</v>
      </c>
      <c r="E82" s="639" t="s">
        <v>328</v>
      </c>
      <c r="F82" s="639" t="s">
        <v>329</v>
      </c>
      <c r="G82" s="639" t="s">
        <v>448</v>
      </c>
      <c r="H82" s="576" t="s">
        <v>449</v>
      </c>
    </row>
    <row r="83" spans="1:8" s="355" customFormat="1" ht="16.5" thickTop="1" thickBot="1" x14ac:dyDescent="0.25">
      <c r="A83" s="511">
        <v>1</v>
      </c>
      <c r="B83" s="512">
        <v>2</v>
      </c>
      <c r="C83" s="512">
        <v>3</v>
      </c>
      <c r="D83" s="512">
        <v>4</v>
      </c>
      <c r="E83" s="512">
        <v>5</v>
      </c>
      <c r="F83" s="499">
        <v>6</v>
      </c>
      <c r="G83" s="499">
        <v>7</v>
      </c>
      <c r="H83" s="577" t="s">
        <v>33</v>
      </c>
    </row>
    <row r="84" spans="1:8" s="355" customFormat="1" ht="16.5" thickTop="1" x14ac:dyDescent="0.25">
      <c r="A84" s="2605">
        <v>1037</v>
      </c>
      <c r="B84" s="2606">
        <v>5212</v>
      </c>
      <c r="C84" s="2360" t="s">
        <v>1115</v>
      </c>
      <c r="D84" s="800" t="s">
        <v>1611</v>
      </c>
      <c r="E84" s="48">
        <v>0</v>
      </c>
      <c r="F84" s="165">
        <v>630</v>
      </c>
      <c r="G84" s="310">
        <v>630</v>
      </c>
      <c r="H84" s="199">
        <f t="shared" ref="H84:H90" si="10">(G84/F84)*100</f>
        <v>100</v>
      </c>
    </row>
    <row r="85" spans="1:8" s="355" customFormat="1" ht="15.75" x14ac:dyDescent="0.25">
      <c r="A85" s="2605">
        <v>1037</v>
      </c>
      <c r="B85" s="2606">
        <v>5213</v>
      </c>
      <c r="C85" s="2360" t="s">
        <v>1115</v>
      </c>
      <c r="D85" s="800" t="s">
        <v>1610</v>
      </c>
      <c r="E85" s="48">
        <v>7000</v>
      </c>
      <c r="F85" s="428">
        <v>4663</v>
      </c>
      <c r="G85" s="428">
        <v>1666</v>
      </c>
      <c r="H85" s="199">
        <f t="shared" si="10"/>
        <v>35.728072056615915</v>
      </c>
    </row>
    <row r="86" spans="1:8" s="355" customFormat="1" ht="15.75" x14ac:dyDescent="0.25">
      <c r="A86" s="2605">
        <v>1037</v>
      </c>
      <c r="B86" s="2606">
        <v>5223</v>
      </c>
      <c r="C86" s="2360" t="s">
        <v>1115</v>
      </c>
      <c r="D86" s="304" t="s">
        <v>1246</v>
      </c>
      <c r="E86" s="48">
        <v>0</v>
      </c>
      <c r="F86" s="428">
        <v>364</v>
      </c>
      <c r="G86" s="428">
        <v>364</v>
      </c>
      <c r="H86" s="199">
        <f t="shared" si="10"/>
        <v>100</v>
      </c>
    </row>
    <row r="87" spans="1:8" s="355" customFormat="1" ht="15.75" x14ac:dyDescent="0.25">
      <c r="A87" s="2605">
        <v>1037</v>
      </c>
      <c r="B87" s="2606">
        <v>5321</v>
      </c>
      <c r="C87" s="2360" t="s">
        <v>1115</v>
      </c>
      <c r="D87" s="800" t="s">
        <v>566</v>
      </c>
      <c r="E87" s="48">
        <v>0</v>
      </c>
      <c r="F87" s="308">
        <v>1169</v>
      </c>
      <c r="G87" s="310">
        <v>1169</v>
      </c>
      <c r="H87" s="199">
        <f t="shared" si="10"/>
        <v>100</v>
      </c>
    </row>
    <row r="88" spans="1:8" s="355" customFormat="1" ht="15.75" hidden="1" x14ac:dyDescent="0.25">
      <c r="A88" s="2605">
        <v>1037</v>
      </c>
      <c r="B88" s="2606">
        <v>5331</v>
      </c>
      <c r="C88" s="2360" t="s">
        <v>1115</v>
      </c>
      <c r="D88" s="800" t="s">
        <v>465</v>
      </c>
      <c r="E88" s="48"/>
      <c r="F88" s="308"/>
      <c r="G88" s="310"/>
      <c r="H88" s="199" t="e">
        <f t="shared" si="10"/>
        <v>#DIV/0!</v>
      </c>
    </row>
    <row r="89" spans="1:8" s="355" customFormat="1" ht="16.5" thickBot="1" x14ac:dyDescent="0.3">
      <c r="A89" s="2605">
        <v>1037</v>
      </c>
      <c r="B89" s="2606">
        <v>5493</v>
      </c>
      <c r="C89" s="2360" t="s">
        <v>1115</v>
      </c>
      <c r="D89" s="304" t="s">
        <v>1629</v>
      </c>
      <c r="E89" s="48">
        <v>0</v>
      </c>
      <c r="F89" s="308">
        <v>175</v>
      </c>
      <c r="G89" s="310">
        <v>175</v>
      </c>
      <c r="H89" s="199">
        <f t="shared" si="10"/>
        <v>100</v>
      </c>
    </row>
    <row r="90" spans="1:8" s="491" customFormat="1" ht="19.5" thickTop="1" thickBot="1" x14ac:dyDescent="0.3">
      <c r="A90" s="578" t="s">
        <v>1189</v>
      </c>
      <c r="B90" s="744"/>
      <c r="C90" s="580"/>
      <c r="D90" s="581"/>
      <c r="E90" s="582">
        <f>SUM(E84:E89)</f>
        <v>7000</v>
      </c>
      <c r="F90" s="582">
        <f t="shared" ref="F90:G90" si="11">SUM(F84:F89)</f>
        <v>7001</v>
      </c>
      <c r="G90" s="582">
        <f t="shared" si="11"/>
        <v>4004</v>
      </c>
      <c r="H90" s="783">
        <f t="shared" si="10"/>
        <v>57.191829738608767</v>
      </c>
    </row>
    <row r="91" spans="1:8" s="491" customFormat="1" ht="18.75" thickTop="1" x14ac:dyDescent="0.25">
      <c r="A91" s="353"/>
      <c r="B91" s="2351"/>
      <c r="C91" s="57"/>
      <c r="D91" s="354"/>
      <c r="E91" s="17"/>
      <c r="F91" s="17"/>
      <c r="G91" s="17"/>
      <c r="H91" s="2352"/>
    </row>
    <row r="92" spans="1:8" s="491" customFormat="1" ht="12.75" x14ac:dyDescent="0.2">
      <c r="A92" s="3182" t="s">
        <v>1192</v>
      </c>
      <c r="B92" s="3182"/>
      <c r="C92" s="3182"/>
      <c r="D92" s="3182"/>
      <c r="E92" s="3182"/>
      <c r="F92" s="3182"/>
      <c r="G92" s="3182"/>
      <c r="H92" s="3182"/>
    </row>
    <row r="93" spans="1:8" s="491" customFormat="1" ht="16.5" thickBot="1" x14ac:dyDescent="0.3">
      <c r="A93" s="33"/>
      <c r="B93" s="570"/>
      <c r="C93" s="571"/>
      <c r="D93" s="372"/>
      <c r="E93" s="373"/>
      <c r="F93" s="560"/>
      <c r="G93" s="373"/>
      <c r="H93" s="1568" t="s">
        <v>92</v>
      </c>
    </row>
    <row r="94" spans="1:8" s="491" customFormat="1" thickTop="1" thickBot="1" x14ac:dyDescent="0.25">
      <c r="A94" s="572" t="s">
        <v>93</v>
      </c>
      <c r="B94" s="573" t="s">
        <v>94</v>
      </c>
      <c r="C94" s="575" t="s">
        <v>364</v>
      </c>
      <c r="D94" s="639" t="s">
        <v>95</v>
      </c>
      <c r="E94" s="639" t="s">
        <v>328</v>
      </c>
      <c r="F94" s="639" t="s">
        <v>329</v>
      </c>
      <c r="G94" s="639" t="s">
        <v>448</v>
      </c>
      <c r="H94" s="576" t="s">
        <v>449</v>
      </c>
    </row>
    <row r="95" spans="1:8" s="491" customFormat="1" thickTop="1" thickBot="1" x14ac:dyDescent="0.25">
      <c r="A95" s="511">
        <v>1</v>
      </c>
      <c r="B95" s="512">
        <v>2</v>
      </c>
      <c r="C95" s="512">
        <v>3</v>
      </c>
      <c r="D95" s="512">
        <v>4</v>
      </c>
      <c r="E95" s="512">
        <v>5</v>
      </c>
      <c r="F95" s="499">
        <v>6</v>
      </c>
      <c r="G95" s="499">
        <v>7</v>
      </c>
      <c r="H95" s="577" t="s">
        <v>33</v>
      </c>
    </row>
    <row r="96" spans="1:8" s="491" customFormat="1" ht="16.5" thickTop="1" thickBot="1" x14ac:dyDescent="0.3">
      <c r="A96" s="2605">
        <v>1099</v>
      </c>
      <c r="B96" s="2606">
        <v>5493</v>
      </c>
      <c r="C96" s="2360" t="s">
        <v>1116</v>
      </c>
      <c r="D96" s="304" t="s">
        <v>1629</v>
      </c>
      <c r="E96" s="71">
        <v>400</v>
      </c>
      <c r="F96" s="308">
        <v>590</v>
      </c>
      <c r="G96" s="310">
        <v>558</v>
      </c>
      <c r="H96" s="199">
        <f>(G96/F96)*100</f>
        <v>94.576271186440678</v>
      </c>
    </row>
    <row r="97" spans="1:8" s="491" customFormat="1" ht="19.5" thickTop="1" thickBot="1" x14ac:dyDescent="0.3">
      <c r="A97" s="578" t="s">
        <v>1191</v>
      </c>
      <c r="B97" s="744"/>
      <c r="C97" s="580"/>
      <c r="D97" s="581"/>
      <c r="E97" s="582">
        <f>E96</f>
        <v>400</v>
      </c>
      <c r="F97" s="582">
        <f t="shared" ref="F97:G97" si="12">F96</f>
        <v>590</v>
      </c>
      <c r="G97" s="582">
        <f t="shared" si="12"/>
        <v>558</v>
      </c>
      <c r="H97" s="783">
        <f>(G97/F97)*100</f>
        <v>94.576271186440678</v>
      </c>
    </row>
    <row r="98" spans="1:8" s="491" customFormat="1" ht="18.75" thickTop="1" x14ac:dyDescent="0.25">
      <c r="A98" s="353"/>
      <c r="B98" s="2351"/>
      <c r="C98" s="57"/>
      <c r="D98" s="354"/>
      <c r="E98" s="17"/>
      <c r="F98" s="17"/>
      <c r="G98" s="17"/>
      <c r="H98" s="2352"/>
    </row>
    <row r="99" spans="1:8" s="491" customFormat="1" ht="12.75" x14ac:dyDescent="0.2">
      <c r="A99" s="3182" t="s">
        <v>1193</v>
      </c>
      <c r="B99" s="3182"/>
      <c r="C99" s="3182"/>
      <c r="D99" s="3182"/>
      <c r="E99" s="3182"/>
      <c r="F99" s="3182"/>
      <c r="G99" s="3182"/>
      <c r="H99" s="3182"/>
    </row>
    <row r="100" spans="1:8" s="491" customFormat="1" ht="16.5" thickBot="1" x14ac:dyDescent="0.3">
      <c r="A100" s="33"/>
      <c r="B100" s="570"/>
      <c r="C100" s="571"/>
      <c r="D100" s="372"/>
      <c r="E100" s="373"/>
      <c r="F100" s="560"/>
      <c r="G100" s="373"/>
      <c r="H100" s="1568" t="s">
        <v>92</v>
      </c>
    </row>
    <row r="101" spans="1:8" s="491" customFormat="1" thickTop="1" thickBot="1" x14ac:dyDescent="0.25">
      <c r="A101" s="572" t="s">
        <v>93</v>
      </c>
      <c r="B101" s="573" t="s">
        <v>94</v>
      </c>
      <c r="C101" s="575" t="s">
        <v>364</v>
      </c>
      <c r="D101" s="639" t="s">
        <v>95</v>
      </c>
      <c r="E101" s="639" t="s">
        <v>328</v>
      </c>
      <c r="F101" s="639" t="s">
        <v>329</v>
      </c>
      <c r="G101" s="639" t="s">
        <v>448</v>
      </c>
      <c r="H101" s="576" t="s">
        <v>449</v>
      </c>
    </row>
    <row r="102" spans="1:8" s="491" customFormat="1" thickTop="1" thickBot="1" x14ac:dyDescent="0.25">
      <c r="A102" s="511">
        <v>1</v>
      </c>
      <c r="B102" s="512">
        <v>2</v>
      </c>
      <c r="C102" s="512">
        <v>3</v>
      </c>
      <c r="D102" s="512">
        <v>4</v>
      </c>
      <c r="E102" s="512">
        <v>5</v>
      </c>
      <c r="F102" s="499">
        <v>6</v>
      </c>
      <c r="G102" s="499">
        <v>7</v>
      </c>
      <c r="H102" s="577" t="s">
        <v>33</v>
      </c>
    </row>
    <row r="103" spans="1:8" s="491" customFormat="1" ht="15.75" thickTop="1" x14ac:dyDescent="0.25">
      <c r="A103" s="2841">
        <v>2310</v>
      </c>
      <c r="B103" s="2842">
        <v>5321</v>
      </c>
      <c r="C103" s="2360" t="s">
        <v>1117</v>
      </c>
      <c r="D103" s="800" t="s">
        <v>566</v>
      </c>
      <c r="E103" s="71">
        <v>4000</v>
      </c>
      <c r="F103" s="308">
        <v>3216</v>
      </c>
      <c r="G103" s="310">
        <v>1299</v>
      </c>
      <c r="H103" s="199">
        <f>(G103/F103)*100</f>
        <v>40.39179104477612</v>
      </c>
    </row>
    <row r="104" spans="1:8" s="491" customFormat="1" ht="15" x14ac:dyDescent="0.25">
      <c r="A104" s="2605">
        <v>2310</v>
      </c>
      <c r="B104" s="2837">
        <v>6341</v>
      </c>
      <c r="C104" s="2360" t="s">
        <v>1117</v>
      </c>
      <c r="D104" s="800" t="s">
        <v>136</v>
      </c>
      <c r="E104" s="71">
        <v>0</v>
      </c>
      <c r="F104" s="310">
        <v>215</v>
      </c>
      <c r="G104" s="310">
        <v>215</v>
      </c>
      <c r="H104" s="1362">
        <f>(G104/F104)*100</f>
        <v>100</v>
      </c>
    </row>
    <row r="105" spans="1:8" s="491" customFormat="1" ht="15.75" thickBot="1" x14ac:dyDescent="0.3">
      <c r="A105" s="2838">
        <v>2321</v>
      </c>
      <c r="B105" s="2843">
        <v>6341</v>
      </c>
      <c r="C105" s="2360" t="s">
        <v>1117</v>
      </c>
      <c r="D105" s="800" t="s">
        <v>136</v>
      </c>
      <c r="E105" s="71">
        <v>0</v>
      </c>
      <c r="F105" s="426">
        <v>569</v>
      </c>
      <c r="G105" s="426">
        <v>569</v>
      </c>
      <c r="H105" s="1362">
        <f>(G105/F105)*100</f>
        <v>100</v>
      </c>
    </row>
    <row r="106" spans="1:8" s="491" customFormat="1" ht="19.5" thickTop="1" thickBot="1" x14ac:dyDescent="0.3">
      <c r="A106" s="578" t="s">
        <v>1194</v>
      </c>
      <c r="B106" s="744"/>
      <c r="C106" s="580"/>
      <c r="D106" s="581"/>
      <c r="E106" s="582">
        <f>SUM(E103:E105)</f>
        <v>4000</v>
      </c>
      <c r="F106" s="582">
        <f t="shared" ref="F106:G106" si="13">SUM(F103:F105)</f>
        <v>4000</v>
      </c>
      <c r="G106" s="582">
        <f t="shared" si="13"/>
        <v>2083</v>
      </c>
      <c r="H106" s="783">
        <f>(G106/F106)*100</f>
        <v>52.075000000000003</v>
      </c>
    </row>
    <row r="107" spans="1:8" s="491" customFormat="1" ht="12.75" customHeight="1" thickTop="1" x14ac:dyDescent="0.25">
      <c r="A107" s="353"/>
      <c r="B107" s="2351"/>
      <c r="C107" s="57"/>
      <c r="D107" s="354"/>
      <c r="E107" s="17"/>
      <c r="F107" s="17"/>
      <c r="G107" s="17"/>
      <c r="H107" s="2352"/>
    </row>
    <row r="108" spans="1:8" s="491" customFormat="1" ht="26.25" customHeight="1" x14ac:dyDescent="0.2">
      <c r="A108" s="3182" t="s">
        <v>1196</v>
      </c>
      <c r="B108" s="3182"/>
      <c r="C108" s="3182"/>
      <c r="D108" s="3182"/>
      <c r="E108" s="3182"/>
      <c r="F108" s="3182"/>
      <c r="G108" s="3182"/>
      <c r="H108" s="3182"/>
    </row>
    <row r="109" spans="1:8" s="491" customFormat="1" ht="16.5" thickBot="1" x14ac:dyDescent="0.3">
      <c r="A109" s="33"/>
      <c r="B109" s="570"/>
      <c r="C109" s="571"/>
      <c r="D109" s="372"/>
      <c r="E109" s="373"/>
      <c r="F109" s="560"/>
      <c r="G109" s="373"/>
      <c r="H109" s="1568" t="s">
        <v>92</v>
      </c>
    </row>
    <row r="110" spans="1:8" s="491" customFormat="1" thickTop="1" thickBot="1" x14ac:dyDescent="0.25">
      <c r="A110" s="572" t="s">
        <v>93</v>
      </c>
      <c r="B110" s="573" t="s">
        <v>94</v>
      </c>
      <c r="C110" s="575" t="s">
        <v>364</v>
      </c>
      <c r="D110" s="639" t="s">
        <v>95</v>
      </c>
      <c r="E110" s="639" t="s">
        <v>328</v>
      </c>
      <c r="F110" s="639" t="s">
        <v>329</v>
      </c>
      <c r="G110" s="639" t="s">
        <v>448</v>
      </c>
      <c r="H110" s="576" t="s">
        <v>449</v>
      </c>
    </row>
    <row r="111" spans="1:8" s="491" customFormat="1" thickTop="1" thickBot="1" x14ac:dyDescent="0.25">
      <c r="A111" s="511">
        <v>1</v>
      </c>
      <c r="B111" s="512">
        <v>2</v>
      </c>
      <c r="C111" s="512">
        <v>3</v>
      </c>
      <c r="D111" s="512">
        <v>4</v>
      </c>
      <c r="E111" s="512">
        <v>5</v>
      </c>
      <c r="F111" s="499">
        <v>6</v>
      </c>
      <c r="G111" s="499">
        <v>7</v>
      </c>
      <c r="H111" s="577" t="s">
        <v>33</v>
      </c>
    </row>
    <row r="112" spans="1:8" s="491" customFormat="1" ht="15.75" thickTop="1" x14ac:dyDescent="0.25">
      <c r="A112" s="2605">
        <v>2310</v>
      </c>
      <c r="B112" s="2606">
        <v>5321</v>
      </c>
      <c r="C112" s="2360" t="s">
        <v>1118</v>
      </c>
      <c r="D112" s="800" t="s">
        <v>566</v>
      </c>
      <c r="E112" s="71">
        <v>1000</v>
      </c>
      <c r="F112" s="71">
        <v>461</v>
      </c>
      <c r="G112" s="71">
        <v>0</v>
      </c>
      <c r="H112" s="199">
        <f>(G112/F112)*100</f>
        <v>0</v>
      </c>
    </row>
    <row r="113" spans="1:8" s="491" customFormat="1" ht="15.75" thickBot="1" x14ac:dyDescent="0.3">
      <c r="A113" s="2605">
        <v>2333</v>
      </c>
      <c r="B113" s="2606">
        <v>5321</v>
      </c>
      <c r="C113" s="2360" t="s">
        <v>1118</v>
      </c>
      <c r="D113" s="800" t="s">
        <v>566</v>
      </c>
      <c r="E113" s="48">
        <v>0</v>
      </c>
      <c r="F113" s="165">
        <v>539</v>
      </c>
      <c r="G113" s="310">
        <v>539</v>
      </c>
      <c r="H113" s="199">
        <f>(G113/F113)*100</f>
        <v>100</v>
      </c>
    </row>
    <row r="114" spans="1:8" s="491" customFormat="1" ht="19.5" thickTop="1" thickBot="1" x14ac:dyDescent="0.3">
      <c r="A114" s="578" t="s">
        <v>1195</v>
      </c>
      <c r="B114" s="744"/>
      <c r="C114" s="580"/>
      <c r="D114" s="581"/>
      <c r="E114" s="582">
        <f>SUM(E112:E113)</f>
        <v>1000</v>
      </c>
      <c r="F114" s="582">
        <f>SUM(F112:F113)</f>
        <v>1000</v>
      </c>
      <c r="G114" s="582">
        <f>SUM(G112:G113)</f>
        <v>539</v>
      </c>
      <c r="H114" s="783">
        <f>(G114/F114)*100</f>
        <v>53.900000000000006</v>
      </c>
    </row>
    <row r="115" spans="1:8" s="491" customFormat="1" ht="18.75" thickTop="1" x14ac:dyDescent="0.25">
      <c r="A115" s="353"/>
      <c r="B115" s="2351"/>
      <c r="C115" s="57"/>
      <c r="D115" s="354"/>
      <c r="E115" s="17"/>
      <c r="F115" s="17"/>
      <c r="G115" s="17"/>
      <c r="H115" s="2352"/>
    </row>
    <row r="116" spans="1:8" s="491" customFormat="1" ht="25.5" hidden="1" customHeight="1" x14ac:dyDescent="0.2">
      <c r="A116" s="3182" t="s">
        <v>1198</v>
      </c>
      <c r="B116" s="3182"/>
      <c r="C116" s="3182"/>
      <c r="D116" s="3182"/>
      <c r="E116" s="3182"/>
      <c r="F116" s="3182"/>
      <c r="G116" s="3182"/>
      <c r="H116" s="3182"/>
    </row>
    <row r="117" spans="1:8" s="491" customFormat="1" ht="16.5" hidden="1" thickBot="1" x14ac:dyDescent="0.3">
      <c r="A117" s="33"/>
      <c r="B117" s="570"/>
      <c r="C117" s="571"/>
      <c r="D117" s="372"/>
      <c r="E117" s="373"/>
      <c r="F117" s="560"/>
      <c r="G117" s="373"/>
      <c r="H117" s="1568" t="s">
        <v>92</v>
      </c>
    </row>
    <row r="118" spans="1:8" s="491" customFormat="1" hidden="1" thickTop="1" thickBot="1" x14ac:dyDescent="0.25">
      <c r="A118" s="572" t="s">
        <v>93</v>
      </c>
      <c r="B118" s="573" t="s">
        <v>94</v>
      </c>
      <c r="C118" s="575" t="s">
        <v>364</v>
      </c>
      <c r="D118" s="639" t="s">
        <v>95</v>
      </c>
      <c r="E118" s="639" t="s">
        <v>328</v>
      </c>
      <c r="F118" s="639" t="s">
        <v>329</v>
      </c>
      <c r="G118" s="639" t="s">
        <v>448</v>
      </c>
      <c r="H118" s="576" t="s">
        <v>449</v>
      </c>
    </row>
    <row r="119" spans="1:8" s="491" customFormat="1" hidden="1" thickTop="1" thickBot="1" x14ac:dyDescent="0.25">
      <c r="A119" s="511">
        <v>1</v>
      </c>
      <c r="B119" s="512">
        <v>2</v>
      </c>
      <c r="C119" s="512">
        <v>3</v>
      </c>
      <c r="D119" s="512">
        <v>4</v>
      </c>
      <c r="E119" s="512">
        <v>5</v>
      </c>
      <c r="F119" s="499">
        <v>6</v>
      </c>
      <c r="G119" s="499">
        <v>7</v>
      </c>
      <c r="H119" s="577" t="s">
        <v>33</v>
      </c>
    </row>
    <row r="120" spans="1:8" s="491" customFormat="1" ht="15.75" hidden="1" thickTop="1" x14ac:dyDescent="0.25">
      <c r="A120" s="2605">
        <v>3429</v>
      </c>
      <c r="B120" s="2606">
        <v>5221</v>
      </c>
      <c r="C120" s="2360" t="s">
        <v>1121</v>
      </c>
      <c r="D120" s="602" t="s">
        <v>1608</v>
      </c>
      <c r="E120" s="48"/>
      <c r="F120" s="308"/>
      <c r="G120" s="310"/>
      <c r="H120" s="199" t="e">
        <f t="shared" ref="H120:H125" si="14">(G120/F120)*100</f>
        <v>#DIV/0!</v>
      </c>
    </row>
    <row r="121" spans="1:8" s="491" customFormat="1" ht="15" hidden="1" x14ac:dyDescent="0.25">
      <c r="A121" s="2605">
        <v>3429</v>
      </c>
      <c r="B121" s="2606">
        <v>5222</v>
      </c>
      <c r="C121" s="2360" t="s">
        <v>1121</v>
      </c>
      <c r="D121" s="853" t="s">
        <v>800</v>
      </c>
      <c r="E121" s="71"/>
      <c r="F121" s="71"/>
      <c r="G121" s="71"/>
      <c r="H121" s="199" t="e">
        <f t="shared" si="14"/>
        <v>#DIV/0!</v>
      </c>
    </row>
    <row r="122" spans="1:8" s="491" customFormat="1" ht="15" hidden="1" x14ac:dyDescent="0.25">
      <c r="A122" s="2605">
        <v>3429</v>
      </c>
      <c r="B122" s="2606">
        <v>5321</v>
      </c>
      <c r="C122" s="2360" t="s">
        <v>1121</v>
      </c>
      <c r="D122" s="800" t="s">
        <v>566</v>
      </c>
      <c r="E122" s="48"/>
      <c r="F122" s="308"/>
      <c r="G122" s="310"/>
      <c r="H122" s="199" t="e">
        <f t="shared" si="14"/>
        <v>#DIV/0!</v>
      </c>
    </row>
    <row r="123" spans="1:8" s="491" customFormat="1" ht="15" hidden="1" x14ac:dyDescent="0.25">
      <c r="A123" s="2605">
        <v>3429</v>
      </c>
      <c r="B123" s="2606">
        <v>5331</v>
      </c>
      <c r="C123" s="2360" t="s">
        <v>1121</v>
      </c>
      <c r="D123" s="800" t="s">
        <v>465</v>
      </c>
      <c r="E123" s="48"/>
      <c r="F123" s="308"/>
      <c r="G123" s="310"/>
      <c r="H123" s="199" t="e">
        <f t="shared" si="14"/>
        <v>#DIV/0!</v>
      </c>
    </row>
    <row r="124" spans="1:8" s="491" customFormat="1" ht="15.75" hidden="1" thickBot="1" x14ac:dyDescent="0.3">
      <c r="A124" s="2605">
        <v>3429</v>
      </c>
      <c r="B124" s="2606">
        <v>5332</v>
      </c>
      <c r="C124" s="2360" t="s">
        <v>1121</v>
      </c>
      <c r="D124" s="1071" t="s">
        <v>1123</v>
      </c>
      <c r="E124" s="48"/>
      <c r="F124" s="308"/>
      <c r="G124" s="310"/>
      <c r="H124" s="199" t="e">
        <f t="shared" si="14"/>
        <v>#DIV/0!</v>
      </c>
    </row>
    <row r="125" spans="1:8" s="491" customFormat="1" ht="19.5" hidden="1" thickTop="1" thickBot="1" x14ac:dyDescent="0.3">
      <c r="A125" s="578" t="s">
        <v>1197</v>
      </c>
      <c r="B125" s="744"/>
      <c r="C125" s="580"/>
      <c r="D125" s="581"/>
      <c r="E125" s="582">
        <f>SUM(E120:E124)</f>
        <v>0</v>
      </c>
      <c r="F125" s="582">
        <f t="shared" ref="F125:G125" si="15">SUM(F120:F124)</f>
        <v>0</v>
      </c>
      <c r="G125" s="582">
        <f t="shared" si="15"/>
        <v>0</v>
      </c>
      <c r="H125" s="783" t="e">
        <f t="shared" si="14"/>
        <v>#DIV/0!</v>
      </c>
    </row>
    <row r="126" spans="1:8" s="491" customFormat="1" ht="12.75" hidden="1" customHeight="1" thickTop="1" x14ac:dyDescent="0.25">
      <c r="A126" s="353"/>
      <c r="B126" s="2351"/>
      <c r="C126" s="57"/>
      <c r="D126" s="354"/>
      <c r="E126" s="17"/>
      <c r="F126" s="17"/>
      <c r="G126" s="17"/>
      <c r="H126" s="2352"/>
    </row>
    <row r="127" spans="1:8" s="491" customFormat="1" ht="12.75" hidden="1" x14ac:dyDescent="0.2">
      <c r="A127" s="3182" t="s">
        <v>1200</v>
      </c>
      <c r="B127" s="3182"/>
      <c r="C127" s="3182"/>
      <c r="D127" s="3182"/>
      <c r="E127" s="3182"/>
      <c r="F127" s="3182"/>
      <c r="G127" s="3182"/>
      <c r="H127" s="3182"/>
    </row>
    <row r="128" spans="1:8" s="491" customFormat="1" ht="12.75" hidden="1" customHeight="1" thickBot="1" x14ac:dyDescent="0.3">
      <c r="A128" s="33"/>
      <c r="B128" s="570"/>
      <c r="C128" s="571"/>
      <c r="D128" s="372"/>
      <c r="E128" s="373"/>
      <c r="F128" s="560"/>
      <c r="G128" s="373"/>
      <c r="H128" s="1568" t="s">
        <v>92</v>
      </c>
    </row>
    <row r="129" spans="1:8" s="491" customFormat="1" hidden="1" thickTop="1" thickBot="1" x14ac:dyDescent="0.25">
      <c r="A129" s="572" t="s">
        <v>93</v>
      </c>
      <c r="B129" s="573" t="s">
        <v>94</v>
      </c>
      <c r="C129" s="575" t="s">
        <v>364</v>
      </c>
      <c r="D129" s="639" t="s">
        <v>95</v>
      </c>
      <c r="E129" s="639" t="s">
        <v>328</v>
      </c>
      <c r="F129" s="639" t="s">
        <v>329</v>
      </c>
      <c r="G129" s="639" t="s">
        <v>448</v>
      </c>
      <c r="H129" s="576" t="s">
        <v>449</v>
      </c>
    </row>
    <row r="130" spans="1:8" s="491" customFormat="1" hidden="1" thickTop="1" thickBot="1" x14ac:dyDescent="0.25">
      <c r="A130" s="511">
        <v>1</v>
      </c>
      <c r="B130" s="512">
        <v>2</v>
      </c>
      <c r="C130" s="512">
        <v>3</v>
      </c>
      <c r="D130" s="512">
        <v>4</v>
      </c>
      <c r="E130" s="512">
        <v>5</v>
      </c>
      <c r="F130" s="499">
        <v>6</v>
      </c>
      <c r="G130" s="499">
        <v>7</v>
      </c>
      <c r="H130" s="577" t="s">
        <v>33</v>
      </c>
    </row>
    <row r="131" spans="1:8" s="491" customFormat="1" ht="15.75" hidden="1" thickTop="1" x14ac:dyDescent="0.25">
      <c r="A131" s="2605">
        <v>3429</v>
      </c>
      <c r="B131" s="2606">
        <v>5212</v>
      </c>
      <c r="C131" s="2360" t="s">
        <v>1119</v>
      </c>
      <c r="D131" s="800" t="s">
        <v>1611</v>
      </c>
      <c r="E131" s="48"/>
      <c r="F131" s="308"/>
      <c r="G131" s="310"/>
      <c r="H131" s="199" t="e">
        <f>(G131/F131)*100</f>
        <v>#DIV/0!</v>
      </c>
    </row>
    <row r="132" spans="1:8" s="491" customFormat="1" ht="15" hidden="1" x14ac:dyDescent="0.25">
      <c r="A132" s="2605">
        <v>3429</v>
      </c>
      <c r="B132" s="2606">
        <v>5213</v>
      </c>
      <c r="C132" s="2360" t="s">
        <v>1119</v>
      </c>
      <c r="D132" s="800" t="s">
        <v>1610</v>
      </c>
      <c r="E132" s="48"/>
      <c r="F132" s="308"/>
      <c r="G132" s="310"/>
      <c r="H132" s="199" t="e">
        <f>(G132/F132)*100</f>
        <v>#DIV/0!</v>
      </c>
    </row>
    <row r="133" spans="1:8" s="491" customFormat="1" ht="15" hidden="1" x14ac:dyDescent="0.25">
      <c r="A133" s="2605">
        <v>3429</v>
      </c>
      <c r="B133" s="2606">
        <v>5222</v>
      </c>
      <c r="C133" s="2360" t="s">
        <v>1119</v>
      </c>
      <c r="D133" s="853" t="s">
        <v>800</v>
      </c>
      <c r="E133" s="71"/>
      <c r="F133" s="71"/>
      <c r="G133" s="71"/>
      <c r="H133" s="199" t="e">
        <f>(G133/F133)*100</f>
        <v>#DIV/0!</v>
      </c>
    </row>
    <row r="134" spans="1:8" s="491" customFormat="1" ht="15" hidden="1" x14ac:dyDescent="0.25">
      <c r="A134" s="2605">
        <v>3429</v>
      </c>
      <c r="B134" s="2606">
        <v>5321</v>
      </c>
      <c r="C134" s="2360" t="s">
        <v>1119</v>
      </c>
      <c r="D134" s="800" t="s">
        <v>566</v>
      </c>
      <c r="E134" s="48"/>
      <c r="F134" s="308"/>
      <c r="G134" s="310"/>
      <c r="H134" s="199" t="e">
        <f>(G134/F134)*100</f>
        <v>#DIV/0!</v>
      </c>
    </row>
    <row r="135" spans="1:8" s="491" customFormat="1" ht="15.75" hidden="1" thickBot="1" x14ac:dyDescent="0.3">
      <c r="A135" s="2605">
        <v>3429</v>
      </c>
      <c r="B135" s="2606">
        <v>6322</v>
      </c>
      <c r="C135" s="2360" t="s">
        <v>1119</v>
      </c>
      <c r="D135" s="87" t="s">
        <v>1630</v>
      </c>
      <c r="E135" s="48"/>
      <c r="F135" s="71"/>
      <c r="G135" s="71"/>
      <c r="H135" s="199" t="e">
        <f t="shared" ref="H135" si="16">(G135/F135)*100</f>
        <v>#DIV/0!</v>
      </c>
    </row>
    <row r="136" spans="1:8" s="491" customFormat="1" ht="19.5" hidden="1" thickTop="1" thickBot="1" x14ac:dyDescent="0.3">
      <c r="A136" s="578" t="s">
        <v>1199</v>
      </c>
      <c r="B136" s="744"/>
      <c r="C136" s="580"/>
      <c r="D136" s="581"/>
      <c r="E136" s="582">
        <f>SUM(E131:E135)</f>
        <v>0</v>
      </c>
      <c r="F136" s="582">
        <f>SUM(F131:F135)</f>
        <v>0</v>
      </c>
      <c r="G136" s="582">
        <f>SUM(G131:G135)</f>
        <v>0</v>
      </c>
      <c r="H136" s="783" t="e">
        <f>(G136/F136)*100</f>
        <v>#DIV/0!</v>
      </c>
    </row>
    <row r="137" spans="1:8" s="491" customFormat="1" ht="12.75" hidden="1" customHeight="1" x14ac:dyDescent="0.25">
      <c r="A137" s="353"/>
      <c r="B137" s="2351"/>
      <c r="C137" s="57"/>
      <c r="D137" s="354"/>
      <c r="E137" s="17"/>
      <c r="F137" s="17"/>
      <c r="G137" s="17"/>
      <c r="H137" s="2352"/>
    </row>
    <row r="138" spans="1:8" s="491" customFormat="1" ht="12.75" x14ac:dyDescent="0.2">
      <c r="A138" s="3182" t="s">
        <v>1202</v>
      </c>
      <c r="B138" s="3182"/>
      <c r="C138" s="3182"/>
      <c r="D138" s="3182"/>
      <c r="E138" s="3182"/>
      <c r="F138" s="3182"/>
      <c r="G138" s="3182"/>
      <c r="H138" s="3182"/>
    </row>
    <row r="139" spans="1:8" s="491" customFormat="1" ht="16.5" thickBot="1" x14ac:dyDescent="0.3">
      <c r="A139" s="33"/>
      <c r="B139" s="570"/>
      <c r="C139" s="571"/>
      <c r="D139" s="372"/>
      <c r="E139" s="373"/>
      <c r="F139" s="560"/>
      <c r="G139" s="373"/>
      <c r="H139" s="1568" t="s">
        <v>92</v>
      </c>
    </row>
    <row r="140" spans="1:8" s="491" customFormat="1" thickTop="1" thickBot="1" x14ac:dyDescent="0.25">
      <c r="A140" s="572" t="s">
        <v>93</v>
      </c>
      <c r="B140" s="573" t="s">
        <v>94</v>
      </c>
      <c r="C140" s="575" t="s">
        <v>364</v>
      </c>
      <c r="D140" s="639" t="s">
        <v>95</v>
      </c>
      <c r="E140" s="639" t="s">
        <v>328</v>
      </c>
      <c r="F140" s="639" t="s">
        <v>329</v>
      </c>
      <c r="G140" s="639" t="s">
        <v>448</v>
      </c>
      <c r="H140" s="576" t="s">
        <v>449</v>
      </c>
    </row>
    <row r="141" spans="1:8" s="491" customFormat="1" thickTop="1" thickBot="1" x14ac:dyDescent="0.25">
      <c r="A141" s="511">
        <v>1</v>
      </c>
      <c r="B141" s="512">
        <v>2</v>
      </c>
      <c r="C141" s="512">
        <v>3</v>
      </c>
      <c r="D141" s="512">
        <v>4</v>
      </c>
      <c r="E141" s="512">
        <v>5</v>
      </c>
      <c r="F141" s="499">
        <v>6</v>
      </c>
      <c r="G141" s="499">
        <v>7</v>
      </c>
      <c r="H141" s="577" t="s">
        <v>33</v>
      </c>
    </row>
    <row r="142" spans="1:8" s="491" customFormat="1" ht="15.75" thickTop="1" x14ac:dyDescent="0.25">
      <c r="A142" s="2605">
        <v>3429</v>
      </c>
      <c r="B142" s="2606">
        <v>5222</v>
      </c>
      <c r="C142" s="2360" t="s">
        <v>1122</v>
      </c>
      <c r="D142" s="853" t="s">
        <v>800</v>
      </c>
      <c r="E142" s="71">
        <v>300</v>
      </c>
      <c r="F142" s="71">
        <v>0</v>
      </c>
      <c r="G142" s="71">
        <v>0</v>
      </c>
      <c r="H142" s="199">
        <v>0</v>
      </c>
    </row>
    <row r="143" spans="1:8" s="491" customFormat="1" ht="15.75" thickBot="1" x14ac:dyDescent="0.3">
      <c r="A143" s="2836">
        <v>3741</v>
      </c>
      <c r="B143" s="2837">
        <v>5222</v>
      </c>
      <c r="C143" s="2360" t="s">
        <v>1122</v>
      </c>
      <c r="D143" s="853" t="s">
        <v>800</v>
      </c>
      <c r="E143" s="48">
        <v>0</v>
      </c>
      <c r="F143" s="165">
        <v>190</v>
      </c>
      <c r="G143" s="310">
        <v>190</v>
      </c>
      <c r="H143" s="208">
        <f>(G143/F143)*100</f>
        <v>100</v>
      </c>
    </row>
    <row r="144" spans="1:8" s="491" customFormat="1" ht="15.75" hidden="1" thickBot="1" x14ac:dyDescent="0.3">
      <c r="A144" s="2836">
        <v>3741</v>
      </c>
      <c r="B144" s="2837">
        <v>5331</v>
      </c>
      <c r="C144" s="2360" t="s">
        <v>1122</v>
      </c>
      <c r="D144" s="800" t="s">
        <v>465</v>
      </c>
      <c r="E144" s="48"/>
      <c r="F144" s="308"/>
      <c r="G144" s="310"/>
      <c r="H144" s="208" t="e">
        <f>(G144/F144)*100</f>
        <v>#DIV/0!</v>
      </c>
    </row>
    <row r="145" spans="1:13" s="491" customFormat="1" ht="19.5" thickTop="1" thickBot="1" x14ac:dyDescent="0.3">
      <c r="A145" s="578" t="s">
        <v>1201</v>
      </c>
      <c r="B145" s="744"/>
      <c r="C145" s="580"/>
      <c r="D145" s="581"/>
      <c r="E145" s="582">
        <f>SUM(E142:E144)</f>
        <v>300</v>
      </c>
      <c r="F145" s="582">
        <f>SUM(F142:F144)</f>
        <v>190</v>
      </c>
      <c r="G145" s="582">
        <f>SUM(G142:G144)</f>
        <v>190</v>
      </c>
      <c r="H145" s="783">
        <f>(G145/F145)*100</f>
        <v>100</v>
      </c>
    </row>
    <row r="146" spans="1:13" s="491" customFormat="1" ht="18.75" thickTop="1" x14ac:dyDescent="0.25">
      <c r="A146" s="353"/>
      <c r="B146" s="2351"/>
      <c r="C146" s="57"/>
      <c r="D146" s="354"/>
      <c r="E146" s="17"/>
      <c r="F146" s="17"/>
      <c r="G146" s="17"/>
      <c r="H146" s="2352"/>
    </row>
    <row r="147" spans="1:13" s="491" customFormat="1" ht="12.75" x14ac:dyDescent="0.2">
      <c r="A147" s="3182" t="s">
        <v>1204</v>
      </c>
      <c r="B147" s="3182"/>
      <c r="C147" s="3182"/>
      <c r="D147" s="3182"/>
      <c r="E147" s="3182"/>
      <c r="F147" s="3182"/>
      <c r="G147" s="3182"/>
      <c r="H147" s="3182"/>
    </row>
    <row r="148" spans="1:13" s="491" customFormat="1" ht="16.5" thickBot="1" x14ac:dyDescent="0.3">
      <c r="A148" s="33"/>
      <c r="B148" s="570"/>
      <c r="C148" s="571"/>
      <c r="D148" s="372"/>
      <c r="E148" s="373"/>
      <c r="F148" s="560"/>
      <c r="G148" s="373"/>
      <c r="H148" s="1568" t="s">
        <v>92</v>
      </c>
    </row>
    <row r="149" spans="1:13" s="491" customFormat="1" thickTop="1" thickBot="1" x14ac:dyDescent="0.25">
      <c r="A149" s="572" t="s">
        <v>93</v>
      </c>
      <c r="B149" s="573" t="s">
        <v>94</v>
      </c>
      <c r="C149" s="575" t="s">
        <v>364</v>
      </c>
      <c r="D149" s="639" t="s">
        <v>95</v>
      </c>
      <c r="E149" s="639" t="s">
        <v>328</v>
      </c>
      <c r="F149" s="639" t="s">
        <v>329</v>
      </c>
      <c r="G149" s="639" t="s">
        <v>448</v>
      </c>
      <c r="H149" s="576" t="s">
        <v>449</v>
      </c>
    </row>
    <row r="150" spans="1:13" s="491" customFormat="1" thickTop="1" thickBot="1" x14ac:dyDescent="0.25">
      <c r="A150" s="511">
        <v>1</v>
      </c>
      <c r="B150" s="512">
        <v>2</v>
      </c>
      <c r="C150" s="512">
        <v>3</v>
      </c>
      <c r="D150" s="512">
        <v>4</v>
      </c>
      <c r="E150" s="512">
        <v>5</v>
      </c>
      <c r="F150" s="499">
        <v>6</v>
      </c>
      <c r="G150" s="499">
        <v>7</v>
      </c>
      <c r="H150" s="577" t="s">
        <v>33</v>
      </c>
    </row>
    <row r="151" spans="1:13" s="491" customFormat="1" ht="15.75" thickTop="1" x14ac:dyDescent="0.25">
      <c r="A151" s="2605">
        <v>3429</v>
      </c>
      <c r="B151" s="2606">
        <v>5213</v>
      </c>
      <c r="C151" s="2360" t="s">
        <v>1120</v>
      </c>
      <c r="D151" s="800" t="s">
        <v>1610</v>
      </c>
      <c r="E151" s="48">
        <v>0</v>
      </c>
      <c r="F151" s="308">
        <v>30</v>
      </c>
      <c r="G151" s="310">
        <v>30</v>
      </c>
      <c r="H151" s="199">
        <f>(G151/F151)*100</f>
        <v>100</v>
      </c>
    </row>
    <row r="152" spans="1:13" s="491" customFormat="1" ht="15.75" thickBot="1" x14ac:dyDescent="0.3">
      <c r="A152" s="2605">
        <v>3429</v>
      </c>
      <c r="B152" s="2606">
        <v>5222</v>
      </c>
      <c r="C152" s="2360" t="s">
        <v>1120</v>
      </c>
      <c r="D152" s="853" t="s">
        <v>800</v>
      </c>
      <c r="E152" s="48">
        <v>1000</v>
      </c>
      <c r="F152" s="308">
        <v>728</v>
      </c>
      <c r="G152" s="310">
        <v>728</v>
      </c>
      <c r="H152" s="199">
        <f t="shared" ref="H152" si="17">(G152/F152)*100</f>
        <v>100</v>
      </c>
    </row>
    <row r="153" spans="1:13" s="491" customFormat="1" ht="15.75" hidden="1" thickBot="1" x14ac:dyDescent="0.3">
      <c r="A153" s="2605">
        <v>3429</v>
      </c>
      <c r="B153" s="2606">
        <v>6322</v>
      </c>
      <c r="C153" s="2360" t="s">
        <v>1120</v>
      </c>
      <c r="D153" s="87" t="s">
        <v>1630</v>
      </c>
      <c r="E153" s="48"/>
      <c r="F153" s="308"/>
      <c r="G153" s="310"/>
      <c r="H153" s="199" t="e">
        <f>(G153/F153)*100</f>
        <v>#DIV/0!</v>
      </c>
    </row>
    <row r="154" spans="1:13" s="491" customFormat="1" ht="19.5" thickTop="1" thickBot="1" x14ac:dyDescent="0.3">
      <c r="A154" s="578" t="s">
        <v>1203</v>
      </c>
      <c r="B154" s="744"/>
      <c r="C154" s="580"/>
      <c r="D154" s="581"/>
      <c r="E154" s="582">
        <f>SUM(E151:E153)</f>
        <v>1000</v>
      </c>
      <c r="F154" s="582">
        <f>SUM(F151:F153)</f>
        <v>758</v>
      </c>
      <c r="G154" s="582">
        <f>SUM(G151:G153)</f>
        <v>758</v>
      </c>
      <c r="H154" s="783">
        <f>(G154/F154)*100</f>
        <v>100</v>
      </c>
      <c r="J154" s="372"/>
      <c r="K154" s="373"/>
      <c r="L154" s="373"/>
      <c r="M154" s="373"/>
    </row>
    <row r="155" spans="1:13" s="491" customFormat="1" ht="18.75" thickTop="1" x14ac:dyDescent="0.25">
      <c r="A155" s="353"/>
      <c r="B155" s="2351"/>
      <c r="C155" s="57"/>
      <c r="D155" s="354"/>
      <c r="E155" s="17"/>
      <c r="F155" s="17"/>
      <c r="G155" s="17"/>
      <c r="H155" s="2352"/>
      <c r="J155" s="372"/>
      <c r="K155" s="373"/>
      <c r="L155" s="373"/>
      <c r="M155" s="373"/>
    </row>
    <row r="156" spans="1:13" s="491" customFormat="1" ht="27" customHeight="1" x14ac:dyDescent="0.2">
      <c r="A156" s="3182" t="s">
        <v>1849</v>
      </c>
      <c r="B156" s="3182"/>
      <c r="C156" s="3182"/>
      <c r="D156" s="3182"/>
      <c r="E156" s="3182"/>
      <c r="F156" s="3182"/>
      <c r="G156" s="3182"/>
      <c r="H156" s="3182"/>
      <c r="J156" s="372"/>
      <c r="K156" s="373"/>
      <c r="L156" s="373"/>
      <c r="M156" s="373"/>
    </row>
    <row r="157" spans="1:13" s="491" customFormat="1" ht="16.5" thickBot="1" x14ac:dyDescent="0.3">
      <c r="A157" s="33"/>
      <c r="B157" s="570"/>
      <c r="C157" s="571"/>
      <c r="D157" s="372"/>
      <c r="E157" s="373"/>
      <c r="F157" s="560"/>
      <c r="G157" s="373"/>
      <c r="H157" s="1568" t="s">
        <v>92</v>
      </c>
      <c r="J157" s="372"/>
      <c r="K157" s="373"/>
      <c r="L157" s="373"/>
      <c r="M157" s="373"/>
    </row>
    <row r="158" spans="1:13" s="491" customFormat="1" thickTop="1" thickBot="1" x14ac:dyDescent="0.25">
      <c r="A158" s="572" t="s">
        <v>93</v>
      </c>
      <c r="B158" s="573" t="s">
        <v>94</v>
      </c>
      <c r="C158" s="575" t="s">
        <v>364</v>
      </c>
      <c r="D158" s="639" t="s">
        <v>95</v>
      </c>
      <c r="E158" s="639" t="s">
        <v>328</v>
      </c>
      <c r="F158" s="639" t="s">
        <v>329</v>
      </c>
      <c r="G158" s="639" t="s">
        <v>448</v>
      </c>
      <c r="H158" s="576" t="s">
        <v>449</v>
      </c>
      <c r="J158" s="372"/>
      <c r="K158" s="373"/>
      <c r="L158" s="373"/>
      <c r="M158" s="373"/>
    </row>
    <row r="159" spans="1:13" s="491" customFormat="1" thickTop="1" thickBot="1" x14ac:dyDescent="0.25">
      <c r="A159" s="511">
        <v>1</v>
      </c>
      <c r="B159" s="512">
        <v>2</v>
      </c>
      <c r="C159" s="512">
        <v>3</v>
      </c>
      <c r="D159" s="512">
        <v>4</v>
      </c>
      <c r="E159" s="512">
        <v>5</v>
      </c>
      <c r="F159" s="499">
        <v>6</v>
      </c>
      <c r="G159" s="499">
        <v>7</v>
      </c>
      <c r="H159" s="577" t="s">
        <v>33</v>
      </c>
      <c r="J159" s="372"/>
      <c r="K159" s="373"/>
      <c r="L159" s="373"/>
      <c r="M159" s="373"/>
    </row>
    <row r="160" spans="1:13" s="491" customFormat="1" ht="15" customHeight="1" thickTop="1" x14ac:dyDescent="0.25">
      <c r="A160" s="2605">
        <v>3429</v>
      </c>
      <c r="B160" s="2606">
        <v>5212</v>
      </c>
      <c r="C160" s="2360" t="s">
        <v>1850</v>
      </c>
      <c r="D160" s="800" t="s">
        <v>1611</v>
      </c>
      <c r="E160" s="48">
        <v>0</v>
      </c>
      <c r="F160" s="308">
        <v>40</v>
      </c>
      <c r="G160" s="310">
        <v>40</v>
      </c>
      <c r="H160" s="199">
        <f>(G160/F160)*100</f>
        <v>100</v>
      </c>
      <c r="J160" s="372"/>
      <c r="K160" s="373"/>
      <c r="L160" s="373"/>
      <c r="M160" s="373"/>
    </row>
    <row r="161" spans="1:13" s="491" customFormat="1" ht="15" hidden="1" x14ac:dyDescent="0.25">
      <c r="A161" s="2605">
        <v>3429</v>
      </c>
      <c r="B161" s="2606">
        <v>5213</v>
      </c>
      <c r="C161" s="2360" t="s">
        <v>1850</v>
      </c>
      <c r="D161" s="800" t="s">
        <v>1610</v>
      </c>
      <c r="E161" s="48"/>
      <c r="F161" s="308"/>
      <c r="G161" s="310"/>
      <c r="H161" s="199" t="e">
        <f>(G161/F161)*100</f>
        <v>#DIV/0!</v>
      </c>
      <c r="J161" s="372"/>
      <c r="K161" s="373"/>
      <c r="L161" s="373"/>
      <c r="M161" s="373"/>
    </row>
    <row r="162" spans="1:13" s="491" customFormat="1" ht="15" x14ac:dyDescent="0.25">
      <c r="A162" s="2605">
        <v>3429</v>
      </c>
      <c r="B162" s="2606">
        <v>5222</v>
      </c>
      <c r="C162" s="2360" t="s">
        <v>1850</v>
      </c>
      <c r="D162" s="853" t="s">
        <v>800</v>
      </c>
      <c r="E162" s="48">
        <v>1700</v>
      </c>
      <c r="F162" s="308">
        <v>1639</v>
      </c>
      <c r="G162" s="310">
        <v>1610</v>
      </c>
      <c r="H162" s="199">
        <f>(G162/F162)*100</f>
        <v>98.230628431970715</v>
      </c>
      <c r="J162" s="372"/>
      <c r="K162" s="373"/>
      <c r="L162" s="373"/>
      <c r="M162" s="373"/>
    </row>
    <row r="163" spans="1:13" s="491" customFormat="1" ht="15" x14ac:dyDescent="0.25">
      <c r="A163" s="2605">
        <v>3429</v>
      </c>
      <c r="B163" s="2606">
        <v>5321</v>
      </c>
      <c r="C163" s="2360" t="s">
        <v>1850</v>
      </c>
      <c r="D163" s="800" t="s">
        <v>566</v>
      </c>
      <c r="E163" s="71">
        <v>0</v>
      </c>
      <c r="F163" s="71">
        <v>245</v>
      </c>
      <c r="G163" s="71">
        <v>213</v>
      </c>
      <c r="H163" s="199">
        <f>(G163/F163)*100</f>
        <v>86.938775510204081</v>
      </c>
      <c r="J163" s="372"/>
      <c r="K163" s="373"/>
      <c r="L163" s="373"/>
      <c r="M163" s="373"/>
    </row>
    <row r="164" spans="1:13" s="491" customFormat="1" ht="15.75" thickBot="1" x14ac:dyDescent="0.3">
      <c r="A164" s="2605">
        <v>3429</v>
      </c>
      <c r="B164" s="2606">
        <v>5331</v>
      </c>
      <c r="C164" s="2360" t="s">
        <v>1850</v>
      </c>
      <c r="D164" s="800" t="s">
        <v>465</v>
      </c>
      <c r="E164" s="48">
        <v>0</v>
      </c>
      <c r="F164" s="308">
        <v>128</v>
      </c>
      <c r="G164" s="310">
        <v>128</v>
      </c>
      <c r="H164" s="199">
        <f t="shared" ref="H164" si="18">(G164/F164)*100</f>
        <v>100</v>
      </c>
      <c r="J164" s="372"/>
      <c r="K164" s="373"/>
      <c r="L164" s="373"/>
      <c r="M164" s="373"/>
    </row>
    <row r="165" spans="1:13" s="491" customFormat="1" ht="19.5" thickTop="1" thickBot="1" x14ac:dyDescent="0.3">
      <c r="A165" s="578" t="s">
        <v>1199</v>
      </c>
      <c r="B165" s="744"/>
      <c r="C165" s="580"/>
      <c r="D165" s="581"/>
      <c r="E165" s="582">
        <f>SUM(E160:E164)</f>
        <v>1700</v>
      </c>
      <c r="F165" s="582">
        <f>SUM(F160:F164)</f>
        <v>2052</v>
      </c>
      <c r="G165" s="582">
        <f>SUM(G160:G164)</f>
        <v>1991</v>
      </c>
      <c r="H165" s="783">
        <f>(G165/F165)*100</f>
        <v>97.027290448343081</v>
      </c>
      <c r="J165" s="372"/>
      <c r="K165" s="373"/>
      <c r="L165" s="373"/>
      <c r="M165" s="373"/>
    </row>
    <row r="166" spans="1:13" s="491" customFormat="1" ht="18.75" thickTop="1" x14ac:dyDescent="0.25">
      <c r="A166" s="353"/>
      <c r="B166" s="2351"/>
      <c r="C166" s="57"/>
      <c r="D166" s="354"/>
      <c r="E166" s="17"/>
      <c r="F166" s="17"/>
      <c r="G166" s="17"/>
      <c r="H166" s="2352"/>
      <c r="J166" s="372" t="s">
        <v>1512</v>
      </c>
      <c r="K166" s="373">
        <f>E67+E68+E69+E70+E71+E72+E73+E74+E84+E85+E86+E87+E88+E89+E96+E103+E112+E113+E120+E121+E122+E123+E124+E131+E132+E134+E133+E142+E143+E144+E151+E152+E160+E161+E162+E163+E164</f>
        <v>15400</v>
      </c>
      <c r="L166" s="373">
        <f t="shared" ref="L166:M166" si="19">F67+F68+F69+F70+F71+F72+F73+F74+F84+F85+F86+F87+F88+F89+F96+F103+F112+F113+F120+F121+F122+F123+F124+F131+F132+F134+F133+F142+F143+F144+F151+F152+F160+F161+F162+F163+F164</f>
        <v>18822</v>
      </c>
      <c r="M166" s="373">
        <f t="shared" si="19"/>
        <v>13354</v>
      </c>
    </row>
    <row r="167" spans="1:13" s="491" customFormat="1" ht="18.75" thickBot="1" x14ac:dyDescent="0.3">
      <c r="A167" s="353"/>
      <c r="B167" s="2351"/>
      <c r="C167" s="57"/>
      <c r="D167" s="354"/>
      <c r="E167" s="17"/>
      <c r="F167" s="17"/>
      <c r="G167" s="17"/>
      <c r="H167" s="2352"/>
      <c r="J167" s="372" t="s">
        <v>1511</v>
      </c>
      <c r="K167" s="373">
        <f>E75+E76+E77+E104+E105+E135+E153</f>
        <v>0</v>
      </c>
      <c r="L167" s="373">
        <f t="shared" ref="L167:M167" si="20">F75+F76+F77+F104+F105+F135+F153</f>
        <v>1209</v>
      </c>
      <c r="M167" s="373">
        <f t="shared" si="20"/>
        <v>1209</v>
      </c>
    </row>
    <row r="168" spans="1:13" s="491" customFormat="1" ht="19.5" thickTop="1" thickBot="1" x14ac:dyDescent="0.3">
      <c r="A168" s="578" t="s">
        <v>1152</v>
      </c>
      <c r="B168" s="744"/>
      <c r="C168" s="580"/>
      <c r="D168" s="581"/>
      <c r="E168" s="582">
        <f>E154+E145+E136+E125+E114+E106+E97+E90+E78+E165</f>
        <v>15400</v>
      </c>
      <c r="F168" s="582">
        <f t="shared" ref="F168:G168" si="21">F154+F145+F136+F125+F114+F106+F97+F90+F78+F165</f>
        <v>20031</v>
      </c>
      <c r="G168" s="582">
        <f t="shared" si="21"/>
        <v>14563</v>
      </c>
      <c r="H168" s="783">
        <f>(G168/F168)*100</f>
        <v>72.702311417303179</v>
      </c>
      <c r="J168" s="372"/>
      <c r="K168" s="526">
        <f>SUM(K154:K167)</f>
        <v>15400</v>
      </c>
      <c r="L168" s="526">
        <f>SUM(L154:L167)</f>
        <v>20031</v>
      </c>
      <c r="M168" s="526">
        <f>SUM(M154:M167)</f>
        <v>14563</v>
      </c>
    </row>
    <row r="169" spans="1:13" s="491" customFormat="1" ht="18.75" thickTop="1" x14ac:dyDescent="0.25">
      <c r="A169" s="353"/>
      <c r="B169" s="2351"/>
      <c r="C169" s="57"/>
      <c r="D169" s="354"/>
      <c r="E169" s="17"/>
      <c r="F169" s="17"/>
      <c r="G169" s="17"/>
      <c r="H169" s="2352"/>
    </row>
    <row r="170" spans="1:13" s="491" customFormat="1" ht="18" x14ac:dyDescent="0.25">
      <c r="A170" s="353"/>
      <c r="B170" s="2351"/>
      <c r="C170" s="57"/>
      <c r="D170" s="354"/>
      <c r="E170" s="17"/>
      <c r="F170" s="17"/>
      <c r="G170" s="17"/>
      <c r="H170" s="2352"/>
    </row>
    <row r="171" spans="1:13" s="491" customFormat="1" ht="15" x14ac:dyDescent="0.25">
      <c r="A171" s="584"/>
      <c r="B171" s="584"/>
      <c r="C171" s="606"/>
      <c r="D171" s="607"/>
      <c r="E171" s="608"/>
      <c r="F171" s="609"/>
      <c r="G171" s="610"/>
      <c r="H171" s="611"/>
    </row>
    <row r="172" spans="1:13" ht="16.5" x14ac:dyDescent="0.25">
      <c r="A172" s="356" t="s">
        <v>114</v>
      </c>
      <c r="B172" s="357"/>
      <c r="C172" s="358"/>
      <c r="D172" s="358"/>
      <c r="E172" s="734">
        <f>E173+E175+E176+E174</f>
        <v>6079</v>
      </c>
      <c r="F172" s="734">
        <f t="shared" ref="F172:G172" si="22">F173+F175+F176+F174</f>
        <v>10821</v>
      </c>
      <c r="G172" s="734">
        <f t="shared" si="22"/>
        <v>9556</v>
      </c>
      <c r="H172" s="300">
        <f>G172/F172*100</f>
        <v>88.309768043618888</v>
      </c>
      <c r="J172" s="1291">
        <f>SUM(J173:J176)</f>
        <v>6079000</v>
      </c>
      <c r="K172" s="1291">
        <f>SUM(K173:K176)</f>
        <v>10822184</v>
      </c>
      <c r="L172" s="1291">
        <f>SUM(L173:L176)</f>
        <v>9556060.9499999993</v>
      </c>
    </row>
    <row r="173" spans="1:13" s="860" customFormat="1" ht="15" x14ac:dyDescent="0.2">
      <c r="A173" s="507" t="s">
        <v>147</v>
      </c>
      <c r="B173" s="528"/>
      <c r="C173" s="529"/>
      <c r="D173" s="529"/>
      <c r="E173" s="735">
        <f>E51</f>
        <v>6079</v>
      </c>
      <c r="F173" s="735">
        <f>F51-F175</f>
        <v>6278</v>
      </c>
      <c r="G173" s="735">
        <f>G51-G175</f>
        <v>5013</v>
      </c>
      <c r="H173" s="301">
        <f>G173/F173*100</f>
        <v>79.850270786874802</v>
      </c>
      <c r="J173" s="2312">
        <f>5979000+100000</f>
        <v>6079000</v>
      </c>
      <c r="K173" s="2312">
        <f>5698950+100000+240000+240050</f>
        <v>6279000</v>
      </c>
      <c r="L173" s="2312">
        <f>4672876.95+240000+100000</f>
        <v>5012876.95</v>
      </c>
    </row>
    <row r="174" spans="1:13" s="860" customFormat="1" ht="15" x14ac:dyDescent="0.2">
      <c r="A174" s="507" t="s">
        <v>148</v>
      </c>
      <c r="B174" s="528"/>
      <c r="C174" s="529"/>
      <c r="D174" s="529"/>
      <c r="E174" s="735">
        <f>E60</f>
        <v>0</v>
      </c>
      <c r="F174" s="735">
        <v>0</v>
      </c>
      <c r="G174" s="735">
        <v>0</v>
      </c>
      <c r="H174" s="301">
        <v>0</v>
      </c>
      <c r="J174" s="2312">
        <v>0</v>
      </c>
      <c r="K174" s="2312">
        <v>0</v>
      </c>
      <c r="L174" s="2312">
        <v>0</v>
      </c>
    </row>
    <row r="175" spans="1:13" s="860" customFormat="1" ht="15" x14ac:dyDescent="0.2">
      <c r="A175" s="507" t="s">
        <v>119</v>
      </c>
      <c r="B175" s="533"/>
      <c r="C175" s="529"/>
      <c r="D175" s="529"/>
      <c r="E175" s="735">
        <v>0</v>
      </c>
      <c r="F175" s="735">
        <f>F50+F17</f>
        <v>543</v>
      </c>
      <c r="G175" s="735">
        <f>G50+G17</f>
        <v>543</v>
      </c>
      <c r="H175" s="301">
        <f>G175/F175*100</f>
        <v>100</v>
      </c>
      <c r="J175" s="2312">
        <v>0</v>
      </c>
      <c r="K175" s="2312">
        <f>173000+370184</f>
        <v>543184</v>
      </c>
      <c r="L175" s="2312">
        <f>173000+370184</f>
        <v>543184</v>
      </c>
    </row>
    <row r="176" spans="1:13" s="860" customFormat="1" ht="15" x14ac:dyDescent="0.2">
      <c r="A176" s="507" t="s">
        <v>537</v>
      </c>
      <c r="B176" s="533"/>
      <c r="C176" s="529"/>
      <c r="D176" s="529"/>
      <c r="E176" s="735">
        <f>E60</f>
        <v>0</v>
      </c>
      <c r="F176" s="735">
        <f t="shared" ref="F176:G176" si="23">F60</f>
        <v>4000</v>
      </c>
      <c r="G176" s="735">
        <f t="shared" si="23"/>
        <v>4000</v>
      </c>
      <c r="H176" s="301">
        <f>G176/F176*100</f>
        <v>100</v>
      </c>
      <c r="J176" s="2312">
        <v>0</v>
      </c>
      <c r="K176" s="2312">
        <v>4000000</v>
      </c>
      <c r="L176" s="2312">
        <v>4000000</v>
      </c>
    </row>
    <row r="177" spans="1:12" s="860" customFormat="1" ht="15" x14ac:dyDescent="0.2">
      <c r="A177" s="507"/>
      <c r="B177" s="533"/>
      <c r="C177" s="529"/>
      <c r="D177" s="529"/>
      <c r="E177" s="735"/>
      <c r="F177" s="535"/>
      <c r="G177" s="535"/>
      <c r="H177" s="301"/>
      <c r="J177" s="2312"/>
      <c r="K177" s="2312"/>
      <c r="L177" s="2312"/>
    </row>
    <row r="178" spans="1:12" s="2868" customFormat="1" ht="16.5" x14ac:dyDescent="0.25">
      <c r="A178" s="356" t="s">
        <v>1151</v>
      </c>
      <c r="B178" s="2869"/>
      <c r="C178" s="2865"/>
      <c r="D178" s="2865"/>
      <c r="E178" s="2872">
        <f>E168</f>
        <v>15400</v>
      </c>
      <c r="F178" s="2872">
        <f>F168</f>
        <v>20031</v>
      </c>
      <c r="G178" s="2872">
        <f>G168</f>
        <v>14563</v>
      </c>
      <c r="H178" s="2873">
        <f t="shared" ref="H178" si="24">G178/F178*100</f>
        <v>72.702311417303179</v>
      </c>
      <c r="J178" s="2874">
        <v>15400000</v>
      </c>
      <c r="K178" s="2874">
        <f>4439615+15590483</f>
        <v>20030098</v>
      </c>
      <c r="L178" s="2874">
        <f>4014315+425300+9339640.16+784208</f>
        <v>14563463.16</v>
      </c>
    </row>
    <row r="179" spans="1:12" s="491" customFormat="1" x14ac:dyDescent="0.2">
      <c r="A179" s="631"/>
      <c r="B179" s="737"/>
      <c r="C179" s="738"/>
      <c r="D179" s="107"/>
      <c r="E179" s="430"/>
      <c r="F179" s="430"/>
      <c r="G179" s="430"/>
      <c r="H179" s="707"/>
    </row>
    <row r="180" spans="1:12" s="58" customFormat="1" ht="47.25" customHeight="1" thickBot="1" x14ac:dyDescent="0.4">
      <c r="A180" s="3196" t="s">
        <v>559</v>
      </c>
      <c r="B180" s="3199"/>
      <c r="C180" s="3199"/>
      <c r="D180" s="3199"/>
      <c r="E180" s="536">
        <f>E168+E51+E60</f>
        <v>21479</v>
      </c>
      <c r="F180" s="536">
        <f t="shared" ref="F180:G180" si="25">F168+F51+F60</f>
        <v>30852</v>
      </c>
      <c r="G180" s="536">
        <f t="shared" si="25"/>
        <v>24119</v>
      </c>
      <c r="H180" s="739">
        <f>(G180/F180)*100</f>
        <v>78.176455335148461</v>
      </c>
      <c r="J180" s="2577">
        <f>J172+J178</f>
        <v>21479000</v>
      </c>
      <c r="K180" s="2577">
        <f>K172+K178</f>
        <v>30852282</v>
      </c>
      <c r="L180" s="2577">
        <f>L172+L178</f>
        <v>24119524.109999999</v>
      </c>
    </row>
    <row r="181" spans="1:12" ht="15" thickTop="1" x14ac:dyDescent="0.2"/>
  </sheetData>
  <mergeCells count="12">
    <mergeCell ref="A180:D180"/>
    <mergeCell ref="A62:H62"/>
    <mergeCell ref="A63:H63"/>
    <mergeCell ref="A80:H80"/>
    <mergeCell ref="A92:H92"/>
    <mergeCell ref="A99:H99"/>
    <mergeCell ref="A108:H108"/>
    <mergeCell ref="A116:H116"/>
    <mergeCell ref="A127:H127"/>
    <mergeCell ref="A138:H138"/>
    <mergeCell ref="A147:H147"/>
    <mergeCell ref="A156:H156"/>
  </mergeCells>
  <phoneticPr fontId="0" type="noConversion"/>
  <pageMargins left="0.98425196850393704" right="0.98425196850393704" top="0.98425196850393704" bottom="0.98425196850393704" header="0.51181102362204722" footer="0.51181102362204722"/>
  <pageSetup paperSize="9" scale="66" firstPageNumber="37" orientation="portrait" useFirstPageNumber="1" r:id="rId1"/>
  <headerFooter alignWithMargins="0">
    <oddFooter>&amp;L&amp;"Arial,Kurzíva"Zastupitelstvo Olomouckého kraje 25. 6. 2018
5. - Rozpočet Olomouckého kraje 2017 - závěrečný  účet 
Příloha č. 3: Plnění rozpočtu výdajů Olomouckého kraje k 31. 12. 2017&amp;R&amp;"Arial,Kurzíva"Strana &amp;P (celkem 478)</oddFooter>
  </headerFooter>
  <rowBreaks count="2" manualBreakCount="2">
    <brk id="79" max="7" man="1"/>
    <brk id="168" max="7" man="1"/>
  </rowBreaks>
  <ignoredErrors>
    <ignoredError sqref="E90:G90" formulaRange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CCFFFF"/>
  </sheetPr>
  <dimension ref="A1:U497"/>
  <sheetViews>
    <sheetView showGridLines="0" view="pageBreakPreview" topLeftCell="A466" zoomScaleNormal="100" zoomScaleSheetLayoutView="100" workbookViewId="0">
      <selection activeCell="A495" sqref="A495"/>
    </sheetView>
  </sheetViews>
  <sheetFormatPr defaultColWidth="9.140625" defaultRowHeight="14.25" x14ac:dyDescent="0.2"/>
  <cols>
    <col min="1" max="1" width="5.28515625" style="584" customWidth="1"/>
    <col min="2" max="2" width="4.85546875" style="372" customWidth="1"/>
    <col min="3" max="3" width="9.7109375" style="595" customWidth="1"/>
    <col min="4" max="4" width="47.140625" style="372" customWidth="1"/>
    <col min="5" max="5" width="14.7109375" style="484" customWidth="1"/>
    <col min="6" max="6" width="14.85546875" style="484" customWidth="1"/>
    <col min="7" max="7" width="13.42578125" style="484" customWidth="1"/>
    <col min="8" max="8" width="8.28515625" style="636" customWidth="1"/>
    <col min="9" max="9" width="2.7109375" style="372" customWidth="1"/>
    <col min="10" max="10" width="10.28515625" style="372" customWidth="1"/>
    <col min="11" max="11" width="19.85546875" style="372" bestFit="1" customWidth="1"/>
    <col min="12" max="13" width="19.28515625" style="372" bestFit="1" customWidth="1"/>
    <col min="14" max="14" width="10.7109375" style="372" bestFit="1" customWidth="1"/>
    <col min="15" max="15" width="4.7109375" style="372" customWidth="1"/>
    <col min="16" max="16" width="3.28515625" style="372" customWidth="1"/>
    <col min="17" max="17" width="24.7109375" style="372" customWidth="1"/>
    <col min="18" max="19" width="28" style="372" customWidth="1"/>
    <col min="20" max="20" width="19.85546875" style="372" customWidth="1"/>
    <col min="21" max="16384" width="9.140625" style="372"/>
  </cols>
  <sheetData>
    <row r="1" spans="1:13" ht="18.75" thickBot="1" x14ac:dyDescent="0.3">
      <c r="A1" s="441" t="s">
        <v>1939</v>
      </c>
      <c r="B1" s="442"/>
      <c r="C1" s="443"/>
      <c r="D1" s="453"/>
      <c r="E1" s="934"/>
      <c r="F1" s="445" t="s">
        <v>367</v>
      </c>
    </row>
    <row r="2" spans="1:13" ht="12.75" customHeight="1" x14ac:dyDescent="0.25">
      <c r="A2" s="6"/>
      <c r="B2" s="28"/>
      <c r="C2" s="139"/>
      <c r="D2" s="10"/>
      <c r="E2" s="440"/>
      <c r="F2" s="440"/>
      <c r="G2" s="165"/>
      <c r="H2" s="209"/>
    </row>
    <row r="3" spans="1:13" ht="12.75" customHeight="1" x14ac:dyDescent="0.25">
      <c r="A3" s="67" t="s">
        <v>201</v>
      </c>
      <c r="B3" s="303"/>
      <c r="C3" s="1563" t="s">
        <v>944</v>
      </c>
      <c r="D3" s="569"/>
      <c r="E3" s="440"/>
      <c r="F3" s="165"/>
      <c r="G3" s="177"/>
      <c r="H3" s="209"/>
    </row>
    <row r="4" spans="1:13" ht="12.75" customHeight="1" x14ac:dyDescent="0.25">
      <c r="A4" s="6"/>
      <c r="B4" s="28"/>
      <c r="C4" s="1563" t="s">
        <v>250</v>
      </c>
      <c r="D4" s="373"/>
      <c r="E4" s="440"/>
      <c r="F4" s="165"/>
      <c r="G4" s="177"/>
      <c r="H4" s="209"/>
    </row>
    <row r="5" spans="1:13" ht="6" customHeight="1" x14ac:dyDescent="0.25">
      <c r="A5" s="6"/>
      <c r="B5" s="28"/>
      <c r="C5" s="139"/>
      <c r="D5" s="10"/>
      <c r="E5" s="440"/>
      <c r="F5" s="440"/>
      <c r="G5" s="165"/>
      <c r="H5" s="209"/>
    </row>
    <row r="6" spans="1:13" ht="15.75" x14ac:dyDescent="0.25">
      <c r="A6" s="97" t="s">
        <v>450</v>
      </c>
      <c r="B6" s="28"/>
      <c r="C6" s="139"/>
      <c r="D6" s="10"/>
      <c r="E6" s="440"/>
      <c r="F6" s="440"/>
      <c r="G6" s="165"/>
    </row>
    <row r="7" spans="1:13" ht="12.75" customHeight="1" thickBot="1" x14ac:dyDescent="0.3">
      <c r="A7" s="97"/>
      <c r="B7" s="28"/>
      <c r="C7" s="139"/>
      <c r="D7" s="10"/>
      <c r="E7" s="440"/>
      <c r="F7" s="440"/>
      <c r="G7" s="165"/>
      <c r="H7" s="1090" t="s">
        <v>92</v>
      </c>
    </row>
    <row r="8" spans="1:13" s="106" customFormat="1" ht="20.25" customHeight="1" thickTop="1" thickBot="1" x14ac:dyDescent="0.25">
      <c r="A8" s="572" t="s">
        <v>93</v>
      </c>
      <c r="B8" s="573" t="s">
        <v>94</v>
      </c>
      <c r="C8" s="601" t="s">
        <v>364</v>
      </c>
      <c r="D8" s="575" t="s">
        <v>95</v>
      </c>
      <c r="E8" s="575" t="s">
        <v>328</v>
      </c>
      <c r="F8" s="575" t="s">
        <v>329</v>
      </c>
      <c r="G8" s="575" t="s">
        <v>448</v>
      </c>
      <c r="H8" s="576" t="s">
        <v>449</v>
      </c>
    </row>
    <row r="9" spans="1:13" s="374" customFormat="1" ht="13.5" thickTop="1" thickBot="1" x14ac:dyDescent="0.25">
      <c r="A9" s="511">
        <v>1</v>
      </c>
      <c r="B9" s="512">
        <v>2</v>
      </c>
      <c r="C9" s="512">
        <v>3</v>
      </c>
      <c r="D9" s="512">
        <v>4</v>
      </c>
      <c r="E9" s="512">
        <v>5</v>
      </c>
      <c r="F9" s="499">
        <v>6</v>
      </c>
      <c r="G9" s="499">
        <v>7</v>
      </c>
      <c r="H9" s="577" t="s">
        <v>33</v>
      </c>
      <c r="I9" s="106"/>
      <c r="K9" s="2413"/>
    </row>
    <row r="10" spans="1:13" s="374" customFormat="1" ht="15.75" thickTop="1" x14ac:dyDescent="0.25">
      <c r="A10" s="2824">
        <v>3269</v>
      </c>
      <c r="B10" s="2431">
        <v>5021</v>
      </c>
      <c r="C10" s="788"/>
      <c r="D10" s="1130" t="s">
        <v>217</v>
      </c>
      <c r="E10" s="310">
        <f>E11</f>
        <v>0</v>
      </c>
      <c r="F10" s="310">
        <f t="shared" ref="F10:G10" si="0">F11</f>
        <v>117</v>
      </c>
      <c r="G10" s="310">
        <f t="shared" si="0"/>
        <v>117</v>
      </c>
      <c r="H10" s="913">
        <f t="shared" ref="H10:H17" si="1">(G10/F10)*100</f>
        <v>100</v>
      </c>
      <c r="I10" s="106"/>
      <c r="K10" s="2413">
        <f>K11</f>
        <v>0</v>
      </c>
      <c r="L10" s="2413">
        <f t="shared" ref="L10:M10" si="2">L11</f>
        <v>117000</v>
      </c>
      <c r="M10" s="2413">
        <f t="shared" si="2"/>
        <v>117000</v>
      </c>
    </row>
    <row r="11" spans="1:13" s="374" customFormat="1" x14ac:dyDescent="0.2">
      <c r="A11" s="2915"/>
      <c r="B11" s="879"/>
      <c r="C11" s="2977" t="s">
        <v>923</v>
      </c>
      <c r="D11" s="1646" t="s">
        <v>653</v>
      </c>
      <c r="E11" s="311">
        <v>0</v>
      </c>
      <c r="F11" s="309">
        <v>117</v>
      </c>
      <c r="G11" s="311">
        <v>117</v>
      </c>
      <c r="H11" s="506">
        <f t="shared" si="1"/>
        <v>100</v>
      </c>
      <c r="I11" s="106"/>
      <c r="K11" s="2331">
        <v>0</v>
      </c>
      <c r="L11" s="2331">
        <v>117000</v>
      </c>
      <c r="M11" s="2331">
        <v>117000</v>
      </c>
    </row>
    <row r="12" spans="1:13" s="374" customFormat="1" ht="15" x14ac:dyDescent="0.25">
      <c r="A12" s="2824">
        <v>3269</v>
      </c>
      <c r="B12" s="2431">
        <v>5139</v>
      </c>
      <c r="C12" s="708"/>
      <c r="D12" s="371" t="s">
        <v>396</v>
      </c>
      <c r="E12" s="310">
        <f>E13+E14</f>
        <v>60</v>
      </c>
      <c r="F12" s="310">
        <f t="shared" ref="F12:G12" si="3">F13+F14</f>
        <v>65</v>
      </c>
      <c r="G12" s="310">
        <f t="shared" si="3"/>
        <v>38</v>
      </c>
      <c r="H12" s="913">
        <f t="shared" si="1"/>
        <v>58.461538461538467</v>
      </c>
      <c r="I12" s="106"/>
      <c r="K12" s="2413">
        <f>K13+K14</f>
        <v>60000</v>
      </c>
      <c r="L12" s="2413">
        <f t="shared" ref="L12:M12" si="4">L13+L14</f>
        <v>65000</v>
      </c>
      <c r="M12" s="2413">
        <f t="shared" si="4"/>
        <v>38572</v>
      </c>
    </row>
    <row r="13" spans="1:13" s="374" customFormat="1" x14ac:dyDescent="0.2">
      <c r="A13" s="2824"/>
      <c r="B13" s="2431"/>
      <c r="C13" s="2977" t="s">
        <v>871</v>
      </c>
      <c r="D13" s="1646" t="s">
        <v>600</v>
      </c>
      <c r="E13" s="311">
        <v>60</v>
      </c>
      <c r="F13" s="309">
        <v>35</v>
      </c>
      <c r="G13" s="311">
        <v>15</v>
      </c>
      <c r="H13" s="506">
        <f t="shared" si="1"/>
        <v>42.857142857142854</v>
      </c>
      <c r="I13" s="106"/>
      <c r="K13" s="2331">
        <v>60000</v>
      </c>
      <c r="L13" s="2331">
        <v>35000</v>
      </c>
      <c r="M13" s="2331">
        <v>15100</v>
      </c>
    </row>
    <row r="14" spans="1:13" s="374" customFormat="1" x14ac:dyDescent="0.2">
      <c r="A14" s="2824"/>
      <c r="B14" s="2431"/>
      <c r="C14" s="2978" t="s">
        <v>923</v>
      </c>
      <c r="D14" s="1646" t="s">
        <v>653</v>
      </c>
      <c r="E14" s="893">
        <v>0</v>
      </c>
      <c r="F14" s="894">
        <v>30</v>
      </c>
      <c r="G14" s="893">
        <v>23</v>
      </c>
      <c r="H14" s="2354">
        <f>(G14/F14)*100</f>
        <v>76.666666666666671</v>
      </c>
      <c r="I14" s="106"/>
      <c r="K14" s="2331">
        <v>0</v>
      </c>
      <c r="L14" s="2331">
        <v>30000</v>
      </c>
      <c r="M14" s="2331">
        <v>23472</v>
      </c>
    </row>
    <row r="15" spans="1:13" s="835" customFormat="1" ht="14.25" customHeight="1" x14ac:dyDescent="0.25">
      <c r="A15" s="2824">
        <v>3269</v>
      </c>
      <c r="B15" s="2431">
        <v>5162</v>
      </c>
      <c r="C15" s="708"/>
      <c r="D15" s="371" t="s">
        <v>76</v>
      </c>
      <c r="E15" s="310">
        <v>5</v>
      </c>
      <c r="F15" s="308">
        <v>5</v>
      </c>
      <c r="G15" s="310">
        <v>2</v>
      </c>
      <c r="H15" s="504">
        <f t="shared" si="1"/>
        <v>40</v>
      </c>
      <c r="K15" s="2413">
        <v>5000</v>
      </c>
      <c r="L15" s="2413">
        <v>5000</v>
      </c>
      <c r="M15" s="2413">
        <v>2228</v>
      </c>
    </row>
    <row r="16" spans="1:13" s="835" customFormat="1" ht="14.25" customHeight="1" x14ac:dyDescent="0.25">
      <c r="A16" s="2824">
        <v>3269</v>
      </c>
      <c r="B16" s="2431">
        <v>5164</v>
      </c>
      <c r="C16" s="708"/>
      <c r="D16" s="371" t="s">
        <v>101</v>
      </c>
      <c r="E16" s="310">
        <f>E17+E18</f>
        <v>128</v>
      </c>
      <c r="F16" s="310">
        <f t="shared" ref="F16:G16" si="5">F17+F18</f>
        <v>128</v>
      </c>
      <c r="G16" s="310">
        <f t="shared" si="5"/>
        <v>87</v>
      </c>
      <c r="H16" s="913">
        <f t="shared" si="1"/>
        <v>67.96875</v>
      </c>
      <c r="K16" s="2413">
        <f>K17+K18</f>
        <v>128000</v>
      </c>
      <c r="L16" s="2413">
        <f t="shared" ref="L16:M16" si="6">L17+L18</f>
        <v>128000</v>
      </c>
      <c r="M16" s="2413">
        <f t="shared" si="6"/>
        <v>86641</v>
      </c>
    </row>
    <row r="17" spans="1:21" s="835" customFormat="1" ht="14.25" customHeight="1" x14ac:dyDescent="0.2">
      <c r="A17" s="2824"/>
      <c r="B17" s="2431"/>
      <c r="C17" s="2977" t="s">
        <v>871</v>
      </c>
      <c r="D17" s="1646" t="s">
        <v>600</v>
      </c>
      <c r="E17" s="311">
        <v>128</v>
      </c>
      <c r="F17" s="309">
        <v>108</v>
      </c>
      <c r="G17" s="311">
        <v>71</v>
      </c>
      <c r="H17" s="506">
        <f t="shared" si="1"/>
        <v>65.740740740740748</v>
      </c>
      <c r="K17" s="2331">
        <v>128000</v>
      </c>
      <c r="L17" s="2331">
        <v>108000</v>
      </c>
      <c r="M17" s="2331">
        <v>71141</v>
      </c>
    </row>
    <row r="18" spans="1:21" s="835" customFormat="1" x14ac:dyDescent="0.2">
      <c r="A18" s="2824"/>
      <c r="B18" s="2431"/>
      <c r="C18" s="2978" t="s">
        <v>923</v>
      </c>
      <c r="D18" s="1646" t="s">
        <v>653</v>
      </c>
      <c r="E18" s="893">
        <v>0</v>
      </c>
      <c r="F18" s="894">
        <v>20</v>
      </c>
      <c r="G18" s="893">
        <v>16</v>
      </c>
      <c r="H18" s="2354">
        <f>(G18/F18)*100</f>
        <v>80</v>
      </c>
      <c r="K18" s="2331">
        <v>0</v>
      </c>
      <c r="L18" s="2331">
        <v>20000</v>
      </c>
      <c r="M18" s="2331">
        <v>15500</v>
      </c>
    </row>
    <row r="19" spans="1:21" s="835" customFormat="1" ht="30" x14ac:dyDescent="0.2">
      <c r="A19" s="2889">
        <v>3269</v>
      </c>
      <c r="B19" s="2984">
        <v>5168</v>
      </c>
      <c r="C19" s="708"/>
      <c r="D19" s="2985" t="s">
        <v>1153</v>
      </c>
      <c r="E19" s="429">
        <v>6</v>
      </c>
      <c r="F19" s="429">
        <v>6</v>
      </c>
      <c r="G19" s="429">
        <v>5</v>
      </c>
      <c r="H19" s="2328">
        <f t="shared" ref="H19" si="7">(G19/F19)*100</f>
        <v>83.333333333333343</v>
      </c>
      <c r="K19" s="2413">
        <v>6000</v>
      </c>
      <c r="L19" s="2413">
        <v>6000</v>
      </c>
      <c r="M19" s="2413">
        <v>5154.6000000000004</v>
      </c>
    </row>
    <row r="20" spans="1:21" s="835" customFormat="1" ht="14.25" customHeight="1" x14ac:dyDescent="0.25">
      <c r="A20" s="2430">
        <v>3269</v>
      </c>
      <c r="B20" s="2427">
        <v>5169</v>
      </c>
      <c r="C20" s="708"/>
      <c r="D20" s="2419" t="s">
        <v>430</v>
      </c>
      <c r="E20" s="310">
        <f>SUM(E21:E24)</f>
        <v>1569</v>
      </c>
      <c r="F20" s="310">
        <f t="shared" ref="F20:G20" si="8">SUM(F21:F24)</f>
        <v>1733</v>
      </c>
      <c r="G20" s="310">
        <f t="shared" si="8"/>
        <v>1394</v>
      </c>
      <c r="H20" s="913">
        <f t="shared" ref="H20:H26" si="9">(G20/F20)*100</f>
        <v>80.438545874206582</v>
      </c>
      <c r="I20" s="799"/>
      <c r="J20" s="799"/>
      <c r="K20" s="2413">
        <f>SUM(K21:K24)</f>
        <v>1569000</v>
      </c>
      <c r="L20" s="2413">
        <f t="shared" ref="L20:M20" si="10">SUM(L21:L24)</f>
        <v>1732739</v>
      </c>
      <c r="M20" s="2413">
        <f t="shared" si="10"/>
        <v>1393459</v>
      </c>
      <c r="N20" s="799"/>
      <c r="O20" s="799"/>
      <c r="P20" s="799"/>
      <c r="Q20" s="799"/>
      <c r="R20" s="799"/>
      <c r="S20" s="799"/>
      <c r="T20" s="799"/>
      <c r="U20" s="799"/>
    </row>
    <row r="21" spans="1:21" s="835" customFormat="1" ht="14.25" customHeight="1" x14ac:dyDescent="0.2">
      <c r="A21" s="2430"/>
      <c r="B21" s="2427"/>
      <c r="C21" s="2977" t="s">
        <v>871</v>
      </c>
      <c r="D21" s="1646" t="s">
        <v>600</v>
      </c>
      <c r="E21" s="311">
        <f>529+0</f>
        <v>529</v>
      </c>
      <c r="F21" s="309">
        <f>363+85</f>
        <v>448</v>
      </c>
      <c r="G21" s="311">
        <f>153+85</f>
        <v>238</v>
      </c>
      <c r="H21" s="506">
        <f t="shared" si="9"/>
        <v>53.125</v>
      </c>
      <c r="I21" s="799"/>
      <c r="J21" s="799"/>
      <c r="K21" s="2331">
        <v>529000</v>
      </c>
      <c r="L21" s="2331">
        <f>363039+84700</f>
        <v>447739</v>
      </c>
      <c r="M21" s="2331">
        <f>152840+84700</f>
        <v>237540</v>
      </c>
      <c r="N21" s="799"/>
      <c r="O21" s="799"/>
      <c r="P21" s="799"/>
      <c r="Q21" s="799"/>
      <c r="R21" s="799"/>
      <c r="S21" s="799"/>
      <c r="T21" s="799"/>
      <c r="U21" s="799"/>
    </row>
    <row r="22" spans="1:21" s="835" customFormat="1" ht="14.25" customHeight="1" x14ac:dyDescent="0.2">
      <c r="A22" s="2430"/>
      <c r="B22" s="2427"/>
      <c r="C22" s="2977" t="s">
        <v>906</v>
      </c>
      <c r="D22" s="1646" t="s">
        <v>1398</v>
      </c>
      <c r="E22" s="311">
        <v>0</v>
      </c>
      <c r="F22" s="309">
        <v>200</v>
      </c>
      <c r="G22" s="311">
        <v>121</v>
      </c>
      <c r="H22" s="506">
        <f t="shared" si="9"/>
        <v>60.5</v>
      </c>
      <c r="I22" s="799"/>
      <c r="J22" s="799"/>
      <c r="K22" s="2331">
        <v>0</v>
      </c>
      <c r="L22" s="2331">
        <v>200000</v>
      </c>
      <c r="M22" s="2331">
        <v>120840</v>
      </c>
      <c r="N22" s="799"/>
      <c r="O22" s="799"/>
      <c r="P22" s="799"/>
      <c r="Q22" s="799"/>
      <c r="R22" s="799"/>
      <c r="S22" s="799"/>
      <c r="T22" s="799"/>
      <c r="U22" s="799"/>
    </row>
    <row r="23" spans="1:21" s="835" customFormat="1" ht="14.25" customHeight="1" x14ac:dyDescent="0.2">
      <c r="A23" s="2430"/>
      <c r="B23" s="2427"/>
      <c r="C23" s="1648" t="s">
        <v>1147</v>
      </c>
      <c r="D23" s="1646" t="s">
        <v>1205</v>
      </c>
      <c r="E23" s="311">
        <v>1040</v>
      </c>
      <c r="F23" s="309">
        <v>1040</v>
      </c>
      <c r="G23" s="311">
        <v>990</v>
      </c>
      <c r="H23" s="506">
        <f t="shared" si="9"/>
        <v>95.192307692307693</v>
      </c>
      <c r="I23" s="799"/>
      <c r="J23" s="799"/>
      <c r="K23" s="2331">
        <v>1040000</v>
      </c>
      <c r="L23" s="2331">
        <v>1040000</v>
      </c>
      <c r="M23" s="2331">
        <v>990079</v>
      </c>
      <c r="N23" s="799"/>
      <c r="O23" s="799"/>
      <c r="P23" s="799"/>
      <c r="Q23" s="799"/>
      <c r="R23" s="799"/>
      <c r="S23" s="799"/>
      <c r="T23" s="799"/>
      <c r="U23" s="799"/>
    </row>
    <row r="24" spans="1:21" s="835" customFormat="1" x14ac:dyDescent="0.2">
      <c r="A24" s="2430"/>
      <c r="B24" s="2427"/>
      <c r="C24" s="2978" t="s">
        <v>923</v>
      </c>
      <c r="D24" s="1646" t="s">
        <v>653</v>
      </c>
      <c r="E24" s="893">
        <v>0</v>
      </c>
      <c r="F24" s="894">
        <v>45</v>
      </c>
      <c r="G24" s="893">
        <v>45</v>
      </c>
      <c r="H24" s="2354">
        <f>(G24/F24)*100</f>
        <v>100</v>
      </c>
      <c r="I24" s="799"/>
      <c r="J24" s="799"/>
      <c r="K24" s="2331">
        <v>0</v>
      </c>
      <c r="L24" s="2331">
        <v>45000</v>
      </c>
      <c r="M24" s="2331">
        <v>45000</v>
      </c>
      <c r="N24" s="799"/>
      <c r="O24" s="799"/>
      <c r="P24" s="799"/>
      <c r="Q24" s="799"/>
      <c r="R24" s="799"/>
      <c r="S24" s="799"/>
      <c r="T24" s="799"/>
      <c r="U24" s="799"/>
    </row>
    <row r="25" spans="1:21" s="835" customFormat="1" ht="14.25" customHeight="1" x14ac:dyDescent="0.25">
      <c r="A25" s="2430">
        <v>3269</v>
      </c>
      <c r="B25" s="2427">
        <v>5175</v>
      </c>
      <c r="C25" s="708"/>
      <c r="D25" s="2420" t="s">
        <v>352</v>
      </c>
      <c r="E25" s="428">
        <f>E26+E27</f>
        <v>162</v>
      </c>
      <c r="F25" s="428">
        <f t="shared" ref="F25:G25" si="11">F26+F27</f>
        <v>172</v>
      </c>
      <c r="G25" s="428">
        <f t="shared" si="11"/>
        <v>129</v>
      </c>
      <c r="H25" s="913">
        <f t="shared" si="9"/>
        <v>75</v>
      </c>
      <c r="I25" s="799"/>
      <c r="J25" s="799"/>
      <c r="K25" s="2413">
        <f>K26+K27</f>
        <v>162000</v>
      </c>
      <c r="L25" s="2413">
        <f t="shared" ref="L25:M25" si="12">L26+L27</f>
        <v>172000</v>
      </c>
      <c r="M25" s="2413">
        <f t="shared" si="12"/>
        <v>128546</v>
      </c>
      <c r="N25" s="799"/>
      <c r="O25" s="799"/>
      <c r="P25" s="799"/>
      <c r="Q25" s="799"/>
      <c r="R25" s="799"/>
      <c r="S25" s="799"/>
      <c r="T25" s="799"/>
      <c r="U25" s="799"/>
    </row>
    <row r="26" spans="1:21" s="835" customFormat="1" ht="14.25" customHeight="1" x14ac:dyDescent="0.2">
      <c r="A26" s="2430"/>
      <c r="B26" s="2427"/>
      <c r="C26" s="2977" t="s">
        <v>871</v>
      </c>
      <c r="D26" s="1646" t="s">
        <v>600</v>
      </c>
      <c r="E26" s="311">
        <v>162</v>
      </c>
      <c r="F26" s="309">
        <v>97</v>
      </c>
      <c r="G26" s="311">
        <v>54</v>
      </c>
      <c r="H26" s="506">
        <f t="shared" si="9"/>
        <v>55.670103092783506</v>
      </c>
      <c r="I26" s="799"/>
      <c r="J26" s="799"/>
      <c r="K26" s="2331">
        <v>162000</v>
      </c>
      <c r="L26" s="2331">
        <v>97000</v>
      </c>
      <c r="M26" s="2331">
        <v>53546</v>
      </c>
      <c r="N26" s="799"/>
      <c r="O26" s="799"/>
      <c r="P26" s="799"/>
      <c r="Q26" s="799"/>
      <c r="R26" s="799"/>
      <c r="S26" s="799"/>
      <c r="T26" s="799"/>
      <c r="U26" s="799"/>
    </row>
    <row r="27" spans="1:21" s="835" customFormat="1" x14ac:dyDescent="0.2">
      <c r="A27" s="2430"/>
      <c r="B27" s="2427"/>
      <c r="C27" s="2978" t="s">
        <v>923</v>
      </c>
      <c r="D27" s="1646" t="s">
        <v>653</v>
      </c>
      <c r="E27" s="893">
        <v>0</v>
      </c>
      <c r="F27" s="894">
        <v>75</v>
      </c>
      <c r="G27" s="893">
        <v>75</v>
      </c>
      <c r="H27" s="2354">
        <f>(G27/F27)*100</f>
        <v>100</v>
      </c>
      <c r="I27" s="799"/>
      <c r="J27" s="799"/>
      <c r="K27" s="2331">
        <v>0</v>
      </c>
      <c r="L27" s="2331">
        <v>75000</v>
      </c>
      <c r="M27" s="2331">
        <v>75000</v>
      </c>
      <c r="N27" s="799"/>
      <c r="O27" s="799"/>
      <c r="P27" s="799"/>
      <c r="Q27" s="799"/>
      <c r="R27" s="799"/>
      <c r="S27" s="799"/>
      <c r="T27" s="799"/>
      <c r="U27" s="799"/>
    </row>
    <row r="28" spans="1:21" s="835" customFormat="1" ht="15" x14ac:dyDescent="0.25">
      <c r="A28" s="2430">
        <v>3269</v>
      </c>
      <c r="B28" s="2427">
        <v>5192</v>
      </c>
      <c r="C28" s="1648"/>
      <c r="D28" s="1869" t="s">
        <v>826</v>
      </c>
      <c r="E28" s="428">
        <v>0</v>
      </c>
      <c r="F28" s="428">
        <v>1</v>
      </c>
      <c r="G28" s="428">
        <v>1</v>
      </c>
      <c r="H28" s="913">
        <f t="shared" ref="H28:H32" si="13">(G28/F28)*100</f>
        <v>100</v>
      </c>
      <c r="I28" s="799"/>
      <c r="J28" s="799"/>
      <c r="K28" s="2413">
        <v>0</v>
      </c>
      <c r="L28" s="2413">
        <v>1000</v>
      </c>
      <c r="M28" s="2413">
        <v>1000</v>
      </c>
      <c r="N28" s="799"/>
      <c r="O28" s="799"/>
      <c r="P28" s="799"/>
      <c r="Q28" s="799"/>
      <c r="R28" s="799"/>
      <c r="S28" s="799"/>
      <c r="T28" s="799"/>
      <c r="U28" s="799"/>
    </row>
    <row r="29" spans="1:21" s="835" customFormat="1" ht="15" x14ac:dyDescent="0.25">
      <c r="A29" s="2430">
        <v>3269</v>
      </c>
      <c r="B29" s="2427">
        <v>5194</v>
      </c>
      <c r="C29" s="1648"/>
      <c r="D29" s="1869" t="s">
        <v>309</v>
      </c>
      <c r="E29" s="428">
        <f>E30</f>
        <v>1300</v>
      </c>
      <c r="F29" s="428">
        <f t="shared" ref="F29:G29" si="14">F30</f>
        <v>1300</v>
      </c>
      <c r="G29" s="428">
        <f t="shared" si="14"/>
        <v>1109</v>
      </c>
      <c r="H29" s="1651">
        <f t="shared" si="13"/>
        <v>85.307692307692307</v>
      </c>
      <c r="I29" s="799"/>
      <c r="J29" s="799"/>
      <c r="K29" s="2413">
        <f>K30</f>
        <v>1300000</v>
      </c>
      <c r="L29" s="2413">
        <f t="shared" ref="L29:M29" si="15">L30</f>
        <v>1300000</v>
      </c>
      <c r="M29" s="2413">
        <f t="shared" si="15"/>
        <v>1109228</v>
      </c>
      <c r="N29" s="799"/>
      <c r="O29" s="799"/>
      <c r="P29" s="799"/>
      <c r="Q29" s="799"/>
      <c r="R29" s="799"/>
      <c r="S29" s="799"/>
      <c r="T29" s="799"/>
      <c r="U29" s="799"/>
    </row>
    <row r="30" spans="1:21" s="835" customFormat="1" x14ac:dyDescent="0.2">
      <c r="A30" s="2430"/>
      <c r="B30" s="2427"/>
      <c r="C30" s="2978" t="s">
        <v>1147</v>
      </c>
      <c r="D30" s="1646" t="s">
        <v>1205</v>
      </c>
      <c r="E30" s="311">
        <v>1300</v>
      </c>
      <c r="F30" s="309">
        <v>1300</v>
      </c>
      <c r="G30" s="311">
        <v>1109</v>
      </c>
      <c r="H30" s="506">
        <f t="shared" si="13"/>
        <v>85.307692307692307</v>
      </c>
      <c r="I30" s="799"/>
      <c r="J30" s="799"/>
      <c r="K30" s="2331">
        <v>1300000</v>
      </c>
      <c r="L30" s="2331">
        <v>1300000</v>
      </c>
      <c r="M30" s="2331">
        <v>1109228</v>
      </c>
      <c r="N30" s="799"/>
      <c r="O30" s="799"/>
      <c r="P30" s="799"/>
      <c r="Q30" s="799"/>
      <c r="R30" s="799"/>
      <c r="S30" s="799"/>
      <c r="T30" s="799"/>
      <c r="U30" s="799"/>
    </row>
    <row r="31" spans="1:21" s="835" customFormat="1" ht="15" x14ac:dyDescent="0.25">
      <c r="A31" s="2430">
        <v>3269</v>
      </c>
      <c r="B31" s="2427">
        <v>5363</v>
      </c>
      <c r="C31" s="2970"/>
      <c r="D31" s="1869" t="s">
        <v>739</v>
      </c>
      <c r="E31" s="428">
        <v>0</v>
      </c>
      <c r="F31" s="310">
        <v>20</v>
      </c>
      <c r="G31" s="310">
        <v>20</v>
      </c>
      <c r="H31" s="1651">
        <f t="shared" si="13"/>
        <v>100</v>
      </c>
      <c r="I31" s="799"/>
      <c r="J31" s="799"/>
      <c r="K31" s="2413">
        <v>0</v>
      </c>
      <c r="L31" s="2413">
        <v>20261</v>
      </c>
      <c r="M31" s="2413">
        <f>17661+2600</f>
        <v>20261</v>
      </c>
      <c r="N31" s="799"/>
      <c r="O31" s="799"/>
      <c r="P31" s="799"/>
      <c r="Q31" s="799"/>
      <c r="R31" s="799"/>
      <c r="S31" s="799"/>
      <c r="T31" s="799"/>
      <c r="U31" s="799"/>
    </row>
    <row r="32" spans="1:21" s="835" customFormat="1" ht="30" x14ac:dyDescent="0.25">
      <c r="A32" s="2887">
        <v>3269</v>
      </c>
      <c r="B32" s="2983">
        <v>5494</v>
      </c>
      <c r="C32" s="1648"/>
      <c r="D32" s="2969" t="s">
        <v>1962</v>
      </c>
      <c r="E32" s="2319">
        <v>350</v>
      </c>
      <c r="F32" s="429">
        <v>8</v>
      </c>
      <c r="G32" s="429">
        <v>0</v>
      </c>
      <c r="H32" s="2988">
        <f t="shared" si="13"/>
        <v>0</v>
      </c>
      <c r="I32" s="799"/>
      <c r="J32" s="799"/>
      <c r="K32" s="2413">
        <v>350000</v>
      </c>
      <c r="L32" s="2413">
        <v>8000</v>
      </c>
      <c r="M32" s="2413">
        <v>0</v>
      </c>
      <c r="N32" s="799"/>
      <c r="O32" s="799"/>
      <c r="P32" s="799"/>
      <c r="Q32" s="799"/>
      <c r="R32" s="799"/>
      <c r="S32" s="799"/>
      <c r="T32" s="799"/>
      <c r="U32" s="799"/>
    </row>
    <row r="33" spans="1:21" s="835" customFormat="1" ht="14.25" customHeight="1" x14ac:dyDescent="0.25">
      <c r="A33" s="2430">
        <v>3269</v>
      </c>
      <c r="B33" s="2427">
        <v>5499</v>
      </c>
      <c r="C33" s="708"/>
      <c r="D33" s="2420" t="s">
        <v>1650</v>
      </c>
      <c r="E33" s="428">
        <v>35</v>
      </c>
      <c r="F33" s="310">
        <v>35</v>
      </c>
      <c r="G33" s="310">
        <v>25</v>
      </c>
      <c r="H33" s="1651">
        <f t="shared" ref="H33:H39" si="16">(G33/F33)*100</f>
        <v>71.428571428571431</v>
      </c>
      <c r="I33" s="799"/>
      <c r="J33" s="799"/>
      <c r="K33" s="2413">
        <v>35000</v>
      </c>
      <c r="L33" s="2413">
        <v>35000</v>
      </c>
      <c r="M33" s="2413">
        <v>24670</v>
      </c>
      <c r="N33" s="799"/>
      <c r="O33" s="799"/>
      <c r="P33" s="799"/>
      <c r="Q33" s="799"/>
      <c r="R33" s="799"/>
      <c r="S33" s="799"/>
      <c r="T33" s="799"/>
      <c r="U33" s="799"/>
    </row>
    <row r="34" spans="1:21" s="835" customFormat="1" ht="14.25" customHeight="1" x14ac:dyDescent="0.25">
      <c r="A34" s="2972">
        <v>3299</v>
      </c>
      <c r="B34" s="2747">
        <v>5213</v>
      </c>
      <c r="C34" s="2979"/>
      <c r="D34" s="2417" t="s">
        <v>1245</v>
      </c>
      <c r="E34" s="2973">
        <f>SUM(E35)</f>
        <v>0</v>
      </c>
      <c r="F34" s="2973">
        <f t="shared" ref="F34" si="17">SUM(F35)</f>
        <v>17</v>
      </c>
      <c r="G34" s="2973">
        <f t="shared" ref="G34" si="18">SUM(G35)</f>
        <v>17</v>
      </c>
      <c r="H34" s="2974">
        <f t="shared" ref="H34:H35" si="19">(G34/F34)*100</f>
        <v>100</v>
      </c>
      <c r="I34" s="799"/>
      <c r="J34" s="799"/>
      <c r="K34" s="2413">
        <f>K35</f>
        <v>0</v>
      </c>
      <c r="L34" s="2413">
        <f t="shared" ref="L34:M34" si="20">L35</f>
        <v>17000</v>
      </c>
      <c r="M34" s="2413">
        <f t="shared" si="20"/>
        <v>17000</v>
      </c>
      <c r="N34" s="799"/>
      <c r="O34" s="799"/>
      <c r="P34" s="799"/>
      <c r="Q34" s="799"/>
      <c r="R34" s="799"/>
      <c r="S34" s="799"/>
      <c r="T34" s="799"/>
      <c r="U34" s="799"/>
    </row>
    <row r="35" spans="1:21" s="835" customFormat="1" ht="14.25" customHeight="1" x14ac:dyDescent="0.2">
      <c r="A35" s="2972"/>
      <c r="B35" s="2747"/>
      <c r="C35" s="2975" t="s">
        <v>923</v>
      </c>
      <c r="D35" s="1646" t="s">
        <v>653</v>
      </c>
      <c r="E35" s="2284">
        <v>0</v>
      </c>
      <c r="F35" s="2283">
        <v>17</v>
      </c>
      <c r="G35" s="2284">
        <v>17</v>
      </c>
      <c r="H35" s="2976">
        <f t="shared" si="19"/>
        <v>100</v>
      </c>
      <c r="I35" s="799"/>
      <c r="J35" s="799"/>
      <c r="K35" s="2331">
        <v>0</v>
      </c>
      <c r="L35" s="2331">
        <v>17000</v>
      </c>
      <c r="M35" s="2331">
        <v>17000</v>
      </c>
      <c r="N35" s="799"/>
      <c r="O35" s="799"/>
      <c r="P35" s="799"/>
      <c r="Q35" s="799"/>
      <c r="R35" s="799"/>
      <c r="S35" s="799"/>
      <c r="T35" s="799"/>
      <c r="U35" s="799"/>
    </row>
    <row r="36" spans="1:21" s="835" customFormat="1" ht="14.25" customHeight="1" x14ac:dyDescent="0.25">
      <c r="A36" s="2430">
        <v>3299</v>
      </c>
      <c r="B36" s="2427">
        <v>5223</v>
      </c>
      <c r="C36" s="2980"/>
      <c r="D36" s="1869" t="s">
        <v>1246</v>
      </c>
      <c r="E36" s="310">
        <f>SUM(E37)</f>
        <v>0</v>
      </c>
      <c r="F36" s="310">
        <f t="shared" ref="F36:G36" si="21">SUM(F37)</f>
        <v>15</v>
      </c>
      <c r="G36" s="310">
        <f t="shared" si="21"/>
        <v>15</v>
      </c>
      <c r="H36" s="913">
        <f t="shared" si="16"/>
        <v>100</v>
      </c>
      <c r="I36" s="799"/>
      <c r="J36" s="799"/>
      <c r="K36" s="2413">
        <f>K37</f>
        <v>0</v>
      </c>
      <c r="L36" s="2413">
        <f t="shared" ref="L36:M36" si="22">L37</f>
        <v>15000</v>
      </c>
      <c r="M36" s="2413">
        <f t="shared" si="22"/>
        <v>15000</v>
      </c>
      <c r="N36" s="799"/>
      <c r="O36" s="799"/>
      <c r="P36" s="799"/>
      <c r="Q36" s="799"/>
      <c r="R36" s="799"/>
      <c r="S36" s="799"/>
      <c r="T36" s="799"/>
      <c r="U36" s="799"/>
    </row>
    <row r="37" spans="1:21" s="835" customFormat="1" ht="14.25" customHeight="1" x14ac:dyDescent="0.2">
      <c r="A37" s="2430"/>
      <c r="B37" s="2427"/>
      <c r="C37" s="1648" t="s">
        <v>923</v>
      </c>
      <c r="D37" s="1646" t="s">
        <v>653</v>
      </c>
      <c r="E37" s="311">
        <v>0</v>
      </c>
      <c r="F37" s="309">
        <v>15</v>
      </c>
      <c r="G37" s="311">
        <v>15</v>
      </c>
      <c r="H37" s="506">
        <f t="shared" si="16"/>
        <v>100</v>
      </c>
      <c r="I37" s="799"/>
      <c r="J37" s="799"/>
      <c r="K37" s="2331">
        <v>0</v>
      </c>
      <c r="L37" s="2331">
        <v>15000</v>
      </c>
      <c r="M37" s="2331">
        <v>15000</v>
      </c>
      <c r="N37" s="799"/>
      <c r="O37" s="799"/>
      <c r="P37" s="799"/>
      <c r="Q37" s="799"/>
      <c r="R37" s="799"/>
      <c r="S37" s="799"/>
      <c r="T37" s="799"/>
      <c r="U37" s="799"/>
    </row>
    <row r="38" spans="1:21" s="835" customFormat="1" ht="14.25" customHeight="1" x14ac:dyDescent="0.25">
      <c r="A38" s="2430">
        <v>3314</v>
      </c>
      <c r="B38" s="2427">
        <v>5321</v>
      </c>
      <c r="C38" s="1648"/>
      <c r="D38" s="644" t="s">
        <v>566</v>
      </c>
      <c r="E38" s="428">
        <f>E39</f>
        <v>0</v>
      </c>
      <c r="F38" s="310">
        <f t="shared" ref="F38:G38" si="23">F39</f>
        <v>9345</v>
      </c>
      <c r="G38" s="310">
        <f t="shared" si="23"/>
        <v>9345</v>
      </c>
      <c r="H38" s="1651">
        <f t="shared" si="16"/>
        <v>100</v>
      </c>
      <c r="I38" s="799"/>
      <c r="J38" s="799"/>
      <c r="K38" s="2413">
        <f>K39</f>
        <v>0</v>
      </c>
      <c r="L38" s="2413">
        <f t="shared" ref="L38:M38" si="24">L39</f>
        <v>9345200</v>
      </c>
      <c r="M38" s="2413">
        <f t="shared" si="24"/>
        <v>9345200</v>
      </c>
      <c r="N38" s="799"/>
      <c r="O38" s="799"/>
      <c r="P38" s="799"/>
      <c r="Q38" s="799"/>
      <c r="R38" s="799"/>
      <c r="S38" s="799"/>
      <c r="T38" s="799"/>
      <c r="U38" s="799"/>
    </row>
    <row r="39" spans="1:21" s="835" customFormat="1" ht="25.5" x14ac:dyDescent="0.2">
      <c r="A39" s="2430"/>
      <c r="B39" s="2427"/>
      <c r="C39" s="2970" t="s">
        <v>1138</v>
      </c>
      <c r="D39" s="2981" t="s">
        <v>1228</v>
      </c>
      <c r="E39" s="893">
        <v>0</v>
      </c>
      <c r="F39" s="894">
        <v>9345</v>
      </c>
      <c r="G39" s="893">
        <v>9345</v>
      </c>
      <c r="H39" s="2354">
        <f t="shared" si="16"/>
        <v>100</v>
      </c>
      <c r="I39" s="799"/>
      <c r="J39" s="799"/>
      <c r="K39" s="2331">
        <v>0</v>
      </c>
      <c r="L39" s="2331">
        <v>9345200</v>
      </c>
      <c r="M39" s="2331">
        <v>9345200</v>
      </c>
      <c r="N39" s="799"/>
      <c r="O39" s="799"/>
      <c r="P39" s="799"/>
      <c r="Q39" s="799"/>
      <c r="R39" s="799"/>
      <c r="S39" s="799"/>
      <c r="T39" s="799"/>
      <c r="U39" s="799"/>
    </row>
    <row r="40" spans="1:21" s="425" customFormat="1" ht="14.25" customHeight="1" x14ac:dyDescent="0.25">
      <c r="A40" s="2430">
        <v>3319</v>
      </c>
      <c r="B40" s="2427">
        <v>5139</v>
      </c>
      <c r="C40" s="1648"/>
      <c r="D40" s="371" t="s">
        <v>396</v>
      </c>
      <c r="E40" s="428">
        <v>6</v>
      </c>
      <c r="F40" s="310">
        <v>39</v>
      </c>
      <c r="G40" s="310">
        <v>39</v>
      </c>
      <c r="H40" s="1651">
        <f t="shared" ref="H40:H42" si="25">(G40/F40)*100</f>
        <v>100</v>
      </c>
      <c r="K40" s="2413">
        <v>6000</v>
      </c>
      <c r="L40" s="2413">
        <v>38733.199999999997</v>
      </c>
      <c r="M40" s="2413">
        <v>38733.199999999997</v>
      </c>
    </row>
    <row r="41" spans="1:21" s="425" customFormat="1" ht="14.25" customHeight="1" x14ac:dyDescent="0.25">
      <c r="A41" s="2430">
        <v>3319</v>
      </c>
      <c r="B41" s="2427">
        <v>5164</v>
      </c>
      <c r="C41" s="1648"/>
      <c r="D41" s="371" t="s">
        <v>101</v>
      </c>
      <c r="E41" s="428">
        <v>65</v>
      </c>
      <c r="F41" s="310">
        <v>0</v>
      </c>
      <c r="G41" s="310">
        <v>0</v>
      </c>
      <c r="H41" s="504">
        <v>0</v>
      </c>
      <c r="K41" s="2413">
        <v>65000</v>
      </c>
      <c r="L41" s="2413">
        <v>0</v>
      </c>
      <c r="M41" s="2413">
        <v>0</v>
      </c>
    </row>
    <row r="42" spans="1:21" s="835" customFormat="1" ht="14.25" customHeight="1" x14ac:dyDescent="0.25">
      <c r="A42" s="2430">
        <v>3319</v>
      </c>
      <c r="B42" s="2427">
        <v>5169</v>
      </c>
      <c r="C42" s="1648"/>
      <c r="D42" s="371" t="s">
        <v>430</v>
      </c>
      <c r="E42" s="428">
        <v>0</v>
      </c>
      <c r="F42" s="310">
        <f>13+89</f>
        <v>102</v>
      </c>
      <c r="G42" s="310">
        <f>13+56</f>
        <v>69</v>
      </c>
      <c r="H42" s="504">
        <f t="shared" si="25"/>
        <v>67.64705882352942</v>
      </c>
      <c r="I42" s="799"/>
      <c r="J42" s="799"/>
      <c r="K42" s="2413">
        <v>0</v>
      </c>
      <c r="L42" s="2413">
        <f>13000+89265</f>
        <v>102265</v>
      </c>
      <c r="M42" s="2413">
        <f>12999+55506</f>
        <v>68505</v>
      </c>
      <c r="N42" s="799"/>
      <c r="O42" s="799"/>
      <c r="P42" s="799"/>
      <c r="Q42" s="799"/>
      <c r="R42" s="799"/>
      <c r="S42" s="799"/>
      <c r="T42" s="799"/>
      <c r="U42" s="799"/>
    </row>
    <row r="43" spans="1:21" s="835" customFormat="1" ht="14.25" customHeight="1" x14ac:dyDescent="0.25">
      <c r="A43" s="2430">
        <v>3319</v>
      </c>
      <c r="B43" s="2427">
        <v>5175</v>
      </c>
      <c r="C43" s="1648"/>
      <c r="D43" s="2420" t="s">
        <v>352</v>
      </c>
      <c r="E43" s="428">
        <v>70</v>
      </c>
      <c r="F43" s="310">
        <v>0</v>
      </c>
      <c r="G43" s="310">
        <v>0</v>
      </c>
      <c r="H43" s="504">
        <v>0</v>
      </c>
      <c r="I43" s="799"/>
      <c r="J43" s="799"/>
      <c r="K43" s="2413">
        <v>70000</v>
      </c>
      <c r="L43" s="2413">
        <v>1.8</v>
      </c>
      <c r="M43" s="2413">
        <v>0</v>
      </c>
      <c r="N43" s="799"/>
      <c r="O43" s="799"/>
      <c r="P43" s="799"/>
      <c r="Q43" s="799"/>
      <c r="R43" s="799"/>
      <c r="S43" s="799"/>
      <c r="T43" s="799"/>
      <c r="U43" s="799"/>
    </row>
    <row r="44" spans="1:21" s="835" customFormat="1" ht="15" x14ac:dyDescent="0.25">
      <c r="A44" s="2426">
        <v>3792</v>
      </c>
      <c r="B44" s="2427">
        <v>5164</v>
      </c>
      <c r="C44" s="307"/>
      <c r="D44" s="2419" t="s">
        <v>101</v>
      </c>
      <c r="E44" s="428">
        <f>E45</f>
        <v>20</v>
      </c>
      <c r="F44" s="428">
        <f>F45</f>
        <v>20</v>
      </c>
      <c r="G44" s="428">
        <f>G45</f>
        <v>20</v>
      </c>
      <c r="H44" s="1652">
        <f t="shared" ref="H44:H49" si="26">(G44/F44)*100</f>
        <v>100</v>
      </c>
      <c r="I44" s="799"/>
      <c r="J44" s="799"/>
      <c r="K44" s="2413">
        <f>K45</f>
        <v>20000</v>
      </c>
      <c r="L44" s="2413">
        <f t="shared" ref="L44:M44" si="27">L45</f>
        <v>20000</v>
      </c>
      <c r="M44" s="2413">
        <f t="shared" si="27"/>
        <v>20000</v>
      </c>
      <c r="N44" s="799"/>
      <c r="O44" s="799"/>
      <c r="P44" s="799"/>
      <c r="Q44" s="799"/>
      <c r="R44" s="799"/>
      <c r="S44" s="799"/>
      <c r="T44" s="799"/>
      <c r="U44" s="799"/>
    </row>
    <row r="45" spans="1:21" s="835" customFormat="1" ht="25.5" x14ac:dyDescent="0.2">
      <c r="A45" s="2430"/>
      <c r="B45" s="2427"/>
      <c r="C45" s="2321" t="s">
        <v>974</v>
      </c>
      <c r="D45" s="2421" t="s">
        <v>1603</v>
      </c>
      <c r="E45" s="893">
        <v>20</v>
      </c>
      <c r="F45" s="894">
        <v>20</v>
      </c>
      <c r="G45" s="893">
        <v>20</v>
      </c>
      <c r="H45" s="2354">
        <f t="shared" si="26"/>
        <v>100</v>
      </c>
      <c r="I45" s="799"/>
      <c r="J45" s="799"/>
      <c r="K45" s="2443">
        <v>20000</v>
      </c>
      <c r="L45" s="2443">
        <v>20000</v>
      </c>
      <c r="M45" s="2443">
        <v>20000</v>
      </c>
      <c r="N45" s="799"/>
      <c r="O45" s="799"/>
      <c r="P45" s="799"/>
      <c r="Q45" s="799"/>
      <c r="R45" s="799"/>
      <c r="S45" s="799"/>
      <c r="T45" s="799"/>
      <c r="U45" s="799"/>
    </row>
    <row r="46" spans="1:21" s="835" customFormat="1" ht="15" x14ac:dyDescent="0.25">
      <c r="A46" s="2426">
        <v>3792</v>
      </c>
      <c r="B46" s="2427">
        <v>5169</v>
      </c>
      <c r="C46" s="2367"/>
      <c r="D46" s="2419" t="s">
        <v>430</v>
      </c>
      <c r="E46" s="428">
        <f>E47</f>
        <v>30</v>
      </c>
      <c r="F46" s="428">
        <f>F47</f>
        <v>30</v>
      </c>
      <c r="G46" s="428">
        <f>G47</f>
        <v>23</v>
      </c>
      <c r="H46" s="1652">
        <f t="shared" si="26"/>
        <v>76.666666666666671</v>
      </c>
      <c r="I46" s="799"/>
      <c r="J46" s="799"/>
      <c r="K46" s="2413">
        <f>K47</f>
        <v>30000</v>
      </c>
      <c r="L46" s="2413">
        <f t="shared" ref="L46:M46" si="28">L47</f>
        <v>30000</v>
      </c>
      <c r="M46" s="2413">
        <f t="shared" si="28"/>
        <v>23466</v>
      </c>
      <c r="N46" s="799"/>
      <c r="O46" s="799"/>
      <c r="P46" s="799"/>
      <c r="Q46" s="799"/>
      <c r="R46" s="799"/>
      <c r="S46" s="799"/>
      <c r="T46" s="799"/>
      <c r="U46" s="799"/>
    </row>
    <row r="47" spans="1:21" s="835" customFormat="1" ht="25.5" x14ac:dyDescent="0.2">
      <c r="A47" s="2430"/>
      <c r="B47" s="2427"/>
      <c r="C47" s="2321" t="s">
        <v>974</v>
      </c>
      <c r="D47" s="2421" t="s">
        <v>1603</v>
      </c>
      <c r="E47" s="893">
        <v>30</v>
      </c>
      <c r="F47" s="894">
        <v>30</v>
      </c>
      <c r="G47" s="893">
        <v>23</v>
      </c>
      <c r="H47" s="2354">
        <f t="shared" si="26"/>
        <v>76.666666666666671</v>
      </c>
      <c r="I47" s="799"/>
      <c r="J47" s="799"/>
      <c r="K47" s="2443">
        <v>30000</v>
      </c>
      <c r="L47" s="2443">
        <v>30000</v>
      </c>
      <c r="M47" s="2443">
        <v>23466</v>
      </c>
      <c r="N47" s="799"/>
      <c r="O47" s="799"/>
      <c r="P47" s="799"/>
      <c r="Q47" s="799"/>
      <c r="R47" s="799"/>
      <c r="S47" s="799"/>
      <c r="T47" s="799"/>
      <c r="U47" s="799"/>
    </row>
    <row r="48" spans="1:21" s="835" customFormat="1" ht="15" x14ac:dyDescent="0.25">
      <c r="A48" s="2426">
        <v>3792</v>
      </c>
      <c r="B48" s="2427">
        <v>5175</v>
      </c>
      <c r="C48" s="2367"/>
      <c r="D48" s="2420" t="s">
        <v>352</v>
      </c>
      <c r="E48" s="428">
        <f>E49</f>
        <v>40</v>
      </c>
      <c r="F48" s="428">
        <f t="shared" ref="F48:G48" si="29">F49</f>
        <v>40</v>
      </c>
      <c r="G48" s="428">
        <f t="shared" si="29"/>
        <v>40</v>
      </c>
      <c r="H48" s="1652">
        <f t="shared" si="26"/>
        <v>100</v>
      </c>
      <c r="I48" s="799"/>
      <c r="J48" s="799"/>
      <c r="K48" s="2413">
        <f>K49</f>
        <v>40000</v>
      </c>
      <c r="L48" s="2413">
        <f t="shared" ref="L48:M48" si="30">L49</f>
        <v>40000</v>
      </c>
      <c r="M48" s="2413">
        <f t="shared" si="30"/>
        <v>39985</v>
      </c>
      <c r="N48" s="799"/>
      <c r="O48" s="799"/>
      <c r="P48" s="799"/>
      <c r="Q48" s="799"/>
      <c r="R48" s="799"/>
      <c r="S48" s="799"/>
      <c r="T48" s="799"/>
      <c r="U48" s="799"/>
    </row>
    <row r="49" spans="1:21" s="835" customFormat="1" ht="25.5" x14ac:dyDescent="0.2">
      <c r="A49" s="2430"/>
      <c r="B49" s="2427"/>
      <c r="C49" s="2321" t="s">
        <v>974</v>
      </c>
      <c r="D49" s="2421" t="s">
        <v>1603</v>
      </c>
      <c r="E49" s="893">
        <v>40</v>
      </c>
      <c r="F49" s="894">
        <v>40</v>
      </c>
      <c r="G49" s="893">
        <v>40</v>
      </c>
      <c r="H49" s="2354">
        <f t="shared" si="26"/>
        <v>100</v>
      </c>
      <c r="I49" s="799"/>
      <c r="J49" s="799"/>
      <c r="K49" s="2443">
        <v>40000</v>
      </c>
      <c r="L49" s="2443">
        <v>40000</v>
      </c>
      <c r="M49" s="2443">
        <v>39985</v>
      </c>
      <c r="N49" s="799"/>
      <c r="O49" s="799"/>
      <c r="P49" s="799"/>
      <c r="Q49" s="799"/>
      <c r="R49" s="799"/>
      <c r="S49" s="799"/>
      <c r="T49" s="799"/>
      <c r="U49" s="799"/>
    </row>
    <row r="50" spans="1:21" s="835" customFormat="1" ht="14.25" customHeight="1" x14ac:dyDescent="0.25">
      <c r="A50" s="2430">
        <v>3792</v>
      </c>
      <c r="B50" s="2427">
        <v>5321</v>
      </c>
      <c r="C50" s="1648"/>
      <c r="D50" s="644" t="s">
        <v>566</v>
      </c>
      <c r="E50" s="310">
        <f>E51</f>
        <v>0</v>
      </c>
      <c r="F50" s="310">
        <f t="shared" ref="F50:G50" si="31">F51</f>
        <v>20</v>
      </c>
      <c r="G50" s="310">
        <f t="shared" si="31"/>
        <v>20</v>
      </c>
      <c r="H50" s="913">
        <f>(G50/F50)*100</f>
        <v>100</v>
      </c>
      <c r="I50" s="799"/>
      <c r="J50" s="799"/>
      <c r="K50" s="2413">
        <f>K51</f>
        <v>0</v>
      </c>
      <c r="L50" s="2413">
        <f t="shared" ref="L50:M50" si="32">L51</f>
        <v>20000</v>
      </c>
      <c r="M50" s="2413">
        <f t="shared" si="32"/>
        <v>20000</v>
      </c>
      <c r="N50" s="799"/>
      <c r="O50" s="799"/>
      <c r="P50" s="799"/>
      <c r="Q50" s="799"/>
      <c r="R50" s="799"/>
      <c r="S50" s="799"/>
      <c r="T50" s="799"/>
      <c r="U50" s="799"/>
    </row>
    <row r="51" spans="1:21" s="835" customFormat="1" ht="14.25" customHeight="1" x14ac:dyDescent="0.2">
      <c r="A51" s="2430"/>
      <c r="B51" s="2427"/>
      <c r="C51" s="1648" t="s">
        <v>1892</v>
      </c>
      <c r="D51" s="1646" t="s">
        <v>1901</v>
      </c>
      <c r="E51" s="311">
        <v>0</v>
      </c>
      <c r="F51" s="309">
        <v>20</v>
      </c>
      <c r="G51" s="311">
        <v>20</v>
      </c>
      <c r="H51" s="506">
        <f>(G51/F51)*100</f>
        <v>100</v>
      </c>
      <c r="I51" s="799"/>
      <c r="J51" s="799"/>
      <c r="K51" s="2331">
        <v>0</v>
      </c>
      <c r="L51" s="2331">
        <v>20000</v>
      </c>
      <c r="M51" s="2331">
        <v>20000</v>
      </c>
      <c r="N51" s="799"/>
      <c r="O51" s="799"/>
      <c r="P51" s="799"/>
      <c r="Q51" s="799"/>
      <c r="R51" s="799"/>
      <c r="S51" s="799"/>
      <c r="T51" s="799"/>
      <c r="U51" s="799"/>
    </row>
    <row r="52" spans="1:21" s="835" customFormat="1" ht="14.25" customHeight="1" x14ac:dyDescent="0.25">
      <c r="A52" s="2430">
        <v>6172</v>
      </c>
      <c r="B52" s="2427">
        <v>5363</v>
      </c>
      <c r="C52" s="1648"/>
      <c r="D52" s="644" t="s">
        <v>739</v>
      </c>
      <c r="E52" s="428">
        <v>0</v>
      </c>
      <c r="F52" s="428">
        <v>5</v>
      </c>
      <c r="G52" s="428">
        <v>5</v>
      </c>
      <c r="H52" s="1652">
        <f t="shared" ref="H52:H53" si="33">(G52/F52)*100</f>
        <v>100</v>
      </c>
      <c r="I52" s="799"/>
      <c r="J52" s="799"/>
      <c r="K52" s="2413">
        <v>0</v>
      </c>
      <c r="L52" s="2413">
        <v>5272</v>
      </c>
      <c r="M52" s="2413">
        <v>5272</v>
      </c>
      <c r="N52" s="799"/>
      <c r="O52" s="799"/>
      <c r="P52" s="799"/>
      <c r="Q52" s="799"/>
      <c r="R52" s="799"/>
      <c r="S52" s="799"/>
      <c r="T52" s="799"/>
      <c r="U52" s="799"/>
    </row>
    <row r="53" spans="1:21" s="835" customFormat="1" ht="30" x14ac:dyDescent="0.25">
      <c r="A53" s="2887">
        <v>6402</v>
      </c>
      <c r="B53" s="2983">
        <v>5364</v>
      </c>
      <c r="C53" s="2321"/>
      <c r="D53" s="2986" t="s">
        <v>1022</v>
      </c>
      <c r="E53" s="2319">
        <v>0</v>
      </c>
      <c r="F53" s="2319">
        <v>1517</v>
      </c>
      <c r="G53" s="2319">
        <v>1517</v>
      </c>
      <c r="H53" s="2987">
        <f t="shared" si="33"/>
        <v>100</v>
      </c>
      <c r="I53" s="799"/>
      <c r="J53" s="799"/>
      <c r="K53" s="2413">
        <v>0</v>
      </c>
      <c r="L53" s="2413">
        <v>1517353.7</v>
      </c>
      <c r="M53" s="2413">
        <v>1517353.7</v>
      </c>
      <c r="N53" s="799"/>
      <c r="O53" s="799"/>
      <c r="P53" s="799"/>
      <c r="Q53" s="799"/>
      <c r="R53" s="799"/>
      <c r="S53" s="799"/>
      <c r="T53" s="799"/>
      <c r="U53" s="799"/>
    </row>
    <row r="54" spans="1:21" s="799" customFormat="1" ht="15" customHeight="1" thickBot="1" x14ac:dyDescent="0.3">
      <c r="A54" s="2428">
        <v>6409</v>
      </c>
      <c r="B54" s="2429">
        <v>5909</v>
      </c>
      <c r="C54" s="624"/>
      <c r="D54" s="1132" t="s">
        <v>406</v>
      </c>
      <c r="E54" s="1656">
        <v>0</v>
      </c>
      <c r="F54" s="994">
        <v>779</v>
      </c>
      <c r="G54" s="994">
        <v>779</v>
      </c>
      <c r="H54" s="2481">
        <f t="shared" ref="H54" si="34">(G54/F54)*100</f>
        <v>100</v>
      </c>
      <c r="K54" s="2413">
        <v>0</v>
      </c>
      <c r="L54" s="2413">
        <v>779183.05</v>
      </c>
      <c r="M54" s="2413">
        <v>779197.45</v>
      </c>
    </row>
    <row r="55" spans="1:21" s="799" customFormat="1" ht="19.5" thickTop="1" thickBot="1" x14ac:dyDescent="0.3">
      <c r="A55" s="2410" t="s">
        <v>134</v>
      </c>
      <c r="B55" s="2411"/>
      <c r="C55" s="2412"/>
      <c r="D55" s="2411"/>
      <c r="E55" s="618">
        <f>E54+E48+E46+E44+E43+E42+E41+E40+E36+E33+E32+E28+E25+E20+E16+E15+E12+E10+E34+E29+E19+E53+E50+E38+E31+E52</f>
        <v>3846</v>
      </c>
      <c r="F55" s="618">
        <f t="shared" ref="F55:G55" si="35">F54+F48+F46+F44+F43+F42+F41+F40+F36+F33+F32+F28+F25+F20+F16+F15+F12+F10+F34+F29+F19+F53+F50+F38+F31+F52</f>
        <v>15519</v>
      </c>
      <c r="G55" s="618">
        <f t="shared" si="35"/>
        <v>14816</v>
      </c>
      <c r="H55" s="724">
        <f>(G55/F55)*100</f>
        <v>95.470068947741481</v>
      </c>
      <c r="K55" s="2423">
        <f>K54+K48+K46+K44+K43+K42+K41+K40+K36+K33+K32+K28+K25+K20+K16+K15+K12+K10+K34+K29+K19+K53+K50+K38+K31+K52</f>
        <v>3846000</v>
      </c>
      <c r="L55" s="2423">
        <f t="shared" ref="L55:M55" si="36">L54+L48+L46+L44+L43+L42+L41+L40+L36+L33+L32+L28+L25+L20+L16+L15+L12+L10+L34+L29+L19+L53+L50+L38+L31+L52</f>
        <v>15520008.75</v>
      </c>
      <c r="M55" s="2423">
        <f t="shared" si="36"/>
        <v>14816471.949999999</v>
      </c>
    </row>
    <row r="56" spans="1:21" s="799" customFormat="1" ht="15.75" thickTop="1" x14ac:dyDescent="0.25">
      <c r="A56" s="825"/>
      <c r="B56" s="825"/>
      <c r="C56" s="802"/>
      <c r="D56" s="806"/>
      <c r="E56" s="905"/>
      <c r="F56" s="906"/>
      <c r="G56" s="906"/>
      <c r="H56" s="867"/>
      <c r="K56" s="1670"/>
      <c r="L56" s="1670"/>
      <c r="M56" s="1670"/>
    </row>
    <row r="57" spans="1:21" s="799" customFormat="1" ht="18" x14ac:dyDescent="0.25">
      <c r="A57" s="353"/>
      <c r="B57" s="354"/>
      <c r="C57" s="139"/>
      <c r="D57" s="354"/>
      <c r="E57" s="17"/>
      <c r="F57" s="17"/>
      <c r="G57" s="17"/>
      <c r="H57" s="190"/>
      <c r="K57" s="1670"/>
      <c r="L57" s="1670"/>
      <c r="M57" s="1670"/>
    </row>
    <row r="58" spans="1:21" s="106" customFormat="1" ht="20.25" customHeight="1" x14ac:dyDescent="0.25">
      <c r="A58" s="584"/>
      <c r="B58" s="584"/>
      <c r="C58" s="606"/>
      <c r="D58" s="722"/>
      <c r="E58" s="608"/>
      <c r="F58" s="372"/>
      <c r="G58" s="723"/>
      <c r="H58" s="588"/>
    </row>
    <row r="59" spans="1:21" s="374" customFormat="1" ht="15.75" x14ac:dyDescent="0.25">
      <c r="A59" s="1855" t="s">
        <v>988</v>
      </c>
      <c r="B59" s="372"/>
      <c r="C59" s="725"/>
      <c r="D59" s="625"/>
      <c r="E59" s="608"/>
      <c r="F59" s="638"/>
      <c r="G59" s="608"/>
      <c r="H59" s="636"/>
      <c r="I59" s="106"/>
    </row>
    <row r="60" spans="1:21" s="355" customFormat="1" ht="12" customHeight="1" thickBot="1" x14ac:dyDescent="0.3">
      <c r="A60" s="97"/>
      <c r="B60" s="372"/>
      <c r="C60" s="725"/>
      <c r="D60" s="625"/>
      <c r="E60" s="608"/>
      <c r="F60" s="638"/>
      <c r="G60" s="608"/>
      <c r="H60" s="1090" t="s">
        <v>92</v>
      </c>
      <c r="J60" s="864"/>
      <c r="K60" s="864"/>
      <c r="L60" s="864"/>
      <c r="M60" s="863"/>
      <c r="N60" s="863"/>
    </row>
    <row r="61" spans="1:21" ht="16.5" customHeight="1" thickTop="1" thickBot="1" x14ac:dyDescent="0.25">
      <c r="A61" s="572" t="s">
        <v>93</v>
      </c>
      <c r="B61" s="573" t="s">
        <v>94</v>
      </c>
      <c r="C61" s="601" t="s">
        <v>364</v>
      </c>
      <c r="D61" s="639" t="s">
        <v>95</v>
      </c>
      <c r="E61" s="575" t="s">
        <v>328</v>
      </c>
      <c r="F61" s="575" t="s">
        <v>329</v>
      </c>
      <c r="G61" s="575" t="s">
        <v>448</v>
      </c>
      <c r="H61" s="576" t="s">
        <v>449</v>
      </c>
    </row>
    <row r="62" spans="1:21" ht="16.5" customHeight="1" thickTop="1" thickBot="1" x14ac:dyDescent="0.25">
      <c r="A62" s="511">
        <v>1</v>
      </c>
      <c r="B62" s="512">
        <v>2</v>
      </c>
      <c r="C62" s="512">
        <v>3</v>
      </c>
      <c r="D62" s="512">
        <v>4</v>
      </c>
      <c r="E62" s="512">
        <v>5</v>
      </c>
      <c r="F62" s="499">
        <v>6</v>
      </c>
      <c r="G62" s="499">
        <v>7</v>
      </c>
      <c r="H62" s="577" t="s">
        <v>33</v>
      </c>
    </row>
    <row r="63" spans="1:21" s="2320" customFormat="1" ht="15.75" thickTop="1" x14ac:dyDescent="0.25">
      <c r="A63" s="3230" t="s">
        <v>1664</v>
      </c>
      <c r="B63" s="2427">
        <v>5331</v>
      </c>
      <c r="C63" s="643"/>
      <c r="D63" s="644" t="s">
        <v>465</v>
      </c>
      <c r="E63" s="428">
        <f>SUM(E64:E69)</f>
        <v>17726</v>
      </c>
      <c r="F63" s="428">
        <f>SUM(F64:F69)</f>
        <v>10433</v>
      </c>
      <c r="G63" s="428">
        <f>SUM(G64:G69)</f>
        <v>10327</v>
      </c>
      <c r="H63" s="1644">
        <f>(G63/F63)*100</f>
        <v>98.983993098821045</v>
      </c>
      <c r="K63" s="2413">
        <f>SUM(K64:K69)</f>
        <v>17726000</v>
      </c>
      <c r="L63" s="2413">
        <f t="shared" ref="L63:M63" si="37">SUM(L64:L69)</f>
        <v>10432600</v>
      </c>
      <c r="M63" s="2413">
        <f t="shared" si="37"/>
        <v>10326593.5</v>
      </c>
    </row>
    <row r="64" spans="1:21" s="2320" customFormat="1" x14ac:dyDescent="0.2">
      <c r="A64" s="3230"/>
      <c r="B64" s="2427"/>
      <c r="C64" s="643" t="s">
        <v>871</v>
      </c>
      <c r="D64" s="1646" t="s">
        <v>600</v>
      </c>
      <c r="E64" s="309">
        <v>7106</v>
      </c>
      <c r="F64" s="311">
        <v>0</v>
      </c>
      <c r="G64" s="311">
        <v>0</v>
      </c>
      <c r="H64" s="1645">
        <v>0</v>
      </c>
      <c r="K64" s="2331">
        <v>7106000</v>
      </c>
      <c r="L64" s="2331">
        <v>0</v>
      </c>
      <c r="M64" s="2331">
        <v>0</v>
      </c>
    </row>
    <row r="65" spans="1:13" s="2320" customFormat="1" x14ac:dyDescent="0.2">
      <c r="A65" s="3230"/>
      <c r="B65" s="2427"/>
      <c r="C65" s="643" t="s">
        <v>917</v>
      </c>
      <c r="D65" s="1646" t="s">
        <v>203</v>
      </c>
      <c r="E65" s="309">
        <v>620</v>
      </c>
      <c r="F65" s="311">
        <v>1070</v>
      </c>
      <c r="G65" s="311">
        <v>964</v>
      </c>
      <c r="H65" s="1645">
        <f t="shared" ref="H65:H69" si="38">(G65/F65)*100</f>
        <v>90.09345794392523</v>
      </c>
      <c r="K65" s="2331">
        <v>620000</v>
      </c>
      <c r="L65" s="2331">
        <v>1070000</v>
      </c>
      <c r="M65" s="2331">
        <v>963993.5</v>
      </c>
    </row>
    <row r="66" spans="1:13" s="2320" customFormat="1" ht="25.5" x14ac:dyDescent="0.2">
      <c r="A66" s="3230"/>
      <c r="B66" s="2427"/>
      <c r="C66" s="1647" t="s">
        <v>1891</v>
      </c>
      <c r="D66" s="2421" t="s">
        <v>1902</v>
      </c>
      <c r="E66" s="309">
        <v>0</v>
      </c>
      <c r="F66" s="311">
        <v>8147</v>
      </c>
      <c r="G66" s="311">
        <v>8147</v>
      </c>
      <c r="H66" s="1645">
        <f t="shared" si="38"/>
        <v>100</v>
      </c>
      <c r="K66" s="2331">
        <v>0</v>
      </c>
      <c r="L66" s="2331">
        <v>8146800</v>
      </c>
      <c r="M66" s="2331">
        <v>8146800</v>
      </c>
    </row>
    <row r="67" spans="1:13" s="2320" customFormat="1" x14ac:dyDescent="0.2">
      <c r="A67" s="3230"/>
      <c r="B67" s="2427"/>
      <c r="C67" s="643" t="s">
        <v>923</v>
      </c>
      <c r="D67" s="1646" t="s">
        <v>653</v>
      </c>
      <c r="E67" s="309">
        <v>0</v>
      </c>
      <c r="F67" s="311">
        <v>193</v>
      </c>
      <c r="G67" s="311">
        <v>193</v>
      </c>
      <c r="H67" s="1645">
        <f t="shared" si="38"/>
        <v>100</v>
      </c>
      <c r="K67" s="2331">
        <v>0</v>
      </c>
      <c r="L67" s="2331">
        <v>193000</v>
      </c>
      <c r="M67" s="2331">
        <v>193000</v>
      </c>
    </row>
    <row r="68" spans="1:13" s="2320" customFormat="1" x14ac:dyDescent="0.2">
      <c r="A68" s="3230"/>
      <c r="B68" s="2427"/>
      <c r="C68" s="643" t="s">
        <v>1892</v>
      </c>
      <c r="D68" s="1646" t="s">
        <v>1901</v>
      </c>
      <c r="E68" s="309">
        <v>0</v>
      </c>
      <c r="F68" s="311">
        <v>30</v>
      </c>
      <c r="G68" s="311">
        <v>30</v>
      </c>
      <c r="H68" s="1645">
        <f t="shared" si="38"/>
        <v>100</v>
      </c>
      <c r="K68" s="2331">
        <v>0</v>
      </c>
      <c r="L68" s="2331">
        <v>30000</v>
      </c>
      <c r="M68" s="2331">
        <v>30000</v>
      </c>
    </row>
    <row r="69" spans="1:13" s="799" customFormat="1" ht="25.5" x14ac:dyDescent="0.2">
      <c r="A69" s="3230"/>
      <c r="B69" s="2825"/>
      <c r="C69" s="2416" t="s">
        <v>1138</v>
      </c>
      <c r="D69" s="2415" t="s">
        <v>1228</v>
      </c>
      <c r="E69" s="2971">
        <v>10000</v>
      </c>
      <c r="F69" s="2776">
        <v>993</v>
      </c>
      <c r="G69" s="2776">
        <v>993</v>
      </c>
      <c r="H69" s="2396">
        <f t="shared" si="38"/>
        <v>100</v>
      </c>
      <c r="K69" s="1663">
        <v>10000000</v>
      </c>
      <c r="L69" s="1663">
        <v>992800</v>
      </c>
      <c r="M69" s="1663">
        <v>992800</v>
      </c>
    </row>
    <row r="70" spans="1:13" s="2320" customFormat="1" ht="15" x14ac:dyDescent="0.25">
      <c r="A70" s="3230"/>
      <c r="B70" s="2826">
        <v>5336</v>
      </c>
      <c r="C70" s="2405"/>
      <c r="D70" s="602" t="s">
        <v>856</v>
      </c>
      <c r="E70" s="310">
        <f>SUM(E71:E104)</f>
        <v>0</v>
      </c>
      <c r="F70" s="310">
        <f>SUM(F71:F104)</f>
        <v>2253702</v>
      </c>
      <c r="G70" s="310">
        <f>SUM(G71:G104)</f>
        <v>2253695</v>
      </c>
      <c r="H70" s="2393">
        <f t="shared" ref="H70:H104" si="39">(G70/F70)*100</f>
        <v>99.999689399929537</v>
      </c>
      <c r="K70" s="2331"/>
      <c r="L70" s="2413">
        <f>SUM(L71:L104)</f>
        <v>2253702076.5500002</v>
      </c>
      <c r="M70" s="2413">
        <f>SUM(M71:M104)</f>
        <v>2253694875.5700002</v>
      </c>
    </row>
    <row r="71" spans="1:13" s="2320" customFormat="1" ht="25.5" x14ac:dyDescent="0.2">
      <c r="A71" s="3230"/>
      <c r="B71" s="2826"/>
      <c r="C71" s="633" t="s">
        <v>1893</v>
      </c>
      <c r="D71" s="2966" t="s">
        <v>1972</v>
      </c>
      <c r="E71" s="894">
        <v>0</v>
      </c>
      <c r="F71" s="893">
        <v>1301</v>
      </c>
      <c r="G71" s="893">
        <v>1301</v>
      </c>
      <c r="H71" s="2396">
        <f t="shared" si="39"/>
        <v>100</v>
      </c>
      <c r="K71" s="2331">
        <v>0</v>
      </c>
      <c r="L71" s="2331">
        <v>1301544</v>
      </c>
      <c r="M71" s="2331">
        <v>1301544</v>
      </c>
    </row>
    <row r="72" spans="1:13" s="2320" customFormat="1" x14ac:dyDescent="0.2">
      <c r="A72" s="3230"/>
      <c r="B72" s="2826"/>
      <c r="C72" s="505" t="s">
        <v>932</v>
      </c>
      <c r="D72" s="3228" t="s">
        <v>1973</v>
      </c>
      <c r="E72" s="309">
        <v>0</v>
      </c>
      <c r="F72" s="311">
        <v>32</v>
      </c>
      <c r="G72" s="311">
        <v>32</v>
      </c>
      <c r="H72" s="1645">
        <f t="shared" si="39"/>
        <v>100</v>
      </c>
      <c r="K72" s="2331">
        <v>0</v>
      </c>
      <c r="L72" s="2331">
        <v>31828</v>
      </c>
      <c r="M72" s="2331">
        <v>31828</v>
      </c>
    </row>
    <row r="73" spans="1:13" s="2320" customFormat="1" ht="15" x14ac:dyDescent="0.25">
      <c r="A73" s="3230"/>
      <c r="B73" s="2826"/>
      <c r="C73" s="505"/>
      <c r="D73" s="3229"/>
      <c r="E73" s="309"/>
      <c r="F73" s="310"/>
      <c r="G73" s="310"/>
      <c r="H73" s="2393"/>
      <c r="K73" s="2331"/>
      <c r="L73" s="2331"/>
      <c r="M73" s="2331"/>
    </row>
    <row r="74" spans="1:13" s="2330" customFormat="1" x14ac:dyDescent="0.2">
      <c r="A74" s="3230"/>
      <c r="B74" s="2826"/>
      <c r="C74" s="505" t="s">
        <v>933</v>
      </c>
      <c r="D74" s="3228" t="s">
        <v>1974</v>
      </c>
      <c r="E74" s="309">
        <v>0</v>
      </c>
      <c r="F74" s="311">
        <v>24</v>
      </c>
      <c r="G74" s="311">
        <v>24</v>
      </c>
      <c r="H74" s="1645">
        <f t="shared" si="39"/>
        <v>100</v>
      </c>
      <c r="K74" s="2331">
        <v>0</v>
      </c>
      <c r="L74" s="2331">
        <v>24100</v>
      </c>
      <c r="M74" s="2331">
        <v>24100</v>
      </c>
    </row>
    <row r="75" spans="1:13" s="2330" customFormat="1" ht="15" x14ac:dyDescent="0.25">
      <c r="A75" s="3230"/>
      <c r="B75" s="2826"/>
      <c r="C75" s="505"/>
      <c r="D75" s="3229"/>
      <c r="E75" s="309"/>
      <c r="F75" s="310"/>
      <c r="G75" s="310"/>
      <c r="H75" s="2393"/>
      <c r="K75" s="2331"/>
      <c r="L75" s="2331"/>
      <c r="M75" s="2331"/>
    </row>
    <row r="76" spans="1:13" s="2330" customFormat="1" ht="15" customHeight="1" x14ac:dyDescent="0.2">
      <c r="A76" s="3230"/>
      <c r="B76" s="2826"/>
      <c r="C76" s="3222" t="s">
        <v>934</v>
      </c>
      <c r="D76" s="3224" t="s">
        <v>692</v>
      </c>
      <c r="E76" s="309">
        <v>0</v>
      </c>
      <c r="F76" s="311">
        <v>534</v>
      </c>
      <c r="G76" s="311">
        <v>534</v>
      </c>
      <c r="H76" s="1645">
        <f t="shared" si="39"/>
        <v>100</v>
      </c>
      <c r="K76" s="2331">
        <v>0</v>
      </c>
      <c r="L76" s="2331">
        <v>534208</v>
      </c>
      <c r="M76" s="2331">
        <v>534208</v>
      </c>
    </row>
    <row r="77" spans="1:13" s="2330" customFormat="1" ht="15" customHeight="1" x14ac:dyDescent="0.2">
      <c r="A77" s="3230"/>
      <c r="B77" s="2826"/>
      <c r="C77" s="3223"/>
      <c r="D77" s="3224"/>
      <c r="E77" s="309"/>
      <c r="F77" s="311"/>
      <c r="G77" s="311"/>
      <c r="H77" s="1645"/>
      <c r="K77" s="2331"/>
      <c r="L77" s="2331"/>
      <c r="M77" s="2331"/>
    </row>
    <row r="78" spans="1:13" s="2330" customFormat="1" x14ac:dyDescent="0.2">
      <c r="A78" s="3230"/>
      <c r="B78" s="2826"/>
      <c r="C78" s="869" t="s">
        <v>926</v>
      </c>
      <c r="D78" s="3224" t="s">
        <v>693</v>
      </c>
      <c r="E78" s="309">
        <v>0</v>
      </c>
      <c r="F78" s="311">
        <v>96</v>
      </c>
      <c r="G78" s="311">
        <v>96</v>
      </c>
      <c r="H78" s="1645">
        <f t="shared" si="39"/>
        <v>100</v>
      </c>
      <c r="K78" s="2331">
        <v>0</v>
      </c>
      <c r="L78" s="2331">
        <v>96000</v>
      </c>
      <c r="M78" s="2331">
        <v>96000</v>
      </c>
    </row>
    <row r="79" spans="1:13" s="2330" customFormat="1" ht="15" customHeight="1" x14ac:dyDescent="0.2">
      <c r="A79" s="3230"/>
      <c r="B79" s="2826"/>
      <c r="C79" s="1647"/>
      <c r="D79" s="3224"/>
      <c r="E79" s="309"/>
      <c r="F79" s="311"/>
      <c r="G79" s="311"/>
      <c r="H79" s="1645"/>
      <c r="K79" s="2331"/>
      <c r="L79" s="2331"/>
      <c r="M79" s="2331"/>
    </row>
    <row r="80" spans="1:13" s="2330" customFormat="1" ht="15" customHeight="1" x14ac:dyDescent="0.2">
      <c r="A80" s="3230"/>
      <c r="B80" s="2826"/>
      <c r="C80" s="633" t="s">
        <v>920</v>
      </c>
      <c r="D80" s="976" t="s">
        <v>723</v>
      </c>
      <c r="E80" s="309">
        <v>0</v>
      </c>
      <c r="F80" s="311">
        <v>1453</v>
      </c>
      <c r="G80" s="311">
        <v>1453</v>
      </c>
      <c r="H80" s="1645">
        <f t="shared" si="39"/>
        <v>100</v>
      </c>
      <c r="K80" s="2331">
        <v>0</v>
      </c>
      <c r="L80" s="2331">
        <v>1453422</v>
      </c>
      <c r="M80" s="2331">
        <v>1453422</v>
      </c>
    </row>
    <row r="81" spans="1:13" s="2330" customFormat="1" ht="15" customHeight="1" x14ac:dyDescent="0.2">
      <c r="A81" s="3230"/>
      <c r="B81" s="2826"/>
      <c r="C81" s="633" t="s">
        <v>912</v>
      </c>
      <c r="D81" s="970" t="s">
        <v>1970</v>
      </c>
      <c r="E81" s="309">
        <v>0</v>
      </c>
      <c r="F81" s="311">
        <v>11784</v>
      </c>
      <c r="G81" s="311">
        <v>11784</v>
      </c>
      <c r="H81" s="1645">
        <f t="shared" si="39"/>
        <v>100</v>
      </c>
      <c r="K81" s="2331">
        <v>0</v>
      </c>
      <c r="L81" s="2331">
        <v>11783599</v>
      </c>
      <c r="M81" s="2331">
        <v>11783599</v>
      </c>
    </row>
    <row r="82" spans="1:13" s="2330" customFormat="1" ht="12.75" customHeight="1" x14ac:dyDescent="0.2">
      <c r="A82" s="3230"/>
      <c r="B82" s="2826"/>
      <c r="C82" s="633" t="s">
        <v>921</v>
      </c>
      <c r="D82" s="3221" t="s">
        <v>836</v>
      </c>
      <c r="E82" s="309">
        <v>0</v>
      </c>
      <c r="F82" s="311">
        <v>898</v>
      </c>
      <c r="G82" s="311">
        <v>898</v>
      </c>
      <c r="H82" s="1645">
        <f t="shared" si="39"/>
        <v>100</v>
      </c>
      <c r="K82" s="2331">
        <v>0</v>
      </c>
      <c r="L82" s="2331">
        <v>897600</v>
      </c>
      <c r="M82" s="2331">
        <v>897600</v>
      </c>
    </row>
    <row r="83" spans="1:13" s="2330" customFormat="1" ht="12.75" customHeight="1" x14ac:dyDescent="0.2">
      <c r="A83" s="3230"/>
      <c r="B83" s="2826"/>
      <c r="C83" s="633"/>
      <c r="D83" s="3221"/>
      <c r="E83" s="309"/>
      <c r="F83" s="311"/>
      <c r="G83" s="311"/>
      <c r="H83" s="1645"/>
      <c r="K83" s="2331"/>
      <c r="L83" s="2331"/>
      <c r="M83" s="2331"/>
    </row>
    <row r="84" spans="1:13" s="2330" customFormat="1" ht="12.75" customHeight="1" x14ac:dyDescent="0.2">
      <c r="A84" s="3230"/>
      <c r="B84" s="2826"/>
      <c r="C84" s="633"/>
      <c r="D84" s="3221"/>
      <c r="E84" s="309"/>
      <c r="F84" s="311"/>
      <c r="G84" s="311"/>
      <c r="H84" s="1645"/>
      <c r="K84" s="2331"/>
      <c r="L84" s="2331"/>
      <c r="M84" s="2331"/>
    </row>
    <row r="85" spans="1:13" s="2330" customFormat="1" ht="12.75" customHeight="1" x14ac:dyDescent="0.2">
      <c r="A85" s="3230"/>
      <c r="B85" s="2826"/>
      <c r="C85" s="633" t="s">
        <v>902</v>
      </c>
      <c r="D85" s="2406" t="s">
        <v>1236</v>
      </c>
      <c r="E85" s="309">
        <v>0</v>
      </c>
      <c r="F85" s="311">
        <v>40945</v>
      </c>
      <c r="G85" s="311">
        <v>40945</v>
      </c>
      <c r="H85" s="1645">
        <f t="shared" si="39"/>
        <v>100</v>
      </c>
      <c r="K85" s="2331">
        <v>0</v>
      </c>
      <c r="L85" s="2331">
        <v>40944559</v>
      </c>
      <c r="M85" s="2331">
        <v>40944559</v>
      </c>
    </row>
    <row r="86" spans="1:13" s="2330" customFormat="1" ht="12.75" customHeight="1" x14ac:dyDescent="0.2">
      <c r="A86" s="3230"/>
      <c r="B86" s="2826"/>
      <c r="C86" s="633" t="s">
        <v>1132</v>
      </c>
      <c r="D86" s="2358" t="s">
        <v>1235</v>
      </c>
      <c r="E86" s="309">
        <v>0</v>
      </c>
      <c r="F86" s="893">
        <v>300</v>
      </c>
      <c r="G86" s="893">
        <v>300</v>
      </c>
      <c r="H86" s="2396">
        <f t="shared" si="39"/>
        <v>100</v>
      </c>
      <c r="K86" s="2331">
        <v>0</v>
      </c>
      <c r="L86" s="2331">
        <v>299920</v>
      </c>
      <c r="M86" s="2331">
        <v>299920</v>
      </c>
    </row>
    <row r="87" spans="1:13" s="2330" customFormat="1" ht="25.5" x14ac:dyDescent="0.2">
      <c r="A87" s="3230"/>
      <c r="B87" s="2826"/>
      <c r="C87" s="633" t="s">
        <v>1133</v>
      </c>
      <c r="D87" s="2358" t="s">
        <v>1237</v>
      </c>
      <c r="E87" s="894">
        <v>0</v>
      </c>
      <c r="F87" s="893">
        <v>8042</v>
      </c>
      <c r="G87" s="893">
        <v>8042</v>
      </c>
      <c r="H87" s="2396">
        <f t="shared" si="39"/>
        <v>100</v>
      </c>
      <c r="K87" s="2331">
        <v>0</v>
      </c>
      <c r="L87" s="2331">
        <v>8041642</v>
      </c>
      <c r="M87" s="2331">
        <v>8041642</v>
      </c>
    </row>
    <row r="88" spans="1:13" s="2330" customFormat="1" x14ac:dyDescent="0.2">
      <c r="A88" s="3230"/>
      <c r="B88" s="2826"/>
      <c r="C88" s="633" t="s">
        <v>1894</v>
      </c>
      <c r="D88" s="2960" t="s">
        <v>1903</v>
      </c>
      <c r="E88" s="894">
        <v>0</v>
      </c>
      <c r="F88" s="893">
        <v>21</v>
      </c>
      <c r="G88" s="893">
        <v>21</v>
      </c>
      <c r="H88" s="2396">
        <f t="shared" si="39"/>
        <v>100</v>
      </c>
      <c r="K88" s="2331">
        <v>0</v>
      </c>
      <c r="L88" s="2331">
        <v>21000</v>
      </c>
      <c r="M88" s="2331">
        <v>21000</v>
      </c>
    </row>
    <row r="89" spans="1:13" s="2330" customFormat="1" x14ac:dyDescent="0.2">
      <c r="A89" s="3230"/>
      <c r="B89" s="2826"/>
      <c r="C89" s="633" t="s">
        <v>1896</v>
      </c>
      <c r="D89" s="3123" t="s">
        <v>1963</v>
      </c>
      <c r="E89" s="894">
        <v>0</v>
      </c>
      <c r="F89" s="893">
        <v>12401</v>
      </c>
      <c r="G89" s="893">
        <v>12401</v>
      </c>
      <c r="H89" s="2396">
        <f t="shared" si="39"/>
        <v>100</v>
      </c>
      <c r="K89" s="2331">
        <v>0</v>
      </c>
      <c r="L89" s="2331">
        <v>12401342.98</v>
      </c>
      <c r="M89" s="2331">
        <v>12401342.98</v>
      </c>
    </row>
    <row r="90" spans="1:13" s="2330" customFormat="1" ht="12.75" customHeight="1" x14ac:dyDescent="0.2">
      <c r="A90" s="3230"/>
      <c r="B90" s="2826"/>
      <c r="C90" s="633" t="s">
        <v>937</v>
      </c>
      <c r="D90" s="2406" t="s">
        <v>1971</v>
      </c>
      <c r="E90" s="309">
        <v>0</v>
      </c>
      <c r="F90" s="311">
        <v>615</v>
      </c>
      <c r="G90" s="311">
        <v>615</v>
      </c>
      <c r="H90" s="1645">
        <f t="shared" si="39"/>
        <v>100</v>
      </c>
      <c r="K90" s="2331">
        <v>0</v>
      </c>
      <c r="L90" s="2331">
        <v>614725</v>
      </c>
      <c r="M90" s="2331">
        <v>614725</v>
      </c>
    </row>
    <row r="91" spans="1:13" s="2330" customFormat="1" ht="12.75" customHeight="1" x14ac:dyDescent="0.2">
      <c r="A91" s="3230"/>
      <c r="B91" s="2826"/>
      <c r="C91" s="1647" t="s">
        <v>913</v>
      </c>
      <c r="D91" s="2407" t="s">
        <v>471</v>
      </c>
      <c r="E91" s="309">
        <v>0</v>
      </c>
      <c r="F91" s="311">
        <v>1087</v>
      </c>
      <c r="G91" s="311">
        <v>1087</v>
      </c>
      <c r="H91" s="1645">
        <f t="shared" si="39"/>
        <v>100</v>
      </c>
      <c r="K91" s="2331">
        <v>0</v>
      </c>
      <c r="L91" s="2331">
        <v>1086823</v>
      </c>
      <c r="M91" s="2331">
        <v>1086823</v>
      </c>
    </row>
    <row r="92" spans="1:13" s="2330" customFormat="1" x14ac:dyDescent="0.2">
      <c r="A92" s="3230"/>
      <c r="B92" s="2826"/>
      <c r="C92" s="1647" t="s">
        <v>938</v>
      </c>
      <c r="D92" s="2357" t="s">
        <v>868</v>
      </c>
      <c r="E92" s="309">
        <v>0</v>
      </c>
      <c r="F92" s="311">
        <v>977</v>
      </c>
      <c r="G92" s="311">
        <v>977</v>
      </c>
      <c r="H92" s="1645">
        <f t="shared" si="39"/>
        <v>100</v>
      </c>
      <c r="K92" s="2331">
        <v>0</v>
      </c>
      <c r="L92" s="2331">
        <v>977000</v>
      </c>
      <c r="M92" s="2331">
        <v>977000</v>
      </c>
    </row>
    <row r="93" spans="1:13" s="2330" customFormat="1" ht="12.75" customHeight="1" x14ac:dyDescent="0.2">
      <c r="A93" s="3230"/>
      <c r="B93" s="2826"/>
      <c r="C93" s="633" t="s">
        <v>922</v>
      </c>
      <c r="D93" s="3225" t="s">
        <v>472</v>
      </c>
      <c r="E93" s="309">
        <v>0</v>
      </c>
      <c r="F93" s="311">
        <v>76</v>
      </c>
      <c r="G93" s="311">
        <v>76</v>
      </c>
      <c r="H93" s="1645">
        <f t="shared" si="39"/>
        <v>100</v>
      </c>
      <c r="K93" s="2331">
        <v>0</v>
      </c>
      <c r="L93" s="2331">
        <v>75757</v>
      </c>
      <c r="M93" s="2331">
        <v>75757</v>
      </c>
    </row>
    <row r="94" spans="1:13" s="2330" customFormat="1" ht="12.75" customHeight="1" x14ac:dyDescent="0.2">
      <c r="A94" s="3230"/>
      <c r="B94" s="2826"/>
      <c r="C94" s="633"/>
      <c r="D94" s="3225"/>
      <c r="E94" s="309"/>
      <c r="F94" s="311"/>
      <c r="G94" s="311"/>
      <c r="H94" s="1645"/>
      <c r="K94" s="2331"/>
      <c r="L94" s="2331"/>
      <c r="M94" s="2331"/>
    </row>
    <row r="95" spans="1:13" s="2330" customFormat="1" ht="12.75" customHeight="1" x14ac:dyDescent="0.2">
      <c r="A95" s="3230"/>
      <c r="B95" s="2826"/>
      <c r="C95" s="505" t="s">
        <v>901</v>
      </c>
      <c r="D95" s="2408" t="s">
        <v>13</v>
      </c>
      <c r="E95" s="309">
        <v>0</v>
      </c>
      <c r="F95" s="311">
        <v>2117876</v>
      </c>
      <c r="G95" s="311">
        <v>2117869</v>
      </c>
      <c r="H95" s="1645">
        <f t="shared" si="39"/>
        <v>99.999669480177317</v>
      </c>
      <c r="K95" s="2331">
        <v>0</v>
      </c>
      <c r="L95" s="2331">
        <v>2117875734</v>
      </c>
      <c r="M95" s="2331">
        <v>2117868533.02</v>
      </c>
    </row>
    <row r="96" spans="1:13" s="2330" customFormat="1" ht="12.75" customHeight="1" x14ac:dyDescent="0.2">
      <c r="A96" s="3230"/>
      <c r="B96" s="2826"/>
      <c r="C96" s="505" t="s">
        <v>1142</v>
      </c>
      <c r="D96" s="2408" t="s">
        <v>1242</v>
      </c>
      <c r="E96" s="309">
        <v>0</v>
      </c>
      <c r="F96" s="311">
        <v>3857</v>
      </c>
      <c r="G96" s="311">
        <v>3857</v>
      </c>
      <c r="H96" s="1645">
        <f t="shared" si="39"/>
        <v>100</v>
      </c>
      <c r="K96" s="2331">
        <v>0</v>
      </c>
      <c r="L96" s="2331">
        <v>3857380</v>
      </c>
      <c r="M96" s="2331">
        <v>3857380</v>
      </c>
    </row>
    <row r="97" spans="1:13" s="2330" customFormat="1" ht="12.75" customHeight="1" x14ac:dyDescent="0.2">
      <c r="A97" s="3230"/>
      <c r="B97" s="2826"/>
      <c r="C97" s="633" t="s">
        <v>918</v>
      </c>
      <c r="D97" s="2357" t="s">
        <v>473</v>
      </c>
      <c r="E97" s="311">
        <v>0</v>
      </c>
      <c r="F97" s="893">
        <v>169</v>
      </c>
      <c r="G97" s="893">
        <v>169</v>
      </c>
      <c r="H97" s="2409">
        <f t="shared" si="39"/>
        <v>100</v>
      </c>
      <c r="K97" s="2331">
        <v>0</v>
      </c>
      <c r="L97" s="2331">
        <v>169060.84</v>
      </c>
      <c r="M97" s="2331">
        <v>169060.84</v>
      </c>
    </row>
    <row r="98" spans="1:13" s="2330" customFormat="1" ht="25.5" x14ac:dyDescent="0.2">
      <c r="A98" s="3230"/>
      <c r="B98" s="2826"/>
      <c r="C98" s="633" t="s">
        <v>1897</v>
      </c>
      <c r="D98" s="2357" t="s">
        <v>1905</v>
      </c>
      <c r="E98" s="311">
        <v>0</v>
      </c>
      <c r="F98" s="893">
        <v>140</v>
      </c>
      <c r="G98" s="893">
        <v>140</v>
      </c>
      <c r="H98" s="2409">
        <f t="shared" si="39"/>
        <v>100</v>
      </c>
      <c r="K98" s="2331">
        <v>0</v>
      </c>
      <c r="L98" s="2331">
        <v>140000</v>
      </c>
      <c r="M98" s="2331">
        <v>140000</v>
      </c>
    </row>
    <row r="99" spans="1:13" s="2330" customFormat="1" ht="25.5" x14ac:dyDescent="0.2">
      <c r="A99" s="3230"/>
      <c r="B99" s="2826"/>
      <c r="C99" s="633" t="s">
        <v>957</v>
      </c>
      <c r="D99" s="2357" t="s">
        <v>1238</v>
      </c>
      <c r="E99" s="893">
        <v>0</v>
      </c>
      <c r="F99" s="893">
        <v>175</v>
      </c>
      <c r="G99" s="893">
        <v>175</v>
      </c>
      <c r="H99" s="2409">
        <f t="shared" si="39"/>
        <v>100</v>
      </c>
      <c r="K99" s="2331">
        <v>0</v>
      </c>
      <c r="L99" s="2331">
        <v>175000</v>
      </c>
      <c r="M99" s="2331">
        <v>175000</v>
      </c>
    </row>
    <row r="100" spans="1:13" s="2330" customFormat="1" ht="25.5" x14ac:dyDescent="0.2">
      <c r="A100" s="3230"/>
      <c r="B100" s="2826"/>
      <c r="C100" s="633" t="s">
        <v>1143</v>
      </c>
      <c r="D100" s="2357" t="s">
        <v>1239</v>
      </c>
      <c r="E100" s="893">
        <v>0</v>
      </c>
      <c r="F100" s="893">
        <v>150</v>
      </c>
      <c r="G100" s="893">
        <v>150</v>
      </c>
      <c r="H100" s="2409">
        <f t="shared" si="39"/>
        <v>100</v>
      </c>
      <c r="K100" s="2331">
        <v>0</v>
      </c>
      <c r="L100" s="2331">
        <v>150000</v>
      </c>
      <c r="M100" s="2331">
        <v>150000</v>
      </c>
    </row>
    <row r="101" spans="1:13" s="2330" customFormat="1" ht="25.5" x14ac:dyDescent="0.2">
      <c r="A101" s="3230"/>
      <c r="B101" s="2826"/>
      <c r="C101" s="633" t="s">
        <v>960</v>
      </c>
      <c r="D101" s="2357" t="s">
        <v>1240</v>
      </c>
      <c r="E101" s="893">
        <v>0</v>
      </c>
      <c r="F101" s="893">
        <v>423</v>
      </c>
      <c r="G101" s="893">
        <v>423</v>
      </c>
      <c r="H101" s="2409">
        <f t="shared" si="39"/>
        <v>100</v>
      </c>
      <c r="K101" s="2331">
        <v>0</v>
      </c>
      <c r="L101" s="2331">
        <v>423000</v>
      </c>
      <c r="M101" s="2331">
        <v>423000</v>
      </c>
    </row>
    <row r="102" spans="1:13" s="2330" customFormat="1" x14ac:dyDescent="0.2">
      <c r="A102" s="3230"/>
      <c r="B102" s="2826"/>
      <c r="C102" s="633" t="s">
        <v>959</v>
      </c>
      <c r="D102" s="2357" t="s">
        <v>1241</v>
      </c>
      <c r="E102" s="311">
        <v>0</v>
      </c>
      <c r="F102" s="893">
        <v>64</v>
      </c>
      <c r="G102" s="893">
        <v>64</v>
      </c>
      <c r="H102" s="2409">
        <f t="shared" si="39"/>
        <v>100</v>
      </c>
      <c r="K102" s="2331">
        <v>0</v>
      </c>
      <c r="L102" s="2331">
        <v>64000</v>
      </c>
      <c r="M102" s="2331">
        <v>64000</v>
      </c>
    </row>
    <row r="103" spans="1:13" s="2330" customFormat="1" x14ac:dyDescent="0.2">
      <c r="A103" s="3230"/>
      <c r="B103" s="2826"/>
      <c r="C103" s="633" t="s">
        <v>1144</v>
      </c>
      <c r="D103" s="2699" t="s">
        <v>1602</v>
      </c>
      <c r="E103" s="311">
        <v>0</v>
      </c>
      <c r="F103" s="311">
        <v>7539</v>
      </c>
      <c r="G103" s="311">
        <v>7539</v>
      </c>
      <c r="H103" s="2364">
        <f t="shared" si="39"/>
        <v>100</v>
      </c>
      <c r="K103" s="2331">
        <v>0</v>
      </c>
      <c r="L103" s="2331">
        <v>7539425.2000000002</v>
      </c>
      <c r="M103" s="2331">
        <v>7539425.2000000002</v>
      </c>
    </row>
    <row r="104" spans="1:13" s="2330" customFormat="1" ht="15" thickBot="1" x14ac:dyDescent="0.25">
      <c r="A104" s="3231"/>
      <c r="B104" s="2826"/>
      <c r="C104" s="633" t="s">
        <v>1145</v>
      </c>
      <c r="D104" s="2699" t="s">
        <v>1602</v>
      </c>
      <c r="E104" s="311">
        <v>0</v>
      </c>
      <c r="F104" s="311">
        <v>42723</v>
      </c>
      <c r="G104" s="311">
        <v>42723</v>
      </c>
      <c r="H104" s="2364">
        <f t="shared" si="39"/>
        <v>100</v>
      </c>
      <c r="K104" s="2331">
        <v>0</v>
      </c>
      <c r="L104" s="2331">
        <v>42723406.530000001</v>
      </c>
      <c r="M104" s="2331">
        <v>42723406.530000001</v>
      </c>
    </row>
    <row r="105" spans="1:13" s="2330" customFormat="1" ht="19.5" thickTop="1" thickBot="1" x14ac:dyDescent="0.3">
      <c r="A105" s="578" t="s">
        <v>1078</v>
      </c>
      <c r="B105" s="579"/>
      <c r="C105" s="605"/>
      <c r="D105" s="581"/>
      <c r="E105" s="582">
        <f>E63+E70</f>
        <v>17726</v>
      </c>
      <c r="F105" s="582">
        <f>F63+F70</f>
        <v>2264135</v>
      </c>
      <c r="G105" s="582">
        <f>G63+G70</f>
        <v>2264022</v>
      </c>
      <c r="H105" s="594">
        <f>(G105/F105)*100</f>
        <v>99.995009131522636</v>
      </c>
      <c r="K105" s="2414">
        <f>K70+K63</f>
        <v>17726000</v>
      </c>
      <c r="L105" s="2414">
        <f>L70+L63</f>
        <v>2264134676.5500002</v>
      </c>
      <c r="M105" s="2414">
        <f>M70+M63</f>
        <v>2264021469.0700002</v>
      </c>
    </row>
    <row r="106" spans="1:13" ht="18.75" thickTop="1" x14ac:dyDescent="0.25">
      <c r="A106" s="353"/>
      <c r="B106" s="354"/>
      <c r="C106" s="139"/>
      <c r="D106" s="354"/>
      <c r="E106" s="17"/>
      <c r="F106" s="17"/>
      <c r="G106" s="17"/>
      <c r="H106" s="727"/>
      <c r="K106" s="1663"/>
      <c r="L106" s="1663"/>
      <c r="M106" s="1663"/>
    </row>
    <row r="107" spans="1:13" ht="18" x14ac:dyDescent="0.25">
      <c r="A107" s="353"/>
      <c r="B107" s="354"/>
      <c r="C107" s="139"/>
      <c r="D107" s="354"/>
      <c r="E107" s="17"/>
      <c r="F107" s="17"/>
      <c r="G107" s="17"/>
      <c r="H107" s="727"/>
      <c r="K107" s="1663"/>
      <c r="L107" s="1663"/>
      <c r="M107" s="1663"/>
    </row>
    <row r="108" spans="1:13" ht="15.75" x14ac:dyDescent="0.25">
      <c r="A108" s="97" t="s">
        <v>1146</v>
      </c>
      <c r="K108" s="1663"/>
      <c r="L108" s="1663"/>
      <c r="M108" s="1663"/>
    </row>
    <row r="109" spans="1:13" s="355" customFormat="1" ht="13.5" customHeight="1" thickBot="1" x14ac:dyDescent="0.3">
      <c r="A109" s="33"/>
      <c r="B109" s="372"/>
      <c r="C109" s="725"/>
      <c r="D109" s="625"/>
      <c r="E109" s="608"/>
      <c r="F109" s="638"/>
      <c r="G109" s="608"/>
      <c r="H109" s="1090" t="s">
        <v>92</v>
      </c>
      <c r="J109" s="933"/>
      <c r="K109" s="1666"/>
      <c r="L109" s="1666"/>
      <c r="M109" s="1666"/>
    </row>
    <row r="110" spans="1:13" s="355" customFormat="1" ht="16.5" thickTop="1" thickBot="1" x14ac:dyDescent="0.25">
      <c r="A110" s="572" t="s">
        <v>93</v>
      </c>
      <c r="B110" s="573" t="s">
        <v>94</v>
      </c>
      <c r="C110" s="601" t="s">
        <v>364</v>
      </c>
      <c r="D110" s="639" t="s">
        <v>95</v>
      </c>
      <c r="E110" s="575" t="s">
        <v>96</v>
      </c>
      <c r="F110" s="575" t="s">
        <v>447</v>
      </c>
      <c r="G110" s="575" t="s">
        <v>448</v>
      </c>
      <c r="H110" s="576" t="s">
        <v>449</v>
      </c>
      <c r="J110" s="933"/>
      <c r="K110" s="1666"/>
      <c r="L110" s="1666"/>
      <c r="M110" s="1666"/>
    </row>
    <row r="111" spans="1:13" s="355" customFormat="1" ht="16.5" thickTop="1" thickBot="1" x14ac:dyDescent="0.25">
      <c r="A111" s="511">
        <v>1</v>
      </c>
      <c r="B111" s="512">
        <v>2</v>
      </c>
      <c r="C111" s="512">
        <v>3</v>
      </c>
      <c r="D111" s="512">
        <v>4</v>
      </c>
      <c r="E111" s="512">
        <v>5</v>
      </c>
      <c r="F111" s="499">
        <v>6</v>
      </c>
      <c r="G111" s="499">
        <v>7</v>
      </c>
      <c r="H111" s="577" t="s">
        <v>33</v>
      </c>
      <c r="J111" s="933"/>
      <c r="K111" s="1666"/>
      <c r="L111" s="1666"/>
      <c r="M111" s="1666"/>
    </row>
    <row r="112" spans="1:13" s="355" customFormat="1" ht="16.5" thickTop="1" x14ac:dyDescent="0.25">
      <c r="A112" s="3232" t="s">
        <v>1664</v>
      </c>
      <c r="B112" s="2363">
        <v>6351</v>
      </c>
      <c r="C112" s="2402"/>
      <c r="D112" s="2403" t="s">
        <v>320</v>
      </c>
      <c r="E112" s="2404">
        <v>0</v>
      </c>
      <c r="F112" s="362">
        <f>SUM(F113)</f>
        <v>5541</v>
      </c>
      <c r="G112" s="362">
        <f>SUM(G113)</f>
        <v>5541</v>
      </c>
      <c r="H112" s="2391">
        <f t="shared" ref="H112:H118" si="40">(G112/F112)*100</f>
        <v>100</v>
      </c>
      <c r="J112" s="933"/>
      <c r="K112" s="2441"/>
      <c r="L112" s="2441">
        <f>L113</f>
        <v>5541000</v>
      </c>
      <c r="M112" s="2441">
        <f>M113</f>
        <v>5541000</v>
      </c>
    </row>
    <row r="113" spans="1:13" s="355" customFormat="1" ht="15" x14ac:dyDescent="0.2">
      <c r="A113" s="3230"/>
      <c r="B113" s="436"/>
      <c r="C113" s="643" t="s">
        <v>951</v>
      </c>
      <c r="D113" s="1646" t="s">
        <v>832</v>
      </c>
      <c r="E113" s="311">
        <v>0</v>
      </c>
      <c r="F113" s="311">
        <v>5541</v>
      </c>
      <c r="G113" s="311">
        <v>5541</v>
      </c>
      <c r="H113" s="506">
        <f t="shared" si="40"/>
        <v>100</v>
      </c>
      <c r="J113" s="933"/>
      <c r="K113" s="1663"/>
      <c r="L113" s="1663">
        <v>5541000</v>
      </c>
      <c r="M113" s="1663">
        <v>5541000</v>
      </c>
    </row>
    <row r="114" spans="1:13" s="355" customFormat="1" ht="15.75" x14ac:dyDescent="0.25">
      <c r="A114" s="3230"/>
      <c r="B114" s="502">
        <v>6356</v>
      </c>
      <c r="C114" s="643"/>
      <c r="D114" s="1869" t="s">
        <v>950</v>
      </c>
      <c r="E114" s="310">
        <f>SUM(E115:E117)</f>
        <v>0</v>
      </c>
      <c r="F114" s="310">
        <f>SUM(F115:F117)</f>
        <v>4854</v>
      </c>
      <c r="G114" s="310">
        <f>SUM(G115:G117)</f>
        <v>4854</v>
      </c>
      <c r="H114" s="504">
        <f t="shared" si="40"/>
        <v>100</v>
      </c>
      <c r="J114" s="933"/>
      <c r="K114" s="2441"/>
      <c r="L114" s="2441">
        <f t="shared" ref="L114:M114" si="41">SUM(L115:L117)</f>
        <v>4853924</v>
      </c>
      <c r="M114" s="2441">
        <f t="shared" si="41"/>
        <v>4853924</v>
      </c>
    </row>
    <row r="115" spans="1:13" s="355" customFormat="1" ht="15" x14ac:dyDescent="0.2">
      <c r="A115" s="3230"/>
      <c r="B115" s="502"/>
      <c r="C115" s="633" t="s">
        <v>1898</v>
      </c>
      <c r="D115" s="3121" t="s">
        <v>1906</v>
      </c>
      <c r="E115" s="311">
        <v>0</v>
      </c>
      <c r="F115" s="311">
        <v>4799</v>
      </c>
      <c r="G115" s="311">
        <v>4799</v>
      </c>
      <c r="H115" s="506">
        <f t="shared" si="40"/>
        <v>100</v>
      </c>
      <c r="J115" s="933"/>
      <c r="K115" s="1663"/>
      <c r="L115" s="1663">
        <v>4798924</v>
      </c>
      <c r="M115" s="1663">
        <v>4798924</v>
      </c>
    </row>
    <row r="116" spans="1:13" s="355" customFormat="1" ht="15" x14ac:dyDescent="0.2">
      <c r="A116" s="3230"/>
      <c r="B116" s="502"/>
      <c r="C116" s="643" t="s">
        <v>1899</v>
      </c>
      <c r="D116" s="1646" t="s">
        <v>1907</v>
      </c>
      <c r="E116" s="311">
        <v>0</v>
      </c>
      <c r="F116" s="311">
        <v>8</v>
      </c>
      <c r="G116" s="311">
        <v>8</v>
      </c>
      <c r="H116" s="506">
        <f t="shared" si="40"/>
        <v>100</v>
      </c>
      <c r="J116" s="933"/>
      <c r="K116" s="1663"/>
      <c r="L116" s="1663">
        <v>8250</v>
      </c>
      <c r="M116" s="1663">
        <v>8250</v>
      </c>
    </row>
    <row r="117" spans="1:13" s="355" customFormat="1" ht="15.75" thickBot="1" x14ac:dyDescent="0.25">
      <c r="A117" s="3231"/>
      <c r="B117" s="436"/>
      <c r="C117" s="633" t="s">
        <v>1900</v>
      </c>
      <c r="D117" s="2421" t="s">
        <v>1907</v>
      </c>
      <c r="E117" s="309">
        <v>0</v>
      </c>
      <c r="F117" s="893">
        <v>47</v>
      </c>
      <c r="G117" s="893">
        <v>47</v>
      </c>
      <c r="H117" s="2354">
        <f t="shared" si="40"/>
        <v>100</v>
      </c>
      <c r="J117" s="933"/>
      <c r="K117" s="1663"/>
      <c r="L117" s="1663">
        <v>46750</v>
      </c>
      <c r="M117" s="1663">
        <v>46750</v>
      </c>
    </row>
    <row r="118" spans="1:13" s="355" customFormat="1" ht="19.5" thickTop="1" thickBot="1" x14ac:dyDescent="0.3">
      <c r="A118" s="578" t="s">
        <v>987</v>
      </c>
      <c r="B118" s="579"/>
      <c r="C118" s="605"/>
      <c r="D118" s="581"/>
      <c r="E118" s="582">
        <f>E112+E114</f>
        <v>0</v>
      </c>
      <c r="F118" s="2389">
        <f>F112+F114</f>
        <v>10395</v>
      </c>
      <c r="G118" s="2389">
        <f>G112+G114</f>
        <v>10395</v>
      </c>
      <c r="H118" s="594">
        <f t="shared" si="40"/>
        <v>100</v>
      </c>
      <c r="J118" s="933"/>
      <c r="K118" s="2423"/>
      <c r="L118" s="2423">
        <f t="shared" ref="L118:M118" si="42">L112+L114</f>
        <v>10394924</v>
      </c>
      <c r="M118" s="2423">
        <f t="shared" si="42"/>
        <v>10394924</v>
      </c>
    </row>
    <row r="119" spans="1:13" s="355" customFormat="1" ht="18.75" thickTop="1" x14ac:dyDescent="0.25">
      <c r="A119" s="353"/>
      <c r="B119" s="354"/>
      <c r="C119" s="139"/>
      <c r="D119" s="354"/>
      <c r="E119" s="17"/>
      <c r="F119" s="17"/>
      <c r="G119" s="17"/>
      <c r="H119" s="727"/>
      <c r="J119" s="933"/>
      <c r="K119" s="1666"/>
      <c r="L119" s="1666"/>
      <c r="M119" s="1666"/>
    </row>
    <row r="120" spans="1:13" s="355" customFormat="1" ht="18" x14ac:dyDescent="0.25">
      <c r="A120" s="353"/>
      <c r="B120" s="354"/>
      <c r="C120" s="139"/>
      <c r="D120" s="354"/>
      <c r="E120" s="17"/>
      <c r="F120" s="17"/>
      <c r="G120" s="17"/>
      <c r="H120" s="727"/>
      <c r="J120" s="933"/>
      <c r="K120" s="1666"/>
      <c r="L120" s="1666"/>
      <c r="M120" s="1666"/>
    </row>
    <row r="121" spans="1:13" s="355" customFormat="1" ht="15.75" x14ac:dyDescent="0.25">
      <c r="A121" s="97" t="s">
        <v>1077</v>
      </c>
      <c r="B121" s="372"/>
      <c r="C121" s="595"/>
      <c r="D121" s="372"/>
      <c r="E121" s="484"/>
      <c r="F121" s="484"/>
      <c r="G121" s="484"/>
      <c r="H121" s="636"/>
      <c r="J121" s="933"/>
      <c r="K121" s="1666"/>
      <c r="L121" s="1666"/>
      <c r="M121" s="1666"/>
    </row>
    <row r="122" spans="1:13" s="355" customFormat="1" ht="12.75" customHeight="1" thickBot="1" x14ac:dyDescent="0.3">
      <c r="A122" s="97"/>
      <c r="B122" s="372"/>
      <c r="C122" s="725"/>
      <c r="D122" s="625"/>
      <c r="E122" s="608"/>
      <c r="F122" s="638"/>
      <c r="G122" s="608"/>
      <c r="H122" s="1090" t="s">
        <v>92</v>
      </c>
      <c r="J122" s="933"/>
      <c r="K122" s="1666"/>
      <c r="L122" s="1666"/>
      <c r="M122" s="1666"/>
    </row>
    <row r="123" spans="1:13" s="355" customFormat="1" ht="16.5" thickTop="1" thickBot="1" x14ac:dyDescent="0.25">
      <c r="A123" s="572" t="s">
        <v>93</v>
      </c>
      <c r="B123" s="573" t="s">
        <v>94</v>
      </c>
      <c r="C123" s="601" t="s">
        <v>364</v>
      </c>
      <c r="D123" s="639" t="s">
        <v>95</v>
      </c>
      <c r="E123" s="575" t="s">
        <v>328</v>
      </c>
      <c r="F123" s="575" t="s">
        <v>329</v>
      </c>
      <c r="G123" s="575" t="s">
        <v>448</v>
      </c>
      <c r="H123" s="576" t="s">
        <v>449</v>
      </c>
      <c r="J123" s="933"/>
      <c r="K123" s="1666"/>
      <c r="L123" s="1666"/>
      <c r="M123" s="1666"/>
    </row>
    <row r="124" spans="1:13" s="355" customFormat="1" ht="16.5" thickTop="1" thickBot="1" x14ac:dyDescent="0.25">
      <c r="A124" s="511">
        <v>1</v>
      </c>
      <c r="B124" s="512">
        <v>2</v>
      </c>
      <c r="C124" s="512">
        <v>3</v>
      </c>
      <c r="D124" s="512">
        <v>4</v>
      </c>
      <c r="E124" s="512">
        <v>5</v>
      </c>
      <c r="F124" s="499">
        <v>6</v>
      </c>
      <c r="G124" s="499">
        <v>7</v>
      </c>
      <c r="H124" s="577" t="s">
        <v>33</v>
      </c>
      <c r="J124" s="933"/>
      <c r="K124" s="1666"/>
      <c r="L124" s="1666"/>
      <c r="M124" s="1666"/>
    </row>
    <row r="125" spans="1:13" ht="15.75" thickTop="1" x14ac:dyDescent="0.25">
      <c r="A125" s="2348"/>
      <c r="B125" s="603">
        <v>5212</v>
      </c>
      <c r="C125" s="1648"/>
      <c r="D125" s="644" t="s">
        <v>1244</v>
      </c>
      <c r="E125" s="310">
        <f>SUM(E126:E130)</f>
        <v>0</v>
      </c>
      <c r="F125" s="310">
        <f t="shared" ref="F125:G125" si="43">SUM(F126:F130)</f>
        <v>8445</v>
      </c>
      <c r="G125" s="310">
        <f t="shared" si="43"/>
        <v>8445</v>
      </c>
      <c r="H125" s="2391">
        <f>(G125/F125)*100</f>
        <v>100</v>
      </c>
      <c r="L125" s="1597">
        <f>SUM(L126:L130)</f>
        <v>8445312</v>
      </c>
      <c r="M125" s="1597">
        <f>SUM(M126:M130)</f>
        <v>8445312</v>
      </c>
    </row>
    <row r="126" spans="1:13" x14ac:dyDescent="0.2">
      <c r="A126" s="2739">
        <v>3111</v>
      </c>
      <c r="B126" s="879"/>
      <c r="C126" s="643" t="s">
        <v>941</v>
      </c>
      <c r="D126" s="2392" t="s">
        <v>1665</v>
      </c>
      <c r="E126" s="309">
        <v>0</v>
      </c>
      <c r="F126" s="912">
        <v>2175</v>
      </c>
      <c r="G126" s="912">
        <v>2175</v>
      </c>
      <c r="H126" s="1645">
        <f>(G126/F126)*100</f>
        <v>100</v>
      </c>
      <c r="L126" s="1663">
        <v>2175234</v>
      </c>
      <c r="M126" s="1663">
        <v>2175234</v>
      </c>
    </row>
    <row r="127" spans="1:13" x14ac:dyDescent="0.2">
      <c r="A127" s="2739">
        <v>3113</v>
      </c>
      <c r="B127" s="879"/>
      <c r="C127" s="643" t="s">
        <v>941</v>
      </c>
      <c r="D127" s="2392" t="s">
        <v>1665</v>
      </c>
      <c r="E127" s="309">
        <v>0</v>
      </c>
      <c r="F127" s="912">
        <v>570</v>
      </c>
      <c r="G127" s="912">
        <v>570</v>
      </c>
      <c r="H127" s="1645">
        <f t="shared" ref="H127:H130" si="44">(G127/F127)*100</f>
        <v>100</v>
      </c>
      <c r="L127" s="1663">
        <v>570300</v>
      </c>
      <c r="M127" s="1663">
        <v>570300</v>
      </c>
    </row>
    <row r="128" spans="1:13" x14ac:dyDescent="0.2">
      <c r="A128" s="2739">
        <v>3141</v>
      </c>
      <c r="B128" s="879"/>
      <c r="C128" s="643" t="s">
        <v>941</v>
      </c>
      <c r="D128" s="2392" t="s">
        <v>1665</v>
      </c>
      <c r="E128" s="309">
        <v>0</v>
      </c>
      <c r="F128" s="912">
        <v>107</v>
      </c>
      <c r="G128" s="912">
        <v>107</v>
      </c>
      <c r="H128" s="1645">
        <f t="shared" si="44"/>
        <v>100</v>
      </c>
      <c r="L128" s="1663">
        <v>106770</v>
      </c>
      <c r="M128" s="1663">
        <v>106770</v>
      </c>
    </row>
    <row r="129" spans="1:21" x14ac:dyDescent="0.2">
      <c r="A129" s="2739">
        <v>3143</v>
      </c>
      <c r="B129" s="879"/>
      <c r="C129" s="643" t="s">
        <v>941</v>
      </c>
      <c r="D129" s="2392" t="s">
        <v>1665</v>
      </c>
      <c r="E129" s="309">
        <v>0</v>
      </c>
      <c r="F129" s="912">
        <v>132</v>
      </c>
      <c r="G129" s="912">
        <v>132</v>
      </c>
      <c r="H129" s="1645">
        <f t="shared" si="44"/>
        <v>100</v>
      </c>
      <c r="L129" s="1663">
        <v>132296</v>
      </c>
      <c r="M129" s="1663">
        <v>132296</v>
      </c>
    </row>
    <row r="130" spans="1:21" x14ac:dyDescent="0.2">
      <c r="A130" s="2739">
        <v>3231</v>
      </c>
      <c r="B130" s="879"/>
      <c r="C130" s="643" t="s">
        <v>941</v>
      </c>
      <c r="D130" s="2392" t="s">
        <v>1665</v>
      </c>
      <c r="E130" s="309">
        <v>0</v>
      </c>
      <c r="F130" s="912">
        <v>5461</v>
      </c>
      <c r="G130" s="912">
        <v>5461</v>
      </c>
      <c r="H130" s="1645">
        <f t="shared" si="44"/>
        <v>100</v>
      </c>
      <c r="L130" s="1663">
        <v>5460712</v>
      </c>
      <c r="M130" s="1663">
        <v>5460712</v>
      </c>
    </row>
    <row r="131" spans="1:21" s="106" customFormat="1" ht="20.25" customHeight="1" x14ac:dyDescent="0.25">
      <c r="A131" s="2348"/>
      <c r="B131" s="502">
        <v>5213</v>
      </c>
      <c r="C131" s="708"/>
      <c r="D131" s="2417" t="s">
        <v>1245</v>
      </c>
      <c r="E131" s="310">
        <f>SUM(E133:E158)</f>
        <v>0</v>
      </c>
      <c r="F131" s="310">
        <f>SUM(F133:F158)</f>
        <v>184302</v>
      </c>
      <c r="G131" s="310">
        <f>SUM(G133:G158)</f>
        <v>184299</v>
      </c>
      <c r="H131" s="2393">
        <f>(G131/F131)*100</f>
        <v>99.998372236872086</v>
      </c>
      <c r="L131" s="2442">
        <f>SUM(L132:L158)</f>
        <v>184302051.69999999</v>
      </c>
      <c r="M131" s="2442">
        <f>SUM(M132:M158)</f>
        <v>184299261.69999999</v>
      </c>
    </row>
    <row r="132" spans="1:21" s="374" customFormat="1" ht="15" hidden="1" x14ac:dyDescent="0.25">
      <c r="A132" s="2348"/>
      <c r="B132" s="2362"/>
      <c r="C132" s="2394"/>
      <c r="D132" s="1653"/>
      <c r="E132" s="310"/>
      <c r="F132" s="2395"/>
      <c r="G132" s="311"/>
      <c r="H132" s="1645"/>
      <c r="I132" s="106"/>
    </row>
    <row r="133" spans="1:21" s="374" customFormat="1" x14ac:dyDescent="0.2">
      <c r="A133" s="2348">
        <v>3122</v>
      </c>
      <c r="B133" s="2362"/>
      <c r="C133" s="633" t="s">
        <v>920</v>
      </c>
      <c r="D133" s="976" t="s">
        <v>723</v>
      </c>
      <c r="E133" s="309">
        <v>0</v>
      </c>
      <c r="F133" s="311">
        <v>11</v>
      </c>
      <c r="G133" s="311">
        <v>11</v>
      </c>
      <c r="H133" s="1645">
        <f t="shared" ref="H133:H184" si="45">(G133/F133)*100</f>
        <v>100</v>
      </c>
      <c r="I133" s="106"/>
      <c r="L133" s="1663">
        <v>11266</v>
      </c>
      <c r="M133" s="1663">
        <v>11266</v>
      </c>
    </row>
    <row r="134" spans="1:21" s="374" customFormat="1" x14ac:dyDescent="0.2">
      <c r="A134" s="2348">
        <v>3123</v>
      </c>
      <c r="B134" s="2362"/>
      <c r="C134" s="633" t="s">
        <v>912</v>
      </c>
      <c r="D134" s="970" t="s">
        <v>1970</v>
      </c>
      <c r="E134" s="311">
        <v>0</v>
      </c>
      <c r="F134" s="309">
        <v>20</v>
      </c>
      <c r="G134" s="311">
        <v>20</v>
      </c>
      <c r="H134" s="1645">
        <f t="shared" si="45"/>
        <v>100</v>
      </c>
      <c r="I134" s="106"/>
      <c r="L134" s="1663">
        <v>19820</v>
      </c>
      <c r="M134" s="1663">
        <v>19820</v>
      </c>
    </row>
    <row r="135" spans="1:21" s="374" customFormat="1" x14ac:dyDescent="0.2">
      <c r="A135" s="2348">
        <v>3124</v>
      </c>
      <c r="B135" s="2362"/>
      <c r="C135" s="633" t="s">
        <v>912</v>
      </c>
      <c r="D135" s="970" t="s">
        <v>1970</v>
      </c>
      <c r="E135" s="311">
        <v>0</v>
      </c>
      <c r="F135" s="309">
        <v>185</v>
      </c>
      <c r="G135" s="311">
        <v>185</v>
      </c>
      <c r="H135" s="1645">
        <f t="shared" si="45"/>
        <v>100</v>
      </c>
      <c r="I135" s="106"/>
      <c r="L135" s="1663">
        <v>185481</v>
      </c>
      <c r="M135" s="1663">
        <v>185481</v>
      </c>
    </row>
    <row r="136" spans="1:21" s="425" customFormat="1" ht="25.5" x14ac:dyDescent="0.2">
      <c r="A136" s="2887">
        <v>3146</v>
      </c>
      <c r="B136" s="2362"/>
      <c r="C136" s="633" t="s">
        <v>1133</v>
      </c>
      <c r="D136" s="2878" t="s">
        <v>1243</v>
      </c>
      <c r="E136" s="893">
        <v>0</v>
      </c>
      <c r="F136" s="894">
        <v>1114</v>
      </c>
      <c r="G136" s="893">
        <v>1114</v>
      </c>
      <c r="H136" s="2396">
        <f t="shared" si="45"/>
        <v>100</v>
      </c>
      <c r="I136" s="106"/>
      <c r="J136" s="585"/>
      <c r="K136" s="585"/>
      <c r="L136" s="1663">
        <v>1113932</v>
      </c>
      <c r="M136" s="1663">
        <v>1113932</v>
      </c>
      <c r="N136" s="106"/>
      <c r="O136" s="106"/>
      <c r="P136" s="106"/>
      <c r="Q136" s="106"/>
      <c r="R136" s="106"/>
      <c r="S136" s="106"/>
      <c r="T136" s="106"/>
      <c r="U136" s="106"/>
    </row>
    <row r="137" spans="1:21" s="425" customFormat="1" x14ac:dyDescent="0.2">
      <c r="A137" s="2888">
        <v>3111</v>
      </c>
      <c r="B137" s="603"/>
      <c r="C137" s="505" t="s">
        <v>941</v>
      </c>
      <c r="D137" s="2392" t="s">
        <v>1665</v>
      </c>
      <c r="E137" s="311">
        <v>0</v>
      </c>
      <c r="F137" s="309">
        <v>23411</v>
      </c>
      <c r="G137" s="311">
        <v>23411</v>
      </c>
      <c r="H137" s="1645">
        <f t="shared" si="45"/>
        <v>100</v>
      </c>
      <c r="L137" s="1663">
        <v>23410969</v>
      </c>
      <c r="M137" s="2443">
        <v>23410969</v>
      </c>
    </row>
    <row r="138" spans="1:21" s="425" customFormat="1" x14ac:dyDescent="0.2">
      <c r="A138" s="2888">
        <v>3112</v>
      </c>
      <c r="B138" s="603"/>
      <c r="C138" s="505" t="s">
        <v>941</v>
      </c>
      <c r="D138" s="2392" t="s">
        <v>1665</v>
      </c>
      <c r="E138" s="311">
        <v>0</v>
      </c>
      <c r="F138" s="309">
        <v>3368</v>
      </c>
      <c r="G138" s="311">
        <v>3368</v>
      </c>
      <c r="H138" s="1645">
        <f t="shared" si="45"/>
        <v>100</v>
      </c>
      <c r="L138" s="1663">
        <v>3367842</v>
      </c>
      <c r="M138" s="2443">
        <v>3367842</v>
      </c>
    </row>
    <row r="139" spans="1:21" s="425" customFormat="1" x14ac:dyDescent="0.2">
      <c r="A139" s="2888">
        <v>3113</v>
      </c>
      <c r="B139" s="603"/>
      <c r="C139" s="505" t="s">
        <v>941</v>
      </c>
      <c r="D139" s="2392" t="s">
        <v>1665</v>
      </c>
      <c r="E139" s="311">
        <v>0</v>
      </c>
      <c r="F139" s="309">
        <v>23408</v>
      </c>
      <c r="G139" s="311">
        <v>23408</v>
      </c>
      <c r="H139" s="1645">
        <f t="shared" si="45"/>
        <v>100</v>
      </c>
      <c r="L139" s="1663">
        <v>23408016</v>
      </c>
      <c r="M139" s="2443">
        <v>23408016</v>
      </c>
    </row>
    <row r="140" spans="1:21" s="425" customFormat="1" x14ac:dyDescent="0.2">
      <c r="A140" s="2888">
        <v>3114</v>
      </c>
      <c r="B140" s="603"/>
      <c r="C140" s="505" t="s">
        <v>941</v>
      </c>
      <c r="D140" s="2392" t="s">
        <v>1665</v>
      </c>
      <c r="E140" s="311">
        <v>0</v>
      </c>
      <c r="F140" s="309">
        <v>7986</v>
      </c>
      <c r="G140" s="311">
        <v>7986</v>
      </c>
      <c r="H140" s="1645">
        <f t="shared" si="45"/>
        <v>100</v>
      </c>
      <c r="L140" s="1663">
        <v>7986359</v>
      </c>
      <c r="M140" s="2443">
        <v>7986359</v>
      </c>
    </row>
    <row r="141" spans="1:21" s="425" customFormat="1" x14ac:dyDescent="0.2">
      <c r="A141" s="2888">
        <v>3122</v>
      </c>
      <c r="B141" s="603"/>
      <c r="C141" s="505" t="s">
        <v>941</v>
      </c>
      <c r="D141" s="2392" t="s">
        <v>1665</v>
      </c>
      <c r="E141" s="311">
        <v>0</v>
      </c>
      <c r="F141" s="309">
        <v>55647</v>
      </c>
      <c r="G141" s="311">
        <v>55647</v>
      </c>
      <c r="H141" s="1645">
        <f t="shared" si="45"/>
        <v>100</v>
      </c>
      <c r="L141" s="1663">
        <v>55647469</v>
      </c>
      <c r="M141" s="2443">
        <v>55647469</v>
      </c>
    </row>
    <row r="142" spans="1:21" s="425" customFormat="1" x14ac:dyDescent="0.2">
      <c r="A142" s="2888">
        <v>3123</v>
      </c>
      <c r="B142" s="603"/>
      <c r="C142" s="505" t="s">
        <v>941</v>
      </c>
      <c r="D142" s="2392" t="s">
        <v>1665</v>
      </c>
      <c r="E142" s="311">
        <v>0</v>
      </c>
      <c r="F142" s="309">
        <v>44167</v>
      </c>
      <c r="G142" s="311">
        <v>44167</v>
      </c>
      <c r="H142" s="1645">
        <f t="shared" si="45"/>
        <v>100</v>
      </c>
      <c r="L142" s="1663">
        <v>44167177</v>
      </c>
      <c r="M142" s="2443">
        <v>44167177</v>
      </c>
    </row>
    <row r="143" spans="1:21" s="425" customFormat="1" x14ac:dyDescent="0.2">
      <c r="A143" s="2888">
        <v>3124</v>
      </c>
      <c r="B143" s="603"/>
      <c r="C143" s="505" t="s">
        <v>941</v>
      </c>
      <c r="D143" s="2392" t="s">
        <v>1665</v>
      </c>
      <c r="E143" s="311">
        <v>0</v>
      </c>
      <c r="F143" s="309">
        <v>8708</v>
      </c>
      <c r="G143" s="311">
        <v>8708</v>
      </c>
      <c r="H143" s="1645">
        <f t="shared" si="45"/>
        <v>100</v>
      </c>
      <c r="L143" s="1663">
        <v>8707953</v>
      </c>
      <c r="M143" s="2443">
        <v>8707953</v>
      </c>
    </row>
    <row r="144" spans="1:21" s="425" customFormat="1" x14ac:dyDescent="0.2">
      <c r="A144" s="2888">
        <v>3125</v>
      </c>
      <c r="B144" s="603"/>
      <c r="C144" s="505" t="s">
        <v>941</v>
      </c>
      <c r="D144" s="2392" t="s">
        <v>1665</v>
      </c>
      <c r="E144" s="311">
        <v>0</v>
      </c>
      <c r="F144" s="309">
        <v>805</v>
      </c>
      <c r="G144" s="311">
        <v>805</v>
      </c>
      <c r="H144" s="1645">
        <f t="shared" si="45"/>
        <v>100</v>
      </c>
      <c r="L144" s="1663">
        <v>805084</v>
      </c>
      <c r="M144" s="2443">
        <v>805084</v>
      </c>
    </row>
    <row r="145" spans="1:14" s="425" customFormat="1" x14ac:dyDescent="0.2">
      <c r="A145" s="2888">
        <v>3141</v>
      </c>
      <c r="B145" s="603"/>
      <c r="C145" s="505" t="s">
        <v>941</v>
      </c>
      <c r="D145" s="2392" t="s">
        <v>1665</v>
      </c>
      <c r="E145" s="311">
        <v>0</v>
      </c>
      <c r="F145" s="309">
        <v>3783</v>
      </c>
      <c r="G145" s="311">
        <v>3783</v>
      </c>
      <c r="H145" s="1645">
        <f t="shared" si="45"/>
        <v>100</v>
      </c>
      <c r="L145" s="1663">
        <v>3782690</v>
      </c>
      <c r="M145" s="2443">
        <v>3782690</v>
      </c>
    </row>
    <row r="146" spans="1:14" s="425" customFormat="1" x14ac:dyDescent="0.2">
      <c r="A146" s="2888">
        <v>3143</v>
      </c>
      <c r="B146" s="603"/>
      <c r="C146" s="505" t="s">
        <v>941</v>
      </c>
      <c r="D146" s="2392" t="s">
        <v>1665</v>
      </c>
      <c r="E146" s="311">
        <v>0</v>
      </c>
      <c r="F146" s="309">
        <v>3754</v>
      </c>
      <c r="G146" s="311">
        <v>3754</v>
      </c>
      <c r="H146" s="1645">
        <f t="shared" si="45"/>
        <v>100</v>
      </c>
      <c r="L146" s="1663">
        <v>3753641</v>
      </c>
      <c r="M146" s="2443">
        <v>3753641</v>
      </c>
    </row>
    <row r="147" spans="1:14" s="425" customFormat="1" x14ac:dyDescent="0.2">
      <c r="A147" s="2888">
        <v>3145</v>
      </c>
      <c r="B147" s="603"/>
      <c r="C147" s="505" t="s">
        <v>941</v>
      </c>
      <c r="D147" s="2392" t="s">
        <v>1665</v>
      </c>
      <c r="E147" s="311">
        <v>0</v>
      </c>
      <c r="F147" s="309">
        <v>757</v>
      </c>
      <c r="G147" s="311">
        <v>757</v>
      </c>
      <c r="H147" s="1645">
        <f t="shared" si="45"/>
        <v>100</v>
      </c>
      <c r="L147" s="1663">
        <v>756648</v>
      </c>
      <c r="M147" s="2443">
        <v>756648</v>
      </c>
    </row>
    <row r="148" spans="1:14" s="425" customFormat="1" x14ac:dyDescent="0.2">
      <c r="A148" s="2888">
        <v>3146</v>
      </c>
      <c r="B148" s="603"/>
      <c r="C148" s="505" t="s">
        <v>941</v>
      </c>
      <c r="D148" s="2392" t="s">
        <v>1665</v>
      </c>
      <c r="E148" s="311">
        <v>0</v>
      </c>
      <c r="F148" s="309">
        <v>2006</v>
      </c>
      <c r="G148" s="311">
        <v>2006</v>
      </c>
      <c r="H148" s="1645">
        <f t="shared" si="45"/>
        <v>100</v>
      </c>
      <c r="L148" s="1663">
        <v>2006068</v>
      </c>
      <c r="M148" s="2443">
        <v>2006068</v>
      </c>
    </row>
    <row r="149" spans="1:14" s="425" customFormat="1" x14ac:dyDescent="0.2">
      <c r="A149" s="2888">
        <v>3150</v>
      </c>
      <c r="B149" s="603"/>
      <c r="C149" s="505" t="s">
        <v>941</v>
      </c>
      <c r="D149" s="2392" t="s">
        <v>1665</v>
      </c>
      <c r="E149" s="311">
        <v>0</v>
      </c>
      <c r="F149" s="309">
        <v>1119</v>
      </c>
      <c r="G149" s="311">
        <v>1119</v>
      </c>
      <c r="H149" s="1645">
        <f t="shared" si="45"/>
        <v>100</v>
      </c>
      <c r="L149" s="1663">
        <v>1118668</v>
      </c>
      <c r="M149" s="2443">
        <v>1118668</v>
      </c>
    </row>
    <row r="150" spans="1:14" s="425" customFormat="1" x14ac:dyDescent="0.2">
      <c r="A150" s="2888">
        <v>3231</v>
      </c>
      <c r="B150" s="603"/>
      <c r="C150" s="505" t="s">
        <v>941</v>
      </c>
      <c r="D150" s="2392" t="s">
        <v>1665</v>
      </c>
      <c r="E150" s="311">
        <v>0</v>
      </c>
      <c r="F150" s="309">
        <v>2146</v>
      </c>
      <c r="G150" s="311">
        <v>2146</v>
      </c>
      <c r="H150" s="1645">
        <f t="shared" si="45"/>
        <v>100</v>
      </c>
      <c r="L150" s="1663">
        <v>2145963</v>
      </c>
      <c r="M150" s="2443">
        <v>2145963</v>
      </c>
    </row>
    <row r="151" spans="1:14" s="425" customFormat="1" x14ac:dyDescent="0.2">
      <c r="A151" s="2888">
        <v>3233</v>
      </c>
      <c r="B151" s="603"/>
      <c r="C151" s="505" t="s">
        <v>941</v>
      </c>
      <c r="D151" s="2392" t="s">
        <v>1665</v>
      </c>
      <c r="E151" s="311">
        <v>0</v>
      </c>
      <c r="F151" s="309">
        <v>98</v>
      </c>
      <c r="G151" s="311">
        <v>98</v>
      </c>
      <c r="H151" s="1645">
        <f t="shared" si="45"/>
        <v>100</v>
      </c>
      <c r="L151" s="1663">
        <v>98196</v>
      </c>
      <c r="M151" s="2443">
        <v>98196</v>
      </c>
    </row>
    <row r="152" spans="1:14" s="425" customFormat="1" x14ac:dyDescent="0.2">
      <c r="A152" s="2888">
        <v>3299</v>
      </c>
      <c r="B152" s="603"/>
      <c r="C152" s="505" t="s">
        <v>941</v>
      </c>
      <c r="D152" s="2392" t="s">
        <v>1665</v>
      </c>
      <c r="E152" s="311">
        <v>0</v>
      </c>
      <c r="F152" s="309">
        <v>3</v>
      </c>
      <c r="G152" s="311">
        <v>0</v>
      </c>
      <c r="H152" s="1645">
        <f t="shared" si="45"/>
        <v>0</v>
      </c>
      <c r="L152" s="1663">
        <v>2790</v>
      </c>
      <c r="M152" s="2443">
        <v>0</v>
      </c>
    </row>
    <row r="153" spans="1:14" s="425" customFormat="1" ht="25.5" x14ac:dyDescent="0.2">
      <c r="A153" s="2889">
        <v>3111</v>
      </c>
      <c r="B153" s="603"/>
      <c r="C153" s="633" t="s">
        <v>942</v>
      </c>
      <c r="D153" s="2878" t="s">
        <v>474</v>
      </c>
      <c r="E153" s="893">
        <v>0</v>
      </c>
      <c r="F153" s="894">
        <v>161</v>
      </c>
      <c r="G153" s="893">
        <v>161</v>
      </c>
      <c r="H153" s="2396">
        <f t="shared" si="45"/>
        <v>100</v>
      </c>
      <c r="I153" s="2307"/>
      <c r="L153" s="1663">
        <v>160792</v>
      </c>
      <c r="M153" s="2445">
        <v>160792</v>
      </c>
    </row>
    <row r="154" spans="1:14" s="425" customFormat="1" ht="25.5" x14ac:dyDescent="0.2">
      <c r="A154" s="2889">
        <v>3112</v>
      </c>
      <c r="B154" s="603"/>
      <c r="C154" s="633" t="s">
        <v>942</v>
      </c>
      <c r="D154" s="2878" t="s">
        <v>474</v>
      </c>
      <c r="E154" s="893">
        <v>0</v>
      </c>
      <c r="F154" s="894">
        <v>122</v>
      </c>
      <c r="G154" s="893">
        <v>122</v>
      </c>
      <c r="H154" s="2396">
        <f t="shared" si="45"/>
        <v>100</v>
      </c>
      <c r="I154" s="2307"/>
      <c r="L154" s="1663">
        <v>122200</v>
      </c>
      <c r="M154" s="2964">
        <v>122200</v>
      </c>
    </row>
    <row r="155" spans="1:14" s="425" customFormat="1" ht="25.5" x14ac:dyDescent="0.2">
      <c r="A155" s="2889">
        <v>3113</v>
      </c>
      <c r="B155" s="603"/>
      <c r="C155" s="633" t="s">
        <v>942</v>
      </c>
      <c r="D155" s="2878" t="s">
        <v>474</v>
      </c>
      <c r="E155" s="893">
        <v>0</v>
      </c>
      <c r="F155" s="894">
        <v>489</v>
      </c>
      <c r="G155" s="893">
        <v>489</v>
      </c>
      <c r="H155" s="2396">
        <f t="shared" si="45"/>
        <v>100</v>
      </c>
      <c r="I155" s="2307"/>
      <c r="L155" s="1663">
        <v>489209.7</v>
      </c>
      <c r="M155" s="2445">
        <v>489209.7</v>
      </c>
    </row>
    <row r="156" spans="1:14" s="425" customFormat="1" ht="25.5" x14ac:dyDescent="0.2">
      <c r="A156" s="2889">
        <v>3114</v>
      </c>
      <c r="B156" s="603"/>
      <c r="C156" s="633" t="s">
        <v>942</v>
      </c>
      <c r="D156" s="2878" t="s">
        <v>474</v>
      </c>
      <c r="E156" s="893">
        <v>0</v>
      </c>
      <c r="F156" s="894">
        <v>862</v>
      </c>
      <c r="G156" s="893">
        <v>862</v>
      </c>
      <c r="H156" s="2396">
        <f t="shared" si="45"/>
        <v>100</v>
      </c>
      <c r="I156" s="2307"/>
      <c r="L156" s="1663">
        <v>861843</v>
      </c>
      <c r="M156" s="2445">
        <v>861843</v>
      </c>
    </row>
    <row r="157" spans="1:14" s="425" customFormat="1" ht="25.5" x14ac:dyDescent="0.2">
      <c r="A157" s="2889">
        <v>3122</v>
      </c>
      <c r="B157" s="603"/>
      <c r="C157" s="633" t="s">
        <v>942</v>
      </c>
      <c r="D157" s="2878" t="s">
        <v>474</v>
      </c>
      <c r="E157" s="893">
        <v>0</v>
      </c>
      <c r="F157" s="894">
        <v>47</v>
      </c>
      <c r="G157" s="893">
        <v>47</v>
      </c>
      <c r="H157" s="2396">
        <f t="shared" si="45"/>
        <v>100</v>
      </c>
      <c r="I157" s="2307"/>
      <c r="L157" s="1663">
        <v>47031</v>
      </c>
      <c r="M157" s="2445">
        <v>47031</v>
      </c>
    </row>
    <row r="158" spans="1:14" s="425" customFormat="1" ht="25.5" x14ac:dyDescent="0.2">
      <c r="A158" s="2889">
        <v>3113</v>
      </c>
      <c r="B158" s="603"/>
      <c r="C158" s="633" t="s">
        <v>918</v>
      </c>
      <c r="D158" s="2878" t="s">
        <v>473</v>
      </c>
      <c r="E158" s="893">
        <v>0</v>
      </c>
      <c r="F158" s="894">
        <v>125</v>
      </c>
      <c r="G158" s="893">
        <v>125</v>
      </c>
      <c r="H158" s="2396">
        <f t="shared" si="45"/>
        <v>100</v>
      </c>
      <c r="I158" s="2307"/>
      <c r="L158" s="1663">
        <v>124944</v>
      </c>
      <c r="M158" s="2445">
        <v>124944</v>
      </c>
      <c r="N158" s="2965"/>
    </row>
    <row r="159" spans="1:14" s="425" customFormat="1" ht="15" x14ac:dyDescent="0.25">
      <c r="A159" s="2348"/>
      <c r="B159" s="502">
        <v>5221</v>
      </c>
      <c r="C159" s="2397"/>
      <c r="D159" s="1653" t="s">
        <v>1247</v>
      </c>
      <c r="E159" s="310">
        <f>SUM(E160:E173)</f>
        <v>0</v>
      </c>
      <c r="F159" s="310">
        <f>SUM(F160:F173)</f>
        <v>96125</v>
      </c>
      <c r="G159" s="310">
        <f>SUM(G160:G173)</f>
        <v>96125</v>
      </c>
      <c r="H159" s="2393">
        <f t="shared" si="45"/>
        <v>100</v>
      </c>
      <c r="I159" s="2307"/>
      <c r="L159" s="2444">
        <f>SUM(L160:L173)</f>
        <v>96124989</v>
      </c>
      <c r="M159" s="2444">
        <f>SUM(M160:M173)</f>
        <v>96124989</v>
      </c>
    </row>
    <row r="160" spans="1:14" s="425" customFormat="1" ht="25.5" x14ac:dyDescent="0.2">
      <c r="A160" s="2887">
        <v>3429</v>
      </c>
      <c r="B160" s="2362"/>
      <c r="C160" s="2439" t="s">
        <v>1250</v>
      </c>
      <c r="D160" s="2878" t="s">
        <v>1251</v>
      </c>
      <c r="E160" s="893">
        <v>0</v>
      </c>
      <c r="F160" s="894">
        <v>21</v>
      </c>
      <c r="G160" s="893">
        <v>21</v>
      </c>
      <c r="H160" s="2396">
        <f t="shared" si="45"/>
        <v>100</v>
      </c>
      <c r="L160" s="2962">
        <v>21000</v>
      </c>
      <c r="M160" s="2963">
        <v>21000</v>
      </c>
    </row>
    <row r="161" spans="1:21" s="425" customFormat="1" ht="25.5" x14ac:dyDescent="0.2">
      <c r="A161" s="2887">
        <v>3146</v>
      </c>
      <c r="B161" s="2362"/>
      <c r="C161" s="633" t="s">
        <v>1133</v>
      </c>
      <c r="D161" s="2878" t="s">
        <v>1243</v>
      </c>
      <c r="E161" s="893">
        <v>0</v>
      </c>
      <c r="F161" s="894">
        <v>1993</v>
      </c>
      <c r="G161" s="893">
        <v>1993</v>
      </c>
      <c r="H161" s="2396">
        <f t="shared" si="45"/>
        <v>100</v>
      </c>
      <c r="L161" s="1663">
        <v>1993351</v>
      </c>
      <c r="M161" s="2445">
        <v>1993351</v>
      </c>
    </row>
    <row r="162" spans="1:21" s="425" customFormat="1" x14ac:dyDescent="0.2">
      <c r="A162" s="2887">
        <v>3114</v>
      </c>
      <c r="B162" s="2362"/>
      <c r="C162" s="633" t="s">
        <v>1894</v>
      </c>
      <c r="D162" s="2967" t="s">
        <v>1967</v>
      </c>
      <c r="E162" s="893">
        <v>0</v>
      </c>
      <c r="F162" s="894">
        <v>7</v>
      </c>
      <c r="G162" s="893">
        <v>7</v>
      </c>
      <c r="H162" s="2396">
        <f t="shared" si="45"/>
        <v>100</v>
      </c>
      <c r="L162" s="1663">
        <v>6510</v>
      </c>
      <c r="M162" s="2445">
        <v>6510</v>
      </c>
    </row>
    <row r="163" spans="1:21" s="425" customFormat="1" x14ac:dyDescent="0.2">
      <c r="A163" s="2348">
        <v>3111</v>
      </c>
      <c r="B163" s="2398"/>
      <c r="C163" s="505" t="s">
        <v>941</v>
      </c>
      <c r="D163" s="2392" t="s">
        <v>1665</v>
      </c>
      <c r="E163" s="893">
        <v>0</v>
      </c>
      <c r="F163" s="309">
        <v>1124</v>
      </c>
      <c r="G163" s="351">
        <v>1124</v>
      </c>
      <c r="H163" s="1645">
        <f t="shared" si="45"/>
        <v>100</v>
      </c>
      <c r="I163" s="106"/>
      <c r="J163" s="106"/>
      <c r="K163" s="106"/>
      <c r="L163" s="1663">
        <v>1124348</v>
      </c>
      <c r="M163" s="2445">
        <v>1124348</v>
      </c>
      <c r="N163" s="106"/>
      <c r="O163" s="106"/>
      <c r="P163" s="106"/>
      <c r="Q163" s="106"/>
      <c r="R163" s="106"/>
      <c r="S163" s="106"/>
      <c r="T163" s="106"/>
      <c r="U163" s="106"/>
    </row>
    <row r="164" spans="1:21" s="425" customFormat="1" x14ac:dyDescent="0.2">
      <c r="A164" s="2348">
        <v>3112</v>
      </c>
      <c r="B164" s="2398"/>
      <c r="C164" s="505" t="s">
        <v>941</v>
      </c>
      <c r="D164" s="2392" t="s">
        <v>1665</v>
      </c>
      <c r="E164" s="893">
        <v>0</v>
      </c>
      <c r="F164" s="309">
        <v>3293</v>
      </c>
      <c r="G164" s="351">
        <v>3293</v>
      </c>
      <c r="H164" s="1645">
        <f t="shared" si="45"/>
        <v>100</v>
      </c>
      <c r="I164" s="106"/>
      <c r="J164" s="106"/>
      <c r="K164" s="106"/>
      <c r="L164" s="1663">
        <v>3293030</v>
      </c>
      <c r="M164" s="2445">
        <v>3293030</v>
      </c>
      <c r="N164" s="106"/>
      <c r="O164" s="106"/>
      <c r="P164" s="106"/>
      <c r="Q164" s="106"/>
      <c r="R164" s="106"/>
      <c r="S164" s="106"/>
      <c r="T164" s="106"/>
      <c r="U164" s="106"/>
    </row>
    <row r="165" spans="1:21" s="425" customFormat="1" x14ac:dyDescent="0.2">
      <c r="A165" s="2348">
        <v>3114</v>
      </c>
      <c r="B165" s="2398"/>
      <c r="C165" s="505" t="s">
        <v>941</v>
      </c>
      <c r="D165" s="2392" t="s">
        <v>1665</v>
      </c>
      <c r="E165" s="893">
        <v>0</v>
      </c>
      <c r="F165" s="309">
        <v>47315</v>
      </c>
      <c r="G165" s="351">
        <v>47315</v>
      </c>
      <c r="H165" s="1645">
        <f t="shared" si="45"/>
        <v>100</v>
      </c>
      <c r="I165" s="106"/>
      <c r="J165" s="106"/>
      <c r="K165" s="106"/>
      <c r="L165" s="1663">
        <v>47314424</v>
      </c>
      <c r="M165" s="2445">
        <v>47314424</v>
      </c>
      <c r="N165" s="106"/>
      <c r="O165" s="106"/>
      <c r="P165" s="106"/>
      <c r="Q165" s="106"/>
      <c r="R165" s="106"/>
      <c r="S165" s="106"/>
      <c r="T165" s="106"/>
      <c r="U165" s="106"/>
    </row>
    <row r="166" spans="1:21" s="425" customFormat="1" x14ac:dyDescent="0.2">
      <c r="A166" s="2348">
        <v>3124</v>
      </c>
      <c r="B166" s="2398"/>
      <c r="C166" s="505" t="s">
        <v>941</v>
      </c>
      <c r="D166" s="2392" t="s">
        <v>1665</v>
      </c>
      <c r="E166" s="893">
        <v>0</v>
      </c>
      <c r="F166" s="309">
        <v>22644</v>
      </c>
      <c r="G166" s="351">
        <v>22644</v>
      </c>
      <c r="H166" s="1645">
        <f t="shared" si="45"/>
        <v>100</v>
      </c>
      <c r="I166" s="106"/>
      <c r="J166" s="106"/>
      <c r="K166" s="106"/>
      <c r="L166" s="1663">
        <v>22644261</v>
      </c>
      <c r="M166" s="2445">
        <v>22644261</v>
      </c>
      <c r="N166" s="106"/>
      <c r="O166" s="106"/>
      <c r="P166" s="106"/>
      <c r="Q166" s="106"/>
      <c r="R166" s="106"/>
      <c r="S166" s="106"/>
      <c r="T166" s="106"/>
      <c r="U166" s="106"/>
    </row>
    <row r="167" spans="1:21" s="425" customFormat="1" x14ac:dyDescent="0.2">
      <c r="A167" s="2348">
        <v>3141</v>
      </c>
      <c r="B167" s="2398"/>
      <c r="C167" s="505" t="s">
        <v>941</v>
      </c>
      <c r="D167" s="2392" t="s">
        <v>1665</v>
      </c>
      <c r="E167" s="893">
        <v>0</v>
      </c>
      <c r="F167" s="309">
        <v>432</v>
      </c>
      <c r="G167" s="351">
        <v>432</v>
      </c>
      <c r="H167" s="1645">
        <f t="shared" si="45"/>
        <v>100</v>
      </c>
      <c r="I167" s="106"/>
      <c r="J167" s="106"/>
      <c r="K167" s="106"/>
      <c r="L167" s="1663">
        <v>432303</v>
      </c>
      <c r="M167" s="2445">
        <v>432303</v>
      </c>
      <c r="N167" s="106"/>
      <c r="O167" s="106"/>
      <c r="P167" s="106"/>
      <c r="Q167" s="106"/>
      <c r="R167" s="106"/>
      <c r="S167" s="106"/>
      <c r="T167" s="106"/>
      <c r="U167" s="106"/>
    </row>
    <row r="168" spans="1:21" s="425" customFormat="1" x14ac:dyDescent="0.2">
      <c r="A168" s="2348">
        <v>3143</v>
      </c>
      <c r="B168" s="2398"/>
      <c r="C168" s="505" t="s">
        <v>941</v>
      </c>
      <c r="D168" s="2392" t="s">
        <v>1665</v>
      </c>
      <c r="E168" s="893">
        <v>0</v>
      </c>
      <c r="F168" s="309">
        <v>1959</v>
      </c>
      <c r="G168" s="351">
        <v>1959</v>
      </c>
      <c r="H168" s="1645">
        <f t="shared" si="45"/>
        <v>100</v>
      </c>
      <c r="I168" s="106"/>
      <c r="J168" s="106"/>
      <c r="K168" s="106"/>
      <c r="L168" s="1663">
        <v>1958600</v>
      </c>
      <c r="M168" s="2445">
        <v>1958600</v>
      </c>
      <c r="N168" s="106"/>
      <c r="O168" s="106"/>
      <c r="P168" s="106"/>
      <c r="Q168" s="106"/>
      <c r="R168" s="106"/>
      <c r="S168" s="106"/>
      <c r="T168" s="106"/>
      <c r="U168" s="106"/>
    </row>
    <row r="169" spans="1:21" s="425" customFormat="1" x14ac:dyDescent="0.2">
      <c r="A169" s="2348">
        <v>3146</v>
      </c>
      <c r="B169" s="2398"/>
      <c r="C169" s="505" t="s">
        <v>941</v>
      </c>
      <c r="D169" s="2392" t="s">
        <v>1665</v>
      </c>
      <c r="E169" s="893">
        <v>0</v>
      </c>
      <c r="F169" s="309">
        <v>9240</v>
      </c>
      <c r="G169" s="351">
        <v>9240</v>
      </c>
      <c r="H169" s="1645">
        <f t="shared" si="45"/>
        <v>100</v>
      </c>
      <c r="I169" s="106"/>
      <c r="J169" s="106"/>
      <c r="K169" s="106"/>
      <c r="L169" s="1663">
        <v>9240000</v>
      </c>
      <c r="M169" s="2445">
        <v>9240000</v>
      </c>
      <c r="N169" s="106"/>
      <c r="O169" s="106"/>
      <c r="P169" s="106"/>
      <c r="Q169" s="106"/>
      <c r="R169" s="106"/>
      <c r="S169" s="106"/>
      <c r="T169" s="106"/>
      <c r="U169" s="106"/>
    </row>
    <row r="170" spans="1:21" s="425" customFormat="1" x14ac:dyDescent="0.2">
      <c r="A170" s="2348">
        <v>3150</v>
      </c>
      <c r="B170" s="2398"/>
      <c r="C170" s="505" t="s">
        <v>941</v>
      </c>
      <c r="D170" s="2392" t="s">
        <v>1665</v>
      </c>
      <c r="E170" s="893">
        <v>0</v>
      </c>
      <c r="F170" s="309">
        <v>3169</v>
      </c>
      <c r="G170" s="351">
        <v>3169</v>
      </c>
      <c r="H170" s="1645">
        <f t="shared" si="45"/>
        <v>100</v>
      </c>
      <c r="I170" s="106"/>
      <c r="J170" s="106"/>
      <c r="K170" s="106"/>
      <c r="L170" s="1663">
        <v>3168918</v>
      </c>
      <c r="M170" s="2445">
        <v>3168918</v>
      </c>
      <c r="N170" s="106"/>
      <c r="O170" s="106"/>
      <c r="P170" s="106"/>
      <c r="Q170" s="106"/>
      <c r="R170" s="106"/>
      <c r="S170" s="106"/>
      <c r="T170" s="106"/>
      <c r="U170" s="106"/>
    </row>
    <row r="171" spans="1:21" s="425" customFormat="1" ht="25.5" x14ac:dyDescent="0.2">
      <c r="A171" s="2887">
        <v>3111</v>
      </c>
      <c r="B171" s="2398"/>
      <c r="C171" s="633" t="s">
        <v>942</v>
      </c>
      <c r="D171" s="2878" t="s">
        <v>474</v>
      </c>
      <c r="E171" s="893">
        <v>0</v>
      </c>
      <c r="F171" s="894">
        <v>241</v>
      </c>
      <c r="G171" s="909">
        <v>241</v>
      </c>
      <c r="H171" s="2396">
        <f t="shared" si="45"/>
        <v>100</v>
      </c>
      <c r="I171" s="106"/>
      <c r="J171" s="106"/>
      <c r="K171" s="106"/>
      <c r="L171" s="1663">
        <v>241184</v>
      </c>
      <c r="M171" s="2445">
        <v>241184</v>
      </c>
      <c r="N171" s="106"/>
      <c r="O171" s="106"/>
      <c r="P171" s="106"/>
      <c r="Q171" s="106"/>
      <c r="R171" s="106"/>
      <c r="S171" s="106"/>
      <c r="T171" s="106"/>
      <c r="U171" s="106"/>
    </row>
    <row r="172" spans="1:21" s="425" customFormat="1" ht="25.5" x14ac:dyDescent="0.2">
      <c r="A172" s="2887">
        <v>3114</v>
      </c>
      <c r="B172" s="2398"/>
      <c r="C172" s="633" t="s">
        <v>942</v>
      </c>
      <c r="D172" s="2878" t="s">
        <v>474</v>
      </c>
      <c r="E172" s="893">
        <v>0</v>
      </c>
      <c r="F172" s="894">
        <v>4655</v>
      </c>
      <c r="G172" s="909">
        <v>4655</v>
      </c>
      <c r="H172" s="2396">
        <f t="shared" si="45"/>
        <v>100</v>
      </c>
      <c r="I172" s="106"/>
      <c r="J172" s="106"/>
      <c r="K172" s="106"/>
      <c r="L172" s="1663">
        <v>4654908</v>
      </c>
      <c r="M172" s="2445">
        <v>4654908</v>
      </c>
      <c r="N172" s="106"/>
      <c r="O172" s="106"/>
      <c r="P172" s="106"/>
      <c r="Q172" s="106"/>
      <c r="R172" s="106"/>
      <c r="S172" s="106"/>
      <c r="T172" s="106"/>
      <c r="U172" s="106"/>
    </row>
    <row r="173" spans="1:21" s="425" customFormat="1" ht="29.25" customHeight="1" thickBot="1" x14ac:dyDescent="0.25">
      <c r="A173" s="2890">
        <v>3124</v>
      </c>
      <c r="B173" s="2883"/>
      <c r="C173" s="2884" t="s">
        <v>942</v>
      </c>
      <c r="D173" s="2885" t="s">
        <v>474</v>
      </c>
      <c r="E173" s="911">
        <v>0</v>
      </c>
      <c r="F173" s="2317">
        <v>32</v>
      </c>
      <c r="G173" s="2886">
        <v>32</v>
      </c>
      <c r="H173" s="2401">
        <f t="shared" si="45"/>
        <v>100</v>
      </c>
      <c r="L173" s="1663">
        <v>32152</v>
      </c>
      <c r="M173" s="2445">
        <v>32152</v>
      </c>
    </row>
    <row r="174" spans="1:21" s="425" customFormat="1" ht="17.25" thickTop="1" thickBot="1" x14ac:dyDescent="0.3">
      <c r="A174" s="2891"/>
      <c r="B174" s="372"/>
      <c r="C174" s="725"/>
      <c r="D174" s="625"/>
      <c r="E174" s="608"/>
      <c r="F174" s="638"/>
      <c r="G174" s="608"/>
      <c r="H174" s="1090" t="s">
        <v>92</v>
      </c>
      <c r="L174" s="1663"/>
      <c r="M174" s="2443"/>
    </row>
    <row r="175" spans="1:21" s="425" customFormat="1" thickTop="1" thickBot="1" x14ac:dyDescent="0.25">
      <c r="A175" s="572" t="s">
        <v>93</v>
      </c>
      <c r="B175" s="573" t="s">
        <v>94</v>
      </c>
      <c r="C175" s="601" t="s">
        <v>364</v>
      </c>
      <c r="D175" s="639" t="s">
        <v>95</v>
      </c>
      <c r="E175" s="575" t="s">
        <v>328</v>
      </c>
      <c r="F175" s="575" t="s">
        <v>329</v>
      </c>
      <c r="G175" s="575" t="s">
        <v>448</v>
      </c>
      <c r="H175" s="576" t="s">
        <v>449</v>
      </c>
      <c r="L175" s="1663"/>
      <c r="M175" s="2443"/>
    </row>
    <row r="176" spans="1:21" s="425" customFormat="1" thickTop="1" thickBot="1" x14ac:dyDescent="0.25">
      <c r="A176" s="511">
        <v>1</v>
      </c>
      <c r="B176" s="512">
        <v>2</v>
      </c>
      <c r="C176" s="512">
        <v>3</v>
      </c>
      <c r="D176" s="512">
        <v>4</v>
      </c>
      <c r="E176" s="512">
        <v>5</v>
      </c>
      <c r="F176" s="499">
        <v>6</v>
      </c>
      <c r="G176" s="499">
        <v>7</v>
      </c>
      <c r="H176" s="577" t="s">
        <v>33</v>
      </c>
      <c r="L176" s="1663"/>
      <c r="M176" s="2443"/>
    </row>
    <row r="177" spans="1:21" s="425" customFormat="1" ht="14.25" customHeight="1" thickTop="1" x14ac:dyDescent="0.25">
      <c r="A177" s="2348"/>
      <c r="B177" s="502">
        <v>5222</v>
      </c>
      <c r="C177" s="2397"/>
      <c r="D177" s="2418" t="s">
        <v>800</v>
      </c>
      <c r="E177" s="310">
        <f>SUM(E178:E185)</f>
        <v>0</v>
      </c>
      <c r="F177" s="310">
        <f>SUM(F178:F185)</f>
        <v>8684</v>
      </c>
      <c r="G177" s="310">
        <f>SUM(G178:G185)</f>
        <v>8684</v>
      </c>
      <c r="H177" s="2393">
        <f t="shared" si="45"/>
        <v>100</v>
      </c>
      <c r="L177" s="2444">
        <f>SUM(L178:L185)</f>
        <v>8684308</v>
      </c>
      <c r="M177" s="2444">
        <f>SUM(M178:M185)</f>
        <v>8684308</v>
      </c>
    </row>
    <row r="178" spans="1:21" s="425" customFormat="1" ht="25.5" x14ac:dyDescent="0.2">
      <c r="A178" s="2887">
        <v>3429</v>
      </c>
      <c r="B178" s="502"/>
      <c r="C178" s="2439" t="s">
        <v>1250</v>
      </c>
      <c r="D178" s="2438" t="s">
        <v>1251</v>
      </c>
      <c r="E178" s="893">
        <v>0</v>
      </c>
      <c r="F178" s="894">
        <v>388</v>
      </c>
      <c r="G178" s="893">
        <v>388</v>
      </c>
      <c r="H178" s="2396">
        <f t="shared" si="45"/>
        <v>100</v>
      </c>
      <c r="L178" s="2446">
        <v>388500</v>
      </c>
      <c r="M178" s="2447">
        <v>388500</v>
      </c>
    </row>
    <row r="179" spans="1:21" s="425" customFormat="1" x14ac:dyDescent="0.2">
      <c r="A179" s="2430">
        <v>3111</v>
      </c>
      <c r="B179" s="2362"/>
      <c r="C179" s="505" t="s">
        <v>941</v>
      </c>
      <c r="D179" s="2392" t="s">
        <v>1665</v>
      </c>
      <c r="E179" s="893">
        <v>0</v>
      </c>
      <c r="F179" s="309">
        <v>1062</v>
      </c>
      <c r="G179" s="311">
        <v>1062</v>
      </c>
      <c r="H179" s="2396">
        <f t="shared" si="45"/>
        <v>100</v>
      </c>
      <c r="I179" s="106"/>
      <c r="J179" s="106"/>
      <c r="K179" s="106"/>
      <c r="L179" s="1663">
        <v>1061670</v>
      </c>
      <c r="M179" s="2443">
        <v>1061670</v>
      </c>
      <c r="N179" s="106"/>
      <c r="O179" s="106"/>
      <c r="P179" s="106"/>
      <c r="Q179" s="106"/>
      <c r="R179" s="106"/>
      <c r="S179" s="106"/>
      <c r="T179" s="106"/>
      <c r="U179" s="106"/>
    </row>
    <row r="180" spans="1:21" s="425" customFormat="1" x14ac:dyDescent="0.2">
      <c r="A180" s="2430">
        <v>3112</v>
      </c>
      <c r="B180" s="2362"/>
      <c r="C180" s="505" t="s">
        <v>941</v>
      </c>
      <c r="D180" s="2392" t="s">
        <v>1665</v>
      </c>
      <c r="E180" s="893">
        <v>0</v>
      </c>
      <c r="F180" s="309">
        <v>1290</v>
      </c>
      <c r="G180" s="311">
        <v>1290</v>
      </c>
      <c r="H180" s="2396">
        <f t="shared" si="45"/>
        <v>100</v>
      </c>
      <c r="I180" s="106"/>
      <c r="J180" s="106"/>
      <c r="K180" s="106"/>
      <c r="L180" s="1663">
        <v>1290540</v>
      </c>
      <c r="M180" s="2443">
        <v>1290540</v>
      </c>
      <c r="N180" s="106"/>
      <c r="O180" s="106"/>
      <c r="P180" s="106"/>
      <c r="Q180" s="106"/>
      <c r="R180" s="106"/>
      <c r="S180" s="106"/>
      <c r="T180" s="106"/>
      <c r="U180" s="106"/>
    </row>
    <row r="181" spans="1:21" s="425" customFormat="1" x14ac:dyDescent="0.2">
      <c r="A181" s="2430">
        <v>3114</v>
      </c>
      <c r="B181" s="2362"/>
      <c r="C181" s="505" t="s">
        <v>941</v>
      </c>
      <c r="D181" s="2392" t="s">
        <v>1665</v>
      </c>
      <c r="E181" s="893">
        <v>0</v>
      </c>
      <c r="F181" s="309">
        <v>4953</v>
      </c>
      <c r="G181" s="311">
        <v>4953</v>
      </c>
      <c r="H181" s="2396">
        <f t="shared" si="45"/>
        <v>100</v>
      </c>
      <c r="I181" s="106"/>
      <c r="J181" s="106"/>
      <c r="K181" s="106"/>
      <c r="L181" s="1663">
        <v>4952676</v>
      </c>
      <c r="M181" s="2443">
        <v>4952676</v>
      </c>
      <c r="N181" s="106"/>
      <c r="O181" s="106"/>
      <c r="P181" s="106"/>
      <c r="Q181" s="106"/>
      <c r="R181" s="106"/>
      <c r="S181" s="106"/>
      <c r="T181" s="106"/>
      <c r="U181" s="106"/>
    </row>
    <row r="182" spans="1:21" s="425" customFormat="1" x14ac:dyDescent="0.2">
      <c r="A182" s="2430">
        <v>3141</v>
      </c>
      <c r="B182" s="2362"/>
      <c r="C182" s="505" t="s">
        <v>941</v>
      </c>
      <c r="D182" s="2392" t="s">
        <v>1665</v>
      </c>
      <c r="E182" s="893">
        <v>0</v>
      </c>
      <c r="F182" s="309">
        <v>73</v>
      </c>
      <c r="G182" s="311">
        <v>73</v>
      </c>
      <c r="H182" s="2396">
        <f t="shared" si="45"/>
        <v>100</v>
      </c>
      <c r="I182" s="106"/>
      <c r="J182" s="106"/>
      <c r="K182" s="106"/>
      <c r="L182" s="1663">
        <v>72660</v>
      </c>
      <c r="M182" s="2443">
        <v>72660</v>
      </c>
      <c r="N182" s="106"/>
      <c r="O182" s="106"/>
      <c r="P182" s="106"/>
      <c r="Q182" s="106"/>
      <c r="R182" s="106"/>
      <c r="S182" s="106"/>
      <c r="T182" s="106"/>
      <c r="U182" s="106"/>
    </row>
    <row r="183" spans="1:21" s="425" customFormat="1" x14ac:dyDescent="0.2">
      <c r="A183" s="2430">
        <v>3143</v>
      </c>
      <c r="B183" s="2362"/>
      <c r="C183" s="505" t="s">
        <v>941</v>
      </c>
      <c r="D183" s="2392" t="s">
        <v>1665</v>
      </c>
      <c r="E183" s="893">
        <v>0</v>
      </c>
      <c r="F183" s="309">
        <v>157</v>
      </c>
      <c r="G183" s="311">
        <v>157</v>
      </c>
      <c r="H183" s="2396">
        <f t="shared" si="45"/>
        <v>100</v>
      </c>
      <c r="I183" s="106"/>
      <c r="J183" s="106"/>
      <c r="K183" s="106"/>
      <c r="L183" s="1663">
        <v>157104</v>
      </c>
      <c r="M183" s="2443">
        <v>157104</v>
      </c>
      <c r="N183" s="106"/>
      <c r="O183" s="106"/>
      <c r="P183" s="106"/>
      <c r="Q183" s="106"/>
      <c r="R183" s="106"/>
      <c r="S183" s="106"/>
      <c r="T183" s="106"/>
      <c r="U183" s="106"/>
    </row>
    <row r="184" spans="1:21" s="425" customFormat="1" x14ac:dyDescent="0.2">
      <c r="A184" s="2430">
        <v>3231</v>
      </c>
      <c r="B184" s="2362"/>
      <c r="C184" s="505" t="s">
        <v>941</v>
      </c>
      <c r="D184" s="2392" t="s">
        <v>1665</v>
      </c>
      <c r="E184" s="893">
        <v>0</v>
      </c>
      <c r="F184" s="309">
        <v>110</v>
      </c>
      <c r="G184" s="311">
        <v>110</v>
      </c>
      <c r="H184" s="2396">
        <f t="shared" si="45"/>
        <v>100</v>
      </c>
      <c r="I184" s="106"/>
      <c r="J184" s="106"/>
      <c r="K184" s="106"/>
      <c r="L184" s="1663">
        <v>109958</v>
      </c>
      <c r="M184" s="2443">
        <v>109958</v>
      </c>
      <c r="N184" s="106"/>
      <c r="O184" s="106"/>
      <c r="P184" s="106"/>
      <c r="Q184" s="106"/>
      <c r="R184" s="106"/>
      <c r="S184" s="106"/>
      <c r="T184" s="106"/>
      <c r="U184" s="106"/>
    </row>
    <row r="185" spans="1:21" s="425" customFormat="1" ht="25.5" x14ac:dyDescent="0.2">
      <c r="A185" s="2887">
        <v>3114</v>
      </c>
      <c r="B185" s="2362"/>
      <c r="C185" s="633" t="s">
        <v>942</v>
      </c>
      <c r="D185" s="2878" t="s">
        <v>474</v>
      </c>
      <c r="E185" s="893">
        <v>0</v>
      </c>
      <c r="F185" s="894">
        <v>651</v>
      </c>
      <c r="G185" s="893">
        <v>651</v>
      </c>
      <c r="H185" s="2396">
        <f>(G185/F185)*100</f>
        <v>100</v>
      </c>
      <c r="I185" s="106"/>
      <c r="J185" s="106"/>
      <c r="K185" s="106"/>
      <c r="L185" s="1663">
        <v>651200</v>
      </c>
      <c r="M185" s="2445">
        <v>651200</v>
      </c>
      <c r="N185" s="106"/>
      <c r="O185" s="106"/>
      <c r="P185" s="106"/>
      <c r="Q185" s="106"/>
      <c r="R185" s="106"/>
      <c r="S185" s="106"/>
      <c r="T185" s="106"/>
      <c r="U185" s="106"/>
    </row>
    <row r="186" spans="1:21" s="425" customFormat="1" ht="15" x14ac:dyDescent="0.25">
      <c r="A186" s="2348"/>
      <c r="B186" s="502">
        <v>5229</v>
      </c>
      <c r="C186" s="2399"/>
      <c r="D186" s="1655" t="s">
        <v>1248</v>
      </c>
      <c r="E186" s="310">
        <f>SUM(E187:E189)</f>
        <v>0</v>
      </c>
      <c r="F186" s="310">
        <f t="shared" ref="F186:G186" si="46">SUM(F187:F189)</f>
        <v>577</v>
      </c>
      <c r="G186" s="310">
        <f t="shared" si="46"/>
        <v>577</v>
      </c>
      <c r="H186" s="2393">
        <f t="shared" ref="H186:H189" si="47">(G186/F186)*100</f>
        <v>100</v>
      </c>
      <c r="I186" s="106"/>
      <c r="J186" s="106"/>
      <c r="K186" s="106"/>
      <c r="L186" s="2444">
        <f>L188+L187+L189</f>
        <v>576163</v>
      </c>
      <c r="M186" s="2444">
        <f>M188+M187+M189</f>
        <v>576163</v>
      </c>
      <c r="N186" s="106"/>
      <c r="O186" s="106"/>
      <c r="P186" s="106"/>
      <c r="Q186" s="106"/>
      <c r="R186" s="106"/>
      <c r="S186" s="106"/>
      <c r="T186" s="106"/>
      <c r="U186" s="106"/>
    </row>
    <row r="187" spans="1:21" s="425" customFormat="1" ht="25.5" x14ac:dyDescent="0.2">
      <c r="A187" s="2348">
        <v>3429</v>
      </c>
      <c r="B187" s="502"/>
      <c r="C187" s="633" t="s">
        <v>1250</v>
      </c>
      <c r="D187" s="2438" t="s">
        <v>1251</v>
      </c>
      <c r="E187" s="893">
        <v>0</v>
      </c>
      <c r="F187" s="894">
        <v>11</v>
      </c>
      <c r="G187" s="893">
        <v>11</v>
      </c>
      <c r="H187" s="2409">
        <f t="shared" si="47"/>
        <v>100</v>
      </c>
      <c r="I187" s="106"/>
      <c r="J187" s="106"/>
      <c r="K187" s="106"/>
      <c r="L187" s="2446">
        <v>10500</v>
      </c>
      <c r="M187" s="2447">
        <v>10500</v>
      </c>
      <c r="N187" s="106"/>
      <c r="O187" s="106"/>
      <c r="P187" s="106"/>
      <c r="Q187" s="106"/>
      <c r="R187" s="106"/>
      <c r="S187" s="106"/>
      <c r="T187" s="106"/>
      <c r="U187" s="106"/>
    </row>
    <row r="188" spans="1:21" s="106" customFormat="1" x14ac:dyDescent="0.2">
      <c r="A188" s="2348">
        <v>3111</v>
      </c>
      <c r="B188" s="502"/>
      <c r="C188" s="505" t="s">
        <v>941</v>
      </c>
      <c r="D188" s="2392" t="s">
        <v>1665</v>
      </c>
      <c r="E188" s="893">
        <v>0</v>
      </c>
      <c r="F188" s="894">
        <v>541</v>
      </c>
      <c r="G188" s="893">
        <v>541</v>
      </c>
      <c r="H188" s="2409">
        <f t="shared" si="47"/>
        <v>100</v>
      </c>
      <c r="I188" s="425"/>
      <c r="J188" s="425"/>
      <c r="K188" s="425"/>
      <c r="L188" s="2446">
        <v>541033</v>
      </c>
      <c r="M188" s="2447">
        <v>541033</v>
      </c>
      <c r="N188" s="425"/>
      <c r="O188" s="425"/>
      <c r="P188" s="425"/>
      <c r="Q188" s="425"/>
      <c r="R188" s="425"/>
      <c r="S188" s="425"/>
      <c r="T188" s="425"/>
      <c r="U188" s="425"/>
    </row>
    <row r="189" spans="1:21" s="106" customFormat="1" ht="15" thickBot="1" x14ac:dyDescent="0.25">
      <c r="A189" s="2350">
        <v>3141</v>
      </c>
      <c r="B189" s="2400"/>
      <c r="C189" s="505" t="s">
        <v>941</v>
      </c>
      <c r="D189" s="2392" t="s">
        <v>1665</v>
      </c>
      <c r="E189" s="911">
        <v>0</v>
      </c>
      <c r="F189" s="911">
        <v>25</v>
      </c>
      <c r="G189" s="911">
        <v>25</v>
      </c>
      <c r="H189" s="2401">
        <f t="shared" si="47"/>
        <v>100</v>
      </c>
      <c r="I189" s="425"/>
      <c r="J189" s="425"/>
      <c r="K189" s="425"/>
      <c r="L189" s="2446">
        <v>24630</v>
      </c>
      <c r="M189" s="2447">
        <v>24630</v>
      </c>
      <c r="N189" s="425"/>
      <c r="O189" s="425"/>
      <c r="P189" s="425"/>
      <c r="Q189" s="425"/>
      <c r="R189" s="425"/>
      <c r="S189" s="425"/>
      <c r="T189" s="425"/>
      <c r="U189" s="425"/>
    </row>
    <row r="190" spans="1:21" s="106" customFormat="1" ht="19.5" thickTop="1" thickBot="1" x14ac:dyDescent="0.3">
      <c r="A190" s="616" t="s">
        <v>1079</v>
      </c>
      <c r="B190" s="720"/>
      <c r="C190" s="605"/>
      <c r="D190" s="2882"/>
      <c r="E190" s="618">
        <v>0</v>
      </c>
      <c r="F190" s="910">
        <f>F125+F131+F159+F177+F186</f>
        <v>298133</v>
      </c>
      <c r="G190" s="910">
        <f>G125+G131+G159+G177+G186</f>
        <v>298130</v>
      </c>
      <c r="H190" s="728">
        <f>(G190/F190)*100</f>
        <v>99.998993737694249</v>
      </c>
      <c r="I190" s="425"/>
      <c r="J190" s="425"/>
      <c r="K190" s="2448"/>
      <c r="L190" s="2448">
        <f>L131+L125+L159+L177+L186</f>
        <v>298132823.69999999</v>
      </c>
      <c r="M190" s="2448">
        <f>M131+M125+M159+M177+M186</f>
        <v>298130033.69999999</v>
      </c>
      <c r="N190" s="425"/>
      <c r="O190" s="425"/>
      <c r="P190" s="425"/>
      <c r="Q190" s="425"/>
      <c r="R190" s="425"/>
      <c r="S190" s="425"/>
      <c r="T190" s="425"/>
      <c r="U190" s="425"/>
    </row>
    <row r="191" spans="1:21" s="106" customFormat="1" ht="15" thickTop="1" x14ac:dyDescent="0.2">
      <c r="A191" s="584"/>
      <c r="B191" s="372"/>
      <c r="C191" s="595"/>
      <c r="D191" s="372"/>
      <c r="E191" s="484"/>
      <c r="F191" s="484"/>
      <c r="G191" s="484"/>
      <c r="H191" s="636"/>
      <c r="I191" s="425"/>
      <c r="J191" s="425"/>
      <c r="K191" s="425"/>
      <c r="L191" s="1663"/>
      <c r="M191" s="2443"/>
      <c r="N191" s="425"/>
      <c r="O191" s="425"/>
      <c r="P191" s="425"/>
      <c r="Q191" s="425"/>
      <c r="R191" s="425"/>
      <c r="S191" s="425"/>
      <c r="T191" s="425"/>
      <c r="U191" s="425"/>
    </row>
    <row r="192" spans="1:21" s="106" customFormat="1" x14ac:dyDescent="0.2">
      <c r="A192" s="584"/>
      <c r="B192" s="372"/>
      <c r="C192" s="595"/>
      <c r="D192" s="372"/>
      <c r="E192" s="484"/>
      <c r="F192" s="484"/>
      <c r="G192" s="484"/>
      <c r="H192" s="636"/>
      <c r="I192" s="425"/>
      <c r="J192" s="425"/>
      <c r="K192" s="425"/>
      <c r="L192" s="1663"/>
      <c r="M192" s="2443"/>
      <c r="N192" s="425"/>
      <c r="O192" s="425"/>
      <c r="P192" s="425"/>
      <c r="Q192" s="425"/>
      <c r="R192" s="425"/>
      <c r="S192" s="425"/>
      <c r="T192" s="425"/>
      <c r="U192" s="425"/>
    </row>
    <row r="193" spans="1:21" s="106" customFormat="1" ht="15.75" x14ac:dyDescent="0.25">
      <c r="A193" s="729" t="s">
        <v>1080</v>
      </c>
      <c r="B193" s="372"/>
      <c r="C193" s="595"/>
      <c r="D193" s="372"/>
      <c r="E193" s="484"/>
      <c r="F193" s="484"/>
      <c r="G193" s="484"/>
      <c r="H193" s="636"/>
      <c r="I193" s="425"/>
      <c r="J193" s="425"/>
      <c r="K193" s="425"/>
      <c r="L193" s="1663"/>
      <c r="M193" s="2443"/>
      <c r="N193" s="425"/>
      <c r="O193" s="425"/>
      <c r="P193" s="425"/>
      <c r="Q193" s="425"/>
      <c r="R193" s="425"/>
      <c r="S193" s="425"/>
      <c r="T193" s="425"/>
      <c r="U193" s="425"/>
    </row>
    <row r="194" spans="1:21" s="355" customFormat="1" ht="12" customHeight="1" thickBot="1" x14ac:dyDescent="0.3">
      <c r="A194" s="729"/>
      <c r="B194" s="372"/>
      <c r="C194" s="595"/>
      <c r="D194" s="372"/>
      <c r="E194" s="484"/>
      <c r="F194" s="484"/>
      <c r="G194" s="484"/>
      <c r="H194" s="1090" t="s">
        <v>583</v>
      </c>
      <c r="J194" s="619"/>
      <c r="K194" s="619"/>
      <c r="L194" s="1664"/>
      <c r="M194" s="1664"/>
    </row>
    <row r="195" spans="1:21" thickTop="1" thickBot="1" x14ac:dyDescent="0.25">
      <c r="A195" s="572" t="s">
        <v>93</v>
      </c>
      <c r="B195" s="2378" t="s">
        <v>94</v>
      </c>
      <c r="C195" s="601" t="s">
        <v>209</v>
      </c>
      <c r="D195" s="575" t="s">
        <v>95</v>
      </c>
      <c r="E195" s="575" t="s">
        <v>328</v>
      </c>
      <c r="F195" s="575" t="s">
        <v>329</v>
      </c>
      <c r="G195" s="575" t="s">
        <v>448</v>
      </c>
      <c r="H195" s="576" t="s">
        <v>449</v>
      </c>
    </row>
    <row r="196" spans="1:21" thickTop="1" thickBot="1" x14ac:dyDescent="0.25">
      <c r="A196" s="511">
        <v>1</v>
      </c>
      <c r="B196" s="512">
        <v>2</v>
      </c>
      <c r="C196" s="512">
        <v>3</v>
      </c>
      <c r="D196" s="512">
        <v>4</v>
      </c>
      <c r="E196" s="512">
        <v>5</v>
      </c>
      <c r="F196" s="499">
        <v>6</v>
      </c>
      <c r="G196" s="499">
        <v>7</v>
      </c>
      <c r="H196" s="577" t="s">
        <v>33</v>
      </c>
    </row>
    <row r="197" spans="1:21" ht="15.75" thickTop="1" x14ac:dyDescent="0.25">
      <c r="A197" s="2879"/>
      <c r="B197" s="2363">
        <v>5333</v>
      </c>
      <c r="C197" s="2379"/>
      <c r="D197" s="3220" t="s">
        <v>1231</v>
      </c>
      <c r="E197" s="362">
        <f>SUM(E199:E206)</f>
        <v>0</v>
      </c>
      <c r="F197" s="362">
        <f>SUM(F199:F206)</f>
        <v>27738</v>
      </c>
      <c r="G197" s="362">
        <f>SUM(G199:G206)</f>
        <v>27738</v>
      </c>
      <c r="H197" s="2380">
        <f t="shared" ref="H197" si="48">(G197/F197)*100</f>
        <v>100</v>
      </c>
      <c r="L197" s="1597">
        <f>SUM(L199:L206)</f>
        <v>27737734</v>
      </c>
      <c r="M197" s="1597">
        <f>SUM(M199:M206)</f>
        <v>27737734</v>
      </c>
    </row>
    <row r="198" spans="1:21" ht="18" x14ac:dyDescent="0.25">
      <c r="A198" s="2880"/>
      <c r="B198" s="2381"/>
      <c r="C198" s="2382"/>
      <c r="D198" s="3221"/>
      <c r="E198" s="311"/>
      <c r="F198" s="310"/>
      <c r="G198" s="310"/>
      <c r="H198" s="1652"/>
    </row>
    <row r="199" spans="1:21" s="106" customFormat="1" ht="18" x14ac:dyDescent="0.25">
      <c r="A199" s="2426">
        <v>3113</v>
      </c>
      <c r="B199" s="2381"/>
      <c r="C199" s="876" t="s">
        <v>902</v>
      </c>
      <c r="D199" s="2875" t="s">
        <v>1236</v>
      </c>
      <c r="E199" s="311">
        <v>0</v>
      </c>
      <c r="F199" s="311">
        <v>545</v>
      </c>
      <c r="G199" s="311">
        <v>545</v>
      </c>
      <c r="H199" s="2383">
        <f t="shared" ref="H199:H210" si="49">(G199/F199)*100</f>
        <v>100</v>
      </c>
      <c r="J199" s="372"/>
      <c r="K199" s="372"/>
      <c r="L199" s="2443">
        <v>544920</v>
      </c>
      <c r="M199" s="2443">
        <v>544920</v>
      </c>
      <c r="N199" s="372"/>
      <c r="O199" s="372"/>
    </row>
    <row r="200" spans="1:21" s="106" customFormat="1" ht="18" x14ac:dyDescent="0.25">
      <c r="A200" s="2426">
        <v>3113</v>
      </c>
      <c r="B200" s="2381"/>
      <c r="C200" s="876" t="s">
        <v>1894</v>
      </c>
      <c r="D200" s="2967" t="s">
        <v>1967</v>
      </c>
      <c r="E200" s="311">
        <v>0</v>
      </c>
      <c r="F200" s="311">
        <v>24</v>
      </c>
      <c r="G200" s="311">
        <v>24</v>
      </c>
      <c r="H200" s="2383">
        <f t="shared" si="49"/>
        <v>100</v>
      </c>
      <c r="J200" s="372"/>
      <c r="K200" s="372"/>
      <c r="L200" s="2443">
        <v>24500</v>
      </c>
      <c r="M200" s="2443">
        <v>24500</v>
      </c>
      <c r="N200" s="372"/>
      <c r="O200" s="372"/>
    </row>
    <row r="201" spans="1:21" s="106" customFormat="1" ht="18" x14ac:dyDescent="0.25">
      <c r="A201" s="2426">
        <v>3113</v>
      </c>
      <c r="B201" s="2381"/>
      <c r="C201" s="876" t="s">
        <v>1896</v>
      </c>
      <c r="D201" s="3123" t="s">
        <v>1963</v>
      </c>
      <c r="E201" s="311">
        <v>0</v>
      </c>
      <c r="F201" s="311">
        <v>219</v>
      </c>
      <c r="G201" s="311">
        <v>219</v>
      </c>
      <c r="H201" s="2383">
        <f t="shared" si="49"/>
        <v>100</v>
      </c>
      <c r="J201" s="372"/>
      <c r="K201" s="372"/>
      <c r="L201" s="2443">
        <v>218804</v>
      </c>
      <c r="M201" s="2443">
        <v>218804</v>
      </c>
      <c r="N201" s="372"/>
      <c r="O201" s="372"/>
    </row>
    <row r="202" spans="1:21" s="374" customFormat="1" ht="18" x14ac:dyDescent="0.25">
      <c r="A202" s="2426">
        <v>3111</v>
      </c>
      <c r="B202" s="2381"/>
      <c r="C202" s="876" t="s">
        <v>901</v>
      </c>
      <c r="D202" s="2434" t="s">
        <v>13</v>
      </c>
      <c r="E202" s="311">
        <v>0</v>
      </c>
      <c r="F202" s="311">
        <v>6583</v>
      </c>
      <c r="G202" s="311">
        <v>6583</v>
      </c>
      <c r="H202" s="2383">
        <f t="shared" si="49"/>
        <v>100</v>
      </c>
      <c r="I202" s="106"/>
      <c r="L202" s="2443">
        <v>6582590</v>
      </c>
      <c r="M202" s="2443">
        <v>6582590</v>
      </c>
    </row>
    <row r="203" spans="1:21" s="374" customFormat="1" ht="18" x14ac:dyDescent="0.25">
      <c r="A203" s="2426">
        <v>3113</v>
      </c>
      <c r="B203" s="2381"/>
      <c r="C203" s="876" t="s">
        <v>901</v>
      </c>
      <c r="D203" s="2434" t="s">
        <v>13</v>
      </c>
      <c r="E203" s="311">
        <v>0</v>
      </c>
      <c r="F203" s="311">
        <v>8946</v>
      </c>
      <c r="G203" s="311">
        <v>8946</v>
      </c>
      <c r="H203" s="2383">
        <f t="shared" si="49"/>
        <v>100</v>
      </c>
      <c r="I203" s="106"/>
      <c r="L203" s="2443">
        <v>8945540</v>
      </c>
      <c r="M203" s="2443">
        <v>8945540</v>
      </c>
    </row>
    <row r="204" spans="1:21" s="374" customFormat="1" ht="18" x14ac:dyDescent="0.25">
      <c r="A204" s="2426">
        <v>3117</v>
      </c>
      <c r="B204" s="2381"/>
      <c r="C204" s="876" t="s">
        <v>901</v>
      </c>
      <c r="D204" s="2434" t="s">
        <v>13</v>
      </c>
      <c r="E204" s="311">
        <v>0</v>
      </c>
      <c r="F204" s="311">
        <v>6816</v>
      </c>
      <c r="G204" s="311">
        <v>6816</v>
      </c>
      <c r="H204" s="2383">
        <f t="shared" si="49"/>
        <v>100</v>
      </c>
      <c r="I204" s="106"/>
      <c r="L204" s="2443">
        <v>6816440</v>
      </c>
      <c r="M204" s="2443">
        <v>6816440</v>
      </c>
    </row>
    <row r="205" spans="1:21" s="374" customFormat="1" ht="18" x14ac:dyDescent="0.25">
      <c r="A205" s="2426">
        <v>3141</v>
      </c>
      <c r="B205" s="2381"/>
      <c r="C205" s="876" t="s">
        <v>901</v>
      </c>
      <c r="D205" s="2434" t="s">
        <v>13</v>
      </c>
      <c r="E205" s="311">
        <v>0</v>
      </c>
      <c r="F205" s="311">
        <v>2497</v>
      </c>
      <c r="G205" s="311">
        <v>2497</v>
      </c>
      <c r="H205" s="2383">
        <f t="shared" si="49"/>
        <v>100</v>
      </c>
      <c r="I205" s="106"/>
      <c r="L205" s="2443">
        <v>2497410</v>
      </c>
      <c r="M205" s="2443">
        <v>2497410</v>
      </c>
    </row>
    <row r="206" spans="1:21" s="374" customFormat="1" ht="18" x14ac:dyDescent="0.25">
      <c r="A206" s="2426">
        <v>3143</v>
      </c>
      <c r="B206" s="2381"/>
      <c r="C206" s="876" t="s">
        <v>901</v>
      </c>
      <c r="D206" s="2434" t="s">
        <v>13</v>
      </c>
      <c r="E206" s="311">
        <v>0</v>
      </c>
      <c r="F206" s="311">
        <v>2108</v>
      </c>
      <c r="G206" s="311">
        <v>2108</v>
      </c>
      <c r="H206" s="2383">
        <f t="shared" si="49"/>
        <v>100</v>
      </c>
      <c r="I206" s="106"/>
      <c r="L206" s="2443">
        <v>2107530</v>
      </c>
      <c r="M206" s="2443">
        <v>2107530</v>
      </c>
    </row>
    <row r="207" spans="1:21" s="374" customFormat="1" ht="15" x14ac:dyDescent="0.25">
      <c r="A207" s="2426"/>
      <c r="B207" s="502">
        <v>5336</v>
      </c>
      <c r="C207" s="876"/>
      <c r="D207" s="602" t="s">
        <v>856</v>
      </c>
      <c r="E207" s="310">
        <f>SUM(E208)</f>
        <v>0</v>
      </c>
      <c r="F207" s="310">
        <f t="shared" ref="F207:G207" si="50">SUM(F208)</f>
        <v>735</v>
      </c>
      <c r="G207" s="310">
        <f t="shared" si="50"/>
        <v>735</v>
      </c>
      <c r="H207" s="1651">
        <f t="shared" ref="H207" si="51">(G207/F207)*100</f>
        <v>100</v>
      </c>
      <c r="I207" s="106"/>
      <c r="L207" s="2444">
        <f>L208</f>
        <v>735000</v>
      </c>
      <c r="M207" s="2444">
        <f>M208</f>
        <v>735000</v>
      </c>
    </row>
    <row r="208" spans="1:21" s="374" customFormat="1" ht="26.25" x14ac:dyDescent="0.25">
      <c r="A208" s="2426"/>
      <c r="B208" s="2381"/>
      <c r="C208" s="633" t="s">
        <v>1895</v>
      </c>
      <c r="D208" s="2960" t="s">
        <v>1904</v>
      </c>
      <c r="E208" s="894">
        <v>0</v>
      </c>
      <c r="F208" s="893">
        <v>735</v>
      </c>
      <c r="G208" s="893">
        <v>735</v>
      </c>
      <c r="H208" s="2396">
        <f>(G208/F208)*100</f>
        <v>100</v>
      </c>
      <c r="I208" s="2330"/>
      <c r="J208" s="2330"/>
      <c r="K208" s="2331"/>
      <c r="L208" s="2331">
        <v>735000</v>
      </c>
      <c r="M208" s="2331">
        <v>735000</v>
      </c>
    </row>
    <row r="209" spans="1:13" s="425" customFormat="1" ht="14.25" customHeight="1" x14ac:dyDescent="0.25">
      <c r="A209" s="2880"/>
      <c r="B209" s="502">
        <v>5339</v>
      </c>
      <c r="C209" s="505"/>
      <c r="D209" s="2435" t="s">
        <v>1230</v>
      </c>
      <c r="E209" s="310">
        <f>SUM(E210:E241)</f>
        <v>0</v>
      </c>
      <c r="F209" s="310">
        <f t="shared" ref="F209:G209" si="52">SUM(F210:F241)</f>
        <v>3839862</v>
      </c>
      <c r="G209" s="310">
        <f t="shared" si="52"/>
        <v>3839856</v>
      </c>
      <c r="H209" s="1651">
        <f t="shared" si="49"/>
        <v>99.999843744384563</v>
      </c>
      <c r="L209" s="2444">
        <f>SUM(L210:L241)</f>
        <v>3839861893.0300002</v>
      </c>
      <c r="M209" s="2444">
        <f>SUM(M210:M241)</f>
        <v>3839856239.0300002</v>
      </c>
    </row>
    <row r="210" spans="1:13" s="425" customFormat="1" ht="16.5" customHeight="1" x14ac:dyDescent="0.2">
      <c r="A210" s="2880">
        <v>3113</v>
      </c>
      <c r="B210" s="502"/>
      <c r="C210" s="876" t="s">
        <v>929</v>
      </c>
      <c r="D210" s="2876" t="s">
        <v>1969</v>
      </c>
      <c r="E210" s="311">
        <v>0</v>
      </c>
      <c r="F210" s="311">
        <v>50</v>
      </c>
      <c r="G210" s="311">
        <v>50</v>
      </c>
      <c r="H210" s="2383">
        <f t="shared" si="49"/>
        <v>100</v>
      </c>
      <c r="L210" s="2443">
        <v>50279</v>
      </c>
      <c r="M210" s="2443">
        <v>50279</v>
      </c>
    </row>
    <row r="211" spans="1:13" s="425" customFormat="1" ht="12.75" customHeight="1" x14ac:dyDescent="0.2">
      <c r="A211" s="2880">
        <v>3121</v>
      </c>
      <c r="B211" s="502"/>
      <c r="C211" s="876" t="s">
        <v>920</v>
      </c>
      <c r="D211" s="2437" t="s">
        <v>723</v>
      </c>
      <c r="E211" s="311">
        <v>0</v>
      </c>
      <c r="F211" s="311">
        <v>53</v>
      </c>
      <c r="G211" s="311">
        <v>53</v>
      </c>
      <c r="H211" s="2383">
        <f t="shared" ref="H211:H229" si="53">(G211/F211)*100</f>
        <v>100</v>
      </c>
      <c r="L211" s="2443">
        <v>52573</v>
      </c>
      <c r="M211" s="2443">
        <v>52573</v>
      </c>
    </row>
    <row r="212" spans="1:13" s="425" customFormat="1" ht="14.25" customHeight="1" x14ac:dyDescent="0.2">
      <c r="A212" s="2880">
        <v>3111</v>
      </c>
      <c r="B212" s="502"/>
      <c r="C212" s="876" t="s">
        <v>902</v>
      </c>
      <c r="D212" s="2875" t="s">
        <v>1236</v>
      </c>
      <c r="E212" s="311">
        <v>0</v>
      </c>
      <c r="F212" s="311">
        <v>13149</v>
      </c>
      <c r="G212" s="311">
        <v>13149</v>
      </c>
      <c r="H212" s="2383">
        <f t="shared" si="53"/>
        <v>100</v>
      </c>
      <c r="L212" s="2443">
        <v>13149318</v>
      </c>
      <c r="M212" s="2443">
        <v>13149318</v>
      </c>
    </row>
    <row r="213" spans="1:13" s="425" customFormat="1" ht="14.25" customHeight="1" x14ac:dyDescent="0.2">
      <c r="A213" s="2880">
        <v>3113</v>
      </c>
      <c r="B213" s="502"/>
      <c r="C213" s="876" t="s">
        <v>902</v>
      </c>
      <c r="D213" s="3122" t="s">
        <v>1236</v>
      </c>
      <c r="E213" s="311">
        <v>0</v>
      </c>
      <c r="F213" s="311">
        <v>51094</v>
      </c>
      <c r="G213" s="311">
        <v>51094</v>
      </c>
      <c r="H213" s="2383">
        <f t="shared" si="53"/>
        <v>100</v>
      </c>
      <c r="L213" s="2443">
        <v>51093718</v>
      </c>
      <c r="M213" s="2443">
        <v>51093718</v>
      </c>
    </row>
    <row r="214" spans="1:13" s="425" customFormat="1" ht="14.25" customHeight="1" x14ac:dyDescent="0.2">
      <c r="A214" s="2880">
        <v>3117</v>
      </c>
      <c r="B214" s="502"/>
      <c r="C214" s="876" t="s">
        <v>902</v>
      </c>
      <c r="D214" s="3122" t="s">
        <v>1236</v>
      </c>
      <c r="E214" s="311">
        <v>0</v>
      </c>
      <c r="F214" s="311">
        <v>8609</v>
      </c>
      <c r="G214" s="311">
        <v>8609</v>
      </c>
      <c r="H214" s="2383">
        <f t="shared" si="53"/>
        <v>100</v>
      </c>
      <c r="L214" s="2443">
        <v>8608893</v>
      </c>
      <c r="M214" s="2443">
        <v>8608893</v>
      </c>
    </row>
    <row r="215" spans="1:13" s="425" customFormat="1" ht="14.25" customHeight="1" x14ac:dyDescent="0.2">
      <c r="A215" s="2880">
        <v>3121</v>
      </c>
      <c r="B215" s="502"/>
      <c r="C215" s="876" t="s">
        <v>902</v>
      </c>
      <c r="D215" s="3122" t="s">
        <v>1236</v>
      </c>
      <c r="E215" s="311">
        <v>0</v>
      </c>
      <c r="F215" s="311">
        <v>174</v>
      </c>
      <c r="G215" s="311">
        <v>174</v>
      </c>
      <c r="H215" s="2383">
        <f t="shared" si="53"/>
        <v>100</v>
      </c>
      <c r="L215" s="2443">
        <v>174516</v>
      </c>
      <c r="M215" s="2443">
        <v>174516</v>
      </c>
    </row>
    <row r="216" spans="1:13" s="425" customFormat="1" ht="14.25" customHeight="1" x14ac:dyDescent="0.2">
      <c r="A216" s="2880">
        <v>3141</v>
      </c>
      <c r="B216" s="502"/>
      <c r="C216" s="876" t="s">
        <v>902</v>
      </c>
      <c r="D216" s="3122" t="s">
        <v>1236</v>
      </c>
      <c r="E216" s="311">
        <v>0</v>
      </c>
      <c r="F216" s="311">
        <v>567</v>
      </c>
      <c r="G216" s="311">
        <v>567</v>
      </c>
      <c r="H216" s="2383">
        <f t="shared" si="53"/>
        <v>100</v>
      </c>
      <c r="L216" s="2443">
        <v>567139</v>
      </c>
      <c r="M216" s="2443">
        <v>567139</v>
      </c>
    </row>
    <row r="217" spans="1:13" s="425" customFormat="1" ht="14.25" customHeight="1" x14ac:dyDescent="0.2">
      <c r="A217" s="2880">
        <v>3231</v>
      </c>
      <c r="B217" s="502"/>
      <c r="C217" s="876" t="s">
        <v>902</v>
      </c>
      <c r="D217" s="3122" t="s">
        <v>1236</v>
      </c>
      <c r="E217" s="311">
        <v>0</v>
      </c>
      <c r="F217" s="311">
        <v>1767</v>
      </c>
      <c r="G217" s="311">
        <v>1767</v>
      </c>
      <c r="H217" s="2383">
        <f t="shared" si="53"/>
        <v>100</v>
      </c>
      <c r="L217" s="2443">
        <v>1766798</v>
      </c>
      <c r="M217" s="2443">
        <v>1766798</v>
      </c>
    </row>
    <row r="218" spans="1:13" s="425" customFormat="1" ht="14.25" customHeight="1" x14ac:dyDescent="0.2">
      <c r="A218" s="2880">
        <v>3233</v>
      </c>
      <c r="B218" s="502"/>
      <c r="C218" s="876" t="s">
        <v>902</v>
      </c>
      <c r="D218" s="3122" t="s">
        <v>1236</v>
      </c>
      <c r="E218" s="311">
        <v>0</v>
      </c>
      <c r="F218" s="311">
        <v>624</v>
      </c>
      <c r="G218" s="311">
        <v>624</v>
      </c>
      <c r="H218" s="2383">
        <f t="shared" si="53"/>
        <v>100</v>
      </c>
      <c r="L218" s="2443">
        <v>623619</v>
      </c>
      <c r="M218" s="2443">
        <v>623619</v>
      </c>
    </row>
    <row r="219" spans="1:13" s="425" customFormat="1" ht="14.25" customHeight="1" x14ac:dyDescent="0.2">
      <c r="A219" s="2880">
        <v>3113</v>
      </c>
      <c r="B219" s="502"/>
      <c r="C219" s="876" t="s">
        <v>1132</v>
      </c>
      <c r="D219" s="2875" t="s">
        <v>1235</v>
      </c>
      <c r="E219" s="311">
        <v>0</v>
      </c>
      <c r="F219" s="893">
        <v>61</v>
      </c>
      <c r="G219" s="893">
        <v>61</v>
      </c>
      <c r="H219" s="2384">
        <f t="shared" si="53"/>
        <v>100</v>
      </c>
      <c r="L219" s="2443">
        <v>61354</v>
      </c>
      <c r="M219" s="2443">
        <v>61354</v>
      </c>
    </row>
    <row r="220" spans="1:13" s="425" customFormat="1" ht="14.25" customHeight="1" x14ac:dyDescent="0.2">
      <c r="A220" s="2880">
        <v>3113</v>
      </c>
      <c r="B220" s="502"/>
      <c r="C220" s="876" t="s">
        <v>1894</v>
      </c>
      <c r="D220" s="2967" t="s">
        <v>1967</v>
      </c>
      <c r="E220" s="311">
        <v>0</v>
      </c>
      <c r="F220" s="893">
        <v>1285</v>
      </c>
      <c r="G220" s="893">
        <v>1285</v>
      </c>
      <c r="H220" s="2384">
        <f t="shared" si="53"/>
        <v>100</v>
      </c>
      <c r="L220" s="2443">
        <v>1285389</v>
      </c>
      <c r="M220" s="2443">
        <v>1285389</v>
      </c>
    </row>
    <row r="221" spans="1:13" s="425" customFormat="1" ht="14.25" customHeight="1" x14ac:dyDescent="0.2">
      <c r="A221" s="2880">
        <v>3117</v>
      </c>
      <c r="B221" s="502"/>
      <c r="C221" s="876" t="s">
        <v>1894</v>
      </c>
      <c r="D221" s="2967" t="s">
        <v>1967</v>
      </c>
      <c r="E221" s="311">
        <v>0</v>
      </c>
      <c r="F221" s="893">
        <v>311</v>
      </c>
      <c r="G221" s="893">
        <v>311</v>
      </c>
      <c r="H221" s="2384">
        <f t="shared" si="53"/>
        <v>100</v>
      </c>
      <c r="L221" s="2443">
        <v>310563</v>
      </c>
      <c r="M221" s="2443">
        <v>310563</v>
      </c>
    </row>
    <row r="222" spans="1:13" s="425" customFormat="1" ht="14.25" customHeight="1" x14ac:dyDescent="0.2">
      <c r="A222" s="2880">
        <v>3111</v>
      </c>
      <c r="B222" s="502"/>
      <c r="C222" s="876" t="s">
        <v>1896</v>
      </c>
      <c r="D222" s="3123" t="s">
        <v>1963</v>
      </c>
      <c r="E222" s="311">
        <v>0</v>
      </c>
      <c r="F222" s="893">
        <v>5826</v>
      </c>
      <c r="G222" s="893">
        <v>5820</v>
      </c>
      <c r="H222" s="2384">
        <f t="shared" si="53"/>
        <v>99.897013388259523</v>
      </c>
      <c r="L222" s="2443">
        <v>5825547.0899999999</v>
      </c>
      <c r="M222" s="2443">
        <v>5819893.0899999999</v>
      </c>
    </row>
    <row r="223" spans="1:13" s="425" customFormat="1" ht="14.25" customHeight="1" x14ac:dyDescent="0.2">
      <c r="A223" s="2880">
        <v>3113</v>
      </c>
      <c r="B223" s="502"/>
      <c r="C223" s="876" t="s">
        <v>1896</v>
      </c>
      <c r="D223" s="3123" t="s">
        <v>1963</v>
      </c>
      <c r="E223" s="311">
        <v>0</v>
      </c>
      <c r="F223" s="893">
        <v>15589</v>
      </c>
      <c r="G223" s="893">
        <v>15589</v>
      </c>
      <c r="H223" s="2384">
        <f t="shared" si="53"/>
        <v>100</v>
      </c>
      <c r="L223" s="2443">
        <v>15588830</v>
      </c>
      <c r="M223" s="2443">
        <v>15588830</v>
      </c>
    </row>
    <row r="224" spans="1:13" s="425" customFormat="1" ht="14.25" customHeight="1" x14ac:dyDescent="0.2">
      <c r="A224" s="2880">
        <v>3117</v>
      </c>
      <c r="B224" s="502"/>
      <c r="C224" s="876" t="s">
        <v>1896</v>
      </c>
      <c r="D224" s="3123" t="s">
        <v>1963</v>
      </c>
      <c r="E224" s="311">
        <v>0</v>
      </c>
      <c r="F224" s="893">
        <v>2874</v>
      </c>
      <c r="G224" s="893">
        <v>2874</v>
      </c>
      <c r="H224" s="2384">
        <f t="shared" si="53"/>
        <v>100</v>
      </c>
      <c r="L224" s="2443">
        <v>2874276</v>
      </c>
      <c r="M224" s="2443">
        <v>2874276</v>
      </c>
    </row>
    <row r="225" spans="1:13" s="425" customFormat="1" ht="14.25" customHeight="1" x14ac:dyDescent="0.2">
      <c r="A225" s="2880">
        <v>3121</v>
      </c>
      <c r="B225" s="502"/>
      <c r="C225" s="876" t="s">
        <v>1896</v>
      </c>
      <c r="D225" s="3123" t="s">
        <v>1963</v>
      </c>
      <c r="E225" s="311">
        <v>0</v>
      </c>
      <c r="F225" s="893">
        <v>39</v>
      </c>
      <c r="G225" s="893">
        <v>39</v>
      </c>
      <c r="H225" s="2384">
        <f t="shared" si="53"/>
        <v>100</v>
      </c>
      <c r="L225" s="2443">
        <v>38515</v>
      </c>
      <c r="M225" s="2443">
        <v>38515</v>
      </c>
    </row>
    <row r="226" spans="1:13" s="425" customFormat="1" ht="14.25" customHeight="1" x14ac:dyDescent="0.2">
      <c r="A226" s="2880">
        <v>3141</v>
      </c>
      <c r="B226" s="502"/>
      <c r="C226" s="876" t="s">
        <v>1896</v>
      </c>
      <c r="D226" s="3123" t="s">
        <v>1963</v>
      </c>
      <c r="E226" s="311">
        <v>0</v>
      </c>
      <c r="F226" s="893">
        <v>1195</v>
      </c>
      <c r="G226" s="893">
        <v>1195</v>
      </c>
      <c r="H226" s="2384">
        <f t="shared" si="53"/>
        <v>100</v>
      </c>
      <c r="L226" s="2443">
        <v>1195412</v>
      </c>
      <c r="M226" s="2443">
        <v>1195412</v>
      </c>
    </row>
    <row r="227" spans="1:13" s="425" customFormat="1" ht="14.25" customHeight="1" x14ac:dyDescent="0.2">
      <c r="A227" s="2880">
        <v>3231</v>
      </c>
      <c r="B227" s="502"/>
      <c r="C227" s="876" t="s">
        <v>1896</v>
      </c>
      <c r="D227" s="3123" t="s">
        <v>1963</v>
      </c>
      <c r="E227" s="311">
        <v>0</v>
      </c>
      <c r="F227" s="893">
        <v>248</v>
      </c>
      <c r="G227" s="893">
        <v>248</v>
      </c>
      <c r="H227" s="2384">
        <f t="shared" si="53"/>
        <v>100</v>
      </c>
      <c r="L227" s="2443">
        <v>247728</v>
      </c>
      <c r="M227" s="2443">
        <v>247728</v>
      </c>
    </row>
    <row r="228" spans="1:13" s="425" customFormat="1" ht="14.25" customHeight="1" x14ac:dyDescent="0.2">
      <c r="A228" s="2880">
        <v>3233</v>
      </c>
      <c r="B228" s="502"/>
      <c r="C228" s="876" t="s">
        <v>1896</v>
      </c>
      <c r="D228" s="3123" t="s">
        <v>1963</v>
      </c>
      <c r="E228" s="311">
        <v>0</v>
      </c>
      <c r="F228" s="893">
        <v>313</v>
      </c>
      <c r="G228" s="893">
        <v>313</v>
      </c>
      <c r="H228" s="2384">
        <f t="shared" si="53"/>
        <v>100</v>
      </c>
      <c r="L228" s="2443">
        <v>312917</v>
      </c>
      <c r="M228" s="2443">
        <v>312917</v>
      </c>
    </row>
    <row r="229" spans="1:13" s="425" customFormat="1" x14ac:dyDescent="0.2">
      <c r="A229" s="2880">
        <v>3233</v>
      </c>
      <c r="B229" s="502"/>
      <c r="C229" s="876" t="s">
        <v>938</v>
      </c>
      <c r="D229" s="2876" t="s">
        <v>1968</v>
      </c>
      <c r="E229" s="311">
        <v>0</v>
      </c>
      <c r="F229" s="311">
        <v>561</v>
      </c>
      <c r="G229" s="311">
        <v>561</v>
      </c>
      <c r="H229" s="2383">
        <f t="shared" si="53"/>
        <v>100</v>
      </c>
      <c r="L229" s="2443">
        <v>561000</v>
      </c>
      <c r="M229" s="2443">
        <v>561000</v>
      </c>
    </row>
    <row r="230" spans="1:13" s="425" customFormat="1" ht="18" x14ac:dyDescent="0.25">
      <c r="A230" s="2880">
        <v>3111</v>
      </c>
      <c r="B230" s="2381"/>
      <c r="C230" s="876" t="s">
        <v>901</v>
      </c>
      <c r="D230" s="2434" t="s">
        <v>1965</v>
      </c>
      <c r="E230" s="311">
        <v>0</v>
      </c>
      <c r="F230" s="311">
        <v>883409</v>
      </c>
      <c r="G230" s="311">
        <v>883409</v>
      </c>
      <c r="H230" s="2383">
        <f t="shared" ref="H230:H242" si="54">(G230/F230)*100</f>
        <v>100</v>
      </c>
      <c r="L230" s="2443">
        <v>883409510</v>
      </c>
      <c r="M230" s="2443">
        <v>883409510</v>
      </c>
    </row>
    <row r="231" spans="1:13" s="425" customFormat="1" ht="18" x14ac:dyDescent="0.25">
      <c r="A231" s="2880">
        <v>3113</v>
      </c>
      <c r="B231" s="2381"/>
      <c r="C231" s="876" t="s">
        <v>901</v>
      </c>
      <c r="D231" s="2434" t="s">
        <v>1965</v>
      </c>
      <c r="E231" s="311">
        <v>0</v>
      </c>
      <c r="F231" s="311">
        <v>1843189</v>
      </c>
      <c r="G231" s="311">
        <v>1843189</v>
      </c>
      <c r="H231" s="2383">
        <f t="shared" si="54"/>
        <v>100</v>
      </c>
      <c r="L231" s="2443">
        <v>1843188580</v>
      </c>
      <c r="M231" s="2443">
        <v>1843188580</v>
      </c>
    </row>
    <row r="232" spans="1:13" s="425" customFormat="1" ht="18" x14ac:dyDescent="0.25">
      <c r="A232" s="2880">
        <v>3117</v>
      </c>
      <c r="B232" s="2381"/>
      <c r="C232" s="876" t="s">
        <v>901</v>
      </c>
      <c r="D232" s="2434" t="s">
        <v>1965</v>
      </c>
      <c r="E232" s="311">
        <v>0</v>
      </c>
      <c r="F232" s="311">
        <v>289005</v>
      </c>
      <c r="G232" s="311">
        <v>289005</v>
      </c>
      <c r="H232" s="2383">
        <f t="shared" si="54"/>
        <v>100</v>
      </c>
      <c r="L232" s="2443">
        <v>289005220</v>
      </c>
      <c r="M232" s="2443">
        <v>289005220</v>
      </c>
    </row>
    <row r="233" spans="1:13" s="425" customFormat="1" ht="18" x14ac:dyDescent="0.25">
      <c r="A233" s="2880">
        <v>3121</v>
      </c>
      <c r="B233" s="2381"/>
      <c r="C233" s="876" t="s">
        <v>901</v>
      </c>
      <c r="D233" s="2434" t="s">
        <v>1965</v>
      </c>
      <c r="E233" s="311">
        <v>0</v>
      </c>
      <c r="F233" s="311">
        <v>31646</v>
      </c>
      <c r="G233" s="311">
        <v>31646</v>
      </c>
      <c r="H233" s="2383">
        <f t="shared" si="54"/>
        <v>100</v>
      </c>
      <c r="L233" s="2443">
        <v>31645720</v>
      </c>
      <c r="M233" s="2443">
        <v>31645720</v>
      </c>
    </row>
    <row r="234" spans="1:13" s="425" customFormat="1" ht="18" x14ac:dyDescent="0.25">
      <c r="A234" s="2880">
        <v>3141</v>
      </c>
      <c r="B234" s="2381"/>
      <c r="C234" s="876" t="s">
        <v>901</v>
      </c>
      <c r="D234" s="2434" t="s">
        <v>1965</v>
      </c>
      <c r="E234" s="311">
        <v>0</v>
      </c>
      <c r="F234" s="311">
        <v>301797</v>
      </c>
      <c r="G234" s="311">
        <v>301797</v>
      </c>
      <c r="H234" s="2383">
        <f t="shared" si="54"/>
        <v>100</v>
      </c>
      <c r="L234" s="2443">
        <v>301797420</v>
      </c>
      <c r="M234" s="2443">
        <v>301797420</v>
      </c>
    </row>
    <row r="235" spans="1:13" s="425" customFormat="1" ht="18" x14ac:dyDescent="0.25">
      <c r="A235" s="2880">
        <v>3143</v>
      </c>
      <c r="B235" s="2381"/>
      <c r="C235" s="876" t="s">
        <v>901</v>
      </c>
      <c r="D235" s="2434" t="s">
        <v>1965</v>
      </c>
      <c r="E235" s="311">
        <v>0</v>
      </c>
      <c r="F235" s="311">
        <v>245442</v>
      </c>
      <c r="G235" s="311">
        <v>245442</v>
      </c>
      <c r="H235" s="2383">
        <f t="shared" si="54"/>
        <v>100</v>
      </c>
      <c r="L235" s="2443">
        <v>245442220</v>
      </c>
      <c r="M235" s="2443">
        <v>245442220</v>
      </c>
    </row>
    <row r="236" spans="1:13" s="425" customFormat="1" ht="18" x14ac:dyDescent="0.25">
      <c r="A236" s="2880">
        <v>3231</v>
      </c>
      <c r="B236" s="2381"/>
      <c r="C236" s="876" t="s">
        <v>901</v>
      </c>
      <c r="D236" s="2434" t="s">
        <v>1965</v>
      </c>
      <c r="E236" s="311">
        <v>0</v>
      </c>
      <c r="F236" s="311">
        <v>92093</v>
      </c>
      <c r="G236" s="311">
        <v>92093</v>
      </c>
      <c r="H236" s="2383">
        <f t="shared" si="54"/>
        <v>100</v>
      </c>
      <c r="L236" s="2443">
        <v>92093120</v>
      </c>
      <c r="M236" s="2443">
        <v>92093120</v>
      </c>
    </row>
    <row r="237" spans="1:13" s="425" customFormat="1" ht="18" x14ac:dyDescent="0.25">
      <c r="A237" s="2880">
        <v>3233</v>
      </c>
      <c r="B237" s="2381"/>
      <c r="C237" s="876" t="s">
        <v>901</v>
      </c>
      <c r="D237" s="2434" t="s">
        <v>1965</v>
      </c>
      <c r="E237" s="311">
        <v>0</v>
      </c>
      <c r="F237" s="311">
        <v>43209</v>
      </c>
      <c r="G237" s="311">
        <v>43209</v>
      </c>
      <c r="H237" s="2383">
        <f t="shared" si="54"/>
        <v>100</v>
      </c>
      <c r="L237" s="2443">
        <v>43208570</v>
      </c>
      <c r="M237" s="2443">
        <v>43208570</v>
      </c>
    </row>
    <row r="238" spans="1:13" s="425" customFormat="1" ht="14.25" customHeight="1" x14ac:dyDescent="0.25">
      <c r="A238" s="2880">
        <v>3113</v>
      </c>
      <c r="B238" s="2381"/>
      <c r="C238" s="876" t="s">
        <v>943</v>
      </c>
      <c r="D238" s="2436" t="s">
        <v>1964</v>
      </c>
      <c r="E238" s="311">
        <v>0</v>
      </c>
      <c r="F238" s="893">
        <v>30</v>
      </c>
      <c r="G238" s="893">
        <v>30</v>
      </c>
      <c r="H238" s="2384">
        <f t="shared" si="54"/>
        <v>100</v>
      </c>
      <c r="L238" s="2443">
        <v>30057</v>
      </c>
      <c r="M238" s="2443">
        <v>30057</v>
      </c>
    </row>
    <row r="239" spans="1:13" s="425" customFormat="1" ht="29.25" x14ac:dyDescent="0.25">
      <c r="A239" s="2881">
        <v>3111</v>
      </c>
      <c r="B239" s="2381"/>
      <c r="C239" s="633" t="s">
        <v>918</v>
      </c>
      <c r="D239" s="2877" t="s">
        <v>1966</v>
      </c>
      <c r="E239" s="893">
        <v>0</v>
      </c>
      <c r="F239" s="893">
        <v>513</v>
      </c>
      <c r="G239" s="893">
        <v>513</v>
      </c>
      <c r="H239" s="2384">
        <f t="shared" si="54"/>
        <v>100</v>
      </c>
      <c r="L239" s="2445">
        <v>513256</v>
      </c>
      <c r="M239" s="2445">
        <v>513256</v>
      </c>
    </row>
    <row r="240" spans="1:13" s="425" customFormat="1" ht="29.25" x14ac:dyDescent="0.25">
      <c r="A240" s="2881">
        <v>3113</v>
      </c>
      <c r="B240" s="2381"/>
      <c r="C240" s="633" t="s">
        <v>918</v>
      </c>
      <c r="D240" s="2877" t="s">
        <v>1966</v>
      </c>
      <c r="E240" s="893">
        <v>0</v>
      </c>
      <c r="F240" s="893">
        <v>4218</v>
      </c>
      <c r="G240" s="893">
        <v>4218</v>
      </c>
      <c r="H240" s="2384">
        <f t="shared" si="54"/>
        <v>100</v>
      </c>
      <c r="L240" s="2445">
        <v>4218113.6399999997</v>
      </c>
      <c r="M240" s="2445">
        <v>4218113.6399999997</v>
      </c>
    </row>
    <row r="241" spans="1:13" s="425" customFormat="1" ht="30" thickBot="1" x14ac:dyDescent="0.3">
      <c r="A241" s="2881">
        <v>3117</v>
      </c>
      <c r="B241" s="2381"/>
      <c r="C241" s="633" t="s">
        <v>918</v>
      </c>
      <c r="D241" s="2877" t="s">
        <v>1966</v>
      </c>
      <c r="E241" s="893">
        <v>0</v>
      </c>
      <c r="F241" s="893">
        <v>922</v>
      </c>
      <c r="G241" s="893">
        <v>922</v>
      </c>
      <c r="H241" s="2384">
        <f t="shared" si="54"/>
        <v>100</v>
      </c>
      <c r="L241" s="2445">
        <v>921722.3</v>
      </c>
      <c r="M241" s="2445">
        <v>921722.3</v>
      </c>
    </row>
    <row r="242" spans="1:13" s="425" customFormat="1" ht="19.5" thickTop="1" thickBot="1" x14ac:dyDescent="0.3">
      <c r="A242" s="2385" t="s">
        <v>1081</v>
      </c>
      <c r="B242" s="2386"/>
      <c r="C242" s="2387"/>
      <c r="D242" s="2386"/>
      <c r="E242" s="2388">
        <v>0</v>
      </c>
      <c r="F242" s="2389">
        <f>F197+F209+F207</f>
        <v>3868335</v>
      </c>
      <c r="G242" s="2389">
        <f>G197+G209+G207</f>
        <v>3868329</v>
      </c>
      <c r="H242" s="2390">
        <f t="shared" si="54"/>
        <v>99.999844894508882</v>
      </c>
      <c r="K242" s="510"/>
      <c r="L242" s="510">
        <f>L209+L197+L207</f>
        <v>3868334627.0300002</v>
      </c>
      <c r="M242" s="510">
        <f>M209+M197+M207</f>
        <v>3868328973.0300002</v>
      </c>
    </row>
    <row r="243" spans="1:13" s="425" customFormat="1" ht="14.25" customHeight="1" thickTop="1" x14ac:dyDescent="0.25">
      <c r="A243" s="2232"/>
      <c r="B243" s="2233"/>
      <c r="C243" s="2234"/>
      <c r="D243" s="2233"/>
      <c r="E243" s="2235"/>
      <c r="F243" s="2236"/>
      <c r="G243" s="2236"/>
      <c r="H243" s="2237"/>
    </row>
    <row r="244" spans="1:13" s="425" customFormat="1" ht="14.25" customHeight="1" x14ac:dyDescent="0.25">
      <c r="A244" s="2232"/>
      <c r="B244" s="2233"/>
      <c r="C244" s="2234"/>
      <c r="D244" s="2233"/>
      <c r="E244" s="2235"/>
      <c r="F244" s="2236"/>
      <c r="G244" s="2236"/>
      <c r="H244" s="2237"/>
    </row>
    <row r="245" spans="1:13" s="425" customFormat="1" ht="15.75" x14ac:dyDescent="0.2">
      <c r="A245" s="3181" t="s">
        <v>1151</v>
      </c>
      <c r="B245" s="3181"/>
      <c r="C245" s="3181"/>
      <c r="D245" s="3181"/>
      <c r="E245" s="3181"/>
      <c r="F245" s="3181"/>
      <c r="G245" s="3181"/>
      <c r="H245" s="3181"/>
    </row>
    <row r="246" spans="1:13" s="425" customFormat="1" ht="12.75" x14ac:dyDescent="0.2">
      <c r="A246" s="3182" t="s">
        <v>1163</v>
      </c>
      <c r="B246" s="3182"/>
      <c r="C246" s="3182"/>
      <c r="D246" s="3182"/>
      <c r="E246" s="3182"/>
      <c r="F246" s="3182"/>
      <c r="G246" s="3182"/>
      <c r="H246" s="3182"/>
    </row>
    <row r="247" spans="1:13" s="730" customFormat="1" ht="12" customHeight="1" thickBot="1" x14ac:dyDescent="0.3">
      <c r="A247" s="33"/>
      <c r="B247" s="570"/>
      <c r="C247" s="571"/>
      <c r="D247" s="372"/>
      <c r="E247" s="373"/>
      <c r="F247" s="560"/>
      <c r="G247" s="373"/>
      <c r="H247" s="1568" t="s">
        <v>92</v>
      </c>
      <c r="J247" s="484"/>
      <c r="K247" s="484"/>
      <c r="L247" s="484"/>
    </row>
    <row r="248" spans="1:13" s="730" customFormat="1" ht="19.5" thickTop="1" thickBot="1" x14ac:dyDescent="0.3">
      <c r="A248" s="572" t="s">
        <v>93</v>
      </c>
      <c r="B248" s="573" t="s">
        <v>94</v>
      </c>
      <c r="C248" s="575" t="s">
        <v>364</v>
      </c>
      <c r="D248" s="639" t="s">
        <v>95</v>
      </c>
      <c r="E248" s="639" t="s">
        <v>328</v>
      </c>
      <c r="F248" s="639" t="s">
        <v>329</v>
      </c>
      <c r="G248" s="639" t="s">
        <v>448</v>
      </c>
      <c r="H248" s="576" t="s">
        <v>449</v>
      </c>
      <c r="J248" s="484"/>
      <c r="K248" s="484"/>
      <c r="L248" s="484"/>
    </row>
    <row r="249" spans="1:13" s="730" customFormat="1" ht="19.5" thickTop="1" thickBot="1" x14ac:dyDescent="0.3">
      <c r="A249" s="511">
        <v>1</v>
      </c>
      <c r="B249" s="512">
        <v>2</v>
      </c>
      <c r="C249" s="512">
        <v>3</v>
      </c>
      <c r="D249" s="512">
        <v>4</v>
      </c>
      <c r="E249" s="512">
        <v>5</v>
      </c>
      <c r="F249" s="499">
        <v>6</v>
      </c>
      <c r="G249" s="499">
        <v>7</v>
      </c>
      <c r="H249" s="577" t="s">
        <v>33</v>
      </c>
      <c r="J249" s="484"/>
      <c r="K249" s="484"/>
      <c r="L249" s="484"/>
    </row>
    <row r="250" spans="1:13" s="730" customFormat="1" ht="18.75" thickTop="1" x14ac:dyDescent="0.25">
      <c r="A250" s="2424">
        <v>3127</v>
      </c>
      <c r="B250" s="2425">
        <v>5213</v>
      </c>
      <c r="C250" s="2369" t="s">
        <v>1097</v>
      </c>
      <c r="D250" s="2417" t="s">
        <v>1245</v>
      </c>
      <c r="E250" s="362">
        <v>0</v>
      </c>
      <c r="F250" s="362">
        <v>71</v>
      </c>
      <c r="G250" s="362">
        <v>71</v>
      </c>
      <c r="H250" s="1621">
        <f>(G250/F250)*100</f>
        <v>100</v>
      </c>
      <c r="J250" s="484"/>
      <c r="K250" s="484"/>
      <c r="L250" s="2443">
        <v>71000</v>
      </c>
      <c r="M250" s="2443">
        <v>71000</v>
      </c>
    </row>
    <row r="251" spans="1:13" s="730" customFormat="1" ht="18" x14ac:dyDescent="0.25">
      <c r="A251" s="2426">
        <v>3231</v>
      </c>
      <c r="B251" s="2431">
        <v>5212</v>
      </c>
      <c r="C251" s="2367" t="s">
        <v>1097</v>
      </c>
      <c r="D251" s="644" t="s">
        <v>1244</v>
      </c>
      <c r="E251" s="310">
        <v>0</v>
      </c>
      <c r="F251" s="310">
        <v>20</v>
      </c>
      <c r="G251" s="310">
        <v>20</v>
      </c>
      <c r="H251" s="1652">
        <f t="shared" ref="H251:H253" si="55">(G251/F251)*100</f>
        <v>100</v>
      </c>
      <c r="J251" s="484"/>
      <c r="K251" s="484"/>
      <c r="L251" s="2443">
        <v>20000</v>
      </c>
      <c r="M251" s="2443">
        <v>20000</v>
      </c>
    </row>
    <row r="252" spans="1:13" s="730" customFormat="1" ht="18" x14ac:dyDescent="0.25">
      <c r="A252" s="2426">
        <v>3231</v>
      </c>
      <c r="B252" s="2431">
        <v>6341</v>
      </c>
      <c r="C252" s="2367" t="s">
        <v>1097</v>
      </c>
      <c r="D252" s="2449" t="s">
        <v>136</v>
      </c>
      <c r="E252" s="310">
        <v>0</v>
      </c>
      <c r="F252" s="310">
        <v>6000</v>
      </c>
      <c r="G252" s="310">
        <v>6000</v>
      </c>
      <c r="H252" s="1652">
        <f t="shared" si="55"/>
        <v>100</v>
      </c>
      <c r="J252" s="484"/>
      <c r="K252" s="484"/>
      <c r="L252" s="2443">
        <v>6000000</v>
      </c>
      <c r="M252" s="2443">
        <v>6000000</v>
      </c>
    </row>
    <row r="253" spans="1:13" s="730" customFormat="1" ht="18" x14ac:dyDescent="0.25">
      <c r="A253" s="2426">
        <v>3299</v>
      </c>
      <c r="B253" s="2427">
        <v>5221</v>
      </c>
      <c r="C253" s="2367" t="s">
        <v>1097</v>
      </c>
      <c r="D253" s="2417" t="s">
        <v>1247</v>
      </c>
      <c r="E253" s="428">
        <v>0</v>
      </c>
      <c r="F253" s="428">
        <v>1400</v>
      </c>
      <c r="G253" s="428">
        <v>1400</v>
      </c>
      <c r="H253" s="1652">
        <f t="shared" si="55"/>
        <v>100</v>
      </c>
      <c r="J253" s="484"/>
      <c r="K253" s="484"/>
      <c r="L253" s="2443">
        <v>1400000</v>
      </c>
      <c r="M253" s="2443">
        <v>1400000</v>
      </c>
    </row>
    <row r="254" spans="1:13" s="730" customFormat="1" ht="18" x14ac:dyDescent="0.25">
      <c r="A254" s="2426">
        <v>3299</v>
      </c>
      <c r="B254" s="2427">
        <v>5222</v>
      </c>
      <c r="C254" s="2367" t="s">
        <v>1097</v>
      </c>
      <c r="D254" s="2418" t="s">
        <v>800</v>
      </c>
      <c r="E254" s="428">
        <v>0</v>
      </c>
      <c r="F254" s="310">
        <v>70</v>
      </c>
      <c r="G254" s="310">
        <v>70</v>
      </c>
      <c r="H254" s="1651">
        <f t="shared" ref="H254:H267" si="56">(G254/F254)*100</f>
        <v>100</v>
      </c>
      <c r="J254" s="484"/>
      <c r="K254" s="484"/>
      <c r="L254" s="2443">
        <v>70000</v>
      </c>
      <c r="M254" s="2443">
        <v>70000</v>
      </c>
    </row>
    <row r="255" spans="1:13" s="730" customFormat="1" ht="18" x14ac:dyDescent="0.25">
      <c r="A255" s="2426">
        <v>3299</v>
      </c>
      <c r="B255" s="2427">
        <v>5229</v>
      </c>
      <c r="C255" s="2367" t="s">
        <v>1097</v>
      </c>
      <c r="D255" s="2417" t="s">
        <v>1642</v>
      </c>
      <c r="E255" s="428">
        <v>0</v>
      </c>
      <c r="F255" s="310">
        <v>400</v>
      </c>
      <c r="G255" s="310">
        <v>400</v>
      </c>
      <c r="H255" s="1651">
        <f t="shared" si="56"/>
        <v>100</v>
      </c>
      <c r="J255" s="484"/>
      <c r="K255" s="484"/>
      <c r="L255" s="2443">
        <v>400000</v>
      </c>
      <c r="M255" s="2443">
        <v>400000</v>
      </c>
    </row>
    <row r="256" spans="1:13" s="730" customFormat="1" ht="18" x14ac:dyDescent="0.25">
      <c r="A256" s="2426">
        <v>3299</v>
      </c>
      <c r="B256" s="2427">
        <v>5493</v>
      </c>
      <c r="C256" s="2367" t="s">
        <v>1097</v>
      </c>
      <c r="D256" s="2419" t="s">
        <v>1651</v>
      </c>
      <c r="E256" s="428">
        <v>0</v>
      </c>
      <c r="F256" s="310">
        <v>5</v>
      </c>
      <c r="G256" s="310">
        <v>5</v>
      </c>
      <c r="H256" s="1651">
        <f t="shared" si="56"/>
        <v>100</v>
      </c>
      <c r="J256" s="484"/>
      <c r="K256" s="484"/>
      <c r="L256" s="2443">
        <v>5547</v>
      </c>
      <c r="M256" s="2443">
        <v>5547</v>
      </c>
    </row>
    <row r="257" spans="1:13" s="730" customFormat="1" ht="18" x14ac:dyDescent="0.25">
      <c r="A257" s="2426">
        <v>3311</v>
      </c>
      <c r="B257" s="2427">
        <v>5213</v>
      </c>
      <c r="C257" s="2367" t="s">
        <v>1097</v>
      </c>
      <c r="D257" s="2417" t="s">
        <v>1245</v>
      </c>
      <c r="E257" s="428">
        <v>0</v>
      </c>
      <c r="F257" s="310">
        <v>200</v>
      </c>
      <c r="G257" s="310">
        <v>200</v>
      </c>
      <c r="H257" s="1651">
        <f t="shared" si="56"/>
        <v>100</v>
      </c>
      <c r="J257" s="484"/>
      <c r="K257" s="484"/>
      <c r="L257" s="2443">
        <v>200000</v>
      </c>
      <c r="M257" s="2443">
        <v>200000</v>
      </c>
    </row>
    <row r="258" spans="1:13" s="730" customFormat="1" ht="18" x14ac:dyDescent="0.25">
      <c r="A258" s="2426">
        <v>3311</v>
      </c>
      <c r="B258" s="2427">
        <v>5222</v>
      </c>
      <c r="C258" s="2367" t="s">
        <v>1097</v>
      </c>
      <c r="D258" s="2418" t="s">
        <v>800</v>
      </c>
      <c r="E258" s="428">
        <v>0</v>
      </c>
      <c r="F258" s="310">
        <v>10</v>
      </c>
      <c r="G258" s="310">
        <v>10</v>
      </c>
      <c r="H258" s="1651">
        <f t="shared" si="56"/>
        <v>100</v>
      </c>
      <c r="J258" s="484"/>
      <c r="K258" s="484"/>
      <c r="L258" s="2443">
        <v>10000</v>
      </c>
      <c r="M258" s="2443">
        <v>10000</v>
      </c>
    </row>
    <row r="259" spans="1:13" s="730" customFormat="1" ht="18" x14ac:dyDescent="0.25">
      <c r="A259" s="2426">
        <v>3311</v>
      </c>
      <c r="B259" s="2427">
        <v>5321</v>
      </c>
      <c r="C259" s="2367" t="s">
        <v>1097</v>
      </c>
      <c r="D259" s="2420" t="s">
        <v>566</v>
      </c>
      <c r="E259" s="428">
        <v>0</v>
      </c>
      <c r="F259" s="310">
        <v>1200</v>
      </c>
      <c r="G259" s="310">
        <v>1200</v>
      </c>
      <c r="H259" s="1651">
        <f t="shared" si="56"/>
        <v>100</v>
      </c>
      <c r="J259" s="484"/>
      <c r="K259" s="484"/>
      <c r="L259" s="2443">
        <v>1200000</v>
      </c>
      <c r="M259" s="2443">
        <v>1200000</v>
      </c>
    </row>
    <row r="260" spans="1:13" s="730" customFormat="1" ht="18" x14ac:dyDescent="0.25">
      <c r="A260" s="2426">
        <v>3312</v>
      </c>
      <c r="B260" s="2427">
        <v>5213</v>
      </c>
      <c r="C260" s="2367" t="s">
        <v>1097</v>
      </c>
      <c r="D260" s="2417" t="s">
        <v>1245</v>
      </c>
      <c r="E260" s="428">
        <v>0</v>
      </c>
      <c r="F260" s="310">
        <v>30</v>
      </c>
      <c r="G260" s="310">
        <v>30</v>
      </c>
      <c r="H260" s="1651">
        <f t="shared" si="56"/>
        <v>100</v>
      </c>
      <c r="J260" s="484"/>
      <c r="K260" s="484"/>
      <c r="L260" s="2443">
        <v>30000</v>
      </c>
      <c r="M260" s="2443">
        <v>30000</v>
      </c>
    </row>
    <row r="261" spans="1:13" s="730" customFormat="1" ht="18" x14ac:dyDescent="0.25">
      <c r="A261" s="2426">
        <v>3312</v>
      </c>
      <c r="B261" s="2427">
        <v>5222</v>
      </c>
      <c r="C261" s="2367" t="s">
        <v>1097</v>
      </c>
      <c r="D261" s="2418" t="s">
        <v>800</v>
      </c>
      <c r="E261" s="428">
        <v>0</v>
      </c>
      <c r="F261" s="310">
        <v>1295</v>
      </c>
      <c r="G261" s="310">
        <v>1295</v>
      </c>
      <c r="H261" s="1651">
        <f t="shared" si="56"/>
        <v>100</v>
      </c>
      <c r="J261" s="484"/>
      <c r="K261" s="484"/>
      <c r="L261" s="2443">
        <v>1295000</v>
      </c>
      <c r="M261" s="2443">
        <v>1295000</v>
      </c>
    </row>
    <row r="262" spans="1:13" s="730" customFormat="1" ht="18" x14ac:dyDescent="0.25">
      <c r="A262" s="2426">
        <v>3312</v>
      </c>
      <c r="B262" s="2427">
        <v>5321</v>
      </c>
      <c r="C262" s="2367" t="s">
        <v>1097</v>
      </c>
      <c r="D262" s="2420" t="s">
        <v>566</v>
      </c>
      <c r="E262" s="428">
        <v>0</v>
      </c>
      <c r="F262" s="310">
        <v>1378</v>
      </c>
      <c r="G262" s="310">
        <v>1378</v>
      </c>
      <c r="H262" s="1651">
        <f t="shared" si="56"/>
        <v>100</v>
      </c>
      <c r="J262" s="484"/>
      <c r="K262" s="484"/>
      <c r="L262" s="2443">
        <v>1378000</v>
      </c>
      <c r="M262" s="2443">
        <v>1378000</v>
      </c>
    </row>
    <row r="263" spans="1:13" s="730" customFormat="1" ht="18" x14ac:dyDescent="0.25">
      <c r="A263" s="2426">
        <v>3312</v>
      </c>
      <c r="B263" s="2427">
        <v>5493</v>
      </c>
      <c r="C263" s="2367" t="s">
        <v>1097</v>
      </c>
      <c r="D263" s="2419" t="s">
        <v>1651</v>
      </c>
      <c r="E263" s="428">
        <v>0</v>
      </c>
      <c r="F263" s="310">
        <v>30</v>
      </c>
      <c r="G263" s="310">
        <v>30</v>
      </c>
      <c r="H263" s="1651">
        <f t="shared" si="56"/>
        <v>100</v>
      </c>
      <c r="J263" s="484"/>
      <c r="K263" s="484"/>
      <c r="L263" s="2443">
        <v>30000</v>
      </c>
      <c r="M263" s="2443">
        <v>30000</v>
      </c>
    </row>
    <row r="264" spans="1:13" s="730" customFormat="1" ht="18" x14ac:dyDescent="0.25">
      <c r="A264" s="2426">
        <v>3313</v>
      </c>
      <c r="B264" s="2427">
        <v>5212</v>
      </c>
      <c r="C264" s="2367" t="s">
        <v>1097</v>
      </c>
      <c r="D264" s="644" t="s">
        <v>1244</v>
      </c>
      <c r="E264" s="428">
        <v>0</v>
      </c>
      <c r="F264" s="310">
        <v>200</v>
      </c>
      <c r="G264" s="310">
        <v>200</v>
      </c>
      <c r="H264" s="1651">
        <f t="shared" si="56"/>
        <v>100</v>
      </c>
      <c r="J264" s="484"/>
      <c r="K264" s="484"/>
      <c r="L264" s="2443">
        <v>200000</v>
      </c>
      <c r="M264" s="2443">
        <v>200000</v>
      </c>
    </row>
    <row r="265" spans="1:13" s="730" customFormat="1" ht="18" x14ac:dyDescent="0.25">
      <c r="A265" s="2426">
        <v>3313</v>
      </c>
      <c r="B265" s="2427">
        <v>5493</v>
      </c>
      <c r="C265" s="2367" t="s">
        <v>1097</v>
      </c>
      <c r="D265" s="2419" t="s">
        <v>1651</v>
      </c>
      <c r="E265" s="428">
        <v>0</v>
      </c>
      <c r="F265" s="310">
        <v>480</v>
      </c>
      <c r="G265" s="310">
        <v>480</v>
      </c>
      <c r="H265" s="1651">
        <f t="shared" si="56"/>
        <v>100</v>
      </c>
      <c r="J265" s="484"/>
      <c r="K265" s="484"/>
      <c r="L265" s="2443">
        <v>480000</v>
      </c>
      <c r="M265" s="2443">
        <v>480000</v>
      </c>
    </row>
    <row r="266" spans="1:13" s="730" customFormat="1" ht="18" x14ac:dyDescent="0.25">
      <c r="A266" s="2426">
        <v>3315</v>
      </c>
      <c r="B266" s="2427">
        <v>5339</v>
      </c>
      <c r="C266" s="2367" t="s">
        <v>1097</v>
      </c>
      <c r="D266" s="1088" t="s">
        <v>1230</v>
      </c>
      <c r="E266" s="428">
        <v>0</v>
      </c>
      <c r="F266" s="310">
        <v>27285</v>
      </c>
      <c r="G266" s="310">
        <v>27285</v>
      </c>
      <c r="H266" s="1651">
        <f t="shared" si="56"/>
        <v>100</v>
      </c>
      <c r="J266" s="484"/>
      <c r="K266" s="484"/>
      <c r="L266" s="2443">
        <v>27285000</v>
      </c>
      <c r="M266" s="2443">
        <v>27285000</v>
      </c>
    </row>
    <row r="267" spans="1:13" s="730" customFormat="1" ht="18" x14ac:dyDescent="0.25">
      <c r="A267" s="2426">
        <v>3315</v>
      </c>
      <c r="B267" s="2427">
        <v>6322</v>
      </c>
      <c r="C267" s="2367" t="s">
        <v>1097</v>
      </c>
      <c r="D267" s="371" t="s">
        <v>1630</v>
      </c>
      <c r="E267" s="310">
        <v>0</v>
      </c>
      <c r="F267" s="310">
        <v>1500</v>
      </c>
      <c r="G267" s="310">
        <v>1500</v>
      </c>
      <c r="H267" s="1651">
        <f t="shared" si="56"/>
        <v>100</v>
      </c>
      <c r="J267" s="484"/>
      <c r="K267" s="484"/>
      <c r="L267" s="2443">
        <v>1500000</v>
      </c>
      <c r="M267" s="2443">
        <v>1500000</v>
      </c>
    </row>
    <row r="268" spans="1:13" s="730" customFormat="1" ht="18" x14ac:dyDescent="0.25">
      <c r="A268" s="2426">
        <v>3316</v>
      </c>
      <c r="B268" s="2427">
        <v>5212</v>
      </c>
      <c r="C268" s="2367" t="s">
        <v>1097</v>
      </c>
      <c r="D268" s="644" t="s">
        <v>1244</v>
      </c>
      <c r="E268" s="428">
        <v>0</v>
      </c>
      <c r="F268" s="310">
        <v>20</v>
      </c>
      <c r="G268" s="310">
        <v>20</v>
      </c>
      <c r="H268" s="1651">
        <f t="shared" ref="H268:H276" si="57">(G268/F268)*100</f>
        <v>100</v>
      </c>
      <c r="J268" s="484"/>
      <c r="K268" s="484"/>
      <c r="L268" s="2443">
        <v>20000</v>
      </c>
      <c r="M268" s="2443">
        <v>20000</v>
      </c>
    </row>
    <row r="269" spans="1:13" s="730" customFormat="1" ht="18" x14ac:dyDescent="0.25">
      <c r="A269" s="2426">
        <v>3316</v>
      </c>
      <c r="B269" s="2427">
        <v>5213</v>
      </c>
      <c r="C269" s="2367" t="s">
        <v>1097</v>
      </c>
      <c r="D269" s="2417" t="s">
        <v>1245</v>
      </c>
      <c r="E269" s="428">
        <v>0</v>
      </c>
      <c r="F269" s="310">
        <v>40</v>
      </c>
      <c r="G269" s="310">
        <v>40</v>
      </c>
      <c r="H269" s="1651">
        <f t="shared" si="57"/>
        <v>100</v>
      </c>
      <c r="J269" s="484"/>
      <c r="K269" s="484"/>
      <c r="L269" s="2443">
        <v>40000</v>
      </c>
      <c r="M269" s="2443">
        <v>40000</v>
      </c>
    </row>
    <row r="270" spans="1:13" s="730" customFormat="1" ht="18" x14ac:dyDescent="0.25">
      <c r="A270" s="2426">
        <v>3316</v>
      </c>
      <c r="B270" s="2427">
        <v>5222</v>
      </c>
      <c r="C270" s="2367" t="s">
        <v>1097</v>
      </c>
      <c r="D270" s="2418" t="s">
        <v>800</v>
      </c>
      <c r="E270" s="428">
        <v>0</v>
      </c>
      <c r="F270" s="310">
        <v>25</v>
      </c>
      <c r="G270" s="310">
        <v>25</v>
      </c>
      <c r="H270" s="1651">
        <f t="shared" si="57"/>
        <v>100</v>
      </c>
      <c r="J270" s="484"/>
      <c r="K270" s="484"/>
      <c r="L270" s="2443">
        <v>25000</v>
      </c>
      <c r="M270" s="2443">
        <v>25000</v>
      </c>
    </row>
    <row r="271" spans="1:13" s="730" customFormat="1" ht="18" x14ac:dyDescent="0.25">
      <c r="A271" s="2426">
        <v>3316</v>
      </c>
      <c r="B271" s="2427">
        <v>5321</v>
      </c>
      <c r="C271" s="2367" t="s">
        <v>1097</v>
      </c>
      <c r="D271" s="644" t="s">
        <v>566</v>
      </c>
      <c r="E271" s="428">
        <v>0</v>
      </c>
      <c r="F271" s="310">
        <v>90</v>
      </c>
      <c r="G271" s="310">
        <v>90</v>
      </c>
      <c r="H271" s="1651">
        <f t="shared" si="57"/>
        <v>100</v>
      </c>
      <c r="J271" s="484"/>
      <c r="K271" s="484"/>
      <c r="L271" s="2443">
        <v>90000</v>
      </c>
      <c r="M271" s="2443">
        <v>90000</v>
      </c>
    </row>
    <row r="272" spans="1:13" s="730" customFormat="1" ht="18" x14ac:dyDescent="0.25">
      <c r="A272" s="2426">
        <v>3316</v>
      </c>
      <c r="B272" s="2427">
        <v>5493</v>
      </c>
      <c r="C272" s="2367" t="s">
        <v>1097</v>
      </c>
      <c r="D272" s="2419" t="s">
        <v>1651</v>
      </c>
      <c r="E272" s="428">
        <v>0</v>
      </c>
      <c r="F272" s="310">
        <v>30</v>
      </c>
      <c r="G272" s="310">
        <v>30</v>
      </c>
      <c r="H272" s="1651">
        <f t="shared" si="57"/>
        <v>100</v>
      </c>
      <c r="J272" s="484"/>
      <c r="K272" s="484"/>
      <c r="L272" s="2443">
        <v>30000</v>
      </c>
      <c r="M272" s="2443">
        <v>30000</v>
      </c>
    </row>
    <row r="273" spans="1:13" s="730" customFormat="1" ht="18" x14ac:dyDescent="0.25">
      <c r="A273" s="2426">
        <v>3317</v>
      </c>
      <c r="B273" s="2427">
        <v>5222</v>
      </c>
      <c r="C273" s="2367" t="s">
        <v>1097</v>
      </c>
      <c r="D273" s="2418" t="s">
        <v>800</v>
      </c>
      <c r="E273" s="428">
        <v>0</v>
      </c>
      <c r="F273" s="310">
        <v>170</v>
      </c>
      <c r="G273" s="310">
        <v>170</v>
      </c>
      <c r="H273" s="1651">
        <f t="shared" si="57"/>
        <v>100</v>
      </c>
      <c r="J273" s="484"/>
      <c r="K273" s="484"/>
      <c r="L273" s="2443">
        <v>170000</v>
      </c>
      <c r="M273" s="2443">
        <v>170000</v>
      </c>
    </row>
    <row r="274" spans="1:13" s="730" customFormat="1" ht="18" x14ac:dyDescent="0.25">
      <c r="A274" s="2426">
        <v>3317</v>
      </c>
      <c r="B274" s="2427">
        <v>5321</v>
      </c>
      <c r="C274" s="2367" t="s">
        <v>1097</v>
      </c>
      <c r="D274" s="644" t="s">
        <v>566</v>
      </c>
      <c r="E274" s="428">
        <v>0</v>
      </c>
      <c r="F274" s="310">
        <v>30</v>
      </c>
      <c r="G274" s="310">
        <v>30</v>
      </c>
      <c r="H274" s="1651">
        <f t="shared" si="57"/>
        <v>100</v>
      </c>
      <c r="J274" s="484"/>
      <c r="K274" s="484"/>
      <c r="L274" s="2443">
        <v>30000</v>
      </c>
      <c r="M274" s="2443">
        <v>30000</v>
      </c>
    </row>
    <row r="275" spans="1:13" s="730" customFormat="1" ht="18" x14ac:dyDescent="0.25">
      <c r="A275" s="2426">
        <v>3317</v>
      </c>
      <c r="B275" s="2427">
        <v>5493</v>
      </c>
      <c r="C275" s="2367" t="s">
        <v>1097</v>
      </c>
      <c r="D275" s="2419" t="s">
        <v>1651</v>
      </c>
      <c r="E275" s="428">
        <v>0</v>
      </c>
      <c r="F275" s="310">
        <v>30</v>
      </c>
      <c r="G275" s="310">
        <v>30</v>
      </c>
      <c r="H275" s="1651">
        <f t="shared" si="57"/>
        <v>100</v>
      </c>
      <c r="J275" s="484"/>
      <c r="K275" s="484"/>
      <c r="L275" s="2443">
        <v>30000</v>
      </c>
      <c r="M275" s="2443">
        <v>30000</v>
      </c>
    </row>
    <row r="276" spans="1:13" s="730" customFormat="1" ht="18" x14ac:dyDescent="0.25">
      <c r="A276" s="2426">
        <v>3319</v>
      </c>
      <c r="B276" s="2427">
        <v>5212</v>
      </c>
      <c r="C276" s="2367" t="s">
        <v>1097</v>
      </c>
      <c r="D276" s="644" t="s">
        <v>1244</v>
      </c>
      <c r="E276" s="428">
        <v>0</v>
      </c>
      <c r="F276" s="310">
        <v>15</v>
      </c>
      <c r="G276" s="310">
        <v>15</v>
      </c>
      <c r="H276" s="1651">
        <f t="shared" si="57"/>
        <v>100</v>
      </c>
      <c r="J276" s="484"/>
      <c r="K276" s="484"/>
      <c r="L276" s="2443">
        <v>15000</v>
      </c>
      <c r="M276" s="2443">
        <v>15000</v>
      </c>
    </row>
    <row r="277" spans="1:13" s="730" customFormat="1" ht="18" x14ac:dyDescent="0.25">
      <c r="A277" s="2426">
        <v>3319</v>
      </c>
      <c r="B277" s="2427">
        <v>5213</v>
      </c>
      <c r="C277" s="2367" t="s">
        <v>1097</v>
      </c>
      <c r="D277" s="2417" t="s">
        <v>1245</v>
      </c>
      <c r="E277" s="428">
        <v>0</v>
      </c>
      <c r="F277" s="310">
        <v>400</v>
      </c>
      <c r="G277" s="310">
        <v>400</v>
      </c>
      <c r="H277" s="1651">
        <f t="shared" ref="H277:H278" si="58">(G277/F277)*100</f>
        <v>100</v>
      </c>
      <c r="J277" s="484"/>
      <c r="K277" s="484"/>
      <c r="L277" s="2443">
        <v>400000</v>
      </c>
      <c r="M277" s="2443">
        <v>400000</v>
      </c>
    </row>
    <row r="278" spans="1:13" s="730" customFormat="1" ht="18" x14ac:dyDescent="0.25">
      <c r="A278" s="2426">
        <v>3319</v>
      </c>
      <c r="B278" s="2427">
        <v>5221</v>
      </c>
      <c r="C278" s="2367" t="s">
        <v>1097</v>
      </c>
      <c r="D278" s="2417" t="s">
        <v>1247</v>
      </c>
      <c r="E278" s="428">
        <v>0</v>
      </c>
      <c r="F278" s="310">
        <v>40</v>
      </c>
      <c r="G278" s="310">
        <v>40</v>
      </c>
      <c r="H278" s="1651">
        <f t="shared" si="58"/>
        <v>100</v>
      </c>
      <c r="J278" s="484"/>
      <c r="K278" s="484"/>
      <c r="L278" s="2443">
        <v>40000</v>
      </c>
      <c r="M278" s="2443">
        <v>40000</v>
      </c>
    </row>
    <row r="279" spans="1:13" s="730" customFormat="1" ht="18" x14ac:dyDescent="0.25">
      <c r="A279" s="2426">
        <v>3319</v>
      </c>
      <c r="B279" s="2427">
        <v>5222</v>
      </c>
      <c r="C279" s="2367" t="s">
        <v>1097</v>
      </c>
      <c r="D279" s="2418" t="s">
        <v>800</v>
      </c>
      <c r="E279" s="428">
        <v>0</v>
      </c>
      <c r="F279" s="310">
        <v>1076</v>
      </c>
      <c r="G279" s="310">
        <v>1076</v>
      </c>
      <c r="H279" s="1651">
        <f>(G279/F279)*100</f>
        <v>100</v>
      </c>
      <c r="J279" s="484"/>
      <c r="K279" s="484"/>
      <c r="L279" s="2443">
        <v>1076000</v>
      </c>
      <c r="M279" s="2443">
        <v>1076000</v>
      </c>
    </row>
    <row r="280" spans="1:13" s="730" customFormat="1" ht="18" x14ac:dyDescent="0.25">
      <c r="A280" s="2426">
        <v>3319</v>
      </c>
      <c r="B280" s="2427">
        <v>5321</v>
      </c>
      <c r="C280" s="2367" t="s">
        <v>1097</v>
      </c>
      <c r="D280" s="644" t="s">
        <v>566</v>
      </c>
      <c r="E280" s="310">
        <v>0</v>
      </c>
      <c r="F280" s="310">
        <v>428</v>
      </c>
      <c r="G280" s="310">
        <v>428</v>
      </c>
      <c r="H280" s="1651">
        <f t="shared" ref="H280" si="59">(G280/F280)*100</f>
        <v>100</v>
      </c>
      <c r="J280" s="484"/>
      <c r="K280" s="484"/>
      <c r="L280" s="2443">
        <v>427500</v>
      </c>
      <c r="M280" s="2443">
        <v>427500</v>
      </c>
    </row>
    <row r="281" spans="1:13" s="730" customFormat="1" ht="18" x14ac:dyDescent="0.25">
      <c r="A281" s="2426">
        <v>3319</v>
      </c>
      <c r="B281" s="2427">
        <v>5493</v>
      </c>
      <c r="C281" s="2367" t="s">
        <v>1097</v>
      </c>
      <c r="D281" s="2419" t="s">
        <v>1651</v>
      </c>
      <c r="E281" s="310">
        <v>0</v>
      </c>
      <c r="F281" s="310">
        <v>15</v>
      </c>
      <c r="G281" s="310">
        <v>15</v>
      </c>
      <c r="H281" s="1651">
        <f t="shared" ref="H281:H283" si="60">(G281/F281)*100</f>
        <v>100</v>
      </c>
      <c r="J281" s="484"/>
      <c r="K281" s="484"/>
      <c r="L281" s="2443">
        <v>15000</v>
      </c>
      <c r="M281" s="2443">
        <v>15000</v>
      </c>
    </row>
    <row r="282" spans="1:13" s="730" customFormat="1" ht="18" x14ac:dyDescent="0.25">
      <c r="A282" s="2426">
        <v>3319</v>
      </c>
      <c r="B282" s="2427">
        <v>6321</v>
      </c>
      <c r="C282" s="2367" t="s">
        <v>1097</v>
      </c>
      <c r="D282" s="1088" t="s">
        <v>1908</v>
      </c>
      <c r="E282" s="310">
        <v>0</v>
      </c>
      <c r="F282" s="310">
        <v>700</v>
      </c>
      <c r="G282" s="310">
        <v>700</v>
      </c>
      <c r="H282" s="1651">
        <f t="shared" si="60"/>
        <v>100</v>
      </c>
      <c r="J282" s="484"/>
      <c r="K282" s="484"/>
      <c r="L282" s="2443">
        <v>700000</v>
      </c>
      <c r="M282" s="2443">
        <v>700000</v>
      </c>
    </row>
    <row r="283" spans="1:13" s="730" customFormat="1" ht="18" x14ac:dyDescent="0.25">
      <c r="A283" s="2426">
        <v>3319</v>
      </c>
      <c r="B283" s="2427">
        <v>6341</v>
      </c>
      <c r="C283" s="2367" t="s">
        <v>1097</v>
      </c>
      <c r="D283" s="2449" t="s">
        <v>136</v>
      </c>
      <c r="E283" s="310">
        <v>0</v>
      </c>
      <c r="F283" s="310">
        <v>490</v>
      </c>
      <c r="G283" s="310">
        <v>490</v>
      </c>
      <c r="H283" s="1651">
        <f t="shared" si="60"/>
        <v>100</v>
      </c>
      <c r="J283" s="484"/>
      <c r="K283" s="484"/>
      <c r="L283" s="2443">
        <v>490000</v>
      </c>
      <c r="M283" s="2443">
        <v>490000</v>
      </c>
    </row>
    <row r="284" spans="1:13" s="730" customFormat="1" ht="18" x14ac:dyDescent="0.25">
      <c r="A284" s="2426">
        <v>3419</v>
      </c>
      <c r="B284" s="2427">
        <v>5212</v>
      </c>
      <c r="C284" s="2367" t="s">
        <v>1097</v>
      </c>
      <c r="D284" s="644" t="s">
        <v>1244</v>
      </c>
      <c r="E284" s="310">
        <v>0</v>
      </c>
      <c r="F284" s="310">
        <v>335</v>
      </c>
      <c r="G284" s="310">
        <v>335</v>
      </c>
      <c r="H284" s="1651">
        <f>(G284/F284)*100</f>
        <v>100</v>
      </c>
      <c r="J284" s="484"/>
      <c r="K284" s="484"/>
      <c r="L284" s="2443">
        <v>335000</v>
      </c>
      <c r="M284" s="2443">
        <v>335000</v>
      </c>
    </row>
    <row r="285" spans="1:13" s="730" customFormat="1" ht="18" x14ac:dyDescent="0.25">
      <c r="A285" s="2426">
        <v>3419</v>
      </c>
      <c r="B285" s="2427">
        <v>5213</v>
      </c>
      <c r="C285" s="2367" t="s">
        <v>1097</v>
      </c>
      <c r="D285" s="2417" t="s">
        <v>1245</v>
      </c>
      <c r="E285" s="310">
        <v>0</v>
      </c>
      <c r="F285" s="310">
        <v>2980</v>
      </c>
      <c r="G285" s="310">
        <v>2980</v>
      </c>
      <c r="H285" s="1652">
        <f>(G285/F285)*100</f>
        <v>100</v>
      </c>
      <c r="J285" s="484"/>
      <c r="K285" s="484"/>
      <c r="L285" s="2443">
        <v>2980000</v>
      </c>
      <c r="M285" s="2443">
        <v>2980000</v>
      </c>
    </row>
    <row r="286" spans="1:13" s="730" customFormat="1" ht="18" x14ac:dyDescent="0.25">
      <c r="A286" s="2426">
        <v>3419</v>
      </c>
      <c r="B286" s="2427">
        <v>5222</v>
      </c>
      <c r="C286" s="2367" t="s">
        <v>1097</v>
      </c>
      <c r="D286" s="2418" t="s">
        <v>800</v>
      </c>
      <c r="E286" s="310">
        <v>0</v>
      </c>
      <c r="F286" s="310">
        <v>11780</v>
      </c>
      <c r="G286" s="310">
        <v>11780</v>
      </c>
      <c r="H286" s="1652">
        <f t="shared" ref="H286:H293" si="61">(G286/F286)*100</f>
        <v>100</v>
      </c>
      <c r="J286" s="484"/>
      <c r="K286" s="2443"/>
      <c r="L286" s="2443">
        <v>11780000</v>
      </c>
      <c r="M286" s="2443">
        <v>11780000</v>
      </c>
    </row>
    <row r="287" spans="1:13" s="730" customFormat="1" ht="18" x14ac:dyDescent="0.25">
      <c r="A287" s="2426">
        <v>3419</v>
      </c>
      <c r="B287" s="2427">
        <v>5229</v>
      </c>
      <c r="C287" s="2367" t="s">
        <v>1097</v>
      </c>
      <c r="D287" s="1655" t="s">
        <v>528</v>
      </c>
      <c r="E287" s="310">
        <v>0</v>
      </c>
      <c r="F287" s="310">
        <v>1900</v>
      </c>
      <c r="G287" s="310">
        <v>1900</v>
      </c>
      <c r="H287" s="1651">
        <f t="shared" si="61"/>
        <v>100</v>
      </c>
      <c r="J287" s="484"/>
      <c r="K287" s="484"/>
      <c r="L287" s="2443">
        <v>1900000</v>
      </c>
      <c r="M287" s="2443">
        <v>1900000</v>
      </c>
    </row>
    <row r="288" spans="1:13" s="730" customFormat="1" ht="18" x14ac:dyDescent="0.25">
      <c r="A288" s="2426">
        <v>3419</v>
      </c>
      <c r="B288" s="2427">
        <v>5321</v>
      </c>
      <c r="C288" s="2367" t="s">
        <v>1097</v>
      </c>
      <c r="D288" s="644" t="s">
        <v>566</v>
      </c>
      <c r="E288" s="310">
        <v>0</v>
      </c>
      <c r="F288" s="310">
        <v>1000</v>
      </c>
      <c r="G288" s="310">
        <v>1000</v>
      </c>
      <c r="H288" s="1651">
        <f t="shared" si="61"/>
        <v>100</v>
      </c>
      <c r="J288" s="484"/>
      <c r="K288" s="484"/>
      <c r="L288" s="2443">
        <v>1000000</v>
      </c>
      <c r="M288" s="2443">
        <v>1000000</v>
      </c>
    </row>
    <row r="289" spans="1:13" s="730" customFormat="1" ht="18" x14ac:dyDescent="0.25">
      <c r="A289" s="2426">
        <v>3419</v>
      </c>
      <c r="B289" s="2427">
        <v>5493</v>
      </c>
      <c r="C289" s="2367" t="s">
        <v>1097</v>
      </c>
      <c r="D289" s="2419" t="s">
        <v>1651</v>
      </c>
      <c r="E289" s="310">
        <v>0</v>
      </c>
      <c r="F289" s="310">
        <v>1608</v>
      </c>
      <c r="G289" s="310">
        <v>1578</v>
      </c>
      <c r="H289" s="1652">
        <f t="shared" si="61"/>
        <v>98.134328358208961</v>
      </c>
      <c r="J289" s="484"/>
      <c r="K289" s="484"/>
      <c r="L289" s="2443">
        <v>1608000</v>
      </c>
      <c r="M289" s="2443">
        <v>1578000</v>
      </c>
    </row>
    <row r="290" spans="1:13" s="730" customFormat="1" ht="18" x14ac:dyDescent="0.25">
      <c r="A290" s="2426">
        <v>3419</v>
      </c>
      <c r="B290" s="2427">
        <v>6322</v>
      </c>
      <c r="C290" s="2367" t="s">
        <v>1097</v>
      </c>
      <c r="D290" s="371" t="s">
        <v>1652</v>
      </c>
      <c r="E290" s="310">
        <v>0</v>
      </c>
      <c r="F290" s="310">
        <v>20700</v>
      </c>
      <c r="G290" s="310">
        <v>18500</v>
      </c>
      <c r="H290" s="2365">
        <f>(G290/F290)*100</f>
        <v>89.371980676328505</v>
      </c>
      <c r="J290" s="484"/>
      <c r="K290" s="484"/>
      <c r="L290" s="2443">
        <v>20700000</v>
      </c>
      <c r="M290" s="2443">
        <v>18500000</v>
      </c>
    </row>
    <row r="291" spans="1:13" s="730" customFormat="1" ht="18" x14ac:dyDescent="0.25">
      <c r="A291" s="2426">
        <v>3419</v>
      </c>
      <c r="B291" s="2427">
        <v>6341</v>
      </c>
      <c r="C291" s="2367" t="s">
        <v>1097</v>
      </c>
      <c r="D291" s="2449" t="s">
        <v>136</v>
      </c>
      <c r="E291" s="310">
        <v>0</v>
      </c>
      <c r="F291" s="310">
        <v>15900</v>
      </c>
      <c r="G291" s="310">
        <v>14900</v>
      </c>
      <c r="H291" s="2365">
        <f>(G291/F291)*100</f>
        <v>93.710691823899367</v>
      </c>
      <c r="J291" s="484"/>
      <c r="K291" s="484"/>
      <c r="L291" s="2443">
        <v>15900000</v>
      </c>
      <c r="M291" s="2443">
        <v>14900000</v>
      </c>
    </row>
    <row r="292" spans="1:13" s="730" customFormat="1" ht="18" x14ac:dyDescent="0.25">
      <c r="A292" s="2426">
        <v>3429</v>
      </c>
      <c r="B292" s="2427">
        <v>5213</v>
      </c>
      <c r="C292" s="2367" t="s">
        <v>1097</v>
      </c>
      <c r="D292" s="2417" t="s">
        <v>1245</v>
      </c>
      <c r="E292" s="310">
        <v>0</v>
      </c>
      <c r="F292" s="310">
        <v>650</v>
      </c>
      <c r="G292" s="310">
        <v>650</v>
      </c>
      <c r="H292" s="1651">
        <f t="shared" si="61"/>
        <v>100</v>
      </c>
      <c r="J292" s="484"/>
      <c r="K292" s="484"/>
      <c r="L292" s="2443">
        <v>650000</v>
      </c>
      <c r="M292" s="2443">
        <v>650000</v>
      </c>
    </row>
    <row r="293" spans="1:13" s="730" customFormat="1" ht="18" x14ac:dyDescent="0.25">
      <c r="A293" s="2426">
        <v>3429</v>
      </c>
      <c r="B293" s="2427">
        <v>5221</v>
      </c>
      <c r="C293" s="2367" t="s">
        <v>1097</v>
      </c>
      <c r="D293" s="2417" t="s">
        <v>1247</v>
      </c>
      <c r="E293" s="310">
        <v>0</v>
      </c>
      <c r="F293" s="310">
        <v>30</v>
      </c>
      <c r="G293" s="310">
        <v>30</v>
      </c>
      <c r="H293" s="1651">
        <f t="shared" si="61"/>
        <v>100</v>
      </c>
      <c r="J293" s="484"/>
      <c r="K293" s="484"/>
      <c r="L293" s="2443">
        <v>30000</v>
      </c>
      <c r="M293" s="2443">
        <v>30000</v>
      </c>
    </row>
    <row r="294" spans="1:13" s="730" customFormat="1" ht="18" x14ac:dyDescent="0.25">
      <c r="A294" s="2426">
        <v>3429</v>
      </c>
      <c r="B294" s="2427">
        <v>5222</v>
      </c>
      <c r="C294" s="2367" t="s">
        <v>1097</v>
      </c>
      <c r="D294" s="2418" t="s">
        <v>800</v>
      </c>
      <c r="E294" s="310">
        <v>0</v>
      </c>
      <c r="F294" s="310">
        <v>605</v>
      </c>
      <c r="G294" s="310">
        <v>455</v>
      </c>
      <c r="H294" s="1651">
        <f>(G294/F294)*100</f>
        <v>75.206611570247944</v>
      </c>
      <c r="J294" s="484"/>
      <c r="K294" s="484"/>
      <c r="L294" s="2443">
        <v>605000</v>
      </c>
      <c r="M294" s="2443">
        <v>455000</v>
      </c>
    </row>
    <row r="295" spans="1:13" s="730" customFormat="1" ht="18" x14ac:dyDescent="0.25">
      <c r="A295" s="2426">
        <v>3429</v>
      </c>
      <c r="B295" s="2427">
        <v>5321</v>
      </c>
      <c r="C295" s="2367" t="s">
        <v>1097</v>
      </c>
      <c r="D295" s="644" t="s">
        <v>566</v>
      </c>
      <c r="E295" s="310">
        <v>0</v>
      </c>
      <c r="F295" s="310">
        <v>400</v>
      </c>
      <c r="G295" s="310">
        <v>400</v>
      </c>
      <c r="H295" s="1651">
        <f t="shared" ref="H295:H297" si="62">(G295/F295)*100</f>
        <v>100</v>
      </c>
      <c r="J295" s="484"/>
      <c r="K295" s="484"/>
      <c r="L295" s="2443">
        <v>400000</v>
      </c>
      <c r="M295" s="2443">
        <v>400000</v>
      </c>
    </row>
    <row r="296" spans="1:13" s="730" customFormat="1" ht="18" x14ac:dyDescent="0.25">
      <c r="A296" s="2426">
        <v>3429</v>
      </c>
      <c r="B296" s="2427">
        <v>6313</v>
      </c>
      <c r="C296" s="2367" t="s">
        <v>1097</v>
      </c>
      <c r="D296" s="2422" t="s">
        <v>1909</v>
      </c>
      <c r="E296" s="310">
        <v>0</v>
      </c>
      <c r="F296" s="310">
        <v>135</v>
      </c>
      <c r="G296" s="310">
        <v>135</v>
      </c>
      <c r="H296" s="1651">
        <f t="shared" si="62"/>
        <v>100</v>
      </c>
      <c r="J296" s="484"/>
      <c r="K296" s="484"/>
      <c r="L296" s="2443">
        <v>135000</v>
      </c>
      <c r="M296" s="2443">
        <v>135000</v>
      </c>
    </row>
    <row r="297" spans="1:13" s="730" customFormat="1" ht="18" x14ac:dyDescent="0.25">
      <c r="A297" s="2426">
        <v>3429</v>
      </c>
      <c r="B297" s="2427">
        <v>6322</v>
      </c>
      <c r="C297" s="2367" t="s">
        <v>1097</v>
      </c>
      <c r="D297" s="371" t="s">
        <v>1630</v>
      </c>
      <c r="E297" s="310">
        <v>0</v>
      </c>
      <c r="F297" s="310">
        <v>319</v>
      </c>
      <c r="G297" s="310">
        <v>319</v>
      </c>
      <c r="H297" s="1651">
        <f t="shared" si="62"/>
        <v>100</v>
      </c>
      <c r="J297" s="484"/>
      <c r="K297" s="484"/>
      <c r="L297" s="2443">
        <v>319000</v>
      </c>
      <c r="M297" s="2443">
        <v>319000</v>
      </c>
    </row>
    <row r="298" spans="1:13" s="730" customFormat="1" ht="18" x14ac:dyDescent="0.25">
      <c r="A298" s="2426">
        <v>3429</v>
      </c>
      <c r="B298" s="2427">
        <v>6341</v>
      </c>
      <c r="C298" s="2367" t="s">
        <v>1097</v>
      </c>
      <c r="D298" s="2449" t="s">
        <v>136</v>
      </c>
      <c r="E298" s="310">
        <v>0</v>
      </c>
      <c r="F298" s="310">
        <v>2030</v>
      </c>
      <c r="G298" s="310">
        <v>2030</v>
      </c>
      <c r="H298" s="2365">
        <f t="shared" ref="H298:H301" si="63">(G298/F298)*100</f>
        <v>100</v>
      </c>
      <c r="J298" s="484"/>
      <c r="K298" s="484"/>
      <c r="L298" s="2443">
        <v>2030000</v>
      </c>
      <c r="M298" s="2443">
        <v>2030000</v>
      </c>
    </row>
    <row r="299" spans="1:13" s="730" customFormat="1" ht="30" x14ac:dyDescent="0.25">
      <c r="A299" s="2440">
        <v>3429</v>
      </c>
      <c r="B299" s="2983">
        <v>6371</v>
      </c>
      <c r="C299" s="2321" t="s">
        <v>1097</v>
      </c>
      <c r="D299" s="2905" t="s">
        <v>1499</v>
      </c>
      <c r="E299" s="429">
        <v>0</v>
      </c>
      <c r="F299" s="429">
        <v>150</v>
      </c>
      <c r="G299" s="429">
        <v>150</v>
      </c>
      <c r="H299" s="2982">
        <f t="shared" si="63"/>
        <v>100</v>
      </c>
      <c r="J299" s="484"/>
      <c r="K299" s="484"/>
      <c r="L299" s="2443">
        <v>150000</v>
      </c>
      <c r="M299" s="2443">
        <v>150000</v>
      </c>
    </row>
    <row r="300" spans="1:13" s="730" customFormat="1" ht="18" x14ac:dyDescent="0.25">
      <c r="A300" s="2426">
        <v>3543</v>
      </c>
      <c r="B300" s="2427">
        <v>5493</v>
      </c>
      <c r="C300" s="2367" t="s">
        <v>1097</v>
      </c>
      <c r="D300" s="2419" t="s">
        <v>1651</v>
      </c>
      <c r="E300" s="310">
        <v>0</v>
      </c>
      <c r="F300" s="310">
        <v>10</v>
      </c>
      <c r="G300" s="310">
        <v>10</v>
      </c>
      <c r="H300" s="2365">
        <f t="shared" si="63"/>
        <v>100</v>
      </c>
      <c r="J300" s="484"/>
      <c r="K300" s="484"/>
      <c r="L300" s="2443">
        <v>10000</v>
      </c>
      <c r="M300" s="2443">
        <v>10000</v>
      </c>
    </row>
    <row r="301" spans="1:13" s="730" customFormat="1" ht="18.75" thickBot="1" x14ac:dyDescent="0.3">
      <c r="A301" s="2428">
        <v>5512</v>
      </c>
      <c r="B301" s="2429">
        <v>6322</v>
      </c>
      <c r="C301" s="2368" t="s">
        <v>1097</v>
      </c>
      <c r="D301" s="371" t="s">
        <v>1630</v>
      </c>
      <c r="E301" s="426">
        <v>0</v>
      </c>
      <c r="F301" s="426">
        <v>500</v>
      </c>
      <c r="G301" s="426">
        <v>500</v>
      </c>
      <c r="H301" s="2366">
        <f t="shared" si="63"/>
        <v>100</v>
      </c>
      <c r="J301" s="484"/>
      <c r="K301" s="484"/>
      <c r="L301" s="2443">
        <v>500000</v>
      </c>
      <c r="M301" s="2443">
        <v>500000</v>
      </c>
    </row>
    <row r="302" spans="1:13" s="730" customFormat="1" ht="19.5" thickTop="1" thickBot="1" x14ac:dyDescent="0.3">
      <c r="A302" s="578" t="s">
        <v>1167</v>
      </c>
      <c r="B302" s="744"/>
      <c r="C302" s="580"/>
      <c r="D302" s="581"/>
      <c r="E302" s="582">
        <f>SUM(E250:E301)</f>
        <v>0</v>
      </c>
      <c r="F302" s="582">
        <f>SUM(F250:F301)</f>
        <v>106205</v>
      </c>
      <c r="G302" s="582">
        <f t="shared" ref="G302" si="64">SUM(G250:G301)</f>
        <v>102825</v>
      </c>
      <c r="H302" s="783">
        <f>(G302/F302)*100</f>
        <v>96.817475636740269</v>
      </c>
      <c r="J302" s="484"/>
      <c r="K302" s="510"/>
      <c r="L302" s="510">
        <f>SUM(L250:L301)</f>
        <v>106205047</v>
      </c>
      <c r="M302" s="510">
        <f>SUM(M250:M301)</f>
        <v>102825047</v>
      </c>
    </row>
    <row r="303" spans="1:13" s="730" customFormat="1" ht="18.75" thickTop="1" x14ac:dyDescent="0.25">
      <c r="A303" s="353"/>
      <c r="B303" s="2351"/>
      <c r="C303" s="57"/>
      <c r="D303" s="354"/>
      <c r="E303" s="17"/>
      <c r="F303" s="17"/>
      <c r="G303" s="17"/>
      <c r="H303" s="2352"/>
      <c r="J303" s="484"/>
      <c r="K303" s="484"/>
      <c r="L303" s="2443"/>
      <c r="M303" s="2443"/>
    </row>
    <row r="304" spans="1:13" s="730" customFormat="1" ht="18" x14ac:dyDescent="0.25">
      <c r="A304" s="3182" t="s">
        <v>1164</v>
      </c>
      <c r="B304" s="3182"/>
      <c r="C304" s="3182"/>
      <c r="D304" s="3182"/>
      <c r="E304" s="3182"/>
      <c r="F304" s="3182"/>
      <c r="G304" s="3182"/>
      <c r="H304" s="3182"/>
      <c r="J304" s="484"/>
      <c r="K304" s="484"/>
      <c r="L304" s="2443"/>
      <c r="M304" s="2443"/>
    </row>
    <row r="305" spans="1:13" s="730" customFormat="1" ht="14.25" customHeight="1" thickBot="1" x14ac:dyDescent="0.3">
      <c r="A305" s="33"/>
      <c r="B305" s="570"/>
      <c r="C305" s="571"/>
      <c r="D305" s="372"/>
      <c r="E305" s="373"/>
      <c r="F305" s="560"/>
      <c r="G305" s="373"/>
      <c r="H305" s="1568" t="s">
        <v>92</v>
      </c>
      <c r="J305" s="484"/>
      <c r="K305" s="484"/>
      <c r="L305" s="2443"/>
      <c r="M305" s="2443"/>
    </row>
    <row r="306" spans="1:13" s="730" customFormat="1" ht="19.5" thickTop="1" thickBot="1" x14ac:dyDescent="0.3">
      <c r="A306" s="572" t="s">
        <v>93</v>
      </c>
      <c r="B306" s="573" t="s">
        <v>94</v>
      </c>
      <c r="C306" s="575" t="s">
        <v>364</v>
      </c>
      <c r="D306" s="639" t="s">
        <v>95</v>
      </c>
      <c r="E306" s="639" t="s">
        <v>328</v>
      </c>
      <c r="F306" s="639" t="s">
        <v>329</v>
      </c>
      <c r="G306" s="639" t="s">
        <v>448</v>
      </c>
      <c r="H306" s="576" t="s">
        <v>449</v>
      </c>
      <c r="J306" s="484"/>
      <c r="K306" s="484"/>
      <c r="L306" s="2443"/>
      <c r="M306" s="2443"/>
    </row>
    <row r="307" spans="1:13" s="730" customFormat="1" ht="19.5" thickTop="1" thickBot="1" x14ac:dyDescent="0.3">
      <c r="A307" s="511">
        <v>1</v>
      </c>
      <c r="B307" s="512">
        <v>2</v>
      </c>
      <c r="C307" s="512">
        <v>3</v>
      </c>
      <c r="D307" s="512">
        <v>4</v>
      </c>
      <c r="E307" s="512">
        <v>5</v>
      </c>
      <c r="F307" s="499">
        <v>6</v>
      </c>
      <c r="G307" s="499">
        <v>7</v>
      </c>
      <c r="H307" s="577" t="s">
        <v>33</v>
      </c>
      <c r="J307" s="484"/>
      <c r="K307" s="484"/>
      <c r="L307" s="2443"/>
      <c r="M307" s="2443"/>
    </row>
    <row r="308" spans="1:13" s="730" customFormat="1" ht="19.5" thickTop="1" thickBot="1" x14ac:dyDescent="0.3">
      <c r="A308" s="2820">
        <v>3299</v>
      </c>
      <c r="B308" s="2374">
        <v>5622</v>
      </c>
      <c r="C308" s="2367" t="s">
        <v>1113</v>
      </c>
      <c r="D308" s="2821" t="s">
        <v>1129</v>
      </c>
      <c r="E308" s="2822">
        <v>0</v>
      </c>
      <c r="F308" s="2822">
        <v>6000</v>
      </c>
      <c r="G308" s="2822">
        <v>6000</v>
      </c>
      <c r="H308" s="2823">
        <f t="shared" ref="H308" si="65">(G308/F308)*100</f>
        <v>100</v>
      </c>
      <c r="J308" s="484"/>
      <c r="K308" s="2443"/>
      <c r="L308" s="2443">
        <v>6000000</v>
      </c>
      <c r="M308" s="2443">
        <v>6000000</v>
      </c>
    </row>
    <row r="309" spans="1:13" s="730" customFormat="1" ht="19.5" thickTop="1" thickBot="1" x14ac:dyDescent="0.3">
      <c r="A309" s="578" t="s">
        <v>1170</v>
      </c>
      <c r="B309" s="744"/>
      <c r="C309" s="580"/>
      <c r="D309" s="581"/>
      <c r="E309" s="582">
        <f>SUM(E308:E308)</f>
        <v>0</v>
      </c>
      <c r="F309" s="582">
        <f t="shared" ref="F309:G309" si="66">SUM(F308:F308)</f>
        <v>6000</v>
      </c>
      <c r="G309" s="582">
        <f t="shared" si="66"/>
        <v>6000</v>
      </c>
      <c r="H309" s="783">
        <f>(G309/F309)*100</f>
        <v>100</v>
      </c>
      <c r="J309" s="484"/>
      <c r="K309" s="510"/>
      <c r="L309" s="510">
        <f t="shared" ref="L309:M309" si="67">SUM(L308:L308)</f>
        <v>6000000</v>
      </c>
      <c r="M309" s="510">
        <f t="shared" si="67"/>
        <v>6000000</v>
      </c>
    </row>
    <row r="310" spans="1:13" s="730" customFormat="1" ht="18.75" thickTop="1" x14ac:dyDescent="0.25">
      <c r="A310" s="2232"/>
      <c r="B310" s="2233"/>
      <c r="C310" s="2234"/>
      <c r="D310" s="2233"/>
      <c r="E310" s="2235"/>
      <c r="F310" s="2236"/>
      <c r="G310" s="2236"/>
      <c r="H310" s="2237"/>
      <c r="J310" s="484"/>
      <c r="K310" s="484"/>
      <c r="L310" s="2443"/>
      <c r="M310" s="2443"/>
    </row>
    <row r="311" spans="1:13" s="730" customFormat="1" ht="18" x14ac:dyDescent="0.25">
      <c r="A311" s="3182" t="s">
        <v>1208</v>
      </c>
      <c r="B311" s="3182"/>
      <c r="C311" s="3182"/>
      <c r="D311" s="3182"/>
      <c r="E311" s="3182"/>
      <c r="F311" s="3182"/>
      <c r="G311" s="3182"/>
      <c r="H311" s="3182"/>
      <c r="J311" s="484"/>
      <c r="K311" s="484"/>
      <c r="L311" s="2443"/>
      <c r="M311" s="2443"/>
    </row>
    <row r="312" spans="1:13" s="730" customFormat="1" ht="11.25" customHeight="1" thickBot="1" x14ac:dyDescent="0.3">
      <c r="A312" s="33"/>
      <c r="B312" s="570"/>
      <c r="C312" s="571"/>
      <c r="D312" s="372"/>
      <c r="E312" s="373"/>
      <c r="F312" s="560"/>
      <c r="G312" s="373"/>
      <c r="H312" s="1568" t="s">
        <v>92</v>
      </c>
      <c r="J312" s="484"/>
      <c r="K312" s="484"/>
      <c r="L312" s="2443"/>
      <c r="M312" s="2443"/>
    </row>
    <row r="313" spans="1:13" s="730" customFormat="1" ht="19.5" thickTop="1" thickBot="1" x14ac:dyDescent="0.3">
      <c r="A313" s="572" t="s">
        <v>93</v>
      </c>
      <c r="B313" s="573" t="s">
        <v>94</v>
      </c>
      <c r="C313" s="575" t="s">
        <v>364</v>
      </c>
      <c r="D313" s="639" t="s">
        <v>95</v>
      </c>
      <c r="E313" s="639" t="s">
        <v>328</v>
      </c>
      <c r="F313" s="639" t="s">
        <v>329</v>
      </c>
      <c r="G313" s="639" t="s">
        <v>448</v>
      </c>
      <c r="H313" s="576" t="s">
        <v>449</v>
      </c>
      <c r="J313" s="484"/>
      <c r="K313" s="484"/>
      <c r="L313" s="2443"/>
      <c r="M313" s="2443"/>
    </row>
    <row r="314" spans="1:13" s="730" customFormat="1" ht="19.5" thickTop="1" thickBot="1" x14ac:dyDescent="0.3">
      <c r="A314" s="511">
        <v>1</v>
      </c>
      <c r="B314" s="512">
        <v>2</v>
      </c>
      <c r="C314" s="512">
        <v>3</v>
      </c>
      <c r="D314" s="512">
        <v>4</v>
      </c>
      <c r="E314" s="512">
        <v>5</v>
      </c>
      <c r="F314" s="499">
        <v>6</v>
      </c>
      <c r="G314" s="499">
        <v>7</v>
      </c>
      <c r="H314" s="577" t="s">
        <v>33</v>
      </c>
      <c r="J314" s="484"/>
      <c r="K314" s="484"/>
      <c r="L314" s="2443"/>
      <c r="M314" s="2443"/>
    </row>
    <row r="315" spans="1:13" s="730" customFormat="1" ht="18.75" thickTop="1" x14ac:dyDescent="0.25">
      <c r="A315" s="2430">
        <v>3299</v>
      </c>
      <c r="B315" s="2427">
        <v>5221</v>
      </c>
      <c r="C315" s="2432" t="s">
        <v>1148</v>
      </c>
      <c r="D315" s="1653" t="s">
        <v>1247</v>
      </c>
      <c r="E315" s="428">
        <v>10500</v>
      </c>
      <c r="F315" s="428">
        <v>7000</v>
      </c>
      <c r="G315" s="428">
        <v>7000</v>
      </c>
      <c r="H315" s="1652">
        <f>(G315/F315)*100</f>
        <v>100</v>
      </c>
      <c r="J315" s="484"/>
      <c r="K315" s="2443">
        <v>10500000</v>
      </c>
      <c r="L315" s="2443">
        <v>7000000</v>
      </c>
      <c r="M315" s="2443">
        <v>7000000</v>
      </c>
    </row>
    <row r="316" spans="1:13" s="730" customFormat="1" ht="18.75" thickBot="1" x14ac:dyDescent="0.3">
      <c r="A316" s="2430">
        <v>3299</v>
      </c>
      <c r="B316" s="2427">
        <v>5332</v>
      </c>
      <c r="C316" s="2432" t="s">
        <v>1148</v>
      </c>
      <c r="D316" s="2422" t="s">
        <v>1123</v>
      </c>
      <c r="E316" s="428">
        <v>0</v>
      </c>
      <c r="F316" s="310">
        <v>3500</v>
      </c>
      <c r="G316" s="310">
        <v>3500</v>
      </c>
      <c r="H316" s="1651">
        <f>(G316/F316)*100</f>
        <v>100</v>
      </c>
      <c r="J316" s="484"/>
      <c r="K316" s="2443"/>
      <c r="L316" s="2443">
        <v>3500000</v>
      </c>
      <c r="M316" s="2443">
        <v>3500000</v>
      </c>
    </row>
    <row r="317" spans="1:13" s="730" customFormat="1" ht="19.5" thickTop="1" thickBot="1" x14ac:dyDescent="0.3">
      <c r="A317" s="578" t="s">
        <v>1207</v>
      </c>
      <c r="B317" s="744"/>
      <c r="C317" s="580"/>
      <c r="D317" s="581"/>
      <c r="E317" s="582">
        <f>SUM(E315:E316)</f>
        <v>10500</v>
      </c>
      <c r="F317" s="582">
        <f t="shared" ref="F317:G317" si="68">SUM(F315:F316)</f>
        <v>10500</v>
      </c>
      <c r="G317" s="582">
        <f t="shared" si="68"/>
        <v>10500</v>
      </c>
      <c r="H317" s="783">
        <f>(G317/F317)*100</f>
        <v>100</v>
      </c>
      <c r="J317" s="484"/>
      <c r="K317" s="510">
        <f>SUM(K315:K316)</f>
        <v>10500000</v>
      </c>
      <c r="L317" s="510">
        <f t="shared" ref="L317:M317" si="69">SUM(L315:L316)</f>
        <v>10500000</v>
      </c>
      <c r="M317" s="510">
        <f t="shared" si="69"/>
        <v>10500000</v>
      </c>
    </row>
    <row r="318" spans="1:13" s="730" customFormat="1" ht="18.75" thickTop="1" x14ac:dyDescent="0.25">
      <c r="A318" s="2232"/>
      <c r="B318" s="2233"/>
      <c r="C318" s="2234"/>
      <c r="D318" s="2233"/>
      <c r="E318" s="2235"/>
      <c r="F318" s="2236"/>
      <c r="G318" s="2236"/>
      <c r="H318" s="2237"/>
      <c r="J318" s="484"/>
      <c r="K318" s="484"/>
      <c r="L318" s="2443"/>
      <c r="M318" s="2443"/>
    </row>
    <row r="319" spans="1:13" s="730" customFormat="1" ht="18" x14ac:dyDescent="0.25">
      <c r="A319" s="3182" t="s">
        <v>1209</v>
      </c>
      <c r="B319" s="3182"/>
      <c r="C319" s="3182"/>
      <c r="D319" s="3182"/>
      <c r="E319" s="3182"/>
      <c r="F319" s="3182"/>
      <c r="G319" s="3182"/>
      <c r="H319" s="3182"/>
      <c r="J319" s="484"/>
      <c r="K319" s="484"/>
      <c r="L319" s="2443"/>
      <c r="M319" s="2443"/>
    </row>
    <row r="320" spans="1:13" s="730" customFormat="1" ht="13.5" customHeight="1" thickBot="1" x14ac:dyDescent="0.3">
      <c r="A320" s="33"/>
      <c r="B320" s="570"/>
      <c r="C320" s="571"/>
      <c r="D320" s="372"/>
      <c r="E320" s="373"/>
      <c r="F320" s="560"/>
      <c r="G320" s="373"/>
      <c r="H320" s="1568" t="s">
        <v>92</v>
      </c>
      <c r="J320" s="484"/>
      <c r="K320" s="484"/>
      <c r="L320" s="2443"/>
      <c r="M320" s="2443"/>
    </row>
    <row r="321" spans="1:13" s="730" customFormat="1" ht="19.5" thickTop="1" thickBot="1" x14ac:dyDescent="0.3">
      <c r="A321" s="572" t="s">
        <v>93</v>
      </c>
      <c r="B321" s="573" t="s">
        <v>94</v>
      </c>
      <c r="C321" s="575" t="s">
        <v>364</v>
      </c>
      <c r="D321" s="639" t="s">
        <v>95</v>
      </c>
      <c r="E321" s="639" t="s">
        <v>328</v>
      </c>
      <c r="F321" s="639" t="s">
        <v>329</v>
      </c>
      <c r="G321" s="639" t="s">
        <v>448</v>
      </c>
      <c r="H321" s="576" t="s">
        <v>449</v>
      </c>
      <c r="J321" s="484"/>
      <c r="K321" s="484"/>
      <c r="L321" s="2443"/>
      <c r="M321" s="2443"/>
    </row>
    <row r="322" spans="1:13" s="730" customFormat="1" ht="19.5" thickTop="1" thickBot="1" x14ac:dyDescent="0.3">
      <c r="A322" s="511">
        <v>1</v>
      </c>
      <c r="B322" s="512">
        <v>2</v>
      </c>
      <c r="C322" s="512">
        <v>3</v>
      </c>
      <c r="D322" s="512">
        <v>4</v>
      </c>
      <c r="E322" s="512">
        <v>5</v>
      </c>
      <c r="F322" s="499">
        <v>6</v>
      </c>
      <c r="G322" s="499">
        <v>7</v>
      </c>
      <c r="H322" s="577" t="s">
        <v>33</v>
      </c>
      <c r="J322" s="484"/>
      <c r="K322" s="484"/>
      <c r="L322" s="2443"/>
      <c r="M322" s="2443"/>
    </row>
    <row r="323" spans="1:13" s="730" customFormat="1" ht="19.5" thickTop="1" thickBot="1" x14ac:dyDescent="0.3">
      <c r="A323" s="2430">
        <v>3299</v>
      </c>
      <c r="B323" s="2374">
        <v>5493</v>
      </c>
      <c r="C323" s="2367" t="s">
        <v>1149</v>
      </c>
      <c r="D323" s="2419" t="s">
        <v>1651</v>
      </c>
      <c r="E323" s="428">
        <v>700</v>
      </c>
      <c r="F323" s="428">
        <v>700</v>
      </c>
      <c r="G323" s="428">
        <v>311</v>
      </c>
      <c r="H323" s="1652">
        <f t="shared" ref="H323" si="70">(G323/F323)*100</f>
        <v>44.428571428571431</v>
      </c>
      <c r="J323" s="484"/>
      <c r="K323" s="2443">
        <v>700000</v>
      </c>
      <c r="L323" s="2443">
        <v>700000</v>
      </c>
      <c r="M323" s="2443">
        <v>310677.73</v>
      </c>
    </row>
    <row r="324" spans="1:13" s="730" customFormat="1" ht="19.5" thickTop="1" thickBot="1" x14ac:dyDescent="0.3">
      <c r="A324" s="578" t="s">
        <v>1210</v>
      </c>
      <c r="B324" s="744"/>
      <c r="C324" s="580"/>
      <c r="D324" s="581"/>
      <c r="E324" s="582">
        <f>SUM(E323:E323)</f>
        <v>700</v>
      </c>
      <c r="F324" s="582">
        <f>SUM(F323:F323)</f>
        <v>700</v>
      </c>
      <c r="G324" s="582">
        <f>SUM(G323:G323)</f>
        <v>311</v>
      </c>
      <c r="H324" s="783">
        <f>(G324/F324)*100</f>
        <v>44.428571428571431</v>
      </c>
      <c r="J324" s="484"/>
      <c r="K324" s="510">
        <f>K323</f>
        <v>700000</v>
      </c>
      <c r="L324" s="510">
        <f t="shared" ref="L324:M324" si="71">L323</f>
        <v>700000</v>
      </c>
      <c r="M324" s="510">
        <f t="shared" si="71"/>
        <v>310677.73</v>
      </c>
    </row>
    <row r="325" spans="1:13" s="730" customFormat="1" ht="18.75" thickTop="1" x14ac:dyDescent="0.25">
      <c r="A325" s="2232"/>
      <c r="B325" s="2233"/>
      <c r="C325" s="2234"/>
      <c r="D325" s="2233"/>
      <c r="E325" s="2235"/>
      <c r="F325" s="2236"/>
      <c r="G325" s="2236"/>
      <c r="H325" s="2237"/>
      <c r="J325" s="484"/>
      <c r="K325" s="484"/>
      <c r="L325" s="2443"/>
      <c r="M325" s="2443"/>
    </row>
    <row r="326" spans="1:13" s="730" customFormat="1" ht="18" x14ac:dyDescent="0.25">
      <c r="A326" s="3182" t="s">
        <v>1211</v>
      </c>
      <c r="B326" s="3182"/>
      <c r="C326" s="3182"/>
      <c r="D326" s="3182"/>
      <c r="E326" s="3182"/>
      <c r="F326" s="3182"/>
      <c r="G326" s="3182"/>
      <c r="H326" s="3182"/>
      <c r="J326" s="484"/>
      <c r="K326" s="484"/>
      <c r="L326" s="2443"/>
      <c r="M326" s="2443"/>
    </row>
    <row r="327" spans="1:13" s="730" customFormat="1" ht="12.75" customHeight="1" thickBot="1" x14ac:dyDescent="0.3">
      <c r="A327" s="33"/>
      <c r="B327" s="570"/>
      <c r="C327" s="571"/>
      <c r="D327" s="372"/>
      <c r="E327" s="373"/>
      <c r="F327" s="560"/>
      <c r="G327" s="373"/>
      <c r="H327" s="1568" t="s">
        <v>92</v>
      </c>
      <c r="J327" s="484"/>
      <c r="K327" s="484"/>
      <c r="L327" s="2443"/>
      <c r="M327" s="2443"/>
    </row>
    <row r="328" spans="1:13" s="730" customFormat="1" ht="19.5" thickTop="1" thickBot="1" x14ac:dyDescent="0.3">
      <c r="A328" s="572" t="s">
        <v>93</v>
      </c>
      <c r="B328" s="573" t="s">
        <v>94</v>
      </c>
      <c r="C328" s="575" t="s">
        <v>364</v>
      </c>
      <c r="D328" s="639" t="s">
        <v>95</v>
      </c>
      <c r="E328" s="639" t="s">
        <v>328</v>
      </c>
      <c r="F328" s="639" t="s">
        <v>329</v>
      </c>
      <c r="G328" s="639" t="s">
        <v>448</v>
      </c>
      <c r="H328" s="576" t="s">
        <v>449</v>
      </c>
      <c r="J328" s="484"/>
      <c r="K328" s="484"/>
      <c r="L328" s="2443"/>
      <c r="M328" s="2443"/>
    </row>
    <row r="329" spans="1:13" s="730" customFormat="1" ht="19.5" thickTop="1" thickBot="1" x14ac:dyDescent="0.3">
      <c r="A329" s="511">
        <v>1</v>
      </c>
      <c r="B329" s="512">
        <v>2</v>
      </c>
      <c r="C329" s="512">
        <v>3</v>
      </c>
      <c r="D329" s="512">
        <v>4</v>
      </c>
      <c r="E329" s="512">
        <v>5</v>
      </c>
      <c r="F329" s="499">
        <v>6</v>
      </c>
      <c r="G329" s="499">
        <v>7</v>
      </c>
      <c r="H329" s="577" t="s">
        <v>33</v>
      </c>
      <c r="J329" s="484"/>
      <c r="K329" s="484"/>
      <c r="L329" s="2443"/>
      <c r="M329" s="2443"/>
    </row>
    <row r="330" spans="1:13" s="730" customFormat="1" ht="18.75" thickTop="1" x14ac:dyDescent="0.25">
      <c r="A330" s="2424">
        <v>3419</v>
      </c>
      <c r="B330" s="2377">
        <v>5213</v>
      </c>
      <c r="C330" s="2369" t="s">
        <v>973</v>
      </c>
      <c r="D330" s="2417" t="s">
        <v>1245</v>
      </c>
      <c r="E330" s="431">
        <v>0</v>
      </c>
      <c r="F330" s="431">
        <v>2360</v>
      </c>
      <c r="G330" s="431">
        <v>2360</v>
      </c>
      <c r="H330" s="2370">
        <f t="shared" ref="H330:H331" si="72">(G330/F330)*100</f>
        <v>100</v>
      </c>
      <c r="J330" s="484"/>
      <c r="K330" s="2443"/>
      <c r="L330" s="2443">
        <v>2360000</v>
      </c>
      <c r="M330" s="2443">
        <v>2360000</v>
      </c>
    </row>
    <row r="331" spans="1:13" s="730" customFormat="1" ht="18.75" thickBot="1" x14ac:dyDescent="0.3">
      <c r="A331" s="2428">
        <v>3419</v>
      </c>
      <c r="B331" s="2375">
        <v>5222</v>
      </c>
      <c r="C331" s="2368" t="s">
        <v>973</v>
      </c>
      <c r="D331" s="2418" t="s">
        <v>800</v>
      </c>
      <c r="E331" s="1656">
        <v>42500</v>
      </c>
      <c r="F331" s="1656">
        <v>40140</v>
      </c>
      <c r="G331" s="1656">
        <v>38310</v>
      </c>
      <c r="H331" s="2371">
        <f t="shared" si="72"/>
        <v>95.440956651718992</v>
      </c>
      <c r="J331" s="484"/>
      <c r="K331" s="2443">
        <v>42500000</v>
      </c>
      <c r="L331" s="2443">
        <v>40140000</v>
      </c>
      <c r="M331" s="2443">
        <v>38310000</v>
      </c>
    </row>
    <row r="332" spans="1:13" s="730" customFormat="1" ht="19.5" thickTop="1" thickBot="1" x14ac:dyDescent="0.3">
      <c r="A332" s="578" t="s">
        <v>1212</v>
      </c>
      <c r="B332" s="744"/>
      <c r="C332" s="580"/>
      <c r="D332" s="581"/>
      <c r="E332" s="582">
        <f>SUM(E330:E331)</f>
        <v>42500</v>
      </c>
      <c r="F332" s="582">
        <f>SUM(F330:F331)</f>
        <v>42500</v>
      </c>
      <c r="G332" s="582">
        <f>SUM(G330:G331)</f>
        <v>40670</v>
      </c>
      <c r="H332" s="783">
        <f>(G332/F332)*100</f>
        <v>95.694117647058818</v>
      </c>
      <c r="J332" s="484"/>
      <c r="K332" s="510">
        <f>SUM(K330:K331)</f>
        <v>42500000</v>
      </c>
      <c r="L332" s="510">
        <f>SUM(L330:L331)</f>
        <v>42500000</v>
      </c>
      <c r="M332" s="510">
        <f>SUM(M330:M331)</f>
        <v>40670000</v>
      </c>
    </row>
    <row r="333" spans="1:13" s="730" customFormat="1" ht="18.75" thickTop="1" x14ac:dyDescent="0.25">
      <c r="A333" s="353"/>
      <c r="B333" s="2351"/>
      <c r="C333" s="57"/>
      <c r="D333" s="354"/>
      <c r="E333" s="17"/>
      <c r="F333" s="17"/>
      <c r="G333" s="17"/>
      <c r="H333" s="2352"/>
      <c r="J333" s="484"/>
      <c r="K333" s="484"/>
      <c r="L333" s="2443"/>
      <c r="M333" s="2443"/>
    </row>
    <row r="334" spans="1:13" s="730" customFormat="1" ht="18" x14ac:dyDescent="0.25">
      <c r="A334" s="3182" t="s">
        <v>1213</v>
      </c>
      <c r="B334" s="3182"/>
      <c r="C334" s="3182"/>
      <c r="D334" s="3182"/>
      <c r="E334" s="3182"/>
      <c r="F334" s="3182"/>
      <c r="G334" s="3182"/>
      <c r="H334" s="3182"/>
      <c r="J334" s="484"/>
      <c r="K334" s="484"/>
      <c r="L334" s="2443"/>
      <c r="M334" s="2443"/>
    </row>
    <row r="335" spans="1:13" s="730" customFormat="1" ht="13.5" customHeight="1" thickBot="1" x14ac:dyDescent="0.3">
      <c r="A335" s="33"/>
      <c r="B335" s="570"/>
      <c r="C335" s="571"/>
      <c r="D335" s="372"/>
      <c r="E335" s="373"/>
      <c r="F335" s="560"/>
      <c r="G335" s="373"/>
      <c r="H335" s="1568" t="s">
        <v>92</v>
      </c>
      <c r="J335" s="484"/>
      <c r="K335" s="484"/>
      <c r="L335" s="2443"/>
      <c r="M335" s="2443"/>
    </row>
    <row r="336" spans="1:13" s="730" customFormat="1" ht="19.5" thickTop="1" thickBot="1" x14ac:dyDescent="0.3">
      <c r="A336" s="572" t="s">
        <v>93</v>
      </c>
      <c r="B336" s="573" t="s">
        <v>94</v>
      </c>
      <c r="C336" s="575" t="s">
        <v>364</v>
      </c>
      <c r="D336" s="639" t="s">
        <v>95</v>
      </c>
      <c r="E336" s="639" t="s">
        <v>328</v>
      </c>
      <c r="F336" s="639" t="s">
        <v>329</v>
      </c>
      <c r="G336" s="639" t="s">
        <v>448</v>
      </c>
      <c r="H336" s="576" t="s">
        <v>449</v>
      </c>
      <c r="J336" s="484"/>
      <c r="K336" s="484"/>
      <c r="L336" s="2443"/>
      <c r="M336" s="2443"/>
    </row>
    <row r="337" spans="1:13" s="730" customFormat="1" ht="19.5" thickTop="1" thickBot="1" x14ac:dyDescent="0.3">
      <c r="A337" s="511">
        <v>1</v>
      </c>
      <c r="B337" s="512">
        <v>2</v>
      </c>
      <c r="C337" s="512">
        <v>3</v>
      </c>
      <c r="D337" s="512">
        <v>4</v>
      </c>
      <c r="E337" s="512">
        <v>5</v>
      </c>
      <c r="F337" s="499">
        <v>6</v>
      </c>
      <c r="G337" s="499">
        <v>7</v>
      </c>
      <c r="H337" s="577" t="s">
        <v>33</v>
      </c>
      <c r="J337" s="484"/>
      <c r="K337" s="484"/>
      <c r="L337" s="2443"/>
      <c r="M337" s="2443"/>
    </row>
    <row r="338" spans="1:13" s="730" customFormat="1" ht="18.75" thickTop="1" x14ac:dyDescent="0.25">
      <c r="A338" s="2424">
        <v>3419</v>
      </c>
      <c r="B338" s="2377">
        <v>5213</v>
      </c>
      <c r="C338" s="2369" t="s">
        <v>977</v>
      </c>
      <c r="D338" s="2417" t="s">
        <v>1245</v>
      </c>
      <c r="E338" s="431">
        <v>0</v>
      </c>
      <c r="F338" s="431">
        <v>2620</v>
      </c>
      <c r="G338" s="431">
        <v>2620</v>
      </c>
      <c r="H338" s="2370">
        <f t="shared" ref="H338:H341" si="73">(G338/F338)*100</f>
        <v>100</v>
      </c>
      <c r="J338" s="484"/>
      <c r="K338" s="2443"/>
      <c r="L338" s="2443">
        <v>2620000</v>
      </c>
      <c r="M338" s="2443">
        <v>2620000</v>
      </c>
    </row>
    <row r="339" spans="1:13" s="730" customFormat="1" ht="18" x14ac:dyDescent="0.25">
      <c r="A339" s="2426">
        <v>3419</v>
      </c>
      <c r="B339" s="2374">
        <v>5221</v>
      </c>
      <c r="C339" s="2367" t="s">
        <v>977</v>
      </c>
      <c r="D339" s="2417" t="s">
        <v>1247</v>
      </c>
      <c r="E339" s="428">
        <v>0</v>
      </c>
      <c r="F339" s="428">
        <v>1950</v>
      </c>
      <c r="G339" s="428">
        <v>1950</v>
      </c>
      <c r="H339" s="1652">
        <f t="shared" si="73"/>
        <v>100</v>
      </c>
      <c r="J339" s="484"/>
      <c r="K339" s="2443"/>
      <c r="L339" s="2443">
        <v>1950000</v>
      </c>
      <c r="M339" s="2443">
        <v>1950000</v>
      </c>
    </row>
    <row r="340" spans="1:13" s="730" customFormat="1" ht="18" x14ac:dyDescent="0.25">
      <c r="A340" s="2426">
        <v>3419</v>
      </c>
      <c r="B340" s="2374">
        <v>5222</v>
      </c>
      <c r="C340" s="2367" t="s">
        <v>977</v>
      </c>
      <c r="D340" s="2418" t="s">
        <v>800</v>
      </c>
      <c r="E340" s="428">
        <v>8100</v>
      </c>
      <c r="F340" s="428">
        <v>6240</v>
      </c>
      <c r="G340" s="428">
        <v>6205</v>
      </c>
      <c r="H340" s="1652">
        <f t="shared" si="73"/>
        <v>99.439102564102569</v>
      </c>
      <c r="J340" s="484"/>
      <c r="K340" s="2443">
        <v>8100000</v>
      </c>
      <c r="L340" s="2443">
        <v>6240000</v>
      </c>
      <c r="M340" s="2443">
        <v>6205000</v>
      </c>
    </row>
    <row r="341" spans="1:13" s="730" customFormat="1" ht="18.75" thickBot="1" x14ac:dyDescent="0.3">
      <c r="A341" s="2428">
        <v>3419</v>
      </c>
      <c r="B341" s="2375">
        <v>5229</v>
      </c>
      <c r="C341" s="2368" t="s">
        <v>977</v>
      </c>
      <c r="D341" s="2417" t="s">
        <v>1248</v>
      </c>
      <c r="E341" s="1656">
        <v>0</v>
      </c>
      <c r="F341" s="1656">
        <v>25</v>
      </c>
      <c r="G341" s="1656">
        <v>25</v>
      </c>
      <c r="H341" s="2371">
        <f t="shared" si="73"/>
        <v>100</v>
      </c>
      <c r="J341" s="484"/>
      <c r="K341" s="2443"/>
      <c r="L341" s="2443">
        <v>25000</v>
      </c>
      <c r="M341" s="2443">
        <v>25000</v>
      </c>
    </row>
    <row r="342" spans="1:13" s="730" customFormat="1" ht="19.5" thickTop="1" thickBot="1" x14ac:dyDescent="0.3">
      <c r="A342" s="578" t="s">
        <v>1215</v>
      </c>
      <c r="B342" s="744"/>
      <c r="C342" s="580"/>
      <c r="D342" s="581"/>
      <c r="E342" s="582">
        <f>SUM(E338:E341)</f>
        <v>8100</v>
      </c>
      <c r="F342" s="582">
        <f t="shared" ref="F342" si="74">SUM(F338:F341)</f>
        <v>10835</v>
      </c>
      <c r="G342" s="582">
        <f t="shared" ref="G342" si="75">SUM(G338:G341)</f>
        <v>10800</v>
      </c>
      <c r="H342" s="783">
        <f>(G342/F342)*100</f>
        <v>99.676972773419465</v>
      </c>
      <c r="J342" s="484"/>
      <c r="K342" s="510">
        <f>SUM(K338:K341)</f>
        <v>8100000</v>
      </c>
      <c r="L342" s="510">
        <f t="shared" ref="L342:M342" si="76">SUM(L338:L341)</f>
        <v>10835000</v>
      </c>
      <c r="M342" s="510">
        <f t="shared" si="76"/>
        <v>10800000</v>
      </c>
    </row>
    <row r="343" spans="1:13" s="730" customFormat="1" ht="18.75" thickTop="1" x14ac:dyDescent="0.25">
      <c r="A343" s="353"/>
      <c r="B343" s="2351"/>
      <c r="C343" s="57"/>
      <c r="D343" s="354"/>
      <c r="E343" s="17"/>
      <c r="F343" s="17"/>
      <c r="G343" s="17"/>
      <c r="H343" s="2352"/>
      <c r="J343" s="484"/>
      <c r="K343" s="484"/>
      <c r="L343" s="484"/>
    </row>
    <row r="344" spans="1:13" s="730" customFormat="1" ht="18" x14ac:dyDescent="0.25">
      <c r="A344" s="3182" t="s">
        <v>1653</v>
      </c>
      <c r="B344" s="3182"/>
      <c r="C344" s="3182"/>
      <c r="D344" s="3182"/>
      <c r="E344" s="3182"/>
      <c r="F344" s="3182"/>
      <c r="G344" s="3182"/>
      <c r="H344" s="3182"/>
      <c r="J344" s="484"/>
      <c r="K344" s="484"/>
      <c r="L344" s="484"/>
    </row>
    <row r="345" spans="1:13" s="730" customFormat="1" ht="12.75" customHeight="1" thickBot="1" x14ac:dyDescent="0.3">
      <c r="A345" s="33"/>
      <c r="B345" s="570"/>
      <c r="C345" s="571"/>
      <c r="D345" s="372"/>
      <c r="E345" s="373"/>
      <c r="F345" s="560"/>
      <c r="G345" s="373"/>
      <c r="H345" s="1568" t="s">
        <v>92</v>
      </c>
      <c r="J345" s="484"/>
      <c r="K345" s="484"/>
      <c r="L345" s="484"/>
    </row>
    <row r="346" spans="1:13" s="730" customFormat="1" ht="19.5" thickTop="1" thickBot="1" x14ac:dyDescent="0.3">
      <c r="A346" s="572" t="s">
        <v>93</v>
      </c>
      <c r="B346" s="573" t="s">
        <v>94</v>
      </c>
      <c r="C346" s="575" t="s">
        <v>364</v>
      </c>
      <c r="D346" s="639" t="s">
        <v>95</v>
      </c>
      <c r="E346" s="639" t="s">
        <v>328</v>
      </c>
      <c r="F346" s="639" t="s">
        <v>329</v>
      </c>
      <c r="G346" s="639" t="s">
        <v>448</v>
      </c>
      <c r="H346" s="576" t="s">
        <v>449</v>
      </c>
      <c r="J346" s="484"/>
      <c r="K346" s="484"/>
      <c r="L346" s="484"/>
    </row>
    <row r="347" spans="1:13" s="730" customFormat="1" ht="19.5" thickTop="1" thickBot="1" x14ac:dyDescent="0.3">
      <c r="A347" s="511">
        <v>1</v>
      </c>
      <c r="B347" s="512">
        <v>2</v>
      </c>
      <c r="C347" s="512">
        <v>3</v>
      </c>
      <c r="D347" s="512">
        <v>4</v>
      </c>
      <c r="E347" s="512">
        <v>5</v>
      </c>
      <c r="F347" s="499">
        <v>6</v>
      </c>
      <c r="G347" s="499">
        <v>7</v>
      </c>
      <c r="H347" s="577" t="s">
        <v>33</v>
      </c>
      <c r="J347" s="484"/>
      <c r="K347" s="484"/>
      <c r="L347" s="484"/>
    </row>
    <row r="348" spans="1:13" s="730" customFormat="1" ht="19.5" thickTop="1" thickBot="1" x14ac:dyDescent="0.3">
      <c r="A348" s="2428">
        <v>3419</v>
      </c>
      <c r="B348" s="2375">
        <v>5493</v>
      </c>
      <c r="C348" s="2368" t="s">
        <v>1214</v>
      </c>
      <c r="D348" s="2419" t="s">
        <v>1651</v>
      </c>
      <c r="E348" s="1656">
        <v>100</v>
      </c>
      <c r="F348" s="1656">
        <v>100</v>
      </c>
      <c r="G348" s="1656">
        <v>100</v>
      </c>
      <c r="H348" s="2371">
        <f t="shared" ref="H348" si="77">(G348/F348)*100</f>
        <v>100</v>
      </c>
      <c r="J348" s="484"/>
      <c r="K348" s="2443">
        <v>100000</v>
      </c>
      <c r="L348" s="2443">
        <v>100000</v>
      </c>
      <c r="M348" s="2443">
        <v>100000</v>
      </c>
    </row>
    <row r="349" spans="1:13" s="730" customFormat="1" ht="19.5" thickTop="1" thickBot="1" x14ac:dyDescent="0.3">
      <c r="A349" s="578" t="s">
        <v>1216</v>
      </c>
      <c r="B349" s="744"/>
      <c r="C349" s="580"/>
      <c r="D349" s="581"/>
      <c r="E349" s="582">
        <f>SUM(E348:E348)</f>
        <v>100</v>
      </c>
      <c r="F349" s="582">
        <f>SUM(F348:F348)</f>
        <v>100</v>
      </c>
      <c r="G349" s="582">
        <f>SUM(G348:G348)</f>
        <v>100</v>
      </c>
      <c r="H349" s="783">
        <f>(G349/F349)*100</f>
        <v>100</v>
      </c>
      <c r="J349" s="484"/>
      <c r="K349" s="510">
        <f>SUM(K348:K348)</f>
        <v>100000</v>
      </c>
      <c r="L349" s="510">
        <f>SUM(L348:L348)</f>
        <v>100000</v>
      </c>
      <c r="M349" s="510">
        <f>SUM(M348:M348)</f>
        <v>100000</v>
      </c>
    </row>
    <row r="350" spans="1:13" s="730" customFormat="1" ht="18.75" thickTop="1" x14ac:dyDescent="0.25">
      <c r="A350" s="353"/>
      <c r="B350" s="2351"/>
      <c r="C350" s="57"/>
      <c r="D350" s="354"/>
      <c r="E350" s="17"/>
      <c r="F350" s="17"/>
      <c r="G350" s="17"/>
      <c r="H350" s="2352"/>
      <c r="J350" s="484"/>
      <c r="K350" s="484"/>
      <c r="L350" s="484"/>
    </row>
    <row r="351" spans="1:13" s="730" customFormat="1" ht="18" x14ac:dyDescent="0.25">
      <c r="A351" s="3182" t="s">
        <v>1217</v>
      </c>
      <c r="B351" s="3182"/>
      <c r="C351" s="3182"/>
      <c r="D351" s="3182"/>
      <c r="E351" s="3182"/>
      <c r="F351" s="3182"/>
      <c r="G351" s="3182"/>
      <c r="H351" s="3182"/>
      <c r="J351" s="484"/>
      <c r="K351" s="484"/>
      <c r="L351" s="484"/>
    </row>
    <row r="352" spans="1:13" s="730" customFormat="1" ht="14.25" customHeight="1" thickBot="1" x14ac:dyDescent="0.3">
      <c r="A352" s="33"/>
      <c r="B352" s="570"/>
      <c r="C352" s="571"/>
      <c r="D352" s="372"/>
      <c r="E352" s="373"/>
      <c r="F352" s="560"/>
      <c r="G352" s="373"/>
      <c r="H352" s="1568" t="s">
        <v>92</v>
      </c>
      <c r="J352" s="484"/>
      <c r="K352" s="484"/>
      <c r="L352" s="484"/>
    </row>
    <row r="353" spans="1:13" s="730" customFormat="1" ht="19.5" thickTop="1" thickBot="1" x14ac:dyDescent="0.3">
      <c r="A353" s="572" t="s">
        <v>93</v>
      </c>
      <c r="B353" s="573" t="s">
        <v>94</v>
      </c>
      <c r="C353" s="575" t="s">
        <v>364</v>
      </c>
      <c r="D353" s="639" t="s">
        <v>95</v>
      </c>
      <c r="E353" s="639" t="s">
        <v>328</v>
      </c>
      <c r="F353" s="639" t="s">
        <v>329</v>
      </c>
      <c r="G353" s="639" t="s">
        <v>448</v>
      </c>
      <c r="H353" s="576" t="s">
        <v>449</v>
      </c>
      <c r="J353" s="484"/>
      <c r="K353" s="484"/>
      <c r="L353" s="484"/>
    </row>
    <row r="354" spans="1:13" s="730" customFormat="1" ht="19.5" thickTop="1" thickBot="1" x14ac:dyDescent="0.3">
      <c r="A354" s="511">
        <v>1</v>
      </c>
      <c r="B354" s="512">
        <v>2</v>
      </c>
      <c r="C354" s="512">
        <v>3</v>
      </c>
      <c r="D354" s="512">
        <v>4</v>
      </c>
      <c r="E354" s="512">
        <v>5</v>
      </c>
      <c r="F354" s="499">
        <v>6</v>
      </c>
      <c r="G354" s="499">
        <v>7</v>
      </c>
      <c r="H354" s="577" t="s">
        <v>33</v>
      </c>
      <c r="J354" s="484"/>
      <c r="K354" s="484"/>
      <c r="L354" s="484"/>
    </row>
    <row r="355" spans="1:13" s="730" customFormat="1" ht="18.75" thickTop="1" x14ac:dyDescent="0.25">
      <c r="A355" s="2426">
        <v>3429</v>
      </c>
      <c r="B355" s="2374">
        <v>5212</v>
      </c>
      <c r="C355" s="2367" t="s">
        <v>979</v>
      </c>
      <c r="D355" s="644" t="s">
        <v>1244</v>
      </c>
      <c r="E355" s="428">
        <v>0</v>
      </c>
      <c r="F355" s="428">
        <v>101</v>
      </c>
      <c r="G355" s="428">
        <v>101</v>
      </c>
      <c r="H355" s="1652">
        <f t="shared" ref="H355:H360" si="78">(G355/F355)*100</f>
        <v>100</v>
      </c>
      <c r="J355" s="484"/>
      <c r="K355" s="2443"/>
      <c r="L355" s="2443">
        <v>101000</v>
      </c>
      <c r="M355" s="2443">
        <v>101000</v>
      </c>
    </row>
    <row r="356" spans="1:13" s="730" customFormat="1" ht="18" x14ac:dyDescent="0.25">
      <c r="A356" s="2426">
        <v>3429</v>
      </c>
      <c r="B356" s="2374">
        <v>5213</v>
      </c>
      <c r="C356" s="2367" t="s">
        <v>979</v>
      </c>
      <c r="D356" s="2417" t="s">
        <v>1245</v>
      </c>
      <c r="E356" s="428">
        <v>0</v>
      </c>
      <c r="F356" s="428">
        <v>16</v>
      </c>
      <c r="G356" s="428">
        <v>16</v>
      </c>
      <c r="H356" s="1652">
        <f t="shared" si="78"/>
        <v>100</v>
      </c>
      <c r="J356" s="484"/>
      <c r="K356" s="2443"/>
      <c r="L356" s="2443">
        <v>16000</v>
      </c>
      <c r="M356" s="2443">
        <v>16000</v>
      </c>
    </row>
    <row r="357" spans="1:13" s="730" customFormat="1" ht="18" x14ac:dyDescent="0.25">
      <c r="A357" s="2426">
        <v>3429</v>
      </c>
      <c r="B357" s="2374">
        <v>5221</v>
      </c>
      <c r="C357" s="2367" t="s">
        <v>979</v>
      </c>
      <c r="D357" s="2417" t="s">
        <v>1247</v>
      </c>
      <c r="E357" s="428">
        <v>0</v>
      </c>
      <c r="F357" s="428">
        <v>40</v>
      </c>
      <c r="G357" s="428">
        <v>40</v>
      </c>
      <c r="H357" s="1652">
        <f t="shared" si="78"/>
        <v>100</v>
      </c>
      <c r="J357" s="484"/>
      <c r="K357" s="2443"/>
      <c r="L357" s="2443">
        <v>40000</v>
      </c>
      <c r="M357" s="2443">
        <v>40000</v>
      </c>
    </row>
    <row r="358" spans="1:13" s="730" customFormat="1" ht="18" x14ac:dyDescent="0.25">
      <c r="A358" s="2426">
        <v>3429</v>
      </c>
      <c r="B358" s="2374">
        <v>5222</v>
      </c>
      <c r="C358" s="2367" t="s">
        <v>979</v>
      </c>
      <c r="D358" s="2418" t="s">
        <v>800</v>
      </c>
      <c r="E358" s="428">
        <v>1250</v>
      </c>
      <c r="F358" s="428">
        <v>809</v>
      </c>
      <c r="G358" s="428">
        <v>809</v>
      </c>
      <c r="H358" s="1652">
        <f t="shared" si="78"/>
        <v>100</v>
      </c>
      <c r="J358" s="484"/>
      <c r="K358" s="2443">
        <v>1250000</v>
      </c>
      <c r="L358" s="2443">
        <v>809000</v>
      </c>
      <c r="M358" s="2443">
        <v>809000</v>
      </c>
    </row>
    <row r="359" spans="1:13" s="730" customFormat="1" ht="18" x14ac:dyDescent="0.25">
      <c r="A359" s="2426">
        <v>3429</v>
      </c>
      <c r="B359" s="2374">
        <v>5229</v>
      </c>
      <c r="C359" s="2367" t="s">
        <v>979</v>
      </c>
      <c r="D359" s="2417" t="s">
        <v>1248</v>
      </c>
      <c r="E359" s="428">
        <v>0</v>
      </c>
      <c r="F359" s="428">
        <v>42</v>
      </c>
      <c r="G359" s="428">
        <v>42</v>
      </c>
      <c r="H359" s="1652">
        <f t="shared" si="78"/>
        <v>100</v>
      </c>
      <c r="J359" s="484"/>
      <c r="K359" s="2443"/>
      <c r="L359" s="2443">
        <v>42000</v>
      </c>
      <c r="M359" s="2443">
        <v>42000</v>
      </c>
    </row>
    <row r="360" spans="1:13" s="730" customFormat="1" ht="18.75" thickBot="1" x14ac:dyDescent="0.3">
      <c r="A360" s="2428">
        <v>3429</v>
      </c>
      <c r="B360" s="2375">
        <v>5493</v>
      </c>
      <c r="C360" s="2367" t="s">
        <v>979</v>
      </c>
      <c r="D360" s="2419" t="s">
        <v>1651</v>
      </c>
      <c r="E360" s="1656">
        <v>0</v>
      </c>
      <c r="F360" s="1656">
        <v>242</v>
      </c>
      <c r="G360" s="1656">
        <v>222</v>
      </c>
      <c r="H360" s="1652">
        <f t="shared" si="78"/>
        <v>91.735537190082653</v>
      </c>
      <c r="J360" s="484"/>
      <c r="K360" s="2443"/>
      <c r="L360" s="2443">
        <v>242000</v>
      </c>
      <c r="M360" s="2443">
        <v>222000</v>
      </c>
    </row>
    <row r="361" spans="1:13" s="730" customFormat="1" ht="19.5" thickTop="1" thickBot="1" x14ac:dyDescent="0.3">
      <c r="A361" s="578" t="s">
        <v>1218</v>
      </c>
      <c r="B361" s="744"/>
      <c r="C361" s="580"/>
      <c r="D361" s="581"/>
      <c r="E361" s="582">
        <f>SUM(E355:E360)</f>
        <v>1250</v>
      </c>
      <c r="F361" s="582">
        <f>SUM(F355:F360)</f>
        <v>1250</v>
      </c>
      <c r="G361" s="582">
        <f>SUM(G355:G360)</f>
        <v>1230</v>
      </c>
      <c r="H361" s="783">
        <f>(G361/F361)*100</f>
        <v>98.4</v>
      </c>
      <c r="J361" s="484"/>
      <c r="K361" s="510">
        <f>SUM(K355:K360)</f>
        <v>1250000</v>
      </c>
      <c r="L361" s="510">
        <f>SUM(L355:L360)</f>
        <v>1250000</v>
      </c>
      <c r="M361" s="510">
        <f>SUM(M355:M360)</f>
        <v>1230000</v>
      </c>
    </row>
    <row r="362" spans="1:13" s="730" customFormat="1" ht="18.75" thickTop="1" x14ac:dyDescent="0.25">
      <c r="A362" s="353"/>
      <c r="B362" s="2351"/>
      <c r="C362" s="57"/>
      <c r="D362" s="354"/>
      <c r="E362" s="17"/>
      <c r="F362" s="17"/>
      <c r="G362" s="17"/>
      <c r="H362" s="2352"/>
      <c r="J362" s="484"/>
      <c r="K362" s="484"/>
      <c r="L362" s="484"/>
    </row>
    <row r="363" spans="1:13" s="730" customFormat="1" ht="18" x14ac:dyDescent="0.25">
      <c r="A363" s="3182" t="s">
        <v>1219</v>
      </c>
      <c r="B363" s="3182"/>
      <c r="C363" s="3182"/>
      <c r="D363" s="3182"/>
      <c r="E363" s="3182"/>
      <c r="F363" s="3182"/>
      <c r="G363" s="3182"/>
      <c r="H363" s="3182"/>
      <c r="J363" s="484"/>
      <c r="K363" s="484"/>
      <c r="L363" s="484"/>
    </row>
    <row r="364" spans="1:13" s="730" customFormat="1" ht="13.5" customHeight="1" thickBot="1" x14ac:dyDescent="0.3">
      <c r="A364" s="33"/>
      <c r="B364" s="570"/>
      <c r="C364" s="571"/>
      <c r="D364" s="372"/>
      <c r="E364" s="373"/>
      <c r="F364" s="560"/>
      <c r="G364" s="373"/>
      <c r="H364" s="1568" t="s">
        <v>92</v>
      </c>
      <c r="J364" s="484"/>
      <c r="K364" s="484"/>
      <c r="L364" s="484"/>
    </row>
    <row r="365" spans="1:13" s="730" customFormat="1" ht="19.5" thickTop="1" thickBot="1" x14ac:dyDescent="0.3">
      <c r="A365" s="572" t="s">
        <v>93</v>
      </c>
      <c r="B365" s="573" t="s">
        <v>94</v>
      </c>
      <c r="C365" s="575" t="s">
        <v>364</v>
      </c>
      <c r="D365" s="639" t="s">
        <v>95</v>
      </c>
      <c r="E365" s="639" t="s">
        <v>328</v>
      </c>
      <c r="F365" s="639" t="s">
        <v>329</v>
      </c>
      <c r="G365" s="639" t="s">
        <v>448</v>
      </c>
      <c r="H365" s="576" t="s">
        <v>449</v>
      </c>
      <c r="J365" s="484"/>
      <c r="K365" s="484"/>
      <c r="L365" s="484"/>
    </row>
    <row r="366" spans="1:13" s="730" customFormat="1" ht="19.5" thickTop="1" thickBot="1" x14ac:dyDescent="0.3">
      <c r="A366" s="511">
        <v>1</v>
      </c>
      <c r="B366" s="512">
        <v>2</v>
      </c>
      <c r="C366" s="512">
        <v>3</v>
      </c>
      <c r="D366" s="512">
        <v>4</v>
      </c>
      <c r="E366" s="512">
        <v>5</v>
      </c>
      <c r="F366" s="499">
        <v>6</v>
      </c>
      <c r="G366" s="499">
        <v>7</v>
      </c>
      <c r="H366" s="577" t="s">
        <v>33</v>
      </c>
      <c r="J366" s="484"/>
      <c r="K366" s="484"/>
      <c r="L366" s="484"/>
    </row>
    <row r="367" spans="1:13" s="730" customFormat="1" ht="18.75" thickTop="1" x14ac:dyDescent="0.25">
      <c r="A367" s="2426">
        <v>3792</v>
      </c>
      <c r="B367" s="2374">
        <v>5213</v>
      </c>
      <c r="C367" s="2367" t="s">
        <v>974</v>
      </c>
      <c r="D367" s="2417" t="s">
        <v>1245</v>
      </c>
      <c r="E367" s="428">
        <v>0</v>
      </c>
      <c r="F367" s="428">
        <v>12</v>
      </c>
      <c r="G367" s="428">
        <v>12</v>
      </c>
      <c r="H367" s="1652">
        <f t="shared" ref="H367:H369" si="79">(G367/F367)*100</f>
        <v>100</v>
      </c>
      <c r="J367" s="484"/>
      <c r="K367" s="2443"/>
      <c r="L367" s="2443">
        <v>12000</v>
      </c>
      <c r="M367" s="2443">
        <v>12000</v>
      </c>
    </row>
    <row r="368" spans="1:13" s="730" customFormat="1" ht="18" x14ac:dyDescent="0.25">
      <c r="A368" s="2426">
        <v>3792</v>
      </c>
      <c r="B368" s="2374">
        <v>5321</v>
      </c>
      <c r="C368" s="2367" t="s">
        <v>974</v>
      </c>
      <c r="D368" s="644" t="s">
        <v>566</v>
      </c>
      <c r="E368" s="428">
        <v>0</v>
      </c>
      <c r="F368" s="428">
        <v>244</v>
      </c>
      <c r="G368" s="428">
        <v>244</v>
      </c>
      <c r="H368" s="1652">
        <f t="shared" si="79"/>
        <v>100</v>
      </c>
      <c r="J368" s="484"/>
      <c r="K368" s="2443"/>
      <c r="L368" s="2443">
        <v>244000</v>
      </c>
      <c r="M368" s="2443">
        <v>244000</v>
      </c>
    </row>
    <row r="369" spans="1:13" s="730" customFormat="1" ht="18.75" thickBot="1" x14ac:dyDescent="0.3">
      <c r="A369" s="2426">
        <v>3792</v>
      </c>
      <c r="B369" s="2374">
        <v>5331</v>
      </c>
      <c r="C369" s="2367" t="s">
        <v>974</v>
      </c>
      <c r="D369" s="2420" t="s">
        <v>465</v>
      </c>
      <c r="E369" s="428">
        <v>420</v>
      </c>
      <c r="F369" s="428">
        <v>164</v>
      </c>
      <c r="G369" s="428">
        <v>154</v>
      </c>
      <c r="H369" s="1652">
        <f t="shared" si="79"/>
        <v>93.902439024390233</v>
      </c>
      <c r="J369" s="484"/>
      <c r="K369" s="2443">
        <v>420000</v>
      </c>
      <c r="L369" s="2443">
        <v>164000</v>
      </c>
      <c r="M369" s="2443">
        <v>153941</v>
      </c>
    </row>
    <row r="370" spans="1:13" s="730" customFormat="1" ht="19.5" thickTop="1" thickBot="1" x14ac:dyDescent="0.3">
      <c r="A370" s="578" t="s">
        <v>1220</v>
      </c>
      <c r="B370" s="744"/>
      <c r="C370" s="580"/>
      <c r="D370" s="581"/>
      <c r="E370" s="582">
        <f>SUM(E367:E369)</f>
        <v>420</v>
      </c>
      <c r="F370" s="582">
        <f>SUM(F367:F369)</f>
        <v>420</v>
      </c>
      <c r="G370" s="582">
        <f>SUM(G367:G369)</f>
        <v>410</v>
      </c>
      <c r="H370" s="783">
        <f>(G370/F370)*100</f>
        <v>97.61904761904762</v>
      </c>
      <c r="J370" s="484"/>
      <c r="K370" s="510">
        <f>SUM(K367:K369)</f>
        <v>420000</v>
      </c>
      <c r="L370" s="510">
        <f>SUM(L367:L369)</f>
        <v>420000</v>
      </c>
      <c r="M370" s="510">
        <f>SUM(M367:M369)</f>
        <v>409941</v>
      </c>
    </row>
    <row r="371" spans="1:13" s="730" customFormat="1" ht="18.75" thickTop="1" x14ac:dyDescent="0.25">
      <c r="A371" s="2232"/>
      <c r="B371" s="2233"/>
      <c r="C371" s="2234"/>
      <c r="D371" s="2233"/>
      <c r="E371" s="2235"/>
      <c r="F371" s="2236"/>
      <c r="G371" s="2236"/>
      <c r="H371" s="2237"/>
      <c r="J371" s="484"/>
      <c r="K371" s="484"/>
      <c r="L371" s="484"/>
    </row>
    <row r="372" spans="1:13" s="730" customFormat="1" ht="18" x14ac:dyDescent="0.25">
      <c r="A372" s="3182" t="s">
        <v>1252</v>
      </c>
      <c r="B372" s="3182"/>
      <c r="C372" s="3182"/>
      <c r="D372" s="3182"/>
      <c r="E372" s="3182"/>
      <c r="F372" s="3182"/>
      <c r="G372" s="3182"/>
      <c r="H372" s="3182"/>
      <c r="J372" s="484"/>
      <c r="K372" s="484"/>
      <c r="L372" s="484"/>
    </row>
    <row r="373" spans="1:13" s="730" customFormat="1" ht="14.25" customHeight="1" thickBot="1" x14ac:dyDescent="0.3">
      <c r="A373" s="33"/>
      <c r="B373" s="570"/>
      <c r="C373" s="571"/>
      <c r="D373" s="372"/>
      <c r="E373" s="373"/>
      <c r="F373" s="560"/>
      <c r="G373" s="373"/>
      <c r="H373" s="1568" t="s">
        <v>92</v>
      </c>
      <c r="J373" s="484"/>
      <c r="K373" s="484"/>
      <c r="L373" s="484"/>
    </row>
    <row r="374" spans="1:13" s="730" customFormat="1" ht="19.5" thickTop="1" thickBot="1" x14ac:dyDescent="0.3">
      <c r="A374" s="572" t="s">
        <v>93</v>
      </c>
      <c r="B374" s="573" t="s">
        <v>94</v>
      </c>
      <c r="C374" s="575" t="s">
        <v>364</v>
      </c>
      <c r="D374" s="639" t="s">
        <v>95</v>
      </c>
      <c r="E374" s="639" t="s">
        <v>328</v>
      </c>
      <c r="F374" s="639" t="s">
        <v>329</v>
      </c>
      <c r="G374" s="639" t="s">
        <v>448</v>
      </c>
      <c r="H374" s="576" t="s">
        <v>449</v>
      </c>
      <c r="J374" s="484"/>
      <c r="K374" s="484"/>
      <c r="L374" s="484"/>
    </row>
    <row r="375" spans="1:13" s="730" customFormat="1" ht="19.5" thickTop="1" thickBot="1" x14ac:dyDescent="0.3">
      <c r="A375" s="511">
        <v>1</v>
      </c>
      <c r="B375" s="512">
        <v>2</v>
      </c>
      <c r="C375" s="512">
        <v>3</v>
      </c>
      <c r="D375" s="512">
        <v>4</v>
      </c>
      <c r="E375" s="512">
        <v>5</v>
      </c>
      <c r="F375" s="499">
        <v>6</v>
      </c>
      <c r="G375" s="499">
        <v>7</v>
      </c>
      <c r="H375" s="577" t="s">
        <v>33</v>
      </c>
      <c r="J375" s="484"/>
      <c r="K375" s="484"/>
      <c r="L375" s="484"/>
    </row>
    <row r="376" spans="1:13" s="730" customFormat="1" ht="18.75" thickTop="1" x14ac:dyDescent="0.25">
      <c r="A376" s="2424">
        <v>3419</v>
      </c>
      <c r="B376" s="2377">
        <v>5213</v>
      </c>
      <c r="C376" s="2369" t="s">
        <v>1224</v>
      </c>
      <c r="D376" s="1655" t="s">
        <v>1245</v>
      </c>
      <c r="E376" s="431">
        <v>0</v>
      </c>
      <c r="F376" s="431">
        <v>85</v>
      </c>
      <c r="G376" s="431">
        <v>85</v>
      </c>
      <c r="H376" s="2370">
        <f t="shared" ref="H376:H377" si="80">(G376/F376)*100</f>
        <v>100</v>
      </c>
      <c r="J376" s="484"/>
      <c r="K376" s="2443"/>
      <c r="L376" s="2443">
        <v>85000</v>
      </c>
      <c r="M376" s="2443">
        <v>85000</v>
      </c>
    </row>
    <row r="377" spans="1:13" s="730" customFormat="1" ht="18.75" thickBot="1" x14ac:dyDescent="0.3">
      <c r="A377" s="2426">
        <v>3419</v>
      </c>
      <c r="B377" s="2374">
        <v>5222</v>
      </c>
      <c r="C377" s="2367" t="s">
        <v>1224</v>
      </c>
      <c r="D377" s="2418" t="s">
        <v>800</v>
      </c>
      <c r="E377" s="428">
        <v>4000</v>
      </c>
      <c r="F377" s="428">
        <v>3915</v>
      </c>
      <c r="G377" s="428">
        <v>3915</v>
      </c>
      <c r="H377" s="1652">
        <f t="shared" si="80"/>
        <v>100</v>
      </c>
      <c r="J377" s="484"/>
      <c r="K377" s="2443">
        <v>4000000</v>
      </c>
      <c r="L377" s="2443">
        <v>3915000</v>
      </c>
      <c r="M377" s="2443">
        <v>3915000</v>
      </c>
    </row>
    <row r="378" spans="1:13" s="730" customFormat="1" ht="19.5" thickTop="1" thickBot="1" x14ac:dyDescent="0.3">
      <c r="A378" s="578" t="s">
        <v>1222</v>
      </c>
      <c r="B378" s="744"/>
      <c r="C378" s="580"/>
      <c r="D378" s="581"/>
      <c r="E378" s="582">
        <f>SUM(E376:E377)</f>
        <v>4000</v>
      </c>
      <c r="F378" s="582">
        <f>SUM(F376:F377)</f>
        <v>4000</v>
      </c>
      <c r="G378" s="582">
        <f>SUM(G376:G377)</f>
        <v>4000</v>
      </c>
      <c r="H378" s="783">
        <f>(G378/F378)*100</f>
        <v>100</v>
      </c>
      <c r="J378" s="484"/>
      <c r="K378" s="510">
        <f>SUM(K376:K377)</f>
        <v>4000000</v>
      </c>
      <c r="L378" s="510">
        <f t="shared" ref="L378:M378" si="81">SUM(L376:L377)</f>
        <v>4000000</v>
      </c>
      <c r="M378" s="510">
        <f t="shared" si="81"/>
        <v>4000000</v>
      </c>
    </row>
    <row r="379" spans="1:13" s="730" customFormat="1" ht="18.75" thickTop="1" x14ac:dyDescent="0.25">
      <c r="A379" s="353"/>
      <c r="B379" s="2351"/>
      <c r="C379" s="57"/>
      <c r="D379" s="354"/>
      <c r="E379" s="17"/>
      <c r="F379" s="17"/>
      <c r="G379" s="17"/>
      <c r="H379" s="2352"/>
      <c r="J379" s="484"/>
      <c r="K379" s="484"/>
      <c r="L379" s="484"/>
    </row>
    <row r="380" spans="1:13" s="730" customFormat="1" ht="18" x14ac:dyDescent="0.25">
      <c r="A380" s="3182" t="s">
        <v>1253</v>
      </c>
      <c r="B380" s="3182"/>
      <c r="C380" s="3182"/>
      <c r="D380" s="3182"/>
      <c r="E380" s="3182"/>
      <c r="F380" s="3182"/>
      <c r="G380" s="3182"/>
      <c r="H380" s="3182"/>
      <c r="J380" s="484"/>
      <c r="K380" s="484"/>
      <c r="L380" s="484"/>
    </row>
    <row r="381" spans="1:13" s="730" customFormat="1" ht="13.5" customHeight="1" thickBot="1" x14ac:dyDescent="0.3">
      <c r="A381" s="33"/>
      <c r="B381" s="570"/>
      <c r="C381" s="571"/>
      <c r="D381" s="372"/>
      <c r="E381" s="373"/>
      <c r="F381" s="560"/>
      <c r="G381" s="373"/>
      <c r="H381" s="1568" t="s">
        <v>92</v>
      </c>
      <c r="J381" s="484"/>
      <c r="K381" s="484"/>
      <c r="L381" s="484"/>
    </row>
    <row r="382" spans="1:13" s="730" customFormat="1" ht="19.5" thickTop="1" thickBot="1" x14ac:dyDescent="0.3">
      <c r="A382" s="572" t="s">
        <v>93</v>
      </c>
      <c r="B382" s="573" t="s">
        <v>94</v>
      </c>
      <c r="C382" s="575" t="s">
        <v>364</v>
      </c>
      <c r="D382" s="639" t="s">
        <v>95</v>
      </c>
      <c r="E382" s="639" t="s">
        <v>328</v>
      </c>
      <c r="F382" s="639" t="s">
        <v>329</v>
      </c>
      <c r="G382" s="639" t="s">
        <v>448</v>
      </c>
      <c r="H382" s="576" t="s">
        <v>449</v>
      </c>
      <c r="J382" s="484"/>
      <c r="K382" s="484"/>
      <c r="L382" s="484"/>
    </row>
    <row r="383" spans="1:13" s="730" customFormat="1" ht="19.5" thickTop="1" thickBot="1" x14ac:dyDescent="0.3">
      <c r="A383" s="511">
        <v>1</v>
      </c>
      <c r="B383" s="512">
        <v>2</v>
      </c>
      <c r="C383" s="512">
        <v>3</v>
      </c>
      <c r="D383" s="512">
        <v>4</v>
      </c>
      <c r="E383" s="512">
        <v>5</v>
      </c>
      <c r="F383" s="499">
        <v>6</v>
      </c>
      <c r="G383" s="499">
        <v>7</v>
      </c>
      <c r="H383" s="577" t="s">
        <v>33</v>
      </c>
      <c r="J383" s="484"/>
      <c r="K383" s="484"/>
      <c r="L383" s="484"/>
    </row>
    <row r="384" spans="1:13" s="730" customFormat="1" ht="18.75" thickTop="1" x14ac:dyDescent="0.25">
      <c r="A384" s="2424">
        <v>3429</v>
      </c>
      <c r="B384" s="2377">
        <v>5221</v>
      </c>
      <c r="C384" s="2369" t="s">
        <v>1225</v>
      </c>
      <c r="D384" s="2961" t="s">
        <v>1247</v>
      </c>
      <c r="E384" s="431">
        <v>0</v>
      </c>
      <c r="F384" s="431">
        <v>9</v>
      </c>
      <c r="G384" s="431">
        <v>9</v>
      </c>
      <c r="H384" s="2370">
        <f t="shared" ref="H384:H386" si="82">(G384/F384)*100</f>
        <v>100</v>
      </c>
      <c r="J384" s="484"/>
      <c r="K384" s="2443"/>
      <c r="L384" s="2443">
        <v>9000</v>
      </c>
      <c r="M384" s="2443">
        <v>9000</v>
      </c>
    </row>
    <row r="385" spans="1:13" s="730" customFormat="1" ht="18" x14ac:dyDescent="0.25">
      <c r="A385" s="2426">
        <v>3429</v>
      </c>
      <c r="B385" s="2374">
        <v>5222</v>
      </c>
      <c r="C385" s="2367" t="s">
        <v>1225</v>
      </c>
      <c r="D385" s="2959" t="s">
        <v>800</v>
      </c>
      <c r="E385" s="428">
        <v>180</v>
      </c>
      <c r="F385" s="428">
        <v>167</v>
      </c>
      <c r="G385" s="428">
        <v>167</v>
      </c>
      <c r="H385" s="1652">
        <f t="shared" si="82"/>
        <v>100</v>
      </c>
      <c r="J385" s="484"/>
      <c r="K385" s="2443">
        <v>180000</v>
      </c>
      <c r="L385" s="2443">
        <v>166500</v>
      </c>
      <c r="M385" s="2443">
        <v>166500</v>
      </c>
    </row>
    <row r="386" spans="1:13" s="730" customFormat="1" ht="18.75" thickBot="1" x14ac:dyDescent="0.3">
      <c r="A386" s="2428">
        <v>3429</v>
      </c>
      <c r="B386" s="2375">
        <v>5229</v>
      </c>
      <c r="C386" s="2367" t="s">
        <v>1225</v>
      </c>
      <c r="D386" s="2417" t="s">
        <v>1248</v>
      </c>
      <c r="E386" s="1656">
        <v>0</v>
      </c>
      <c r="F386" s="1656">
        <v>4</v>
      </c>
      <c r="G386" s="1656">
        <v>4</v>
      </c>
      <c r="H386" s="1652">
        <f t="shared" si="82"/>
        <v>100</v>
      </c>
      <c r="J386" s="484"/>
      <c r="K386" s="2443"/>
      <c r="L386" s="2443">
        <v>4500</v>
      </c>
      <c r="M386" s="2443">
        <v>4500</v>
      </c>
    </row>
    <row r="387" spans="1:13" s="730" customFormat="1" ht="19.5" thickTop="1" thickBot="1" x14ac:dyDescent="0.3">
      <c r="A387" s="578" t="s">
        <v>1223</v>
      </c>
      <c r="B387" s="744"/>
      <c r="C387" s="580"/>
      <c r="D387" s="581"/>
      <c r="E387" s="582">
        <f>SUM(E384:E386)</f>
        <v>180</v>
      </c>
      <c r="F387" s="582">
        <f t="shared" ref="F387:G387" si="83">SUM(F384:F386)</f>
        <v>180</v>
      </c>
      <c r="G387" s="582">
        <f t="shared" si="83"/>
        <v>180</v>
      </c>
      <c r="H387" s="783">
        <f>(G387/F387)*100</f>
        <v>100</v>
      </c>
      <c r="J387" s="484"/>
      <c r="K387" s="510">
        <f>SUM(K384:K386)</f>
        <v>180000</v>
      </c>
      <c r="L387" s="510">
        <f t="shared" ref="L387:M387" si="84">SUM(L384:L386)</f>
        <v>180000</v>
      </c>
      <c r="M387" s="510">
        <f t="shared" si="84"/>
        <v>180000</v>
      </c>
    </row>
    <row r="388" spans="1:13" s="730" customFormat="1" ht="18.75" thickTop="1" x14ac:dyDescent="0.25">
      <c r="A388" s="353"/>
      <c r="B388" s="2351"/>
      <c r="C388" s="57"/>
      <c r="D388" s="354"/>
      <c r="E388" s="17"/>
      <c r="F388" s="17"/>
      <c r="G388" s="17"/>
      <c r="H388" s="2352"/>
      <c r="J388" s="484"/>
      <c r="K388" s="484"/>
      <c r="L388" s="484"/>
    </row>
    <row r="389" spans="1:13" s="730" customFormat="1" ht="18" x14ac:dyDescent="0.25">
      <c r="A389" s="3182" t="s">
        <v>1221</v>
      </c>
      <c r="B389" s="3182"/>
      <c r="C389" s="3182"/>
      <c r="D389" s="3182"/>
      <c r="E389" s="3182"/>
      <c r="F389" s="3182"/>
      <c r="G389" s="3182"/>
      <c r="H389" s="3182"/>
      <c r="J389" s="484"/>
      <c r="K389" s="484"/>
      <c r="L389" s="484"/>
    </row>
    <row r="390" spans="1:13" s="730" customFormat="1" ht="13.5" customHeight="1" thickBot="1" x14ac:dyDescent="0.3">
      <c r="A390" s="33"/>
      <c r="B390" s="570"/>
      <c r="C390" s="571"/>
      <c r="D390" s="372"/>
      <c r="E390" s="373"/>
      <c r="F390" s="560"/>
      <c r="G390" s="373"/>
      <c r="H390" s="1568" t="s">
        <v>92</v>
      </c>
      <c r="J390" s="484"/>
      <c r="K390" s="484"/>
      <c r="L390" s="484"/>
    </row>
    <row r="391" spans="1:13" s="730" customFormat="1" ht="19.5" thickTop="1" thickBot="1" x14ac:dyDescent="0.3">
      <c r="A391" s="572" t="s">
        <v>93</v>
      </c>
      <c r="B391" s="573" t="s">
        <v>94</v>
      </c>
      <c r="C391" s="575" t="s">
        <v>364</v>
      </c>
      <c r="D391" s="639" t="s">
        <v>95</v>
      </c>
      <c r="E391" s="639" t="s">
        <v>328</v>
      </c>
      <c r="F391" s="639" t="s">
        <v>329</v>
      </c>
      <c r="G391" s="639" t="s">
        <v>448</v>
      </c>
      <c r="H391" s="576" t="s">
        <v>449</v>
      </c>
      <c r="J391" s="484"/>
      <c r="K391" s="484"/>
      <c r="L391" s="484"/>
    </row>
    <row r="392" spans="1:13" s="730" customFormat="1" ht="19.5" thickTop="1" thickBot="1" x14ac:dyDescent="0.3">
      <c r="A392" s="511">
        <v>1</v>
      </c>
      <c r="B392" s="512">
        <v>2</v>
      </c>
      <c r="C392" s="512">
        <v>3</v>
      </c>
      <c r="D392" s="512">
        <v>4</v>
      </c>
      <c r="E392" s="512">
        <v>5</v>
      </c>
      <c r="F392" s="499">
        <v>6</v>
      </c>
      <c r="G392" s="499">
        <v>7</v>
      </c>
      <c r="H392" s="577" t="s">
        <v>33</v>
      </c>
      <c r="J392" s="484"/>
      <c r="K392" s="484"/>
      <c r="L392" s="484"/>
    </row>
    <row r="393" spans="1:13" s="730" customFormat="1" ht="18.75" thickTop="1" x14ac:dyDescent="0.25">
      <c r="A393" s="2376">
        <v>3311</v>
      </c>
      <c r="B393" s="2377">
        <v>5212</v>
      </c>
      <c r="C393" s="2367" t="s">
        <v>1140</v>
      </c>
      <c r="D393" s="644" t="s">
        <v>1244</v>
      </c>
      <c r="E393" s="428">
        <v>0</v>
      </c>
      <c r="F393" s="428">
        <v>135</v>
      </c>
      <c r="G393" s="428">
        <v>135</v>
      </c>
      <c r="H393" s="1652">
        <f t="shared" ref="H393:H411" si="85">(G393/F393)*100</f>
        <v>100</v>
      </c>
      <c r="J393" s="484"/>
      <c r="K393" s="2443"/>
      <c r="L393" s="2443">
        <v>135000</v>
      </c>
      <c r="M393" s="2443">
        <v>135000</v>
      </c>
    </row>
    <row r="394" spans="1:13" s="730" customFormat="1" ht="18" x14ac:dyDescent="0.25">
      <c r="A394" s="2372">
        <v>3311</v>
      </c>
      <c r="B394" s="2374">
        <v>5213</v>
      </c>
      <c r="C394" s="2367" t="s">
        <v>1140</v>
      </c>
      <c r="D394" s="2417" t="s">
        <v>1245</v>
      </c>
      <c r="E394" s="428">
        <v>0</v>
      </c>
      <c r="F394" s="428">
        <v>430</v>
      </c>
      <c r="G394" s="428">
        <v>430</v>
      </c>
      <c r="H394" s="1652">
        <f t="shared" si="85"/>
        <v>100</v>
      </c>
      <c r="J394" s="484"/>
      <c r="K394" s="2443"/>
      <c r="L394" s="2443">
        <v>430000</v>
      </c>
      <c r="M394" s="2443">
        <v>430000</v>
      </c>
    </row>
    <row r="395" spans="1:13" s="730" customFormat="1" ht="18" x14ac:dyDescent="0.25">
      <c r="A395" s="2372">
        <v>3311</v>
      </c>
      <c r="B395" s="2374">
        <v>5221</v>
      </c>
      <c r="C395" s="2367" t="s">
        <v>1140</v>
      </c>
      <c r="D395" s="2417" t="s">
        <v>1247</v>
      </c>
      <c r="E395" s="428">
        <v>0</v>
      </c>
      <c r="F395" s="428">
        <v>400</v>
      </c>
      <c r="G395" s="428">
        <v>400</v>
      </c>
      <c r="H395" s="1652">
        <f t="shared" si="85"/>
        <v>100</v>
      </c>
      <c r="J395" s="484"/>
      <c r="K395" s="2443"/>
      <c r="L395" s="2443">
        <v>400000</v>
      </c>
      <c r="M395" s="2443">
        <v>400000</v>
      </c>
    </row>
    <row r="396" spans="1:13" s="730" customFormat="1" ht="18" x14ac:dyDescent="0.25">
      <c r="A396" s="2372">
        <v>3311</v>
      </c>
      <c r="B396" s="2374">
        <v>5222</v>
      </c>
      <c r="C396" s="2367" t="s">
        <v>1140</v>
      </c>
      <c r="D396" s="2418" t="s">
        <v>800</v>
      </c>
      <c r="E396" s="428">
        <v>0</v>
      </c>
      <c r="F396" s="428">
        <v>1225</v>
      </c>
      <c r="G396" s="428">
        <v>1195</v>
      </c>
      <c r="H396" s="1652">
        <f t="shared" si="85"/>
        <v>97.551020408163268</v>
      </c>
      <c r="J396" s="484"/>
      <c r="K396" s="2443"/>
      <c r="L396" s="2443">
        <v>1225000</v>
      </c>
      <c r="M396" s="2443">
        <v>1195000</v>
      </c>
    </row>
    <row r="397" spans="1:13" s="730" customFormat="1" ht="18" x14ac:dyDescent="0.25">
      <c r="A397" s="2372">
        <v>3311</v>
      </c>
      <c r="B397" s="2374">
        <v>5229</v>
      </c>
      <c r="C397" s="2367" t="s">
        <v>1140</v>
      </c>
      <c r="D397" s="2417" t="s">
        <v>1248</v>
      </c>
      <c r="E397" s="428">
        <v>0</v>
      </c>
      <c r="F397" s="428">
        <v>140</v>
      </c>
      <c r="G397" s="428">
        <v>140</v>
      </c>
      <c r="H397" s="1652">
        <f t="shared" si="85"/>
        <v>100</v>
      </c>
      <c r="J397" s="484"/>
      <c r="K397" s="2443"/>
      <c r="L397" s="2443">
        <v>140000</v>
      </c>
      <c r="M397" s="2443">
        <v>140000</v>
      </c>
    </row>
    <row r="398" spans="1:13" s="730" customFormat="1" ht="18" x14ac:dyDescent="0.25">
      <c r="A398" s="2372">
        <v>3311</v>
      </c>
      <c r="B398" s="2374">
        <v>5321</v>
      </c>
      <c r="C398" s="2367" t="s">
        <v>1140</v>
      </c>
      <c r="D398" s="644" t="s">
        <v>566</v>
      </c>
      <c r="E398" s="428">
        <v>0</v>
      </c>
      <c r="F398" s="428">
        <v>450</v>
      </c>
      <c r="G398" s="428">
        <v>450</v>
      </c>
      <c r="H398" s="1652">
        <f t="shared" si="85"/>
        <v>100</v>
      </c>
      <c r="J398" s="484"/>
      <c r="K398" s="2443"/>
      <c r="L398" s="2443">
        <v>450000</v>
      </c>
      <c r="M398" s="2443">
        <v>450000</v>
      </c>
    </row>
    <row r="399" spans="1:13" s="730" customFormat="1" ht="18" x14ac:dyDescent="0.25">
      <c r="A399" s="2372">
        <v>3311</v>
      </c>
      <c r="B399" s="2374">
        <v>5333</v>
      </c>
      <c r="C399" s="2367" t="s">
        <v>1140</v>
      </c>
      <c r="D399" s="3226" t="s">
        <v>1231</v>
      </c>
      <c r="E399" s="428">
        <v>0</v>
      </c>
      <c r="F399" s="428">
        <v>30</v>
      </c>
      <c r="G399" s="428">
        <v>30</v>
      </c>
      <c r="H399" s="1652">
        <f t="shared" si="85"/>
        <v>100</v>
      </c>
      <c r="J399" s="484"/>
      <c r="K399" s="2443"/>
      <c r="L399" s="2443">
        <v>30000</v>
      </c>
      <c r="M399" s="2443">
        <v>30000</v>
      </c>
    </row>
    <row r="400" spans="1:13" s="730" customFormat="1" ht="18" x14ac:dyDescent="0.25">
      <c r="A400" s="2372"/>
      <c r="B400" s="2374"/>
      <c r="C400" s="2367"/>
      <c r="D400" s="3227"/>
      <c r="E400" s="428"/>
      <c r="F400" s="428"/>
      <c r="G400" s="428"/>
      <c r="H400" s="1652"/>
      <c r="J400" s="484"/>
      <c r="K400" s="2443"/>
      <c r="L400" s="2443"/>
      <c r="M400" s="2443"/>
    </row>
    <row r="401" spans="1:13" s="730" customFormat="1" ht="18" x14ac:dyDescent="0.25">
      <c r="A401" s="2372">
        <v>3311</v>
      </c>
      <c r="B401" s="2374">
        <v>5493</v>
      </c>
      <c r="C401" s="2367" t="s">
        <v>1140</v>
      </c>
      <c r="D401" s="2419" t="s">
        <v>1651</v>
      </c>
      <c r="E401" s="428">
        <v>0</v>
      </c>
      <c r="F401" s="428">
        <v>150</v>
      </c>
      <c r="G401" s="428">
        <v>150</v>
      </c>
      <c r="H401" s="1652">
        <f t="shared" si="85"/>
        <v>100</v>
      </c>
      <c r="J401" s="484"/>
      <c r="K401" s="2443"/>
      <c r="L401" s="2443">
        <v>150000</v>
      </c>
      <c r="M401" s="2443">
        <v>150000</v>
      </c>
    </row>
    <row r="402" spans="1:13" s="730" customFormat="1" ht="18" x14ac:dyDescent="0.25">
      <c r="A402" s="2372">
        <v>3312</v>
      </c>
      <c r="B402" s="2374">
        <v>5212</v>
      </c>
      <c r="C402" s="2367" t="s">
        <v>1140</v>
      </c>
      <c r="D402" s="644" t="s">
        <v>1244</v>
      </c>
      <c r="E402" s="428">
        <v>0</v>
      </c>
      <c r="F402" s="428">
        <v>472</v>
      </c>
      <c r="G402" s="428">
        <v>472</v>
      </c>
      <c r="H402" s="1652">
        <f t="shared" si="85"/>
        <v>100</v>
      </c>
      <c r="J402" s="484"/>
      <c r="K402" s="2443"/>
      <c r="L402" s="2443">
        <v>472000</v>
      </c>
      <c r="M402" s="2443">
        <v>472000</v>
      </c>
    </row>
    <row r="403" spans="1:13" s="730" customFormat="1" ht="18" x14ac:dyDescent="0.25">
      <c r="A403" s="2372">
        <v>3312</v>
      </c>
      <c r="B403" s="2374">
        <v>5213</v>
      </c>
      <c r="C403" s="2367" t="s">
        <v>1140</v>
      </c>
      <c r="D403" s="2417" t="s">
        <v>1245</v>
      </c>
      <c r="E403" s="428">
        <v>0</v>
      </c>
      <c r="F403" s="428">
        <v>340</v>
      </c>
      <c r="G403" s="428">
        <v>340</v>
      </c>
      <c r="H403" s="1652">
        <f t="shared" si="85"/>
        <v>100</v>
      </c>
      <c r="J403" s="484"/>
      <c r="K403" s="2443"/>
      <c r="L403" s="2443">
        <v>340000</v>
      </c>
      <c r="M403" s="2443">
        <v>340000</v>
      </c>
    </row>
    <row r="404" spans="1:13" s="730" customFormat="1" ht="18" x14ac:dyDescent="0.25">
      <c r="A404" s="2372">
        <v>3312</v>
      </c>
      <c r="B404" s="2374">
        <v>5221</v>
      </c>
      <c r="C404" s="2367" t="s">
        <v>1140</v>
      </c>
      <c r="D404" s="2417" t="s">
        <v>1247</v>
      </c>
      <c r="E404" s="428">
        <v>0</v>
      </c>
      <c r="F404" s="428">
        <v>10</v>
      </c>
      <c r="G404" s="428">
        <v>10</v>
      </c>
      <c r="H404" s="1652">
        <f t="shared" si="85"/>
        <v>100</v>
      </c>
      <c r="J404" s="484"/>
      <c r="K404" s="2443"/>
      <c r="L404" s="2443">
        <v>10000</v>
      </c>
      <c r="M404" s="2443">
        <v>10000</v>
      </c>
    </row>
    <row r="405" spans="1:13" s="730" customFormat="1" ht="18" x14ac:dyDescent="0.25">
      <c r="A405" s="2372">
        <v>3312</v>
      </c>
      <c r="B405" s="2374">
        <v>5222</v>
      </c>
      <c r="C405" s="2367" t="s">
        <v>1140</v>
      </c>
      <c r="D405" s="2418" t="s">
        <v>800</v>
      </c>
      <c r="E405" s="428">
        <v>0</v>
      </c>
      <c r="F405" s="428">
        <v>1335</v>
      </c>
      <c r="G405" s="428">
        <v>1335</v>
      </c>
      <c r="H405" s="1652">
        <f t="shared" si="85"/>
        <v>100</v>
      </c>
      <c r="J405" s="484"/>
      <c r="K405" s="2443"/>
      <c r="L405" s="2443">
        <v>1335000</v>
      </c>
      <c r="M405" s="2443">
        <v>1335000</v>
      </c>
    </row>
    <row r="406" spans="1:13" s="730" customFormat="1" ht="18" x14ac:dyDescent="0.25">
      <c r="A406" s="2372">
        <v>3312</v>
      </c>
      <c r="B406" s="2374">
        <v>5321</v>
      </c>
      <c r="C406" s="2367" t="s">
        <v>1140</v>
      </c>
      <c r="D406" s="644" t="s">
        <v>566</v>
      </c>
      <c r="E406" s="428">
        <v>0</v>
      </c>
      <c r="F406" s="428">
        <v>480</v>
      </c>
      <c r="G406" s="428">
        <v>480</v>
      </c>
      <c r="H406" s="1652">
        <f t="shared" si="85"/>
        <v>100</v>
      </c>
      <c r="J406" s="484"/>
      <c r="K406" s="2443"/>
      <c r="L406" s="2443">
        <v>480000</v>
      </c>
      <c r="M406" s="2443">
        <v>480000</v>
      </c>
    </row>
    <row r="407" spans="1:13" s="730" customFormat="1" ht="18" x14ac:dyDescent="0.25">
      <c r="A407" s="2372">
        <v>3312</v>
      </c>
      <c r="B407" s="2374">
        <v>5331</v>
      </c>
      <c r="C407" s="2367" t="s">
        <v>1140</v>
      </c>
      <c r="D407" s="2420" t="s">
        <v>465</v>
      </c>
      <c r="E407" s="428">
        <v>0</v>
      </c>
      <c r="F407" s="428">
        <v>90</v>
      </c>
      <c r="G407" s="428">
        <v>90</v>
      </c>
      <c r="H407" s="1652">
        <f t="shared" si="85"/>
        <v>100</v>
      </c>
      <c r="J407" s="484"/>
      <c r="K407" s="2443"/>
      <c r="L407" s="2443">
        <v>90000</v>
      </c>
      <c r="M407" s="2443">
        <v>90000</v>
      </c>
    </row>
    <row r="408" spans="1:13" s="730" customFormat="1" ht="18" x14ac:dyDescent="0.25">
      <c r="A408" s="2372">
        <v>3312</v>
      </c>
      <c r="B408" s="2374">
        <v>5333</v>
      </c>
      <c r="C408" s="2367" t="s">
        <v>1140</v>
      </c>
      <c r="D408" s="3226" t="s">
        <v>1231</v>
      </c>
      <c r="E408" s="428">
        <v>0</v>
      </c>
      <c r="F408" s="428">
        <v>20</v>
      </c>
      <c r="G408" s="428">
        <v>20</v>
      </c>
      <c r="H408" s="1652">
        <f t="shared" si="85"/>
        <v>100</v>
      </c>
      <c r="J408" s="484"/>
      <c r="K408" s="2443"/>
      <c r="L408" s="2443">
        <v>20000</v>
      </c>
      <c r="M408" s="2443">
        <v>20000</v>
      </c>
    </row>
    <row r="409" spans="1:13" s="730" customFormat="1" ht="18" x14ac:dyDescent="0.25">
      <c r="A409" s="2372"/>
      <c r="B409" s="2374"/>
      <c r="C409" s="2367"/>
      <c r="D409" s="3227"/>
      <c r="E409" s="428"/>
      <c r="F409" s="428"/>
      <c r="G409" s="428"/>
      <c r="H409" s="1652"/>
      <c r="J409" s="484"/>
      <c r="K409" s="2443"/>
      <c r="L409" s="2443"/>
      <c r="M409" s="2443"/>
    </row>
    <row r="410" spans="1:13" s="730" customFormat="1" ht="18" x14ac:dyDescent="0.25">
      <c r="A410" s="2372">
        <v>3312</v>
      </c>
      <c r="B410" s="2374">
        <v>5493</v>
      </c>
      <c r="C410" s="2367" t="s">
        <v>1140</v>
      </c>
      <c r="D410" s="2419" t="s">
        <v>1651</v>
      </c>
      <c r="E410" s="428">
        <v>0</v>
      </c>
      <c r="F410" s="428">
        <v>60</v>
      </c>
      <c r="G410" s="428">
        <v>60</v>
      </c>
      <c r="H410" s="1652">
        <f t="shared" si="85"/>
        <v>100</v>
      </c>
      <c r="J410" s="484"/>
      <c r="K410" s="2443"/>
      <c r="L410" s="2443">
        <v>60000</v>
      </c>
      <c r="M410" s="2443">
        <v>60000</v>
      </c>
    </row>
    <row r="411" spans="1:13" s="730" customFormat="1" ht="18" x14ac:dyDescent="0.25">
      <c r="A411" s="2372">
        <v>3313</v>
      </c>
      <c r="B411" s="2374">
        <v>5213</v>
      </c>
      <c r="C411" s="2367" t="s">
        <v>1140</v>
      </c>
      <c r="D411" s="2417" t="s">
        <v>1245</v>
      </c>
      <c r="E411" s="428">
        <v>0</v>
      </c>
      <c r="F411" s="428">
        <v>200</v>
      </c>
      <c r="G411" s="428">
        <v>200</v>
      </c>
      <c r="H411" s="1652">
        <f t="shared" si="85"/>
        <v>100</v>
      </c>
      <c r="J411" s="484"/>
      <c r="K411" s="2443"/>
      <c r="L411" s="2443">
        <v>200000</v>
      </c>
      <c r="M411" s="2443">
        <v>200000</v>
      </c>
    </row>
    <row r="412" spans="1:13" s="730" customFormat="1" ht="18" x14ac:dyDescent="0.25">
      <c r="A412" s="2372">
        <v>3313</v>
      </c>
      <c r="B412" s="2374">
        <v>5222</v>
      </c>
      <c r="C412" s="2367" t="s">
        <v>1140</v>
      </c>
      <c r="D412" s="2418" t="s">
        <v>800</v>
      </c>
      <c r="E412" s="428">
        <v>0</v>
      </c>
      <c r="F412" s="428">
        <v>165</v>
      </c>
      <c r="G412" s="428">
        <v>165</v>
      </c>
      <c r="H412" s="1652">
        <f t="shared" ref="H412:H445" si="86">(G412/F412)*100</f>
        <v>100</v>
      </c>
      <c r="J412" s="484"/>
      <c r="K412" s="2443"/>
      <c r="L412" s="2443">
        <v>165000</v>
      </c>
      <c r="M412" s="2443">
        <v>165000</v>
      </c>
    </row>
    <row r="413" spans="1:13" s="730" customFormat="1" ht="18" x14ac:dyDescent="0.25">
      <c r="A413" s="2372">
        <v>3313</v>
      </c>
      <c r="B413" s="2374">
        <v>5493</v>
      </c>
      <c r="C413" s="2367" t="s">
        <v>1140</v>
      </c>
      <c r="D413" s="2419" t="s">
        <v>1651</v>
      </c>
      <c r="E413" s="428">
        <v>0</v>
      </c>
      <c r="F413" s="428">
        <v>50</v>
      </c>
      <c r="G413" s="428">
        <v>50</v>
      </c>
      <c r="H413" s="1652">
        <f t="shared" si="86"/>
        <v>100</v>
      </c>
      <c r="J413" s="484"/>
      <c r="K413" s="2443"/>
      <c r="L413" s="2443">
        <v>50000</v>
      </c>
      <c r="M413" s="2443">
        <v>50000</v>
      </c>
    </row>
    <row r="414" spans="1:13" s="730" customFormat="1" ht="18" x14ac:dyDescent="0.25">
      <c r="A414" s="2372">
        <v>3315</v>
      </c>
      <c r="B414" s="2374">
        <v>5213</v>
      </c>
      <c r="C414" s="2367" t="s">
        <v>1140</v>
      </c>
      <c r="D414" s="2417" t="s">
        <v>1245</v>
      </c>
      <c r="E414" s="428">
        <v>0</v>
      </c>
      <c r="F414" s="428">
        <v>410</v>
      </c>
      <c r="G414" s="428">
        <v>410</v>
      </c>
      <c r="H414" s="1652">
        <f t="shared" si="86"/>
        <v>100</v>
      </c>
      <c r="J414" s="484"/>
      <c r="K414" s="2443"/>
      <c r="L414" s="2443">
        <v>410000</v>
      </c>
      <c r="M414" s="2443">
        <v>410000</v>
      </c>
    </row>
    <row r="415" spans="1:13" s="730" customFormat="1" ht="18" x14ac:dyDescent="0.25">
      <c r="A415" s="2372">
        <v>3315</v>
      </c>
      <c r="B415" s="2374">
        <v>5222</v>
      </c>
      <c r="C415" s="2367" t="s">
        <v>1140</v>
      </c>
      <c r="D415" s="2418" t="s">
        <v>800</v>
      </c>
      <c r="E415" s="428">
        <v>0</v>
      </c>
      <c r="F415" s="428">
        <v>65</v>
      </c>
      <c r="G415" s="428">
        <v>65</v>
      </c>
      <c r="H415" s="1652">
        <f t="shared" si="86"/>
        <v>100</v>
      </c>
      <c r="J415" s="484"/>
      <c r="K415" s="2443"/>
      <c r="L415" s="2443">
        <v>65000</v>
      </c>
      <c r="M415" s="2443">
        <v>65000</v>
      </c>
    </row>
    <row r="416" spans="1:13" s="730" customFormat="1" ht="18" x14ac:dyDescent="0.25">
      <c r="A416" s="2372">
        <v>3315</v>
      </c>
      <c r="B416" s="2374">
        <v>5339</v>
      </c>
      <c r="C416" s="2367" t="s">
        <v>1140</v>
      </c>
      <c r="D416" s="2435" t="s">
        <v>1230</v>
      </c>
      <c r="E416" s="428">
        <v>0</v>
      </c>
      <c r="F416" s="428">
        <v>100</v>
      </c>
      <c r="G416" s="428">
        <v>100</v>
      </c>
      <c r="H416" s="1652">
        <f t="shared" si="86"/>
        <v>100</v>
      </c>
      <c r="J416" s="484"/>
      <c r="K416" s="2443"/>
      <c r="L416" s="2443">
        <v>100000</v>
      </c>
      <c r="M416" s="2443">
        <v>100000</v>
      </c>
    </row>
    <row r="417" spans="1:13" s="730" customFormat="1" ht="18" x14ac:dyDescent="0.25">
      <c r="A417" s="2372">
        <v>3315</v>
      </c>
      <c r="B417" s="2374">
        <v>5493</v>
      </c>
      <c r="C417" s="2367" t="s">
        <v>1140</v>
      </c>
      <c r="D417" s="2419" t="s">
        <v>1651</v>
      </c>
      <c r="E417" s="428">
        <v>0</v>
      </c>
      <c r="F417" s="428">
        <v>45</v>
      </c>
      <c r="G417" s="428">
        <v>45</v>
      </c>
      <c r="H417" s="1652">
        <f t="shared" si="86"/>
        <v>100</v>
      </c>
      <c r="J417" s="484"/>
      <c r="K417" s="2443"/>
      <c r="L417" s="2443">
        <v>45000</v>
      </c>
      <c r="M417" s="2443">
        <v>45000</v>
      </c>
    </row>
    <row r="418" spans="1:13" s="730" customFormat="1" ht="18" x14ac:dyDescent="0.25">
      <c r="A418" s="2372">
        <v>3316</v>
      </c>
      <c r="B418" s="2374">
        <v>5212</v>
      </c>
      <c r="C418" s="2367" t="s">
        <v>1140</v>
      </c>
      <c r="D418" s="644" t="s">
        <v>1244</v>
      </c>
      <c r="E418" s="428">
        <v>0</v>
      </c>
      <c r="F418" s="428">
        <v>170</v>
      </c>
      <c r="G418" s="428">
        <v>170</v>
      </c>
      <c r="H418" s="1652">
        <f t="shared" si="86"/>
        <v>100</v>
      </c>
      <c r="J418" s="484"/>
      <c r="K418" s="2443"/>
      <c r="L418" s="2443">
        <v>170000</v>
      </c>
      <c r="M418" s="2443">
        <v>170000</v>
      </c>
    </row>
    <row r="419" spans="1:13" s="730" customFormat="1" ht="18" x14ac:dyDescent="0.25">
      <c r="A419" s="2372">
        <v>3316</v>
      </c>
      <c r="B419" s="2374">
        <v>5213</v>
      </c>
      <c r="C419" s="2367" t="s">
        <v>1140</v>
      </c>
      <c r="D419" s="2417" t="s">
        <v>1245</v>
      </c>
      <c r="E419" s="428">
        <v>0</v>
      </c>
      <c r="F419" s="428">
        <v>60</v>
      </c>
      <c r="G419" s="428">
        <v>60</v>
      </c>
      <c r="H419" s="1652">
        <f t="shared" si="86"/>
        <v>100</v>
      </c>
      <c r="J419" s="484"/>
      <c r="K419" s="2443"/>
      <c r="L419" s="2443">
        <v>60000</v>
      </c>
      <c r="M419" s="2443">
        <v>60000</v>
      </c>
    </row>
    <row r="420" spans="1:13" s="730" customFormat="1" ht="18" x14ac:dyDescent="0.25">
      <c r="A420" s="2372">
        <v>3316</v>
      </c>
      <c r="B420" s="2374">
        <v>5222</v>
      </c>
      <c r="C420" s="2367" t="s">
        <v>1140</v>
      </c>
      <c r="D420" s="2418" t="s">
        <v>800</v>
      </c>
      <c r="E420" s="428">
        <v>0</v>
      </c>
      <c r="F420" s="428">
        <v>170</v>
      </c>
      <c r="G420" s="428">
        <v>170</v>
      </c>
      <c r="H420" s="1652">
        <f t="shared" si="86"/>
        <v>100</v>
      </c>
      <c r="J420" s="484"/>
      <c r="K420" s="2443"/>
      <c r="L420" s="2443">
        <v>170000</v>
      </c>
      <c r="M420" s="2443">
        <v>170000</v>
      </c>
    </row>
    <row r="421" spans="1:13" s="730" customFormat="1" ht="18" x14ac:dyDescent="0.25">
      <c r="A421" s="2372">
        <v>3316</v>
      </c>
      <c r="B421" s="2374">
        <v>5223</v>
      </c>
      <c r="C421" s="2367" t="s">
        <v>1140</v>
      </c>
      <c r="D421" s="1071" t="s">
        <v>1246</v>
      </c>
      <c r="E421" s="428">
        <v>0</v>
      </c>
      <c r="F421" s="428">
        <v>30</v>
      </c>
      <c r="G421" s="428">
        <v>30</v>
      </c>
      <c r="H421" s="1652">
        <f t="shared" si="86"/>
        <v>100</v>
      </c>
      <c r="J421" s="484"/>
      <c r="K421" s="2443"/>
      <c r="L421" s="2443">
        <v>30000</v>
      </c>
      <c r="M421" s="2443">
        <v>30000</v>
      </c>
    </row>
    <row r="422" spans="1:13" s="730" customFormat="1" ht="18" x14ac:dyDescent="0.25">
      <c r="A422" s="2372">
        <v>3316</v>
      </c>
      <c r="B422" s="2374">
        <v>5321</v>
      </c>
      <c r="C422" s="2367" t="s">
        <v>1140</v>
      </c>
      <c r="D422" s="644" t="s">
        <v>566</v>
      </c>
      <c r="E422" s="428">
        <v>0</v>
      </c>
      <c r="F422" s="428">
        <v>260</v>
      </c>
      <c r="G422" s="428">
        <v>260</v>
      </c>
      <c r="H422" s="1652">
        <f t="shared" si="86"/>
        <v>100</v>
      </c>
      <c r="J422" s="484"/>
      <c r="K422" s="2443"/>
      <c r="L422" s="2443">
        <v>260000</v>
      </c>
      <c r="M422" s="2443">
        <v>260000</v>
      </c>
    </row>
    <row r="423" spans="1:13" s="730" customFormat="1" ht="18" x14ac:dyDescent="0.25">
      <c r="A423" s="2372">
        <v>3316</v>
      </c>
      <c r="B423" s="2374">
        <v>5493</v>
      </c>
      <c r="C423" s="2367" t="s">
        <v>1140</v>
      </c>
      <c r="D423" s="2419" t="s">
        <v>1651</v>
      </c>
      <c r="E423" s="428">
        <v>0</v>
      </c>
      <c r="F423" s="428">
        <v>140</v>
      </c>
      <c r="G423" s="428">
        <v>128</v>
      </c>
      <c r="H423" s="1652">
        <f t="shared" si="86"/>
        <v>91.428571428571431</v>
      </c>
      <c r="J423" s="484"/>
      <c r="K423" s="2443"/>
      <c r="L423" s="2443">
        <v>140000</v>
      </c>
      <c r="M423" s="2443">
        <v>127640</v>
      </c>
    </row>
    <row r="424" spans="1:13" s="730" customFormat="1" ht="18" x14ac:dyDescent="0.25">
      <c r="A424" s="2372">
        <v>3317</v>
      </c>
      <c r="B424" s="2374">
        <v>5212</v>
      </c>
      <c r="C424" s="2367" t="s">
        <v>1140</v>
      </c>
      <c r="D424" s="644" t="s">
        <v>1244</v>
      </c>
      <c r="E424" s="428">
        <v>0</v>
      </c>
      <c r="F424" s="428">
        <v>50</v>
      </c>
      <c r="G424" s="428">
        <v>50</v>
      </c>
      <c r="H424" s="1652">
        <f t="shared" si="86"/>
        <v>100</v>
      </c>
      <c r="J424" s="484"/>
      <c r="K424" s="2443"/>
      <c r="L424" s="2443">
        <v>50000</v>
      </c>
      <c r="M424" s="2443">
        <v>50000</v>
      </c>
    </row>
    <row r="425" spans="1:13" s="730" customFormat="1" ht="18.75" thickBot="1" x14ac:dyDescent="0.3">
      <c r="A425" s="2373">
        <v>3317</v>
      </c>
      <c r="B425" s="2375">
        <v>5213</v>
      </c>
      <c r="C425" s="2368" t="s">
        <v>1140</v>
      </c>
      <c r="D425" s="3135" t="s">
        <v>1245</v>
      </c>
      <c r="E425" s="1656">
        <v>0</v>
      </c>
      <c r="F425" s="1656">
        <v>140</v>
      </c>
      <c r="G425" s="1656">
        <v>140</v>
      </c>
      <c r="H425" s="2371">
        <f t="shared" si="86"/>
        <v>100</v>
      </c>
      <c r="J425" s="484"/>
      <c r="K425" s="2443"/>
      <c r="L425" s="2443">
        <v>140000</v>
      </c>
      <c r="M425" s="2443">
        <v>140000</v>
      </c>
    </row>
    <row r="426" spans="1:13" s="3133" customFormat="1" ht="19.5" thickTop="1" thickBot="1" x14ac:dyDescent="0.3">
      <c r="A426" s="33"/>
      <c r="B426" s="570"/>
      <c r="C426" s="571"/>
      <c r="D426" s="372"/>
      <c r="E426" s="373"/>
      <c r="F426" s="560"/>
      <c r="G426" s="373"/>
      <c r="H426" s="1568" t="s">
        <v>92</v>
      </c>
      <c r="J426" s="440"/>
      <c r="K426" s="3134"/>
      <c r="L426" s="3134"/>
      <c r="M426" s="3134"/>
    </row>
    <row r="427" spans="1:13" s="3133" customFormat="1" ht="19.5" thickTop="1" thickBot="1" x14ac:dyDescent="0.3">
      <c r="A427" s="572" t="s">
        <v>93</v>
      </c>
      <c r="B427" s="573" t="s">
        <v>94</v>
      </c>
      <c r="C427" s="575" t="s">
        <v>364</v>
      </c>
      <c r="D427" s="639" t="s">
        <v>95</v>
      </c>
      <c r="E427" s="639" t="s">
        <v>328</v>
      </c>
      <c r="F427" s="639" t="s">
        <v>329</v>
      </c>
      <c r="G427" s="639" t="s">
        <v>448</v>
      </c>
      <c r="H427" s="576" t="s">
        <v>449</v>
      </c>
      <c r="J427" s="440"/>
      <c r="K427" s="3134"/>
      <c r="L427" s="3134"/>
      <c r="M427" s="3134"/>
    </row>
    <row r="428" spans="1:13" s="3133" customFormat="1" ht="19.5" thickTop="1" thickBot="1" x14ac:dyDescent="0.3">
      <c r="A428" s="511">
        <v>1</v>
      </c>
      <c r="B428" s="512">
        <v>2</v>
      </c>
      <c r="C428" s="512">
        <v>3</v>
      </c>
      <c r="D428" s="512">
        <v>4</v>
      </c>
      <c r="E428" s="512">
        <v>5</v>
      </c>
      <c r="F428" s="499">
        <v>6</v>
      </c>
      <c r="G428" s="499">
        <v>7</v>
      </c>
      <c r="H428" s="577" t="s">
        <v>33</v>
      </c>
      <c r="J428" s="440"/>
      <c r="K428" s="3134"/>
      <c r="L428" s="3134"/>
      <c r="M428" s="3134"/>
    </row>
    <row r="429" spans="1:13" s="730" customFormat="1" ht="18.75" thickTop="1" x14ac:dyDescent="0.25">
      <c r="A429" s="2372">
        <v>3317</v>
      </c>
      <c r="B429" s="2374">
        <v>5222</v>
      </c>
      <c r="C429" s="2367" t="s">
        <v>1140</v>
      </c>
      <c r="D429" s="2418" t="s">
        <v>800</v>
      </c>
      <c r="E429" s="428">
        <v>0</v>
      </c>
      <c r="F429" s="428">
        <v>420</v>
      </c>
      <c r="G429" s="428">
        <v>420</v>
      </c>
      <c r="H429" s="1652">
        <f t="shared" si="86"/>
        <v>100</v>
      </c>
      <c r="J429" s="484"/>
      <c r="K429" s="2443"/>
      <c r="L429" s="2443">
        <v>420000</v>
      </c>
      <c r="M429" s="2443">
        <v>420000</v>
      </c>
    </row>
    <row r="430" spans="1:13" s="730" customFormat="1" ht="18" x14ac:dyDescent="0.25">
      <c r="A430" s="2372">
        <v>3317</v>
      </c>
      <c r="B430" s="2374">
        <v>5321</v>
      </c>
      <c r="C430" s="2367" t="s">
        <v>1140</v>
      </c>
      <c r="D430" s="644" t="s">
        <v>566</v>
      </c>
      <c r="E430" s="428">
        <v>0</v>
      </c>
      <c r="F430" s="428">
        <v>40</v>
      </c>
      <c r="G430" s="428">
        <v>33</v>
      </c>
      <c r="H430" s="1652">
        <f t="shared" si="86"/>
        <v>82.5</v>
      </c>
      <c r="J430" s="484"/>
      <c r="K430" s="2443"/>
      <c r="L430" s="2443">
        <v>40000</v>
      </c>
      <c r="M430" s="2443">
        <v>32706</v>
      </c>
    </row>
    <row r="431" spans="1:13" s="730" customFormat="1" ht="18" x14ac:dyDescent="0.25">
      <c r="A431" s="2372">
        <v>3317</v>
      </c>
      <c r="B431" s="2374">
        <v>5331</v>
      </c>
      <c r="C431" s="2367" t="s">
        <v>1140</v>
      </c>
      <c r="D431" s="2420" t="s">
        <v>465</v>
      </c>
      <c r="E431" s="428">
        <v>0</v>
      </c>
      <c r="F431" s="428">
        <v>40</v>
      </c>
      <c r="G431" s="428">
        <v>40</v>
      </c>
      <c r="H431" s="1652">
        <f t="shared" si="86"/>
        <v>100</v>
      </c>
      <c r="J431" s="484"/>
      <c r="K431" s="2443"/>
      <c r="L431" s="2443">
        <v>40000</v>
      </c>
      <c r="M431" s="2443">
        <v>40000</v>
      </c>
    </row>
    <row r="432" spans="1:13" s="730" customFormat="1" ht="18" x14ac:dyDescent="0.25">
      <c r="A432" s="2372">
        <v>3317</v>
      </c>
      <c r="B432" s="2374">
        <v>5493</v>
      </c>
      <c r="C432" s="2367" t="s">
        <v>1140</v>
      </c>
      <c r="D432" s="2419" t="s">
        <v>1651</v>
      </c>
      <c r="E432" s="428">
        <v>0</v>
      </c>
      <c r="F432" s="428">
        <v>50</v>
      </c>
      <c r="G432" s="428">
        <v>40</v>
      </c>
      <c r="H432" s="1652">
        <f t="shared" si="86"/>
        <v>80</v>
      </c>
      <c r="J432" s="484"/>
      <c r="K432" s="2443"/>
      <c r="L432" s="2443">
        <v>50000</v>
      </c>
      <c r="M432" s="2443">
        <v>40000</v>
      </c>
    </row>
    <row r="433" spans="1:13" s="730" customFormat="1" ht="18" x14ac:dyDescent="0.25">
      <c r="A433" s="2372">
        <v>3319</v>
      </c>
      <c r="B433" s="2374">
        <v>5212</v>
      </c>
      <c r="C433" s="2367" t="s">
        <v>1140</v>
      </c>
      <c r="D433" s="644" t="s">
        <v>1244</v>
      </c>
      <c r="E433" s="428">
        <v>0</v>
      </c>
      <c r="F433" s="428">
        <v>315</v>
      </c>
      <c r="G433" s="428">
        <v>315</v>
      </c>
      <c r="H433" s="1652">
        <f t="shared" si="86"/>
        <v>100</v>
      </c>
      <c r="J433" s="484"/>
      <c r="K433" s="2443"/>
      <c r="L433" s="2443">
        <v>315000</v>
      </c>
      <c r="M433" s="2443">
        <v>315000</v>
      </c>
    </row>
    <row r="434" spans="1:13" s="730" customFormat="1" ht="18" x14ac:dyDescent="0.25">
      <c r="A434" s="2372">
        <v>3319</v>
      </c>
      <c r="B434" s="2374">
        <v>5213</v>
      </c>
      <c r="C434" s="2367" t="s">
        <v>1140</v>
      </c>
      <c r="D434" s="2417" t="s">
        <v>1245</v>
      </c>
      <c r="E434" s="428">
        <v>0</v>
      </c>
      <c r="F434" s="428">
        <v>1995</v>
      </c>
      <c r="G434" s="428">
        <v>1995</v>
      </c>
      <c r="H434" s="1652">
        <f t="shared" si="86"/>
        <v>100</v>
      </c>
      <c r="J434" s="484"/>
      <c r="K434" s="2443"/>
      <c r="L434" s="2443">
        <v>1995000</v>
      </c>
      <c r="M434" s="2443">
        <v>1995000</v>
      </c>
    </row>
    <row r="435" spans="1:13" s="730" customFormat="1" ht="18" x14ac:dyDescent="0.25">
      <c r="A435" s="2372">
        <v>3319</v>
      </c>
      <c r="B435" s="2374">
        <v>5221</v>
      </c>
      <c r="C435" s="2367" t="s">
        <v>1140</v>
      </c>
      <c r="D435" s="2417" t="s">
        <v>1247</v>
      </c>
      <c r="E435" s="428">
        <v>0</v>
      </c>
      <c r="F435" s="428">
        <v>30</v>
      </c>
      <c r="G435" s="428">
        <v>30</v>
      </c>
      <c r="H435" s="1652">
        <f t="shared" si="86"/>
        <v>100</v>
      </c>
      <c r="J435" s="484"/>
      <c r="K435" s="2443"/>
      <c r="L435" s="2443">
        <v>30000</v>
      </c>
      <c r="M435" s="2443">
        <v>30000</v>
      </c>
    </row>
    <row r="436" spans="1:13" s="730" customFormat="1" ht="18" x14ac:dyDescent="0.25">
      <c r="A436" s="2372">
        <v>3319</v>
      </c>
      <c r="B436" s="2374">
        <v>5222</v>
      </c>
      <c r="C436" s="2367" t="s">
        <v>1140</v>
      </c>
      <c r="D436" s="2418" t="s">
        <v>800</v>
      </c>
      <c r="E436" s="428">
        <v>22000</v>
      </c>
      <c r="F436" s="428">
        <v>5725</v>
      </c>
      <c r="G436" s="428">
        <v>3143</v>
      </c>
      <c r="H436" s="1652">
        <f t="shared" si="86"/>
        <v>54.89956331877729</v>
      </c>
      <c r="J436" s="484"/>
      <c r="K436" s="2443">
        <v>22000000</v>
      </c>
      <c r="L436" s="2443">
        <v>5725000</v>
      </c>
      <c r="M436" s="2443">
        <v>3143000</v>
      </c>
    </row>
    <row r="437" spans="1:13" s="730" customFormat="1" ht="18" x14ac:dyDescent="0.25">
      <c r="A437" s="2372">
        <v>3319</v>
      </c>
      <c r="B437" s="2374">
        <v>5223</v>
      </c>
      <c r="C437" s="2367" t="s">
        <v>1140</v>
      </c>
      <c r="D437" s="1071" t="s">
        <v>1246</v>
      </c>
      <c r="E437" s="428">
        <v>0</v>
      </c>
      <c r="F437" s="428">
        <v>125</v>
      </c>
      <c r="G437" s="428">
        <v>125</v>
      </c>
      <c r="H437" s="1652">
        <f t="shared" si="86"/>
        <v>100</v>
      </c>
      <c r="J437" s="484"/>
      <c r="K437" s="2443"/>
      <c r="L437" s="2443">
        <v>125000</v>
      </c>
      <c r="M437" s="2443">
        <v>125000</v>
      </c>
    </row>
    <row r="438" spans="1:13" s="730" customFormat="1" ht="18" x14ac:dyDescent="0.25">
      <c r="A438" s="2372">
        <v>3319</v>
      </c>
      <c r="B438" s="2374">
        <v>5229</v>
      </c>
      <c r="C438" s="2367" t="s">
        <v>1140</v>
      </c>
      <c r="D438" s="2417" t="s">
        <v>1248</v>
      </c>
      <c r="E438" s="428">
        <v>0</v>
      </c>
      <c r="F438" s="428">
        <v>90</v>
      </c>
      <c r="G438" s="428">
        <v>90</v>
      </c>
      <c r="H438" s="1652">
        <f t="shared" si="86"/>
        <v>100</v>
      </c>
      <c r="J438" s="484"/>
      <c r="K438" s="2443"/>
      <c r="L438" s="2443">
        <v>90000</v>
      </c>
      <c r="M438" s="2443">
        <v>90000</v>
      </c>
    </row>
    <row r="439" spans="1:13" s="730" customFormat="1" ht="18" x14ac:dyDescent="0.25">
      <c r="A439" s="2372">
        <v>3319</v>
      </c>
      <c r="B439" s="2374">
        <v>5321</v>
      </c>
      <c r="C439" s="2367" t="s">
        <v>1140</v>
      </c>
      <c r="D439" s="644" t="s">
        <v>566</v>
      </c>
      <c r="E439" s="428">
        <v>0</v>
      </c>
      <c r="F439" s="428">
        <v>1375</v>
      </c>
      <c r="G439" s="428">
        <v>1375</v>
      </c>
      <c r="H439" s="1652">
        <f t="shared" si="86"/>
        <v>100</v>
      </c>
      <c r="J439" s="484"/>
      <c r="K439" s="2443"/>
      <c r="L439" s="2443">
        <v>1375000</v>
      </c>
      <c r="M439" s="2443">
        <v>1375000</v>
      </c>
    </row>
    <row r="440" spans="1:13" s="730" customFormat="1" ht="18" x14ac:dyDescent="0.25">
      <c r="A440" s="2372">
        <v>3319</v>
      </c>
      <c r="B440" s="2374">
        <v>5329</v>
      </c>
      <c r="C440" s="2367" t="s">
        <v>1140</v>
      </c>
      <c r="D440" s="2422" t="s">
        <v>1249</v>
      </c>
      <c r="E440" s="428">
        <v>0</v>
      </c>
      <c r="F440" s="428">
        <v>260</v>
      </c>
      <c r="G440" s="428">
        <v>260</v>
      </c>
      <c r="H440" s="1652">
        <f t="shared" si="86"/>
        <v>100</v>
      </c>
      <c r="J440" s="484"/>
      <c r="K440" s="2443"/>
      <c r="L440" s="2443">
        <v>260000</v>
      </c>
      <c r="M440" s="2443">
        <v>260000</v>
      </c>
    </row>
    <row r="441" spans="1:13" s="730" customFormat="1" ht="18" x14ac:dyDescent="0.25">
      <c r="A441" s="2372">
        <v>3319</v>
      </c>
      <c r="B441" s="2374">
        <v>5331</v>
      </c>
      <c r="C441" s="2367" t="s">
        <v>1140</v>
      </c>
      <c r="D441" s="2420" t="s">
        <v>465</v>
      </c>
      <c r="E441" s="428">
        <v>0</v>
      </c>
      <c r="F441" s="428">
        <v>520</v>
      </c>
      <c r="G441" s="428">
        <v>520</v>
      </c>
      <c r="H441" s="1652">
        <f t="shared" si="86"/>
        <v>100</v>
      </c>
      <c r="J441" s="484"/>
      <c r="K441" s="2443"/>
      <c r="L441" s="2443">
        <v>520000</v>
      </c>
      <c r="M441" s="2443">
        <v>520000</v>
      </c>
    </row>
    <row r="442" spans="1:13" s="730" customFormat="1" ht="18" x14ac:dyDescent="0.25">
      <c r="A442" s="2372">
        <v>3319</v>
      </c>
      <c r="B442" s="2374">
        <v>5332</v>
      </c>
      <c r="C442" s="2367" t="s">
        <v>1140</v>
      </c>
      <c r="D442" s="2422" t="s">
        <v>1123</v>
      </c>
      <c r="E442" s="428">
        <v>0</v>
      </c>
      <c r="F442" s="428">
        <v>1000</v>
      </c>
      <c r="G442" s="428">
        <v>1000</v>
      </c>
      <c r="H442" s="1652">
        <f t="shared" si="86"/>
        <v>100</v>
      </c>
      <c r="J442" s="484"/>
      <c r="K442" s="2443"/>
      <c r="L442" s="2443">
        <v>1000000</v>
      </c>
      <c r="M442" s="2443">
        <v>1000000</v>
      </c>
    </row>
    <row r="443" spans="1:13" s="730" customFormat="1" ht="18" x14ac:dyDescent="0.25">
      <c r="A443" s="2372">
        <v>3319</v>
      </c>
      <c r="B443" s="2374">
        <v>5493</v>
      </c>
      <c r="C443" s="2367" t="s">
        <v>1140</v>
      </c>
      <c r="D443" s="2419" t="s">
        <v>1651</v>
      </c>
      <c r="E443" s="428">
        <v>0</v>
      </c>
      <c r="F443" s="428">
        <v>125</v>
      </c>
      <c r="G443" s="428">
        <v>122</v>
      </c>
      <c r="H443" s="1652">
        <f t="shared" si="86"/>
        <v>97.6</v>
      </c>
      <c r="J443" s="484"/>
      <c r="K443" s="2443"/>
      <c r="L443" s="2443">
        <v>125000</v>
      </c>
      <c r="M443" s="2443">
        <v>122489</v>
      </c>
    </row>
    <row r="444" spans="1:13" s="730" customFormat="1" ht="18" x14ac:dyDescent="0.25">
      <c r="A444" s="2372">
        <v>3399</v>
      </c>
      <c r="B444" s="2374">
        <v>5222</v>
      </c>
      <c r="C444" s="2367" t="s">
        <v>1140</v>
      </c>
      <c r="D444" s="2418" t="s">
        <v>800</v>
      </c>
      <c r="E444" s="428">
        <v>0</v>
      </c>
      <c r="F444" s="428">
        <v>190</v>
      </c>
      <c r="G444" s="428">
        <v>188</v>
      </c>
      <c r="H444" s="1652">
        <f t="shared" si="86"/>
        <v>98.94736842105263</v>
      </c>
      <c r="J444" s="484"/>
      <c r="K444" s="2443"/>
      <c r="L444" s="2443">
        <v>190000</v>
      </c>
      <c r="M444" s="2443">
        <v>188572</v>
      </c>
    </row>
    <row r="445" spans="1:13" s="730" customFormat="1" ht="18.75" thickBot="1" x14ac:dyDescent="0.3">
      <c r="A445" s="2373">
        <v>3399</v>
      </c>
      <c r="B445" s="2374">
        <v>5321</v>
      </c>
      <c r="C445" s="2367" t="s">
        <v>1140</v>
      </c>
      <c r="D445" s="644" t="s">
        <v>566</v>
      </c>
      <c r="E445" s="428">
        <v>0</v>
      </c>
      <c r="F445" s="428">
        <v>1643</v>
      </c>
      <c r="G445" s="428">
        <v>1643</v>
      </c>
      <c r="H445" s="1652">
        <f t="shared" si="86"/>
        <v>100</v>
      </c>
      <c r="J445" s="484"/>
      <c r="K445" s="2443"/>
      <c r="L445" s="2443">
        <v>1643000</v>
      </c>
      <c r="M445" s="2443">
        <v>1643000</v>
      </c>
    </row>
    <row r="446" spans="1:13" s="730" customFormat="1" ht="19.5" thickTop="1" thickBot="1" x14ac:dyDescent="0.3">
      <c r="A446" s="578" t="s">
        <v>1306</v>
      </c>
      <c r="B446" s="744"/>
      <c r="C446" s="580"/>
      <c r="D446" s="581"/>
      <c r="E446" s="582">
        <f>SUM(E429:E445)+SUM(E393:E425)</f>
        <v>22000</v>
      </c>
      <c r="F446" s="582">
        <f t="shared" ref="F446" si="87">SUM(F429:F445)+SUM(F393:F425)</f>
        <v>21765</v>
      </c>
      <c r="G446" s="582">
        <f>SUM(G429:G445)+SUM(G393:G425)</f>
        <v>19119</v>
      </c>
      <c r="H446" s="783">
        <f>(G446/F446)*100</f>
        <v>87.842866988283944</v>
      </c>
      <c r="J446" s="484"/>
      <c r="K446" s="510">
        <f>SUM(K393:K445)</f>
        <v>22000000</v>
      </c>
      <c r="L446" s="510">
        <f>SUM(L393:L445)</f>
        <v>21765000</v>
      </c>
      <c r="M446" s="510">
        <f>SUM(M393:M445)</f>
        <v>19119407</v>
      </c>
    </row>
    <row r="447" spans="1:13" s="730" customFormat="1" ht="18.75" thickTop="1" x14ac:dyDescent="0.25">
      <c r="A447" s="353"/>
      <c r="B447" s="2351"/>
      <c r="C447" s="57"/>
      <c r="D447" s="354"/>
      <c r="E447" s="17"/>
      <c r="F447" s="17"/>
      <c r="G447" s="17"/>
      <c r="H447" s="2352"/>
      <c r="J447" s="484"/>
      <c r="K447" s="484"/>
      <c r="L447" s="484"/>
    </row>
    <row r="448" spans="1:13" s="730" customFormat="1" ht="18" x14ac:dyDescent="0.25">
      <c r="A448" s="3182" t="s">
        <v>1310</v>
      </c>
      <c r="B448" s="3182"/>
      <c r="C448" s="3182"/>
      <c r="D448" s="3182"/>
      <c r="E448" s="3182"/>
      <c r="F448" s="3182"/>
      <c r="G448" s="3182"/>
      <c r="H448" s="3182"/>
      <c r="J448" s="484"/>
      <c r="K448" s="484"/>
      <c r="L448" s="484"/>
    </row>
    <row r="449" spans="1:20" s="730" customFormat="1" ht="12.75" customHeight="1" thickBot="1" x14ac:dyDescent="0.3">
      <c r="A449" s="33"/>
      <c r="B449" s="570"/>
      <c r="C449" s="571"/>
      <c r="D449" s="372"/>
      <c r="E449" s="373"/>
      <c r="F449" s="560"/>
      <c r="G449" s="373"/>
      <c r="H449" s="1568" t="s">
        <v>92</v>
      </c>
      <c r="J449" s="484"/>
      <c r="K449" s="484"/>
      <c r="L449" s="484"/>
    </row>
    <row r="450" spans="1:20" s="730" customFormat="1" ht="19.5" thickTop="1" thickBot="1" x14ac:dyDescent="0.3">
      <c r="A450" s="572" t="s">
        <v>93</v>
      </c>
      <c r="B450" s="573" t="s">
        <v>94</v>
      </c>
      <c r="C450" s="575" t="s">
        <v>364</v>
      </c>
      <c r="D450" s="639" t="s">
        <v>95</v>
      </c>
      <c r="E450" s="639" t="s">
        <v>328</v>
      </c>
      <c r="F450" s="639" t="s">
        <v>329</v>
      </c>
      <c r="G450" s="639" t="s">
        <v>448</v>
      </c>
      <c r="H450" s="576" t="s">
        <v>449</v>
      </c>
      <c r="J450" s="484"/>
      <c r="K450" s="484"/>
      <c r="L450" s="484"/>
    </row>
    <row r="451" spans="1:20" s="730" customFormat="1" ht="19.5" thickTop="1" thickBot="1" x14ac:dyDescent="0.3">
      <c r="A451" s="511">
        <v>1</v>
      </c>
      <c r="B451" s="512">
        <v>2</v>
      </c>
      <c r="C451" s="512">
        <v>3</v>
      </c>
      <c r="D451" s="512">
        <v>4</v>
      </c>
      <c r="E451" s="512">
        <v>5</v>
      </c>
      <c r="F451" s="499">
        <v>6</v>
      </c>
      <c r="G451" s="499">
        <v>7</v>
      </c>
      <c r="H451" s="577" t="s">
        <v>33</v>
      </c>
      <c r="J451" s="484"/>
      <c r="K451" s="484"/>
      <c r="L451" s="484"/>
    </row>
    <row r="452" spans="1:20" s="730" customFormat="1" ht="18.75" thickTop="1" x14ac:dyDescent="0.25">
      <c r="A452" s="2372">
        <v>3311</v>
      </c>
      <c r="B452" s="2374">
        <v>5221</v>
      </c>
      <c r="C452" s="2367" t="s">
        <v>1226</v>
      </c>
      <c r="D452" s="2417" t="s">
        <v>1247</v>
      </c>
      <c r="E452" s="428">
        <v>1000</v>
      </c>
      <c r="F452" s="428">
        <v>1000</v>
      </c>
      <c r="G452" s="428">
        <v>1000</v>
      </c>
      <c r="H452" s="1652">
        <f t="shared" ref="H452" si="88">(G452/F452)*100</f>
        <v>100</v>
      </c>
      <c r="J452" s="484"/>
      <c r="K452" s="2443">
        <v>1000000</v>
      </c>
      <c r="L452" s="2443">
        <v>1000000</v>
      </c>
      <c r="M452" s="2443">
        <v>1000000</v>
      </c>
    </row>
    <row r="453" spans="1:20" s="730" customFormat="1" ht="18" x14ac:dyDescent="0.25">
      <c r="A453" s="2372">
        <v>3311</v>
      </c>
      <c r="B453" s="2374">
        <v>5222</v>
      </c>
      <c r="C453" s="2367" t="s">
        <v>1226</v>
      </c>
      <c r="D453" s="2418" t="s">
        <v>800</v>
      </c>
      <c r="E453" s="428">
        <v>1400</v>
      </c>
      <c r="F453" s="428">
        <v>500</v>
      </c>
      <c r="G453" s="428">
        <v>500</v>
      </c>
      <c r="H453" s="1652">
        <f t="shared" ref="H453:H461" si="89">(G453/F453)*100</f>
        <v>100</v>
      </c>
      <c r="J453" s="484"/>
      <c r="K453" s="2443">
        <v>1400000</v>
      </c>
      <c r="L453" s="2443">
        <v>500000</v>
      </c>
      <c r="M453" s="2443">
        <v>500000</v>
      </c>
    </row>
    <row r="454" spans="1:20" s="730" customFormat="1" ht="18" x14ac:dyDescent="0.25">
      <c r="A454" s="2372">
        <v>3311</v>
      </c>
      <c r="B454" s="2374">
        <v>5229</v>
      </c>
      <c r="C454" s="2367" t="s">
        <v>1226</v>
      </c>
      <c r="D454" s="2417" t="s">
        <v>1248</v>
      </c>
      <c r="E454" s="428">
        <v>0</v>
      </c>
      <c r="F454" s="428">
        <v>900</v>
      </c>
      <c r="G454" s="428">
        <v>900</v>
      </c>
      <c r="H454" s="1652">
        <f t="shared" si="89"/>
        <v>100</v>
      </c>
      <c r="J454" s="484"/>
      <c r="K454" s="2443"/>
      <c r="L454" s="2443">
        <v>900000</v>
      </c>
      <c r="M454" s="2443">
        <v>900000</v>
      </c>
    </row>
    <row r="455" spans="1:20" s="730" customFormat="1" ht="18" x14ac:dyDescent="0.25">
      <c r="A455" s="2372">
        <v>3312</v>
      </c>
      <c r="B455" s="2374">
        <v>5213</v>
      </c>
      <c r="C455" s="2367" t="s">
        <v>1226</v>
      </c>
      <c r="D455" s="2417" t="s">
        <v>1245</v>
      </c>
      <c r="E455" s="428">
        <v>2000</v>
      </c>
      <c r="F455" s="428">
        <v>2000</v>
      </c>
      <c r="G455" s="428">
        <v>1700</v>
      </c>
      <c r="H455" s="1652">
        <f t="shared" si="89"/>
        <v>85</v>
      </c>
      <c r="J455" s="484"/>
      <c r="K455" s="2443">
        <v>2000000</v>
      </c>
      <c r="L455" s="2443">
        <v>2000000</v>
      </c>
      <c r="M455" s="2443">
        <v>1700000</v>
      </c>
    </row>
    <row r="456" spans="1:20" s="730" customFormat="1" ht="18" x14ac:dyDescent="0.25">
      <c r="A456" s="2372">
        <v>3312</v>
      </c>
      <c r="B456" s="2374">
        <v>5222</v>
      </c>
      <c r="C456" s="2367" t="s">
        <v>1226</v>
      </c>
      <c r="D456" s="2418" t="s">
        <v>800</v>
      </c>
      <c r="E456" s="428">
        <v>1100</v>
      </c>
      <c r="F456" s="428">
        <v>1100</v>
      </c>
      <c r="G456" s="428">
        <v>1100</v>
      </c>
      <c r="H456" s="1652">
        <f t="shared" si="89"/>
        <v>100</v>
      </c>
      <c r="J456" s="484"/>
      <c r="K456" s="2443">
        <v>1100000</v>
      </c>
      <c r="L456" s="2443">
        <v>1100000</v>
      </c>
      <c r="M456" s="2443">
        <v>1100000</v>
      </c>
    </row>
    <row r="457" spans="1:20" s="730" customFormat="1" ht="18" x14ac:dyDescent="0.25">
      <c r="A457" s="2372">
        <v>3312</v>
      </c>
      <c r="B457" s="2374">
        <v>5229</v>
      </c>
      <c r="C457" s="2367" t="s">
        <v>1226</v>
      </c>
      <c r="D457" s="2417" t="s">
        <v>1248</v>
      </c>
      <c r="E457" s="428">
        <v>1000</v>
      </c>
      <c r="F457" s="428">
        <v>1000</v>
      </c>
      <c r="G457" s="428">
        <v>1000</v>
      </c>
      <c r="H457" s="1652">
        <f t="shared" si="89"/>
        <v>100</v>
      </c>
      <c r="J457" s="484"/>
      <c r="K457" s="2443">
        <v>1000000</v>
      </c>
      <c r="L457" s="2443">
        <v>1000000</v>
      </c>
      <c r="M457" s="2443">
        <v>1000000</v>
      </c>
    </row>
    <row r="458" spans="1:20" s="730" customFormat="1" ht="18" x14ac:dyDescent="0.25">
      <c r="A458" s="2372">
        <v>3312</v>
      </c>
      <c r="B458" s="2374">
        <v>5321</v>
      </c>
      <c r="C458" s="2367" t="s">
        <v>1226</v>
      </c>
      <c r="D458" s="644" t="s">
        <v>566</v>
      </c>
      <c r="E458" s="428">
        <v>600</v>
      </c>
      <c r="F458" s="428">
        <v>600</v>
      </c>
      <c r="G458" s="428">
        <v>600</v>
      </c>
      <c r="H458" s="1652">
        <f t="shared" si="89"/>
        <v>100</v>
      </c>
      <c r="J458" s="484"/>
      <c r="K458" s="2443">
        <v>600000</v>
      </c>
      <c r="L458" s="2443">
        <v>600000</v>
      </c>
      <c r="M458" s="2443">
        <v>600000</v>
      </c>
    </row>
    <row r="459" spans="1:20" s="730" customFormat="1" ht="18" x14ac:dyDescent="0.25">
      <c r="A459" s="2372">
        <v>3319</v>
      </c>
      <c r="B459" s="2374">
        <v>5212</v>
      </c>
      <c r="C459" s="2367" t="s">
        <v>1226</v>
      </c>
      <c r="D459" s="644" t="s">
        <v>1244</v>
      </c>
      <c r="E459" s="428">
        <v>700</v>
      </c>
      <c r="F459" s="428">
        <v>700</v>
      </c>
      <c r="G459" s="428">
        <v>0</v>
      </c>
      <c r="H459" s="1652">
        <f t="shared" si="89"/>
        <v>0</v>
      </c>
      <c r="J459" s="484"/>
      <c r="K459" s="2443">
        <v>700000</v>
      </c>
      <c r="L459" s="2443">
        <v>700000</v>
      </c>
      <c r="M459" s="2443">
        <v>0</v>
      </c>
    </row>
    <row r="460" spans="1:20" s="730" customFormat="1" ht="18" x14ac:dyDescent="0.25">
      <c r="A460" s="2372">
        <v>3319</v>
      </c>
      <c r="B460" s="2374">
        <v>5213</v>
      </c>
      <c r="C460" s="2367" t="s">
        <v>1226</v>
      </c>
      <c r="D460" s="2417" t="s">
        <v>1245</v>
      </c>
      <c r="E460" s="428">
        <v>1000</v>
      </c>
      <c r="F460" s="428">
        <v>1000</v>
      </c>
      <c r="G460" s="428">
        <v>1000</v>
      </c>
      <c r="H460" s="1652">
        <f t="shared" si="89"/>
        <v>100</v>
      </c>
      <c r="J460" s="484"/>
      <c r="K460" s="2443">
        <v>1000000</v>
      </c>
      <c r="L460" s="2443">
        <v>1000000</v>
      </c>
      <c r="M460" s="2443">
        <v>1000000</v>
      </c>
    </row>
    <row r="461" spans="1:20" s="730" customFormat="1" ht="18.75" thickBot="1" x14ac:dyDescent="0.3">
      <c r="A461" s="2372">
        <v>3319</v>
      </c>
      <c r="B461" s="2374">
        <v>5321</v>
      </c>
      <c r="C461" s="2367" t="s">
        <v>1226</v>
      </c>
      <c r="D461" s="644" t="s">
        <v>566</v>
      </c>
      <c r="E461" s="428">
        <v>300</v>
      </c>
      <c r="F461" s="428">
        <v>300</v>
      </c>
      <c r="G461" s="428">
        <v>300</v>
      </c>
      <c r="H461" s="1652">
        <f t="shared" si="89"/>
        <v>100</v>
      </c>
      <c r="J461" s="484"/>
      <c r="K461" s="2443">
        <v>300000</v>
      </c>
      <c r="L461" s="2443">
        <v>300000</v>
      </c>
      <c r="M461" s="2443">
        <v>300000</v>
      </c>
    </row>
    <row r="462" spans="1:20" s="730" customFormat="1" ht="19.5" thickTop="1" thickBot="1" x14ac:dyDescent="0.3">
      <c r="A462" s="578" t="s">
        <v>1227</v>
      </c>
      <c r="B462" s="744"/>
      <c r="C462" s="580"/>
      <c r="D462" s="581"/>
      <c r="E462" s="582">
        <f>SUM(E452:E461)</f>
        <v>9100</v>
      </c>
      <c r="F462" s="582">
        <f>SUM(F452:F461)</f>
        <v>9100</v>
      </c>
      <c r="G462" s="582">
        <f>SUM(G452:G461)</f>
        <v>8100</v>
      </c>
      <c r="H462" s="783">
        <f>(G462/F462)*100</f>
        <v>89.010989010989007</v>
      </c>
      <c r="J462" s="484"/>
      <c r="K462" s="510">
        <f>SUM(K452:K461)</f>
        <v>9100000</v>
      </c>
      <c r="L462" s="510">
        <f>SUM(L452:L461)</f>
        <v>9100000</v>
      </c>
      <c r="M462" s="510">
        <f>SUM(M452:M461)</f>
        <v>8100000</v>
      </c>
    </row>
    <row r="463" spans="1:20" s="730" customFormat="1" ht="19.5" thickTop="1" thickBot="1" x14ac:dyDescent="0.3">
      <c r="A463" s="353"/>
      <c r="B463" s="2351"/>
      <c r="C463" s="57"/>
      <c r="D463" s="354"/>
      <c r="E463" s="17"/>
      <c r="F463" s="17"/>
      <c r="G463" s="17"/>
      <c r="H463" s="2352"/>
      <c r="J463" s="484"/>
      <c r="K463" s="484"/>
      <c r="L463" s="484"/>
      <c r="Q463" s="372" t="s">
        <v>1512</v>
      </c>
      <c r="R463" s="373">
        <f>E461+E460+E459+E458+E457+E456+E455+E454+E453+E452+E445+E444+E443+E442+E441+E440+E439+E438+E437+E436+E435+E434+E433+E432+E431+E430+E429+E425+E424+E423+E422+E421+E420+E419+E418+E417+E416+E415+E414+E413+E412+E411+E410+E408+E407+E406+E405+E404+E403+E402+E401+E399+E398+E397+E396+E395+E394+E393+E386+E385+E384+E377+E376+E369+E368+E367+E360+E359+E358+E357+E356+E355+E348+E341+E340+E339+E338+E331+E330+E323+E316+E315+E308+E300+E295+E294+E293+E292+E289+E288+E287+E286+E285+E284+E281+E280+E279+E278+E277+E276+E275+E274+E273+E272+E271+E270+E269+E268+E266+E265+E264+E263+E262+E261+E260+E259+E258+E257+E256+E255+E254+E253+E251+E250</f>
        <v>98850</v>
      </c>
      <c r="S463" s="373">
        <f>F461+F460+F459+F458+F457+F456+F455+F454+F453+F452+F445+F444+F443+F442+F441+F440+F439+F438+F437+F436+F435+F434+F433+F432+F431+F430+F429+F425+F424+F423+F422+F421+F420+F419+F418+F417+F416+F415+F414+F413+F412+F411+F410+F408+F407+F406+F405+F404+F403+F402+F401+F399+F398+F397+F396+F395+F394+F393+F386+F385+F384+F377+F376+F369+F368+F367+F360+F359+F358+F357+F356+F355+F348+F341+F340+F339+F338+F331+F330+F323+F316+F315+F308+F300+F295+F294+F293+F292+F289+F288+F287+F286+F285+F284+F281+F280+F279+F278+F277+F276+F275+F274+F273+F272+F271+F270+F269+F268+F266+F265+F264+F263+F262+F261+F260+F259+F258+F257+F256+F255+F254+F253+F251+F250</f>
        <v>165131</v>
      </c>
      <c r="T463" s="373">
        <f>G461+G460+G459+G458+G457+G456+G455+G454+G453+G452+G445+G444+G443+G442+G441+G440+G439+G438+G437+G436+G435+G434+G433+G432+G431+G430+G429+G425+G424+G423+G422+G421+G420+G419+G418+G417+G416+G415+G414+G413+G412+G411+G410+G408+G407+G406+G405+G404+G403+G402+G401+G399+G398+G397+G396+G395+G394+G393+G386+G385+G384+G377+G376+G369+G368+G367+G360+G359+G358+G357+G356+G355+G348+G341+G340+G339+G338+G331+G330+G323+G316+G315+G308+G300+G295+G294+G293+G292+G289+G288+G287+G286+G285+G284+G281+G280+G279+G278+G277+G276+G275+G274+G273+G272+G271+G270+G269+G268+G266+G265+G264+G263+G262+G261+G260+G259+G258+G257+G256+G255+G254+G253+G251+G250</f>
        <v>159021</v>
      </c>
    </row>
    <row r="464" spans="1:20" s="730" customFormat="1" ht="19.5" thickTop="1" thickBot="1" x14ac:dyDescent="0.3">
      <c r="A464" s="578" t="s">
        <v>1152</v>
      </c>
      <c r="B464" s="744"/>
      <c r="C464" s="580"/>
      <c r="D464" s="581"/>
      <c r="E464" s="582">
        <f>E446+E370+E361+E349+E342+E332+E324+E317+E309+E302+E378+E387+E462</f>
        <v>98850</v>
      </c>
      <c r="F464" s="582">
        <f>F446+F370+F361+F349+F342+F332+F324+F317+F309+F302+F378+F387+F462</f>
        <v>213555</v>
      </c>
      <c r="G464" s="582">
        <f>G446+G370+G361+G349+G342+G332+G324+G317+G309+G302+G378+G387+G462</f>
        <v>204245</v>
      </c>
      <c r="H464" s="783">
        <f>(G464/F464)*100</f>
        <v>95.640467326918127</v>
      </c>
      <c r="J464" s="484"/>
      <c r="K464" s="2433">
        <f>K462+K446+K387+K378+K370+K361+K349+K342+K332+K324+K317</f>
        <v>98850000</v>
      </c>
      <c r="L464" s="2433">
        <f>L462+L446+L387+L378+L370+L361+L349+L342+L332+L324+L317+L309+L302</f>
        <v>213555047</v>
      </c>
      <c r="M464" s="2433">
        <f>M462+M446+M387+M378+M370+M361+M349+M342+M332+M324+M317+M309+M302</f>
        <v>204245072.73000002</v>
      </c>
      <c r="Q464" s="372"/>
      <c r="R464" s="526">
        <f>SUM(R463:R463)</f>
        <v>98850</v>
      </c>
      <c r="S464" s="526">
        <f>SUM(S463:S463)</f>
        <v>165131</v>
      </c>
      <c r="T464" s="526">
        <f>SUM(T463:T463)</f>
        <v>159021</v>
      </c>
    </row>
    <row r="465" spans="1:19" s="730" customFormat="1" ht="18.75" thickTop="1" x14ac:dyDescent="0.25">
      <c r="A465" s="353"/>
      <c r="B465" s="2351"/>
      <c r="C465" s="57"/>
      <c r="D465" s="354"/>
      <c r="E465" s="17"/>
      <c r="F465" s="17"/>
      <c r="G465" s="17"/>
      <c r="H465" s="2352"/>
      <c r="J465" s="484"/>
      <c r="K465" s="484"/>
      <c r="L465" s="484"/>
    </row>
    <row r="466" spans="1:19" s="730" customFormat="1" ht="18" x14ac:dyDescent="0.25">
      <c r="A466" s="353"/>
      <c r="B466" s="2351"/>
      <c r="C466" s="57"/>
      <c r="D466" s="354"/>
      <c r="E466" s="17"/>
      <c r="F466" s="17"/>
      <c r="G466" s="17"/>
      <c r="H466" s="2352"/>
      <c r="J466" s="484"/>
      <c r="K466" s="484"/>
      <c r="L466" s="484"/>
    </row>
    <row r="467" spans="1:19" ht="16.5" x14ac:dyDescent="0.25">
      <c r="A467" s="356" t="s">
        <v>1940</v>
      </c>
      <c r="B467" s="357"/>
      <c r="C467" s="358"/>
      <c r="D467" s="359"/>
      <c r="E467" s="526">
        <f>SUM(E468:E471)</f>
        <v>3846</v>
      </c>
      <c r="F467" s="526">
        <f>SUM(F468:F471)</f>
        <v>15519</v>
      </c>
      <c r="G467" s="526">
        <f>SUM(G468:G472)</f>
        <v>14816</v>
      </c>
      <c r="H467" s="641">
        <f>(G467/F467)*100</f>
        <v>95.470068947741481</v>
      </c>
      <c r="L467" s="373"/>
      <c r="M467" s="373"/>
      <c r="N467" s="373"/>
      <c r="Q467" s="1153">
        <f>SUM(Q468:Q472)</f>
        <v>3846000</v>
      </c>
      <c r="R467" s="1153">
        <f>SUM(R468:R472)</f>
        <v>15520008.75</v>
      </c>
      <c r="S467" s="1153">
        <f>SUM(S468:S472)</f>
        <v>14816471.949999999</v>
      </c>
    </row>
    <row r="468" spans="1:19" ht="15" x14ac:dyDescent="0.2">
      <c r="A468" s="507" t="s">
        <v>147</v>
      </c>
      <c r="B468" s="645"/>
      <c r="C468" s="935"/>
      <c r="D468" s="646"/>
      <c r="E468" s="531">
        <f>E55</f>
        <v>3846</v>
      </c>
      <c r="F468" s="531">
        <f>F55-F470</f>
        <v>15519</v>
      </c>
      <c r="G468" s="531">
        <f>G55-G470-G472</f>
        <v>14816</v>
      </c>
      <c r="H468" s="731">
        <f>(G468/F468)*100</f>
        <v>95.470068947741481</v>
      </c>
      <c r="L468" s="373"/>
      <c r="M468" s="373"/>
      <c r="N468" s="373"/>
      <c r="Q468" s="1155">
        <f>K55</f>
        <v>3846000</v>
      </c>
      <c r="R468" s="1155">
        <f>L55</f>
        <v>15520008.75</v>
      </c>
      <c r="S468" s="1155">
        <f>M55</f>
        <v>14816471.949999999</v>
      </c>
    </row>
    <row r="469" spans="1:19" ht="15" x14ac:dyDescent="0.2">
      <c r="A469" s="507" t="s">
        <v>1420</v>
      </c>
      <c r="B469" s="645"/>
      <c r="C469" s="935"/>
      <c r="D469" s="646"/>
      <c r="E469" s="531">
        <v>0</v>
      </c>
      <c r="F469" s="531">
        <v>0</v>
      </c>
      <c r="G469" s="531">
        <v>0</v>
      </c>
      <c r="H469" s="731">
        <v>0</v>
      </c>
      <c r="L469" s="373"/>
      <c r="M469" s="373"/>
      <c r="N469" s="373"/>
      <c r="Q469" s="1155">
        <v>0</v>
      </c>
      <c r="R469" s="1155">
        <v>0</v>
      </c>
      <c r="S469" s="1155">
        <v>0</v>
      </c>
    </row>
    <row r="470" spans="1:19" ht="15" x14ac:dyDescent="0.2">
      <c r="A470" s="507" t="s">
        <v>119</v>
      </c>
      <c r="B470" s="936"/>
      <c r="C470" s="935"/>
      <c r="D470" s="937"/>
      <c r="E470" s="531">
        <v>0</v>
      </c>
      <c r="F470" s="531">
        <v>0</v>
      </c>
      <c r="G470" s="531">
        <v>0</v>
      </c>
      <c r="H470" s="731">
        <v>0</v>
      </c>
      <c r="L470" s="373"/>
      <c r="M470" s="373"/>
      <c r="N470" s="373"/>
      <c r="Q470" s="1155">
        <v>0</v>
      </c>
      <c r="R470" s="1155">
        <v>0</v>
      </c>
      <c r="S470" s="1155">
        <v>0</v>
      </c>
    </row>
    <row r="471" spans="1:19" ht="15" x14ac:dyDescent="0.2">
      <c r="A471" s="507" t="s">
        <v>537</v>
      </c>
      <c r="B471" s="936"/>
      <c r="C471" s="935"/>
      <c r="D471" s="937"/>
      <c r="E471" s="531">
        <v>0</v>
      </c>
      <c r="F471" s="531">
        <v>0</v>
      </c>
      <c r="G471" s="531">
        <v>0</v>
      </c>
      <c r="H471" s="731">
        <v>0</v>
      </c>
      <c r="L471" s="719"/>
      <c r="M471" s="719"/>
      <c r="N471" s="719"/>
      <c r="Q471" s="1155">
        <v>0</v>
      </c>
      <c r="R471" s="1155">
        <v>0</v>
      </c>
      <c r="S471" s="1155">
        <v>0</v>
      </c>
    </row>
    <row r="472" spans="1:19" ht="15" x14ac:dyDescent="0.2">
      <c r="A472" s="507" t="s">
        <v>252</v>
      </c>
      <c r="B472" s="936"/>
      <c r="C472" s="935"/>
      <c r="D472" s="937"/>
      <c r="E472" s="531">
        <v>0</v>
      </c>
      <c r="F472" s="531">
        <v>0</v>
      </c>
      <c r="G472" s="531">
        <v>0</v>
      </c>
      <c r="H472" s="637">
        <v>0</v>
      </c>
      <c r="Q472" s="1155">
        <v>0</v>
      </c>
      <c r="R472" s="1155">
        <v>0</v>
      </c>
      <c r="S472" s="1155">
        <v>0</v>
      </c>
    </row>
    <row r="473" spans="1:19" ht="15" x14ac:dyDescent="0.2">
      <c r="A473" s="507"/>
      <c r="B473" s="936"/>
      <c r="C473" s="935"/>
      <c r="D473" s="937"/>
      <c r="E473" s="531"/>
      <c r="F473" s="531"/>
      <c r="G473" s="531"/>
      <c r="H473" s="637"/>
    </row>
    <row r="474" spans="1:19" ht="16.5" x14ac:dyDescent="0.25">
      <c r="A474" s="629" t="s">
        <v>149</v>
      </c>
      <c r="B474" s="936"/>
      <c r="C474" s="935"/>
      <c r="D474" s="937"/>
      <c r="E474" s="526">
        <f>SUM(E475:E478)</f>
        <v>17726</v>
      </c>
      <c r="F474" s="526">
        <f>SUM(F475:F478)</f>
        <v>2274530</v>
      </c>
      <c r="G474" s="526">
        <f>SUM(G475:G478)</f>
        <v>2274417</v>
      </c>
      <c r="H474" s="641">
        <f>(G474/F474)*100</f>
        <v>99.995031940664674</v>
      </c>
      <c r="Q474" s="1153">
        <f>SUM(Q475:Q478)</f>
        <v>17726000</v>
      </c>
      <c r="R474" s="1153">
        <f>SUM(R475:R478)</f>
        <v>2274529600.5500002</v>
      </c>
      <c r="S474" s="1153">
        <f>SUM(S475:S478)</f>
        <v>2274416393.0700002</v>
      </c>
    </row>
    <row r="475" spans="1:19" ht="15" x14ac:dyDescent="0.2">
      <c r="A475" s="507" t="s">
        <v>1069</v>
      </c>
      <c r="B475" s="936"/>
      <c r="C475" s="935"/>
      <c r="D475" s="937"/>
      <c r="E475" s="531">
        <f>E105</f>
        <v>17726</v>
      </c>
      <c r="F475" s="531">
        <f>F105-F477</f>
        <v>10433</v>
      </c>
      <c r="G475" s="531">
        <f>G105-G477</f>
        <v>10327</v>
      </c>
      <c r="H475" s="731">
        <f>(G475/F475)*100</f>
        <v>98.983993098821045</v>
      </c>
      <c r="K475" s="3219"/>
      <c r="L475" s="373"/>
      <c r="M475" s="373"/>
      <c r="N475" s="373"/>
      <c r="Q475" s="1155">
        <f>K63</f>
        <v>17726000</v>
      </c>
      <c r="R475" s="1155">
        <f>L63</f>
        <v>10432600</v>
      </c>
      <c r="S475" s="1155">
        <f>M63</f>
        <v>10326593.5</v>
      </c>
    </row>
    <row r="476" spans="1:19" ht="15" x14ac:dyDescent="0.2">
      <c r="A476" s="507" t="s">
        <v>538</v>
      </c>
      <c r="B476" s="936"/>
      <c r="C476" s="935"/>
      <c r="D476" s="937"/>
      <c r="E476" s="531">
        <f>E112</f>
        <v>0</v>
      </c>
      <c r="F476" s="531">
        <f>F112</f>
        <v>5541</v>
      </c>
      <c r="G476" s="531">
        <f>G112</f>
        <v>5541</v>
      </c>
      <c r="H476" s="731">
        <f>(G476/F476)*100</f>
        <v>100</v>
      </c>
      <c r="K476" s="3219"/>
      <c r="Q476" s="1155">
        <f>K118</f>
        <v>0</v>
      </c>
      <c r="R476" s="1155">
        <f>L112</f>
        <v>5541000</v>
      </c>
      <c r="S476" s="1155">
        <f>M112</f>
        <v>5541000</v>
      </c>
    </row>
    <row r="477" spans="1:19" ht="15" x14ac:dyDescent="0.2">
      <c r="A477" s="507" t="s">
        <v>1064</v>
      </c>
      <c r="B477" s="1089"/>
      <c r="E477" s="531">
        <f>E70</f>
        <v>0</v>
      </c>
      <c r="F477" s="531">
        <f>F70</f>
        <v>2253702</v>
      </c>
      <c r="G477" s="531">
        <f>G70</f>
        <v>2253695</v>
      </c>
      <c r="H477" s="731">
        <f>(G477/F477)*100</f>
        <v>99.999689399929537</v>
      </c>
      <c r="I477" s="373"/>
      <c r="J477" s="373"/>
      <c r="Q477" s="1155">
        <f>K70</f>
        <v>0</v>
      </c>
      <c r="R477" s="1155">
        <f>L70</f>
        <v>2253702076.5500002</v>
      </c>
      <c r="S477" s="1155">
        <f>M70</f>
        <v>2253694875.5700002</v>
      </c>
    </row>
    <row r="478" spans="1:19" ht="15" x14ac:dyDescent="0.2">
      <c r="A478" s="507" t="s">
        <v>1065</v>
      </c>
      <c r="B478" s="1089"/>
      <c r="E478" s="531">
        <f>E114</f>
        <v>0</v>
      </c>
      <c r="F478" s="531">
        <f>F114</f>
        <v>4854</v>
      </c>
      <c r="G478" s="531">
        <f>G114</f>
        <v>4854</v>
      </c>
      <c r="H478" s="731">
        <f>(G478/F478)*100</f>
        <v>100</v>
      </c>
      <c r="K478" s="3219"/>
      <c r="L478" s="373"/>
      <c r="M478" s="373"/>
      <c r="N478" s="373"/>
      <c r="Q478" s="1155">
        <v>0</v>
      </c>
      <c r="R478" s="1155">
        <f>L114</f>
        <v>4853924</v>
      </c>
      <c r="S478" s="1155">
        <f>M114</f>
        <v>4853924</v>
      </c>
    </row>
    <row r="479" spans="1:19" ht="15" x14ac:dyDescent="0.2">
      <c r="A479" s="507"/>
      <c r="B479" s="936"/>
      <c r="C479" s="935"/>
      <c r="D479" s="935"/>
      <c r="E479" s="531"/>
      <c r="F479" s="531"/>
      <c r="G479" s="531"/>
      <c r="H479" s="637"/>
      <c r="K479" s="3219"/>
    </row>
    <row r="480" spans="1:19" ht="15.75" x14ac:dyDescent="0.25">
      <c r="A480" s="729" t="s">
        <v>115</v>
      </c>
      <c r="B480" s="936"/>
      <c r="C480" s="935"/>
      <c r="D480" s="935"/>
      <c r="E480" s="526">
        <f>SUM(E481:E484)</f>
        <v>0</v>
      </c>
      <c r="F480" s="526">
        <f>SUM(F481:F484)</f>
        <v>298133</v>
      </c>
      <c r="G480" s="526">
        <f>SUM(G481:G484)</f>
        <v>298130</v>
      </c>
      <c r="H480" s="641">
        <f>(G480/F480)*100</f>
        <v>99.998993737694249</v>
      </c>
      <c r="K480" s="3219"/>
      <c r="L480" s="373"/>
      <c r="M480" s="373"/>
      <c r="N480" s="373"/>
      <c r="Q480" s="1153">
        <f>SUM(Q481:Q484)</f>
        <v>0</v>
      </c>
      <c r="R480" s="1153">
        <f>SUM(R481:R484)</f>
        <v>298132823.69999999</v>
      </c>
      <c r="S480" s="1153">
        <f>SUM(S481:S484)</f>
        <v>298130033.69999999</v>
      </c>
    </row>
    <row r="481" spans="1:19" ht="15" x14ac:dyDescent="0.2">
      <c r="A481" s="507" t="s">
        <v>1070</v>
      </c>
      <c r="B481" s="936"/>
      <c r="C481" s="935"/>
      <c r="D481" s="935"/>
      <c r="E481" s="531">
        <v>0</v>
      </c>
      <c r="F481" s="531">
        <v>0</v>
      </c>
      <c r="G481" s="531">
        <v>0</v>
      </c>
      <c r="H481" s="642">
        <v>0</v>
      </c>
      <c r="I481" s="373"/>
      <c r="K481" s="3219"/>
      <c r="Q481" s="1155">
        <v>0</v>
      </c>
      <c r="R481" s="1155">
        <v>0</v>
      </c>
      <c r="S481" s="1155">
        <v>0</v>
      </c>
    </row>
    <row r="482" spans="1:19" ht="15" x14ac:dyDescent="0.2">
      <c r="A482" s="507" t="s">
        <v>1071</v>
      </c>
      <c r="B482" s="936"/>
      <c r="C482" s="935"/>
      <c r="D482" s="935"/>
      <c r="E482" s="531">
        <v>0</v>
      </c>
      <c r="F482" s="531">
        <v>0</v>
      </c>
      <c r="G482" s="531">
        <v>0</v>
      </c>
      <c r="H482" s="642">
        <v>0</v>
      </c>
      <c r="L482" s="373"/>
      <c r="M482" s="373"/>
      <c r="N482" s="373"/>
      <c r="Q482" s="1155">
        <v>0</v>
      </c>
      <c r="R482" s="1155">
        <v>0</v>
      </c>
      <c r="S482" s="1155">
        <v>0</v>
      </c>
    </row>
    <row r="483" spans="1:19" ht="15" x14ac:dyDescent="0.2">
      <c r="A483" s="507" t="s">
        <v>119</v>
      </c>
      <c r="B483" s="936"/>
      <c r="C483" s="935"/>
      <c r="D483" s="935"/>
      <c r="E483" s="531">
        <f>E190</f>
        <v>0</v>
      </c>
      <c r="F483" s="531">
        <f>F190</f>
        <v>298133</v>
      </c>
      <c r="G483" s="531">
        <f>G190</f>
        <v>298130</v>
      </c>
      <c r="H483" s="642">
        <f>(G483/F483)*100</f>
        <v>99.998993737694249</v>
      </c>
      <c r="Q483" s="1155">
        <f>K190</f>
        <v>0</v>
      </c>
      <c r="R483" s="1155">
        <f>L190</f>
        <v>298132823.69999999</v>
      </c>
      <c r="S483" s="1155">
        <f>M190</f>
        <v>298130033.69999999</v>
      </c>
    </row>
    <row r="484" spans="1:19" ht="15" x14ac:dyDescent="0.2">
      <c r="A484" s="507" t="s">
        <v>537</v>
      </c>
      <c r="B484" s="936"/>
      <c r="C484" s="935"/>
      <c r="D484" s="935"/>
      <c r="E484" s="531">
        <v>0</v>
      </c>
      <c r="F484" s="531">
        <v>0</v>
      </c>
      <c r="G484" s="531">
        <v>0</v>
      </c>
      <c r="H484" s="642">
        <v>0</v>
      </c>
      <c r="L484" s="373"/>
      <c r="M484" s="373"/>
      <c r="N484" s="373"/>
      <c r="Q484" s="1155">
        <v>0</v>
      </c>
      <c r="R484" s="1155">
        <v>0</v>
      </c>
      <c r="S484" s="1155">
        <v>0</v>
      </c>
    </row>
    <row r="485" spans="1:19" ht="15" x14ac:dyDescent="0.2">
      <c r="A485" s="507"/>
      <c r="B485" s="936"/>
      <c r="C485" s="935"/>
      <c r="D485" s="935"/>
      <c r="E485" s="531"/>
      <c r="F485" s="531"/>
      <c r="G485" s="531"/>
      <c r="H485" s="637"/>
      <c r="K485" s="373">
        <f>E298+E291+E290+E267+E114+E112</f>
        <v>0</v>
      </c>
      <c r="L485" s="373">
        <f>F298+F291+F290+F267+F114+F112</f>
        <v>50525</v>
      </c>
      <c r="M485" s="373">
        <f>G298+G291+G290+G267+G114+G112</f>
        <v>47325</v>
      </c>
      <c r="N485" s="373" t="s">
        <v>786</v>
      </c>
    </row>
    <row r="486" spans="1:19" ht="15.75" x14ac:dyDescent="0.25">
      <c r="A486" s="732" t="s">
        <v>279</v>
      </c>
      <c r="B486" s="936"/>
      <c r="C486" s="935"/>
      <c r="D486" s="935"/>
      <c r="E486" s="526">
        <f>SUM(E487:E490)</f>
        <v>0</v>
      </c>
      <c r="F486" s="526">
        <f>SUM(F487:F490)</f>
        <v>3868335</v>
      </c>
      <c r="G486" s="526">
        <f>SUM(G487:G490)</f>
        <v>3868329</v>
      </c>
      <c r="H486" s="641">
        <f>(G486/F486)*100</f>
        <v>99.999844894508882</v>
      </c>
      <c r="K486" s="1561">
        <f>E464+E242+E118+E105+E55+E190</f>
        <v>120422</v>
      </c>
      <c r="L486" s="1561">
        <f>F464+F242+F118+F105+F55+F190</f>
        <v>6670072</v>
      </c>
      <c r="M486" s="1561">
        <f>G464+G242+G118+G105+G55+G190</f>
        <v>6659937</v>
      </c>
      <c r="N486" s="1562" t="s">
        <v>787</v>
      </c>
      <c r="Q486" s="1153">
        <f>SUM(Q487:Q490)</f>
        <v>0</v>
      </c>
      <c r="R486" s="1153">
        <f>SUM(R487:R490)</f>
        <v>3868334627.0300002</v>
      </c>
      <c r="S486" s="1153">
        <f>SUM(S487:S490)</f>
        <v>3868328973.0300002</v>
      </c>
    </row>
    <row r="487" spans="1:19" ht="15" x14ac:dyDescent="0.2">
      <c r="A487" s="507" t="s">
        <v>1070</v>
      </c>
      <c r="B487" s="936"/>
      <c r="C487" s="935"/>
      <c r="D487" s="935"/>
      <c r="E487" s="531">
        <f>E242</f>
        <v>0</v>
      </c>
      <c r="F487" s="531">
        <v>0</v>
      </c>
      <c r="G487" s="531">
        <v>0</v>
      </c>
      <c r="H487" s="731">
        <v>0</v>
      </c>
      <c r="K487" s="373">
        <f>K485+K486</f>
        <v>120422</v>
      </c>
      <c r="L487" s="373">
        <f>L485+L486</f>
        <v>6720597</v>
      </c>
      <c r="M487" s="373">
        <f>M485+M486</f>
        <v>6707262</v>
      </c>
      <c r="N487" s="372" t="s">
        <v>839</v>
      </c>
      <c r="Q487" s="1155">
        <v>0</v>
      </c>
      <c r="R487" s="1155">
        <v>0</v>
      </c>
      <c r="S487" s="1155">
        <v>0</v>
      </c>
    </row>
    <row r="488" spans="1:19" ht="15" x14ac:dyDescent="0.2">
      <c r="A488" s="507" t="s">
        <v>1072</v>
      </c>
      <c r="B488" s="936"/>
      <c r="C488" s="935"/>
      <c r="D488" s="935"/>
      <c r="E488" s="531">
        <v>0</v>
      </c>
      <c r="F488" s="531">
        <v>0</v>
      </c>
      <c r="G488" s="531">
        <v>0</v>
      </c>
      <c r="H488" s="731">
        <v>0</v>
      </c>
      <c r="Q488" s="1155">
        <v>0</v>
      </c>
      <c r="R488" s="1155">
        <v>0</v>
      </c>
      <c r="S488" s="1155">
        <v>0</v>
      </c>
    </row>
    <row r="489" spans="1:19" ht="15" x14ac:dyDescent="0.2">
      <c r="A489" s="507" t="s">
        <v>119</v>
      </c>
      <c r="B489" s="936"/>
      <c r="C489" s="935"/>
      <c r="D489" s="935"/>
      <c r="E489" s="531">
        <v>0</v>
      </c>
      <c r="F489" s="531">
        <f>F242</f>
        <v>3868335</v>
      </c>
      <c r="G489" s="531">
        <f>G242</f>
        <v>3868329</v>
      </c>
      <c r="H489" s="731">
        <f>(G489/F489)*100</f>
        <v>99.999844894508882</v>
      </c>
      <c r="J489" s="719" t="e">
        <f>J490+#REF!+J493</f>
        <v>#REF!</v>
      </c>
      <c r="K489" s="719" t="e">
        <f>K490+#REF!+K493</f>
        <v>#REF!</v>
      </c>
      <c r="L489" s="719" t="e">
        <f>L490+#REF!+L493</f>
        <v>#REF!</v>
      </c>
      <c r="M489" s="372" t="s">
        <v>1255</v>
      </c>
      <c r="Q489" s="1155">
        <f>K242</f>
        <v>0</v>
      </c>
      <c r="R489" s="1155">
        <f>L242</f>
        <v>3868334627.0300002</v>
      </c>
      <c r="S489" s="1155">
        <f>M242</f>
        <v>3868328973.0300002</v>
      </c>
    </row>
    <row r="490" spans="1:19" ht="15" x14ac:dyDescent="0.2">
      <c r="A490" s="507" t="s">
        <v>537</v>
      </c>
      <c r="B490" s="936"/>
      <c r="C490" s="935"/>
      <c r="D490" s="935"/>
      <c r="E490" s="531">
        <v>0</v>
      </c>
      <c r="F490" s="531">
        <v>0</v>
      </c>
      <c r="G490" s="531">
        <v>0</v>
      </c>
      <c r="H490" s="731">
        <v>0</v>
      </c>
      <c r="J490" s="373">
        <f>E55</f>
        <v>3846</v>
      </c>
      <c r="K490" s="373">
        <f>F55</f>
        <v>15519</v>
      </c>
      <c r="L490" s="373">
        <f>G55</f>
        <v>14816</v>
      </c>
      <c r="M490" s="372" t="s">
        <v>380</v>
      </c>
      <c r="Q490" s="1155">
        <v>0</v>
      </c>
      <c r="R490" s="1155">
        <v>0</v>
      </c>
      <c r="S490" s="1155">
        <v>0</v>
      </c>
    </row>
    <row r="491" spans="1:19" ht="15" x14ac:dyDescent="0.2">
      <c r="A491" s="507"/>
      <c r="B491" s="936"/>
      <c r="C491" s="935"/>
      <c r="D491" s="935"/>
      <c r="E491" s="531"/>
      <c r="F491" s="531"/>
      <c r="G491" s="531"/>
      <c r="H491" s="731"/>
      <c r="J491" s="373"/>
      <c r="K491" s="373"/>
      <c r="L491" s="373"/>
      <c r="Q491" s="1155"/>
      <c r="R491" s="1155"/>
      <c r="S491" s="1155"/>
    </row>
    <row r="492" spans="1:19" ht="15.75" x14ac:dyDescent="0.25">
      <c r="A492" s="732" t="s">
        <v>1151</v>
      </c>
      <c r="B492" s="936"/>
      <c r="C492" s="935"/>
      <c r="D492" s="935"/>
      <c r="E492" s="526">
        <f>E464</f>
        <v>98850</v>
      </c>
      <c r="F492" s="526">
        <f>F464</f>
        <v>213555</v>
      </c>
      <c r="G492" s="526">
        <f>G464</f>
        <v>204245</v>
      </c>
      <c r="H492" s="641">
        <f>(G492/F492)*100</f>
        <v>95.640467326918127</v>
      </c>
      <c r="J492" s="719">
        <f>E490+E489+E484+E483+E478+E477+E471+E470</f>
        <v>0</v>
      </c>
      <c r="K492" s="719">
        <f>F470+F471+F477+F478+F483+F484+F489+F490</f>
        <v>6425024</v>
      </c>
      <c r="L492" s="719">
        <f>G470+G471+G477+G478+G483+G484+G489+G490</f>
        <v>6425008</v>
      </c>
      <c r="M492" s="372" t="s">
        <v>135</v>
      </c>
      <c r="Q492" s="1153">
        <f>K464</f>
        <v>98850000</v>
      </c>
      <c r="R492" s="1153">
        <f>L464</f>
        <v>213555047</v>
      </c>
      <c r="S492" s="1153">
        <f>M464</f>
        <v>204245072.73000002</v>
      </c>
    </row>
    <row r="493" spans="1:19" ht="14.25" customHeight="1" x14ac:dyDescent="0.2">
      <c r="J493" s="373">
        <f>E492</f>
        <v>98850</v>
      </c>
      <c r="K493" s="373">
        <f t="shared" ref="K493:L493" si="90">F492</f>
        <v>213555</v>
      </c>
      <c r="L493" s="373">
        <f t="shared" si="90"/>
        <v>204245</v>
      </c>
      <c r="M493" s="372" t="s">
        <v>1254</v>
      </c>
    </row>
    <row r="494" spans="1:19" s="58" customFormat="1" ht="47.25" customHeight="1" thickBot="1" x14ac:dyDescent="0.4">
      <c r="A494" s="3196" t="s">
        <v>2012</v>
      </c>
      <c r="B494" s="3196"/>
      <c r="C494" s="3196"/>
      <c r="D494" s="3196"/>
      <c r="E494" s="931">
        <f>E467+E474+E480+E486+E492</f>
        <v>120422</v>
      </c>
      <c r="F494" s="931">
        <f t="shared" ref="F494:G494" si="91">F467+F474+F480+F486+F492</f>
        <v>6670072</v>
      </c>
      <c r="G494" s="931">
        <f t="shared" si="91"/>
        <v>6659937</v>
      </c>
      <c r="H494" s="630">
        <f>(G494/F494)*100</f>
        <v>99.848052614724409</v>
      </c>
      <c r="Q494" s="1665">
        <f>Q486+Q480+Q474+Q467+Q492</f>
        <v>120422000</v>
      </c>
      <c r="R494" s="1665">
        <f t="shared" ref="R494:S494" si="92">R486+R480+R474+R467+R492</f>
        <v>6670072107.0300007</v>
      </c>
      <c r="S494" s="1665">
        <f t="shared" si="92"/>
        <v>6659936944.4799995</v>
      </c>
    </row>
    <row r="495" spans="1:19" ht="15" thickTop="1" x14ac:dyDescent="0.2"/>
    <row r="497" spans="8:19" x14ac:dyDescent="0.2">
      <c r="H497" s="484"/>
      <c r="R497" s="2230"/>
      <c r="S497" s="2230"/>
    </row>
  </sheetData>
  <mergeCells count="30">
    <mergeCell ref="D72:D73"/>
    <mergeCell ref="D74:D75"/>
    <mergeCell ref="A326:H326"/>
    <mergeCell ref="A334:H334"/>
    <mergeCell ref="A344:H344"/>
    <mergeCell ref="A319:H319"/>
    <mergeCell ref="A63:A104"/>
    <mergeCell ref="A112:A117"/>
    <mergeCell ref="A494:D494"/>
    <mergeCell ref="C76:C77"/>
    <mergeCell ref="D76:D77"/>
    <mergeCell ref="D78:D79"/>
    <mergeCell ref="D93:D94"/>
    <mergeCell ref="D82:D84"/>
    <mergeCell ref="A351:H351"/>
    <mergeCell ref="A363:H363"/>
    <mergeCell ref="A389:H389"/>
    <mergeCell ref="A372:H372"/>
    <mergeCell ref="A380:H380"/>
    <mergeCell ref="A448:H448"/>
    <mergeCell ref="D399:D400"/>
    <mergeCell ref="D408:D409"/>
    <mergeCell ref="K475:K476"/>
    <mergeCell ref="D197:D198"/>
    <mergeCell ref="K478:K479"/>
    <mergeCell ref="K480:K481"/>
    <mergeCell ref="A245:H245"/>
    <mergeCell ref="A246:H246"/>
    <mergeCell ref="A304:H304"/>
    <mergeCell ref="A311:H311"/>
  </mergeCells>
  <phoneticPr fontId="0" type="noConversion"/>
  <pageMargins left="0.98425196850393704" right="0.98425196850393704" top="0.98425196850393704" bottom="0.98425196850393704" header="0.51181102362204722" footer="0.51181102362204722"/>
  <pageSetup paperSize="9" scale="58" firstPageNumber="40" orientation="portrait" useFirstPageNumber="1" r:id="rId1"/>
  <headerFooter alignWithMargins="0">
    <oddFooter>&amp;L&amp;"Arial,Kurzíva"Zastupitelstvo Olomouckého kraje 25. 6. 2018
5. - Rozpočet Olomouckého kraje 2017 - závěrečný  účet 
Příloha č. 3: Plnění rozpočtu výdajů Olomouckého kraje k 31. 12. 2017&amp;R&amp;"Arial,Kurzíva"Strana &amp;P (celkem 478)</oddFooter>
  </headerFooter>
  <rowBreaks count="7" manualBreakCount="7">
    <brk id="58" max="7" man="1"/>
    <brk id="118" max="7" man="1"/>
    <brk id="173" max="7" man="1"/>
    <brk id="242" max="7" man="1"/>
    <brk id="302" max="7" man="1"/>
    <brk id="361" max="7" man="1"/>
    <brk id="425" max="7" man="1"/>
  </rowBreaks>
  <ignoredErrors>
    <ignoredError sqref="E302 G302 E186:G186 E209" formulaRange="1"/>
    <ignoredError sqref="E477:G477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">
    <tabColor rgb="FFCCFFFF"/>
  </sheetPr>
  <dimension ref="A1:AU2583"/>
  <sheetViews>
    <sheetView showGridLines="0" view="pageBreakPreview" zoomScaleNormal="100" zoomScaleSheetLayoutView="100" workbookViewId="0">
      <selection activeCell="I1590" sqref="I1590"/>
    </sheetView>
  </sheetViews>
  <sheetFormatPr defaultRowHeight="12.75" x14ac:dyDescent="0.2"/>
  <cols>
    <col min="1" max="1" width="4.85546875" style="372" customWidth="1"/>
    <col min="2" max="2" width="4.85546875" style="584" customWidth="1"/>
    <col min="3" max="3" width="5.42578125" style="372" customWidth="1"/>
    <col min="4" max="4" width="9.7109375" style="648" customWidth="1"/>
    <col min="5" max="5" width="53.7109375" style="372" customWidth="1"/>
    <col min="6" max="6" width="14.42578125" style="373" customWidth="1"/>
    <col min="7" max="8" width="13.5703125" style="373" customWidth="1"/>
    <col min="9" max="9" width="7.42578125" style="915" customWidth="1"/>
    <col min="10" max="15" width="0" style="372" hidden="1" customWidth="1"/>
    <col min="16" max="16" width="2.28515625" style="372" customWidth="1"/>
    <col min="17" max="17" width="9.140625" style="372"/>
    <col min="18" max="18" width="9.7109375" style="372" customWidth="1"/>
    <col min="19" max="19" width="9.5703125" style="372" customWidth="1"/>
    <col min="20" max="20" width="10.140625" style="372" customWidth="1"/>
    <col min="21" max="256" width="9.140625" style="372"/>
    <col min="257" max="259" width="4.7109375" style="372" customWidth="1"/>
    <col min="260" max="260" width="9" style="372" customWidth="1"/>
    <col min="261" max="261" width="47.28515625" style="372" customWidth="1"/>
    <col min="262" max="262" width="11.5703125" style="372" customWidth="1"/>
    <col min="263" max="264" width="13.5703125" style="372" customWidth="1"/>
    <col min="265" max="265" width="7.42578125" style="372" customWidth="1"/>
    <col min="266" max="271" width="0" style="372" hidden="1" customWidth="1"/>
    <col min="272" max="272" width="2.28515625" style="372" customWidth="1"/>
    <col min="273" max="273" width="9.140625" style="372"/>
    <col min="274" max="274" width="9.7109375" style="372" customWidth="1"/>
    <col min="275" max="275" width="9.5703125" style="372" customWidth="1"/>
    <col min="276" max="276" width="10.140625" style="372" customWidth="1"/>
    <col min="277" max="512" width="9.140625" style="372"/>
    <col min="513" max="515" width="4.7109375" style="372" customWidth="1"/>
    <col min="516" max="516" width="9" style="372" customWidth="1"/>
    <col min="517" max="517" width="47.28515625" style="372" customWidth="1"/>
    <col min="518" max="518" width="11.5703125" style="372" customWidth="1"/>
    <col min="519" max="520" width="13.5703125" style="372" customWidth="1"/>
    <col min="521" max="521" width="7.42578125" style="372" customWidth="1"/>
    <col min="522" max="527" width="0" style="372" hidden="1" customWidth="1"/>
    <col min="528" max="528" width="2.28515625" style="372" customWidth="1"/>
    <col min="529" max="529" width="9.140625" style="372"/>
    <col min="530" max="530" width="9.7109375" style="372" customWidth="1"/>
    <col min="531" max="531" width="9.5703125" style="372" customWidth="1"/>
    <col min="532" max="532" width="10.140625" style="372" customWidth="1"/>
    <col min="533" max="768" width="9.140625" style="372"/>
    <col min="769" max="771" width="4.7109375" style="372" customWidth="1"/>
    <col min="772" max="772" width="9" style="372" customWidth="1"/>
    <col min="773" max="773" width="47.28515625" style="372" customWidth="1"/>
    <col min="774" max="774" width="11.5703125" style="372" customWidth="1"/>
    <col min="775" max="776" width="13.5703125" style="372" customWidth="1"/>
    <col min="777" max="777" width="7.42578125" style="372" customWidth="1"/>
    <col min="778" max="783" width="0" style="372" hidden="1" customWidth="1"/>
    <col min="784" max="784" width="2.28515625" style="372" customWidth="1"/>
    <col min="785" max="785" width="9.140625" style="372"/>
    <col min="786" max="786" width="9.7109375" style="372" customWidth="1"/>
    <col min="787" max="787" width="9.5703125" style="372" customWidth="1"/>
    <col min="788" max="788" width="10.140625" style="372" customWidth="1"/>
    <col min="789" max="1024" width="9.140625" style="372"/>
    <col min="1025" max="1027" width="4.7109375" style="372" customWidth="1"/>
    <col min="1028" max="1028" width="9" style="372" customWidth="1"/>
    <col min="1029" max="1029" width="47.28515625" style="372" customWidth="1"/>
    <col min="1030" max="1030" width="11.5703125" style="372" customWidth="1"/>
    <col min="1031" max="1032" width="13.5703125" style="372" customWidth="1"/>
    <col min="1033" max="1033" width="7.42578125" style="372" customWidth="1"/>
    <col min="1034" max="1039" width="0" style="372" hidden="1" customWidth="1"/>
    <col min="1040" max="1040" width="2.28515625" style="372" customWidth="1"/>
    <col min="1041" max="1041" width="9.140625" style="372"/>
    <col min="1042" max="1042" width="9.7109375" style="372" customWidth="1"/>
    <col min="1043" max="1043" width="9.5703125" style="372" customWidth="1"/>
    <col min="1044" max="1044" width="10.140625" style="372" customWidth="1"/>
    <col min="1045" max="1280" width="9.140625" style="372"/>
    <col min="1281" max="1283" width="4.7109375" style="372" customWidth="1"/>
    <col min="1284" max="1284" width="9" style="372" customWidth="1"/>
    <col min="1285" max="1285" width="47.28515625" style="372" customWidth="1"/>
    <col min="1286" max="1286" width="11.5703125" style="372" customWidth="1"/>
    <col min="1287" max="1288" width="13.5703125" style="372" customWidth="1"/>
    <col min="1289" max="1289" width="7.42578125" style="372" customWidth="1"/>
    <col min="1290" max="1295" width="0" style="372" hidden="1" customWidth="1"/>
    <col min="1296" max="1296" width="2.28515625" style="372" customWidth="1"/>
    <col min="1297" max="1297" width="9.140625" style="372"/>
    <col min="1298" max="1298" width="9.7109375" style="372" customWidth="1"/>
    <col min="1299" max="1299" width="9.5703125" style="372" customWidth="1"/>
    <col min="1300" max="1300" width="10.140625" style="372" customWidth="1"/>
    <col min="1301" max="1536" width="9.140625" style="372"/>
    <col min="1537" max="1539" width="4.7109375" style="372" customWidth="1"/>
    <col min="1540" max="1540" width="9" style="372" customWidth="1"/>
    <col min="1541" max="1541" width="47.28515625" style="372" customWidth="1"/>
    <col min="1542" max="1542" width="11.5703125" style="372" customWidth="1"/>
    <col min="1543" max="1544" width="13.5703125" style="372" customWidth="1"/>
    <col min="1545" max="1545" width="7.42578125" style="372" customWidth="1"/>
    <col min="1546" max="1551" width="0" style="372" hidden="1" customWidth="1"/>
    <col min="1552" max="1552" width="2.28515625" style="372" customWidth="1"/>
    <col min="1553" max="1553" width="9.140625" style="372"/>
    <col min="1554" max="1554" width="9.7109375" style="372" customWidth="1"/>
    <col min="1555" max="1555" width="9.5703125" style="372" customWidth="1"/>
    <col min="1556" max="1556" width="10.140625" style="372" customWidth="1"/>
    <col min="1557" max="1792" width="9.140625" style="372"/>
    <col min="1793" max="1795" width="4.7109375" style="372" customWidth="1"/>
    <col min="1796" max="1796" width="9" style="372" customWidth="1"/>
    <col min="1797" max="1797" width="47.28515625" style="372" customWidth="1"/>
    <col min="1798" max="1798" width="11.5703125" style="372" customWidth="1"/>
    <col min="1799" max="1800" width="13.5703125" style="372" customWidth="1"/>
    <col min="1801" max="1801" width="7.42578125" style="372" customWidth="1"/>
    <col min="1802" max="1807" width="0" style="372" hidden="1" customWidth="1"/>
    <col min="1808" max="1808" width="2.28515625" style="372" customWidth="1"/>
    <col min="1809" max="1809" width="9.140625" style="372"/>
    <col min="1810" max="1810" width="9.7109375" style="372" customWidth="1"/>
    <col min="1811" max="1811" width="9.5703125" style="372" customWidth="1"/>
    <col min="1812" max="1812" width="10.140625" style="372" customWidth="1"/>
    <col min="1813" max="2048" width="9.140625" style="372"/>
    <col min="2049" max="2051" width="4.7109375" style="372" customWidth="1"/>
    <col min="2052" max="2052" width="9" style="372" customWidth="1"/>
    <col min="2053" max="2053" width="47.28515625" style="372" customWidth="1"/>
    <col min="2054" max="2054" width="11.5703125" style="372" customWidth="1"/>
    <col min="2055" max="2056" width="13.5703125" style="372" customWidth="1"/>
    <col min="2057" max="2057" width="7.42578125" style="372" customWidth="1"/>
    <col min="2058" max="2063" width="0" style="372" hidden="1" customWidth="1"/>
    <col min="2064" max="2064" width="2.28515625" style="372" customWidth="1"/>
    <col min="2065" max="2065" width="9.140625" style="372"/>
    <col min="2066" max="2066" width="9.7109375" style="372" customWidth="1"/>
    <col min="2067" max="2067" width="9.5703125" style="372" customWidth="1"/>
    <col min="2068" max="2068" width="10.140625" style="372" customWidth="1"/>
    <col min="2069" max="2304" width="9.140625" style="372"/>
    <col min="2305" max="2307" width="4.7109375" style="372" customWidth="1"/>
    <col min="2308" max="2308" width="9" style="372" customWidth="1"/>
    <col min="2309" max="2309" width="47.28515625" style="372" customWidth="1"/>
    <col min="2310" max="2310" width="11.5703125" style="372" customWidth="1"/>
    <col min="2311" max="2312" width="13.5703125" style="372" customWidth="1"/>
    <col min="2313" max="2313" width="7.42578125" style="372" customWidth="1"/>
    <col min="2314" max="2319" width="0" style="372" hidden="1" customWidth="1"/>
    <col min="2320" max="2320" width="2.28515625" style="372" customWidth="1"/>
    <col min="2321" max="2321" width="9.140625" style="372"/>
    <col min="2322" max="2322" width="9.7109375" style="372" customWidth="1"/>
    <col min="2323" max="2323" width="9.5703125" style="372" customWidth="1"/>
    <col min="2324" max="2324" width="10.140625" style="372" customWidth="1"/>
    <col min="2325" max="2560" width="9.140625" style="372"/>
    <col min="2561" max="2563" width="4.7109375" style="372" customWidth="1"/>
    <col min="2564" max="2564" width="9" style="372" customWidth="1"/>
    <col min="2565" max="2565" width="47.28515625" style="372" customWidth="1"/>
    <col min="2566" max="2566" width="11.5703125" style="372" customWidth="1"/>
    <col min="2567" max="2568" width="13.5703125" style="372" customWidth="1"/>
    <col min="2569" max="2569" width="7.42578125" style="372" customWidth="1"/>
    <col min="2570" max="2575" width="0" style="372" hidden="1" customWidth="1"/>
    <col min="2576" max="2576" width="2.28515625" style="372" customWidth="1"/>
    <col min="2577" max="2577" width="9.140625" style="372"/>
    <col min="2578" max="2578" width="9.7109375" style="372" customWidth="1"/>
    <col min="2579" max="2579" width="9.5703125" style="372" customWidth="1"/>
    <col min="2580" max="2580" width="10.140625" style="372" customWidth="1"/>
    <col min="2581" max="2816" width="9.140625" style="372"/>
    <col min="2817" max="2819" width="4.7109375" style="372" customWidth="1"/>
    <col min="2820" max="2820" width="9" style="372" customWidth="1"/>
    <col min="2821" max="2821" width="47.28515625" style="372" customWidth="1"/>
    <col min="2822" max="2822" width="11.5703125" style="372" customWidth="1"/>
    <col min="2823" max="2824" width="13.5703125" style="372" customWidth="1"/>
    <col min="2825" max="2825" width="7.42578125" style="372" customWidth="1"/>
    <col min="2826" max="2831" width="0" style="372" hidden="1" customWidth="1"/>
    <col min="2832" max="2832" width="2.28515625" style="372" customWidth="1"/>
    <col min="2833" max="2833" width="9.140625" style="372"/>
    <col min="2834" max="2834" width="9.7109375" style="372" customWidth="1"/>
    <col min="2835" max="2835" width="9.5703125" style="372" customWidth="1"/>
    <col min="2836" max="2836" width="10.140625" style="372" customWidth="1"/>
    <col min="2837" max="3072" width="9.140625" style="372"/>
    <col min="3073" max="3075" width="4.7109375" style="372" customWidth="1"/>
    <col min="3076" max="3076" width="9" style="372" customWidth="1"/>
    <col min="3077" max="3077" width="47.28515625" style="372" customWidth="1"/>
    <col min="3078" max="3078" width="11.5703125" style="372" customWidth="1"/>
    <col min="3079" max="3080" width="13.5703125" style="372" customWidth="1"/>
    <col min="3081" max="3081" width="7.42578125" style="372" customWidth="1"/>
    <col min="3082" max="3087" width="0" style="372" hidden="1" customWidth="1"/>
    <col min="3088" max="3088" width="2.28515625" style="372" customWidth="1"/>
    <col min="3089" max="3089" width="9.140625" style="372"/>
    <col min="3090" max="3090" width="9.7109375" style="372" customWidth="1"/>
    <col min="3091" max="3091" width="9.5703125" style="372" customWidth="1"/>
    <col min="3092" max="3092" width="10.140625" style="372" customWidth="1"/>
    <col min="3093" max="3328" width="9.140625" style="372"/>
    <col min="3329" max="3331" width="4.7109375" style="372" customWidth="1"/>
    <col min="3332" max="3332" width="9" style="372" customWidth="1"/>
    <col min="3333" max="3333" width="47.28515625" style="372" customWidth="1"/>
    <col min="3334" max="3334" width="11.5703125" style="372" customWidth="1"/>
    <col min="3335" max="3336" width="13.5703125" style="372" customWidth="1"/>
    <col min="3337" max="3337" width="7.42578125" style="372" customWidth="1"/>
    <col min="3338" max="3343" width="0" style="372" hidden="1" customWidth="1"/>
    <col min="3344" max="3344" width="2.28515625" style="372" customWidth="1"/>
    <col min="3345" max="3345" width="9.140625" style="372"/>
    <col min="3346" max="3346" width="9.7109375" style="372" customWidth="1"/>
    <col min="3347" max="3347" width="9.5703125" style="372" customWidth="1"/>
    <col min="3348" max="3348" width="10.140625" style="372" customWidth="1"/>
    <col min="3349" max="3584" width="9.140625" style="372"/>
    <col min="3585" max="3587" width="4.7109375" style="372" customWidth="1"/>
    <col min="3588" max="3588" width="9" style="372" customWidth="1"/>
    <col min="3589" max="3589" width="47.28515625" style="372" customWidth="1"/>
    <col min="3590" max="3590" width="11.5703125" style="372" customWidth="1"/>
    <col min="3591" max="3592" width="13.5703125" style="372" customWidth="1"/>
    <col min="3593" max="3593" width="7.42578125" style="372" customWidth="1"/>
    <col min="3594" max="3599" width="0" style="372" hidden="1" customWidth="1"/>
    <col min="3600" max="3600" width="2.28515625" style="372" customWidth="1"/>
    <col min="3601" max="3601" width="9.140625" style="372"/>
    <col min="3602" max="3602" width="9.7109375" style="372" customWidth="1"/>
    <col min="3603" max="3603" width="9.5703125" style="372" customWidth="1"/>
    <col min="3604" max="3604" width="10.140625" style="372" customWidth="1"/>
    <col min="3605" max="3840" width="9.140625" style="372"/>
    <col min="3841" max="3843" width="4.7109375" style="372" customWidth="1"/>
    <col min="3844" max="3844" width="9" style="372" customWidth="1"/>
    <col min="3845" max="3845" width="47.28515625" style="372" customWidth="1"/>
    <col min="3846" max="3846" width="11.5703125" style="372" customWidth="1"/>
    <col min="3847" max="3848" width="13.5703125" style="372" customWidth="1"/>
    <col min="3849" max="3849" width="7.42578125" style="372" customWidth="1"/>
    <col min="3850" max="3855" width="0" style="372" hidden="1" customWidth="1"/>
    <col min="3856" max="3856" width="2.28515625" style="372" customWidth="1"/>
    <col min="3857" max="3857" width="9.140625" style="372"/>
    <col min="3858" max="3858" width="9.7109375" style="372" customWidth="1"/>
    <col min="3859" max="3859" width="9.5703125" style="372" customWidth="1"/>
    <col min="3860" max="3860" width="10.140625" style="372" customWidth="1"/>
    <col min="3861" max="4096" width="9.140625" style="372"/>
    <col min="4097" max="4099" width="4.7109375" style="372" customWidth="1"/>
    <col min="4100" max="4100" width="9" style="372" customWidth="1"/>
    <col min="4101" max="4101" width="47.28515625" style="372" customWidth="1"/>
    <col min="4102" max="4102" width="11.5703125" style="372" customWidth="1"/>
    <col min="4103" max="4104" width="13.5703125" style="372" customWidth="1"/>
    <col min="4105" max="4105" width="7.42578125" style="372" customWidth="1"/>
    <col min="4106" max="4111" width="0" style="372" hidden="1" customWidth="1"/>
    <col min="4112" max="4112" width="2.28515625" style="372" customWidth="1"/>
    <col min="4113" max="4113" width="9.140625" style="372"/>
    <col min="4114" max="4114" width="9.7109375" style="372" customWidth="1"/>
    <col min="4115" max="4115" width="9.5703125" style="372" customWidth="1"/>
    <col min="4116" max="4116" width="10.140625" style="372" customWidth="1"/>
    <col min="4117" max="4352" width="9.140625" style="372"/>
    <col min="4353" max="4355" width="4.7109375" style="372" customWidth="1"/>
    <col min="4356" max="4356" width="9" style="372" customWidth="1"/>
    <col min="4357" max="4357" width="47.28515625" style="372" customWidth="1"/>
    <col min="4358" max="4358" width="11.5703125" style="372" customWidth="1"/>
    <col min="4359" max="4360" width="13.5703125" style="372" customWidth="1"/>
    <col min="4361" max="4361" width="7.42578125" style="372" customWidth="1"/>
    <col min="4362" max="4367" width="0" style="372" hidden="1" customWidth="1"/>
    <col min="4368" max="4368" width="2.28515625" style="372" customWidth="1"/>
    <col min="4369" max="4369" width="9.140625" style="372"/>
    <col min="4370" max="4370" width="9.7109375" style="372" customWidth="1"/>
    <col min="4371" max="4371" width="9.5703125" style="372" customWidth="1"/>
    <col min="4372" max="4372" width="10.140625" style="372" customWidth="1"/>
    <col min="4373" max="4608" width="9.140625" style="372"/>
    <col min="4609" max="4611" width="4.7109375" style="372" customWidth="1"/>
    <col min="4612" max="4612" width="9" style="372" customWidth="1"/>
    <col min="4613" max="4613" width="47.28515625" style="372" customWidth="1"/>
    <col min="4614" max="4614" width="11.5703125" style="372" customWidth="1"/>
    <col min="4615" max="4616" width="13.5703125" style="372" customWidth="1"/>
    <col min="4617" max="4617" width="7.42578125" style="372" customWidth="1"/>
    <col min="4618" max="4623" width="0" style="372" hidden="1" customWidth="1"/>
    <col min="4624" max="4624" width="2.28515625" style="372" customWidth="1"/>
    <col min="4625" max="4625" width="9.140625" style="372"/>
    <col min="4626" max="4626" width="9.7109375" style="372" customWidth="1"/>
    <col min="4627" max="4627" width="9.5703125" style="372" customWidth="1"/>
    <col min="4628" max="4628" width="10.140625" style="372" customWidth="1"/>
    <col min="4629" max="4864" width="9.140625" style="372"/>
    <col min="4865" max="4867" width="4.7109375" style="372" customWidth="1"/>
    <col min="4868" max="4868" width="9" style="372" customWidth="1"/>
    <col min="4869" max="4869" width="47.28515625" style="372" customWidth="1"/>
    <col min="4870" max="4870" width="11.5703125" style="372" customWidth="1"/>
    <col min="4871" max="4872" width="13.5703125" style="372" customWidth="1"/>
    <col min="4873" max="4873" width="7.42578125" style="372" customWidth="1"/>
    <col min="4874" max="4879" width="0" style="372" hidden="1" customWidth="1"/>
    <col min="4880" max="4880" width="2.28515625" style="372" customWidth="1"/>
    <col min="4881" max="4881" width="9.140625" style="372"/>
    <col min="4882" max="4882" width="9.7109375" style="372" customWidth="1"/>
    <col min="4883" max="4883" width="9.5703125" style="372" customWidth="1"/>
    <col min="4884" max="4884" width="10.140625" style="372" customWidth="1"/>
    <col min="4885" max="5120" width="9.140625" style="372"/>
    <col min="5121" max="5123" width="4.7109375" style="372" customWidth="1"/>
    <col min="5124" max="5124" width="9" style="372" customWidth="1"/>
    <col min="5125" max="5125" width="47.28515625" style="372" customWidth="1"/>
    <col min="5126" max="5126" width="11.5703125" style="372" customWidth="1"/>
    <col min="5127" max="5128" width="13.5703125" style="372" customWidth="1"/>
    <col min="5129" max="5129" width="7.42578125" style="372" customWidth="1"/>
    <col min="5130" max="5135" width="0" style="372" hidden="1" customWidth="1"/>
    <col min="5136" max="5136" width="2.28515625" style="372" customWidth="1"/>
    <col min="5137" max="5137" width="9.140625" style="372"/>
    <col min="5138" max="5138" width="9.7109375" style="372" customWidth="1"/>
    <col min="5139" max="5139" width="9.5703125" style="372" customWidth="1"/>
    <col min="5140" max="5140" width="10.140625" style="372" customWidth="1"/>
    <col min="5141" max="5376" width="9.140625" style="372"/>
    <col min="5377" max="5379" width="4.7109375" style="372" customWidth="1"/>
    <col min="5380" max="5380" width="9" style="372" customWidth="1"/>
    <col min="5381" max="5381" width="47.28515625" style="372" customWidth="1"/>
    <col min="5382" max="5382" width="11.5703125" style="372" customWidth="1"/>
    <col min="5383" max="5384" width="13.5703125" style="372" customWidth="1"/>
    <col min="5385" max="5385" width="7.42578125" style="372" customWidth="1"/>
    <col min="5386" max="5391" width="0" style="372" hidden="1" customWidth="1"/>
    <col min="5392" max="5392" width="2.28515625" style="372" customWidth="1"/>
    <col min="5393" max="5393" width="9.140625" style="372"/>
    <col min="5394" max="5394" width="9.7109375" style="372" customWidth="1"/>
    <col min="5395" max="5395" width="9.5703125" style="372" customWidth="1"/>
    <col min="5396" max="5396" width="10.140625" style="372" customWidth="1"/>
    <col min="5397" max="5632" width="9.140625" style="372"/>
    <col min="5633" max="5635" width="4.7109375" style="372" customWidth="1"/>
    <col min="5636" max="5636" width="9" style="372" customWidth="1"/>
    <col min="5637" max="5637" width="47.28515625" style="372" customWidth="1"/>
    <col min="5638" max="5638" width="11.5703125" style="372" customWidth="1"/>
    <col min="5639" max="5640" width="13.5703125" style="372" customWidth="1"/>
    <col min="5641" max="5641" width="7.42578125" style="372" customWidth="1"/>
    <col min="5642" max="5647" width="0" style="372" hidden="1" customWidth="1"/>
    <col min="5648" max="5648" width="2.28515625" style="372" customWidth="1"/>
    <col min="5649" max="5649" width="9.140625" style="372"/>
    <col min="5650" max="5650" width="9.7109375" style="372" customWidth="1"/>
    <col min="5651" max="5651" width="9.5703125" style="372" customWidth="1"/>
    <col min="5652" max="5652" width="10.140625" style="372" customWidth="1"/>
    <col min="5653" max="5888" width="9.140625" style="372"/>
    <col min="5889" max="5891" width="4.7109375" style="372" customWidth="1"/>
    <col min="5892" max="5892" width="9" style="372" customWidth="1"/>
    <col min="5893" max="5893" width="47.28515625" style="372" customWidth="1"/>
    <col min="5894" max="5894" width="11.5703125" style="372" customWidth="1"/>
    <col min="5895" max="5896" width="13.5703125" style="372" customWidth="1"/>
    <col min="5897" max="5897" width="7.42578125" style="372" customWidth="1"/>
    <col min="5898" max="5903" width="0" style="372" hidden="1" customWidth="1"/>
    <col min="5904" max="5904" width="2.28515625" style="372" customWidth="1"/>
    <col min="5905" max="5905" width="9.140625" style="372"/>
    <col min="5906" max="5906" width="9.7109375" style="372" customWidth="1"/>
    <col min="5907" max="5907" width="9.5703125" style="372" customWidth="1"/>
    <col min="5908" max="5908" width="10.140625" style="372" customWidth="1"/>
    <col min="5909" max="6144" width="9.140625" style="372"/>
    <col min="6145" max="6147" width="4.7109375" style="372" customWidth="1"/>
    <col min="6148" max="6148" width="9" style="372" customWidth="1"/>
    <col min="6149" max="6149" width="47.28515625" style="372" customWidth="1"/>
    <col min="6150" max="6150" width="11.5703125" style="372" customWidth="1"/>
    <col min="6151" max="6152" width="13.5703125" style="372" customWidth="1"/>
    <col min="6153" max="6153" width="7.42578125" style="372" customWidth="1"/>
    <col min="6154" max="6159" width="0" style="372" hidden="1" customWidth="1"/>
    <col min="6160" max="6160" width="2.28515625" style="372" customWidth="1"/>
    <col min="6161" max="6161" width="9.140625" style="372"/>
    <col min="6162" max="6162" width="9.7109375" style="372" customWidth="1"/>
    <col min="6163" max="6163" width="9.5703125" style="372" customWidth="1"/>
    <col min="6164" max="6164" width="10.140625" style="372" customWidth="1"/>
    <col min="6165" max="6400" width="9.140625" style="372"/>
    <col min="6401" max="6403" width="4.7109375" style="372" customWidth="1"/>
    <col min="6404" max="6404" width="9" style="372" customWidth="1"/>
    <col min="6405" max="6405" width="47.28515625" style="372" customWidth="1"/>
    <col min="6406" max="6406" width="11.5703125" style="372" customWidth="1"/>
    <col min="6407" max="6408" width="13.5703125" style="372" customWidth="1"/>
    <col min="6409" max="6409" width="7.42578125" style="372" customWidth="1"/>
    <col min="6410" max="6415" width="0" style="372" hidden="1" customWidth="1"/>
    <col min="6416" max="6416" width="2.28515625" style="372" customWidth="1"/>
    <col min="6417" max="6417" width="9.140625" style="372"/>
    <col min="6418" max="6418" width="9.7109375" style="372" customWidth="1"/>
    <col min="6419" max="6419" width="9.5703125" style="372" customWidth="1"/>
    <col min="6420" max="6420" width="10.140625" style="372" customWidth="1"/>
    <col min="6421" max="6656" width="9.140625" style="372"/>
    <col min="6657" max="6659" width="4.7109375" style="372" customWidth="1"/>
    <col min="6660" max="6660" width="9" style="372" customWidth="1"/>
    <col min="6661" max="6661" width="47.28515625" style="372" customWidth="1"/>
    <col min="6662" max="6662" width="11.5703125" style="372" customWidth="1"/>
    <col min="6663" max="6664" width="13.5703125" style="372" customWidth="1"/>
    <col min="6665" max="6665" width="7.42578125" style="372" customWidth="1"/>
    <col min="6666" max="6671" width="0" style="372" hidden="1" customWidth="1"/>
    <col min="6672" max="6672" width="2.28515625" style="372" customWidth="1"/>
    <col min="6673" max="6673" width="9.140625" style="372"/>
    <col min="6674" max="6674" width="9.7109375" style="372" customWidth="1"/>
    <col min="6675" max="6675" width="9.5703125" style="372" customWidth="1"/>
    <col min="6676" max="6676" width="10.140625" style="372" customWidth="1"/>
    <col min="6677" max="6912" width="9.140625" style="372"/>
    <col min="6913" max="6915" width="4.7109375" style="372" customWidth="1"/>
    <col min="6916" max="6916" width="9" style="372" customWidth="1"/>
    <col min="6917" max="6917" width="47.28515625" style="372" customWidth="1"/>
    <col min="6918" max="6918" width="11.5703125" style="372" customWidth="1"/>
    <col min="6919" max="6920" width="13.5703125" style="372" customWidth="1"/>
    <col min="6921" max="6921" width="7.42578125" style="372" customWidth="1"/>
    <col min="6922" max="6927" width="0" style="372" hidden="1" customWidth="1"/>
    <col min="6928" max="6928" width="2.28515625" style="372" customWidth="1"/>
    <col min="6929" max="6929" width="9.140625" style="372"/>
    <col min="6930" max="6930" width="9.7109375" style="372" customWidth="1"/>
    <col min="6931" max="6931" width="9.5703125" style="372" customWidth="1"/>
    <col min="6932" max="6932" width="10.140625" style="372" customWidth="1"/>
    <col min="6933" max="7168" width="9.140625" style="372"/>
    <col min="7169" max="7171" width="4.7109375" style="372" customWidth="1"/>
    <col min="7172" max="7172" width="9" style="372" customWidth="1"/>
    <col min="7173" max="7173" width="47.28515625" style="372" customWidth="1"/>
    <col min="7174" max="7174" width="11.5703125" style="372" customWidth="1"/>
    <col min="7175" max="7176" width="13.5703125" style="372" customWidth="1"/>
    <col min="7177" max="7177" width="7.42578125" style="372" customWidth="1"/>
    <col min="7178" max="7183" width="0" style="372" hidden="1" customWidth="1"/>
    <col min="7184" max="7184" width="2.28515625" style="372" customWidth="1"/>
    <col min="7185" max="7185" width="9.140625" style="372"/>
    <col min="7186" max="7186" width="9.7109375" style="372" customWidth="1"/>
    <col min="7187" max="7187" width="9.5703125" style="372" customWidth="1"/>
    <col min="7188" max="7188" width="10.140625" style="372" customWidth="1"/>
    <col min="7189" max="7424" width="9.140625" style="372"/>
    <col min="7425" max="7427" width="4.7109375" style="372" customWidth="1"/>
    <col min="7428" max="7428" width="9" style="372" customWidth="1"/>
    <col min="7429" max="7429" width="47.28515625" style="372" customWidth="1"/>
    <col min="7430" max="7430" width="11.5703125" style="372" customWidth="1"/>
    <col min="7431" max="7432" width="13.5703125" style="372" customWidth="1"/>
    <col min="7433" max="7433" width="7.42578125" style="372" customWidth="1"/>
    <col min="7434" max="7439" width="0" style="372" hidden="1" customWidth="1"/>
    <col min="7440" max="7440" width="2.28515625" style="372" customWidth="1"/>
    <col min="7441" max="7441" width="9.140625" style="372"/>
    <col min="7442" max="7442" width="9.7109375" style="372" customWidth="1"/>
    <col min="7443" max="7443" width="9.5703125" style="372" customWidth="1"/>
    <col min="7444" max="7444" width="10.140625" style="372" customWidth="1"/>
    <col min="7445" max="7680" width="9.140625" style="372"/>
    <col min="7681" max="7683" width="4.7109375" style="372" customWidth="1"/>
    <col min="7684" max="7684" width="9" style="372" customWidth="1"/>
    <col min="7685" max="7685" width="47.28515625" style="372" customWidth="1"/>
    <col min="7686" max="7686" width="11.5703125" style="372" customWidth="1"/>
    <col min="7687" max="7688" width="13.5703125" style="372" customWidth="1"/>
    <col min="7689" max="7689" width="7.42578125" style="372" customWidth="1"/>
    <col min="7690" max="7695" width="0" style="372" hidden="1" customWidth="1"/>
    <col min="7696" max="7696" width="2.28515625" style="372" customWidth="1"/>
    <col min="7697" max="7697" width="9.140625" style="372"/>
    <col min="7698" max="7698" width="9.7109375" style="372" customWidth="1"/>
    <col min="7699" max="7699" width="9.5703125" style="372" customWidth="1"/>
    <col min="7700" max="7700" width="10.140625" style="372" customWidth="1"/>
    <col min="7701" max="7936" width="9.140625" style="372"/>
    <col min="7937" max="7939" width="4.7109375" style="372" customWidth="1"/>
    <col min="7940" max="7940" width="9" style="372" customWidth="1"/>
    <col min="7941" max="7941" width="47.28515625" style="372" customWidth="1"/>
    <col min="7942" max="7942" width="11.5703125" style="372" customWidth="1"/>
    <col min="7943" max="7944" width="13.5703125" style="372" customWidth="1"/>
    <col min="7945" max="7945" width="7.42578125" style="372" customWidth="1"/>
    <col min="7946" max="7951" width="0" style="372" hidden="1" customWidth="1"/>
    <col min="7952" max="7952" width="2.28515625" style="372" customWidth="1"/>
    <col min="7953" max="7953" width="9.140625" style="372"/>
    <col min="7954" max="7954" width="9.7109375" style="372" customWidth="1"/>
    <col min="7955" max="7955" width="9.5703125" style="372" customWidth="1"/>
    <col min="7956" max="7956" width="10.140625" style="372" customWidth="1"/>
    <col min="7957" max="8192" width="9.140625" style="372"/>
    <col min="8193" max="8195" width="4.7109375" style="372" customWidth="1"/>
    <col min="8196" max="8196" width="9" style="372" customWidth="1"/>
    <col min="8197" max="8197" width="47.28515625" style="372" customWidth="1"/>
    <col min="8198" max="8198" width="11.5703125" style="372" customWidth="1"/>
    <col min="8199" max="8200" width="13.5703125" style="372" customWidth="1"/>
    <col min="8201" max="8201" width="7.42578125" style="372" customWidth="1"/>
    <col min="8202" max="8207" width="0" style="372" hidden="1" customWidth="1"/>
    <col min="8208" max="8208" width="2.28515625" style="372" customWidth="1"/>
    <col min="8209" max="8209" width="9.140625" style="372"/>
    <col min="8210" max="8210" width="9.7109375" style="372" customWidth="1"/>
    <col min="8211" max="8211" width="9.5703125" style="372" customWidth="1"/>
    <col min="8212" max="8212" width="10.140625" style="372" customWidth="1"/>
    <col min="8213" max="8448" width="9.140625" style="372"/>
    <col min="8449" max="8451" width="4.7109375" style="372" customWidth="1"/>
    <col min="8452" max="8452" width="9" style="372" customWidth="1"/>
    <col min="8453" max="8453" width="47.28515625" style="372" customWidth="1"/>
    <col min="8454" max="8454" width="11.5703125" style="372" customWidth="1"/>
    <col min="8455" max="8456" width="13.5703125" style="372" customWidth="1"/>
    <col min="8457" max="8457" width="7.42578125" style="372" customWidth="1"/>
    <col min="8458" max="8463" width="0" style="372" hidden="1" customWidth="1"/>
    <col min="8464" max="8464" width="2.28515625" style="372" customWidth="1"/>
    <col min="8465" max="8465" width="9.140625" style="372"/>
    <col min="8466" max="8466" width="9.7109375" style="372" customWidth="1"/>
    <col min="8467" max="8467" width="9.5703125" style="372" customWidth="1"/>
    <col min="8468" max="8468" width="10.140625" style="372" customWidth="1"/>
    <col min="8469" max="8704" width="9.140625" style="372"/>
    <col min="8705" max="8707" width="4.7109375" style="372" customWidth="1"/>
    <col min="8708" max="8708" width="9" style="372" customWidth="1"/>
    <col min="8709" max="8709" width="47.28515625" style="372" customWidth="1"/>
    <col min="8710" max="8710" width="11.5703125" style="372" customWidth="1"/>
    <col min="8711" max="8712" width="13.5703125" style="372" customWidth="1"/>
    <col min="8713" max="8713" width="7.42578125" style="372" customWidth="1"/>
    <col min="8714" max="8719" width="0" style="372" hidden="1" customWidth="1"/>
    <col min="8720" max="8720" width="2.28515625" style="372" customWidth="1"/>
    <col min="8721" max="8721" width="9.140625" style="372"/>
    <col min="8722" max="8722" width="9.7109375" style="372" customWidth="1"/>
    <col min="8723" max="8723" width="9.5703125" style="372" customWidth="1"/>
    <col min="8724" max="8724" width="10.140625" style="372" customWidth="1"/>
    <col min="8725" max="8960" width="9.140625" style="372"/>
    <col min="8961" max="8963" width="4.7109375" style="372" customWidth="1"/>
    <col min="8964" max="8964" width="9" style="372" customWidth="1"/>
    <col min="8965" max="8965" width="47.28515625" style="372" customWidth="1"/>
    <col min="8966" max="8966" width="11.5703125" style="372" customWidth="1"/>
    <col min="8967" max="8968" width="13.5703125" style="372" customWidth="1"/>
    <col min="8969" max="8969" width="7.42578125" style="372" customWidth="1"/>
    <col min="8970" max="8975" width="0" style="372" hidden="1" customWidth="1"/>
    <col min="8976" max="8976" width="2.28515625" style="372" customWidth="1"/>
    <col min="8977" max="8977" width="9.140625" style="372"/>
    <col min="8978" max="8978" width="9.7109375" style="372" customWidth="1"/>
    <col min="8979" max="8979" width="9.5703125" style="372" customWidth="1"/>
    <col min="8980" max="8980" width="10.140625" style="372" customWidth="1"/>
    <col min="8981" max="9216" width="9.140625" style="372"/>
    <col min="9217" max="9219" width="4.7109375" style="372" customWidth="1"/>
    <col min="9220" max="9220" width="9" style="372" customWidth="1"/>
    <col min="9221" max="9221" width="47.28515625" style="372" customWidth="1"/>
    <col min="9222" max="9222" width="11.5703125" style="372" customWidth="1"/>
    <col min="9223" max="9224" width="13.5703125" style="372" customWidth="1"/>
    <col min="9225" max="9225" width="7.42578125" style="372" customWidth="1"/>
    <col min="9226" max="9231" width="0" style="372" hidden="1" customWidth="1"/>
    <col min="9232" max="9232" width="2.28515625" style="372" customWidth="1"/>
    <col min="9233" max="9233" width="9.140625" style="372"/>
    <col min="9234" max="9234" width="9.7109375" style="372" customWidth="1"/>
    <col min="9235" max="9235" width="9.5703125" style="372" customWidth="1"/>
    <col min="9236" max="9236" width="10.140625" style="372" customWidth="1"/>
    <col min="9237" max="9472" width="9.140625" style="372"/>
    <col min="9473" max="9475" width="4.7109375" style="372" customWidth="1"/>
    <col min="9476" max="9476" width="9" style="372" customWidth="1"/>
    <col min="9477" max="9477" width="47.28515625" style="372" customWidth="1"/>
    <col min="9478" max="9478" width="11.5703125" style="372" customWidth="1"/>
    <col min="9479" max="9480" width="13.5703125" style="372" customWidth="1"/>
    <col min="9481" max="9481" width="7.42578125" style="372" customWidth="1"/>
    <col min="9482" max="9487" width="0" style="372" hidden="1" customWidth="1"/>
    <col min="9488" max="9488" width="2.28515625" style="372" customWidth="1"/>
    <col min="9489" max="9489" width="9.140625" style="372"/>
    <col min="9490" max="9490" width="9.7109375" style="372" customWidth="1"/>
    <col min="9491" max="9491" width="9.5703125" style="372" customWidth="1"/>
    <col min="9492" max="9492" width="10.140625" style="372" customWidth="1"/>
    <col min="9493" max="9728" width="9.140625" style="372"/>
    <col min="9729" max="9731" width="4.7109375" style="372" customWidth="1"/>
    <col min="9732" max="9732" width="9" style="372" customWidth="1"/>
    <col min="9733" max="9733" width="47.28515625" style="372" customWidth="1"/>
    <col min="9734" max="9734" width="11.5703125" style="372" customWidth="1"/>
    <col min="9735" max="9736" width="13.5703125" style="372" customWidth="1"/>
    <col min="9737" max="9737" width="7.42578125" style="372" customWidth="1"/>
    <col min="9738" max="9743" width="0" style="372" hidden="1" customWidth="1"/>
    <col min="9744" max="9744" width="2.28515625" style="372" customWidth="1"/>
    <col min="9745" max="9745" width="9.140625" style="372"/>
    <col min="9746" max="9746" width="9.7109375" style="372" customWidth="1"/>
    <col min="9747" max="9747" width="9.5703125" style="372" customWidth="1"/>
    <col min="9748" max="9748" width="10.140625" style="372" customWidth="1"/>
    <col min="9749" max="9984" width="9.140625" style="372"/>
    <col min="9985" max="9987" width="4.7109375" style="372" customWidth="1"/>
    <col min="9988" max="9988" width="9" style="372" customWidth="1"/>
    <col min="9989" max="9989" width="47.28515625" style="372" customWidth="1"/>
    <col min="9990" max="9990" width="11.5703125" style="372" customWidth="1"/>
    <col min="9991" max="9992" width="13.5703125" style="372" customWidth="1"/>
    <col min="9993" max="9993" width="7.42578125" style="372" customWidth="1"/>
    <col min="9994" max="9999" width="0" style="372" hidden="1" customWidth="1"/>
    <col min="10000" max="10000" width="2.28515625" style="372" customWidth="1"/>
    <col min="10001" max="10001" width="9.140625" style="372"/>
    <col min="10002" max="10002" width="9.7109375" style="372" customWidth="1"/>
    <col min="10003" max="10003" width="9.5703125" style="372" customWidth="1"/>
    <col min="10004" max="10004" width="10.140625" style="372" customWidth="1"/>
    <col min="10005" max="10240" width="9.140625" style="372"/>
    <col min="10241" max="10243" width="4.7109375" style="372" customWidth="1"/>
    <col min="10244" max="10244" width="9" style="372" customWidth="1"/>
    <col min="10245" max="10245" width="47.28515625" style="372" customWidth="1"/>
    <col min="10246" max="10246" width="11.5703125" style="372" customWidth="1"/>
    <col min="10247" max="10248" width="13.5703125" style="372" customWidth="1"/>
    <col min="10249" max="10249" width="7.42578125" style="372" customWidth="1"/>
    <col min="10250" max="10255" width="0" style="372" hidden="1" customWidth="1"/>
    <col min="10256" max="10256" width="2.28515625" style="372" customWidth="1"/>
    <col min="10257" max="10257" width="9.140625" style="372"/>
    <col min="10258" max="10258" width="9.7109375" style="372" customWidth="1"/>
    <col min="10259" max="10259" width="9.5703125" style="372" customWidth="1"/>
    <col min="10260" max="10260" width="10.140625" style="372" customWidth="1"/>
    <col min="10261" max="10496" width="9.140625" style="372"/>
    <col min="10497" max="10499" width="4.7109375" style="372" customWidth="1"/>
    <col min="10500" max="10500" width="9" style="372" customWidth="1"/>
    <col min="10501" max="10501" width="47.28515625" style="372" customWidth="1"/>
    <col min="10502" max="10502" width="11.5703125" style="372" customWidth="1"/>
    <col min="10503" max="10504" width="13.5703125" style="372" customWidth="1"/>
    <col min="10505" max="10505" width="7.42578125" style="372" customWidth="1"/>
    <col min="10506" max="10511" width="0" style="372" hidden="1" customWidth="1"/>
    <col min="10512" max="10512" width="2.28515625" style="372" customWidth="1"/>
    <col min="10513" max="10513" width="9.140625" style="372"/>
    <col min="10514" max="10514" width="9.7109375" style="372" customWidth="1"/>
    <col min="10515" max="10515" width="9.5703125" style="372" customWidth="1"/>
    <col min="10516" max="10516" width="10.140625" style="372" customWidth="1"/>
    <col min="10517" max="10752" width="9.140625" style="372"/>
    <col min="10753" max="10755" width="4.7109375" style="372" customWidth="1"/>
    <col min="10756" max="10756" width="9" style="372" customWidth="1"/>
    <col min="10757" max="10757" width="47.28515625" style="372" customWidth="1"/>
    <col min="10758" max="10758" width="11.5703125" style="372" customWidth="1"/>
    <col min="10759" max="10760" width="13.5703125" style="372" customWidth="1"/>
    <col min="10761" max="10761" width="7.42578125" style="372" customWidth="1"/>
    <col min="10762" max="10767" width="0" style="372" hidden="1" customWidth="1"/>
    <col min="10768" max="10768" width="2.28515625" style="372" customWidth="1"/>
    <col min="10769" max="10769" width="9.140625" style="372"/>
    <col min="10770" max="10770" width="9.7109375" style="372" customWidth="1"/>
    <col min="10771" max="10771" width="9.5703125" style="372" customWidth="1"/>
    <col min="10772" max="10772" width="10.140625" style="372" customWidth="1"/>
    <col min="10773" max="11008" width="9.140625" style="372"/>
    <col min="11009" max="11011" width="4.7109375" style="372" customWidth="1"/>
    <col min="11012" max="11012" width="9" style="372" customWidth="1"/>
    <col min="11013" max="11013" width="47.28515625" style="372" customWidth="1"/>
    <col min="11014" max="11014" width="11.5703125" style="372" customWidth="1"/>
    <col min="11015" max="11016" width="13.5703125" style="372" customWidth="1"/>
    <col min="11017" max="11017" width="7.42578125" style="372" customWidth="1"/>
    <col min="11018" max="11023" width="0" style="372" hidden="1" customWidth="1"/>
    <col min="11024" max="11024" width="2.28515625" style="372" customWidth="1"/>
    <col min="11025" max="11025" width="9.140625" style="372"/>
    <col min="11026" max="11026" width="9.7109375" style="372" customWidth="1"/>
    <col min="11027" max="11027" width="9.5703125" style="372" customWidth="1"/>
    <col min="11028" max="11028" width="10.140625" style="372" customWidth="1"/>
    <col min="11029" max="11264" width="9.140625" style="372"/>
    <col min="11265" max="11267" width="4.7109375" style="372" customWidth="1"/>
    <col min="11268" max="11268" width="9" style="372" customWidth="1"/>
    <col min="11269" max="11269" width="47.28515625" style="372" customWidth="1"/>
    <col min="11270" max="11270" width="11.5703125" style="372" customWidth="1"/>
    <col min="11271" max="11272" width="13.5703125" style="372" customWidth="1"/>
    <col min="11273" max="11273" width="7.42578125" style="372" customWidth="1"/>
    <col min="11274" max="11279" width="0" style="372" hidden="1" customWidth="1"/>
    <col min="11280" max="11280" width="2.28515625" style="372" customWidth="1"/>
    <col min="11281" max="11281" width="9.140625" style="372"/>
    <col min="11282" max="11282" width="9.7109375" style="372" customWidth="1"/>
    <col min="11283" max="11283" width="9.5703125" style="372" customWidth="1"/>
    <col min="11284" max="11284" width="10.140625" style="372" customWidth="1"/>
    <col min="11285" max="11520" width="9.140625" style="372"/>
    <col min="11521" max="11523" width="4.7109375" style="372" customWidth="1"/>
    <col min="11524" max="11524" width="9" style="372" customWidth="1"/>
    <col min="11525" max="11525" width="47.28515625" style="372" customWidth="1"/>
    <col min="11526" max="11526" width="11.5703125" style="372" customWidth="1"/>
    <col min="11527" max="11528" width="13.5703125" style="372" customWidth="1"/>
    <col min="11529" max="11529" width="7.42578125" style="372" customWidth="1"/>
    <col min="11530" max="11535" width="0" style="372" hidden="1" customWidth="1"/>
    <col min="11536" max="11536" width="2.28515625" style="372" customWidth="1"/>
    <col min="11537" max="11537" width="9.140625" style="372"/>
    <col min="11538" max="11538" width="9.7109375" style="372" customWidth="1"/>
    <col min="11539" max="11539" width="9.5703125" style="372" customWidth="1"/>
    <col min="11540" max="11540" width="10.140625" style="372" customWidth="1"/>
    <col min="11541" max="11776" width="9.140625" style="372"/>
    <col min="11777" max="11779" width="4.7109375" style="372" customWidth="1"/>
    <col min="11780" max="11780" width="9" style="372" customWidth="1"/>
    <col min="11781" max="11781" width="47.28515625" style="372" customWidth="1"/>
    <col min="11782" max="11782" width="11.5703125" style="372" customWidth="1"/>
    <col min="11783" max="11784" width="13.5703125" style="372" customWidth="1"/>
    <col min="11785" max="11785" width="7.42578125" style="372" customWidth="1"/>
    <col min="11786" max="11791" width="0" style="372" hidden="1" customWidth="1"/>
    <col min="11792" max="11792" width="2.28515625" style="372" customWidth="1"/>
    <col min="11793" max="11793" width="9.140625" style="372"/>
    <col min="11794" max="11794" width="9.7109375" style="372" customWidth="1"/>
    <col min="11795" max="11795" width="9.5703125" style="372" customWidth="1"/>
    <col min="11796" max="11796" width="10.140625" style="372" customWidth="1"/>
    <col min="11797" max="12032" width="9.140625" style="372"/>
    <col min="12033" max="12035" width="4.7109375" style="372" customWidth="1"/>
    <col min="12036" max="12036" width="9" style="372" customWidth="1"/>
    <col min="12037" max="12037" width="47.28515625" style="372" customWidth="1"/>
    <col min="12038" max="12038" width="11.5703125" style="372" customWidth="1"/>
    <col min="12039" max="12040" width="13.5703125" style="372" customWidth="1"/>
    <col min="12041" max="12041" width="7.42578125" style="372" customWidth="1"/>
    <col min="12042" max="12047" width="0" style="372" hidden="1" customWidth="1"/>
    <col min="12048" max="12048" width="2.28515625" style="372" customWidth="1"/>
    <col min="12049" max="12049" width="9.140625" style="372"/>
    <col min="12050" max="12050" width="9.7109375" style="372" customWidth="1"/>
    <col min="12051" max="12051" width="9.5703125" style="372" customWidth="1"/>
    <col min="12052" max="12052" width="10.140625" style="372" customWidth="1"/>
    <col min="12053" max="12288" width="9.140625" style="372"/>
    <col min="12289" max="12291" width="4.7109375" style="372" customWidth="1"/>
    <col min="12292" max="12292" width="9" style="372" customWidth="1"/>
    <col min="12293" max="12293" width="47.28515625" style="372" customWidth="1"/>
    <col min="12294" max="12294" width="11.5703125" style="372" customWidth="1"/>
    <col min="12295" max="12296" width="13.5703125" style="372" customWidth="1"/>
    <col min="12297" max="12297" width="7.42578125" style="372" customWidth="1"/>
    <col min="12298" max="12303" width="0" style="372" hidden="1" customWidth="1"/>
    <col min="12304" max="12304" width="2.28515625" style="372" customWidth="1"/>
    <col min="12305" max="12305" width="9.140625" style="372"/>
    <col min="12306" max="12306" width="9.7109375" style="372" customWidth="1"/>
    <col min="12307" max="12307" width="9.5703125" style="372" customWidth="1"/>
    <col min="12308" max="12308" width="10.140625" style="372" customWidth="1"/>
    <col min="12309" max="12544" width="9.140625" style="372"/>
    <col min="12545" max="12547" width="4.7109375" style="372" customWidth="1"/>
    <col min="12548" max="12548" width="9" style="372" customWidth="1"/>
    <col min="12549" max="12549" width="47.28515625" style="372" customWidth="1"/>
    <col min="12550" max="12550" width="11.5703125" style="372" customWidth="1"/>
    <col min="12551" max="12552" width="13.5703125" style="372" customWidth="1"/>
    <col min="12553" max="12553" width="7.42578125" style="372" customWidth="1"/>
    <col min="12554" max="12559" width="0" style="372" hidden="1" customWidth="1"/>
    <col min="12560" max="12560" width="2.28515625" style="372" customWidth="1"/>
    <col min="12561" max="12561" width="9.140625" style="372"/>
    <col min="12562" max="12562" width="9.7109375" style="372" customWidth="1"/>
    <col min="12563" max="12563" width="9.5703125" style="372" customWidth="1"/>
    <col min="12564" max="12564" width="10.140625" style="372" customWidth="1"/>
    <col min="12565" max="12800" width="9.140625" style="372"/>
    <col min="12801" max="12803" width="4.7109375" style="372" customWidth="1"/>
    <col min="12804" max="12804" width="9" style="372" customWidth="1"/>
    <col min="12805" max="12805" width="47.28515625" style="372" customWidth="1"/>
    <col min="12806" max="12806" width="11.5703125" style="372" customWidth="1"/>
    <col min="12807" max="12808" width="13.5703125" style="372" customWidth="1"/>
    <col min="12809" max="12809" width="7.42578125" style="372" customWidth="1"/>
    <col min="12810" max="12815" width="0" style="372" hidden="1" customWidth="1"/>
    <col min="12816" max="12816" width="2.28515625" style="372" customWidth="1"/>
    <col min="12817" max="12817" width="9.140625" style="372"/>
    <col min="12818" max="12818" width="9.7109375" style="372" customWidth="1"/>
    <col min="12819" max="12819" width="9.5703125" style="372" customWidth="1"/>
    <col min="12820" max="12820" width="10.140625" style="372" customWidth="1"/>
    <col min="12821" max="13056" width="9.140625" style="372"/>
    <col min="13057" max="13059" width="4.7109375" style="372" customWidth="1"/>
    <col min="13060" max="13060" width="9" style="372" customWidth="1"/>
    <col min="13061" max="13061" width="47.28515625" style="372" customWidth="1"/>
    <col min="13062" max="13062" width="11.5703125" style="372" customWidth="1"/>
    <col min="13063" max="13064" width="13.5703125" style="372" customWidth="1"/>
    <col min="13065" max="13065" width="7.42578125" style="372" customWidth="1"/>
    <col min="13066" max="13071" width="0" style="372" hidden="1" customWidth="1"/>
    <col min="13072" max="13072" width="2.28515625" style="372" customWidth="1"/>
    <col min="13073" max="13073" width="9.140625" style="372"/>
    <col min="13074" max="13074" width="9.7109375" style="372" customWidth="1"/>
    <col min="13075" max="13075" width="9.5703125" style="372" customWidth="1"/>
    <col min="13076" max="13076" width="10.140625" style="372" customWidth="1"/>
    <col min="13077" max="13312" width="9.140625" style="372"/>
    <col min="13313" max="13315" width="4.7109375" style="372" customWidth="1"/>
    <col min="13316" max="13316" width="9" style="372" customWidth="1"/>
    <col min="13317" max="13317" width="47.28515625" style="372" customWidth="1"/>
    <col min="13318" max="13318" width="11.5703125" style="372" customWidth="1"/>
    <col min="13319" max="13320" width="13.5703125" style="372" customWidth="1"/>
    <col min="13321" max="13321" width="7.42578125" style="372" customWidth="1"/>
    <col min="13322" max="13327" width="0" style="372" hidden="1" customWidth="1"/>
    <col min="13328" max="13328" width="2.28515625" style="372" customWidth="1"/>
    <col min="13329" max="13329" width="9.140625" style="372"/>
    <col min="13330" max="13330" width="9.7109375" style="372" customWidth="1"/>
    <col min="13331" max="13331" width="9.5703125" style="372" customWidth="1"/>
    <col min="13332" max="13332" width="10.140625" style="372" customWidth="1"/>
    <col min="13333" max="13568" width="9.140625" style="372"/>
    <col min="13569" max="13571" width="4.7109375" style="372" customWidth="1"/>
    <col min="13572" max="13572" width="9" style="372" customWidth="1"/>
    <col min="13573" max="13573" width="47.28515625" style="372" customWidth="1"/>
    <col min="13574" max="13574" width="11.5703125" style="372" customWidth="1"/>
    <col min="13575" max="13576" width="13.5703125" style="372" customWidth="1"/>
    <col min="13577" max="13577" width="7.42578125" style="372" customWidth="1"/>
    <col min="13578" max="13583" width="0" style="372" hidden="1" customWidth="1"/>
    <col min="13584" max="13584" width="2.28515625" style="372" customWidth="1"/>
    <col min="13585" max="13585" width="9.140625" style="372"/>
    <col min="13586" max="13586" width="9.7109375" style="372" customWidth="1"/>
    <col min="13587" max="13587" width="9.5703125" style="372" customWidth="1"/>
    <col min="13588" max="13588" width="10.140625" style="372" customWidth="1"/>
    <col min="13589" max="13824" width="9.140625" style="372"/>
    <col min="13825" max="13827" width="4.7109375" style="372" customWidth="1"/>
    <col min="13828" max="13828" width="9" style="372" customWidth="1"/>
    <col min="13829" max="13829" width="47.28515625" style="372" customWidth="1"/>
    <col min="13830" max="13830" width="11.5703125" style="372" customWidth="1"/>
    <col min="13831" max="13832" width="13.5703125" style="372" customWidth="1"/>
    <col min="13833" max="13833" width="7.42578125" style="372" customWidth="1"/>
    <col min="13834" max="13839" width="0" style="372" hidden="1" customWidth="1"/>
    <col min="13840" max="13840" width="2.28515625" style="372" customWidth="1"/>
    <col min="13841" max="13841" width="9.140625" style="372"/>
    <col min="13842" max="13842" width="9.7109375" style="372" customWidth="1"/>
    <col min="13843" max="13843" width="9.5703125" style="372" customWidth="1"/>
    <col min="13844" max="13844" width="10.140625" style="372" customWidth="1"/>
    <col min="13845" max="14080" width="9.140625" style="372"/>
    <col min="14081" max="14083" width="4.7109375" style="372" customWidth="1"/>
    <col min="14084" max="14084" width="9" style="372" customWidth="1"/>
    <col min="14085" max="14085" width="47.28515625" style="372" customWidth="1"/>
    <col min="14086" max="14086" width="11.5703125" style="372" customWidth="1"/>
    <col min="14087" max="14088" width="13.5703125" style="372" customWidth="1"/>
    <col min="14089" max="14089" width="7.42578125" style="372" customWidth="1"/>
    <col min="14090" max="14095" width="0" style="372" hidden="1" customWidth="1"/>
    <col min="14096" max="14096" width="2.28515625" style="372" customWidth="1"/>
    <col min="14097" max="14097" width="9.140625" style="372"/>
    <col min="14098" max="14098" width="9.7109375" style="372" customWidth="1"/>
    <col min="14099" max="14099" width="9.5703125" style="372" customWidth="1"/>
    <col min="14100" max="14100" width="10.140625" style="372" customWidth="1"/>
    <col min="14101" max="14336" width="9.140625" style="372"/>
    <col min="14337" max="14339" width="4.7109375" style="372" customWidth="1"/>
    <col min="14340" max="14340" width="9" style="372" customWidth="1"/>
    <col min="14341" max="14341" width="47.28515625" style="372" customWidth="1"/>
    <col min="14342" max="14342" width="11.5703125" style="372" customWidth="1"/>
    <col min="14343" max="14344" width="13.5703125" style="372" customWidth="1"/>
    <col min="14345" max="14345" width="7.42578125" style="372" customWidth="1"/>
    <col min="14346" max="14351" width="0" style="372" hidden="1" customWidth="1"/>
    <col min="14352" max="14352" width="2.28515625" style="372" customWidth="1"/>
    <col min="14353" max="14353" width="9.140625" style="372"/>
    <col min="14354" max="14354" width="9.7109375" style="372" customWidth="1"/>
    <col min="14355" max="14355" width="9.5703125" style="372" customWidth="1"/>
    <col min="14356" max="14356" width="10.140625" style="372" customWidth="1"/>
    <col min="14357" max="14592" width="9.140625" style="372"/>
    <col min="14593" max="14595" width="4.7109375" style="372" customWidth="1"/>
    <col min="14596" max="14596" width="9" style="372" customWidth="1"/>
    <col min="14597" max="14597" width="47.28515625" style="372" customWidth="1"/>
    <col min="14598" max="14598" width="11.5703125" style="372" customWidth="1"/>
    <col min="14599" max="14600" width="13.5703125" style="372" customWidth="1"/>
    <col min="14601" max="14601" width="7.42578125" style="372" customWidth="1"/>
    <col min="14602" max="14607" width="0" style="372" hidden="1" customWidth="1"/>
    <col min="14608" max="14608" width="2.28515625" style="372" customWidth="1"/>
    <col min="14609" max="14609" width="9.140625" style="372"/>
    <col min="14610" max="14610" width="9.7109375" style="372" customWidth="1"/>
    <col min="14611" max="14611" width="9.5703125" style="372" customWidth="1"/>
    <col min="14612" max="14612" width="10.140625" style="372" customWidth="1"/>
    <col min="14613" max="14848" width="9.140625" style="372"/>
    <col min="14849" max="14851" width="4.7109375" style="372" customWidth="1"/>
    <col min="14852" max="14852" width="9" style="372" customWidth="1"/>
    <col min="14853" max="14853" width="47.28515625" style="372" customWidth="1"/>
    <col min="14854" max="14854" width="11.5703125" style="372" customWidth="1"/>
    <col min="14855" max="14856" width="13.5703125" style="372" customWidth="1"/>
    <col min="14857" max="14857" width="7.42578125" style="372" customWidth="1"/>
    <col min="14858" max="14863" width="0" style="372" hidden="1" customWidth="1"/>
    <col min="14864" max="14864" width="2.28515625" style="372" customWidth="1"/>
    <col min="14865" max="14865" width="9.140625" style="372"/>
    <col min="14866" max="14866" width="9.7109375" style="372" customWidth="1"/>
    <col min="14867" max="14867" width="9.5703125" style="372" customWidth="1"/>
    <col min="14868" max="14868" width="10.140625" style="372" customWidth="1"/>
    <col min="14869" max="15104" width="9.140625" style="372"/>
    <col min="15105" max="15107" width="4.7109375" style="372" customWidth="1"/>
    <col min="15108" max="15108" width="9" style="372" customWidth="1"/>
    <col min="15109" max="15109" width="47.28515625" style="372" customWidth="1"/>
    <col min="15110" max="15110" width="11.5703125" style="372" customWidth="1"/>
    <col min="15111" max="15112" width="13.5703125" style="372" customWidth="1"/>
    <col min="15113" max="15113" width="7.42578125" style="372" customWidth="1"/>
    <col min="15114" max="15119" width="0" style="372" hidden="1" customWidth="1"/>
    <col min="15120" max="15120" width="2.28515625" style="372" customWidth="1"/>
    <col min="15121" max="15121" width="9.140625" style="372"/>
    <col min="15122" max="15122" width="9.7109375" style="372" customWidth="1"/>
    <col min="15123" max="15123" width="9.5703125" style="372" customWidth="1"/>
    <col min="15124" max="15124" width="10.140625" style="372" customWidth="1"/>
    <col min="15125" max="15360" width="9.140625" style="372"/>
    <col min="15361" max="15363" width="4.7109375" style="372" customWidth="1"/>
    <col min="15364" max="15364" width="9" style="372" customWidth="1"/>
    <col min="15365" max="15365" width="47.28515625" style="372" customWidth="1"/>
    <col min="15366" max="15366" width="11.5703125" style="372" customWidth="1"/>
    <col min="15367" max="15368" width="13.5703125" style="372" customWidth="1"/>
    <col min="15369" max="15369" width="7.42578125" style="372" customWidth="1"/>
    <col min="15370" max="15375" width="0" style="372" hidden="1" customWidth="1"/>
    <col min="15376" max="15376" width="2.28515625" style="372" customWidth="1"/>
    <col min="15377" max="15377" width="9.140625" style="372"/>
    <col min="15378" max="15378" width="9.7109375" style="372" customWidth="1"/>
    <col min="15379" max="15379" width="9.5703125" style="372" customWidth="1"/>
    <col min="15380" max="15380" width="10.140625" style="372" customWidth="1"/>
    <col min="15381" max="15616" width="9.140625" style="372"/>
    <col min="15617" max="15619" width="4.7109375" style="372" customWidth="1"/>
    <col min="15620" max="15620" width="9" style="372" customWidth="1"/>
    <col min="15621" max="15621" width="47.28515625" style="372" customWidth="1"/>
    <col min="15622" max="15622" width="11.5703125" style="372" customWidth="1"/>
    <col min="15623" max="15624" width="13.5703125" style="372" customWidth="1"/>
    <col min="15625" max="15625" width="7.42578125" style="372" customWidth="1"/>
    <col min="15626" max="15631" width="0" style="372" hidden="1" customWidth="1"/>
    <col min="15632" max="15632" width="2.28515625" style="372" customWidth="1"/>
    <col min="15633" max="15633" width="9.140625" style="372"/>
    <col min="15634" max="15634" width="9.7109375" style="372" customWidth="1"/>
    <col min="15635" max="15635" width="9.5703125" style="372" customWidth="1"/>
    <col min="15636" max="15636" width="10.140625" style="372" customWidth="1"/>
    <col min="15637" max="15872" width="9.140625" style="372"/>
    <col min="15873" max="15875" width="4.7109375" style="372" customWidth="1"/>
    <col min="15876" max="15876" width="9" style="372" customWidth="1"/>
    <col min="15877" max="15877" width="47.28515625" style="372" customWidth="1"/>
    <col min="15878" max="15878" width="11.5703125" style="372" customWidth="1"/>
    <col min="15879" max="15880" width="13.5703125" style="372" customWidth="1"/>
    <col min="15881" max="15881" width="7.42578125" style="372" customWidth="1"/>
    <col min="15882" max="15887" width="0" style="372" hidden="1" customWidth="1"/>
    <col min="15888" max="15888" width="2.28515625" style="372" customWidth="1"/>
    <col min="15889" max="15889" width="9.140625" style="372"/>
    <col min="15890" max="15890" width="9.7109375" style="372" customWidth="1"/>
    <col min="15891" max="15891" width="9.5703125" style="372" customWidth="1"/>
    <col min="15892" max="15892" width="10.140625" style="372" customWidth="1"/>
    <col min="15893" max="16128" width="9.140625" style="372"/>
    <col min="16129" max="16131" width="4.7109375" style="372" customWidth="1"/>
    <col min="16132" max="16132" width="9" style="372" customWidth="1"/>
    <col min="16133" max="16133" width="47.28515625" style="372" customWidth="1"/>
    <col min="16134" max="16134" width="11.5703125" style="372" customWidth="1"/>
    <col min="16135" max="16136" width="13.5703125" style="372" customWidth="1"/>
    <col min="16137" max="16137" width="7.42578125" style="372" customWidth="1"/>
    <col min="16138" max="16143" width="0" style="372" hidden="1" customWidth="1"/>
    <col min="16144" max="16144" width="2.28515625" style="372" customWidth="1"/>
    <col min="16145" max="16145" width="9.140625" style="372"/>
    <col min="16146" max="16146" width="9.7109375" style="372" customWidth="1"/>
    <col min="16147" max="16147" width="9.5703125" style="372" customWidth="1"/>
    <col min="16148" max="16148" width="10.140625" style="372" customWidth="1"/>
    <col min="16149" max="16384" width="9.140625" style="372"/>
  </cols>
  <sheetData>
    <row r="1" spans="1:10" ht="18.75" thickBot="1" x14ac:dyDescent="0.3">
      <c r="A1" s="441" t="s">
        <v>1256</v>
      </c>
      <c r="B1" s="442"/>
      <c r="C1" s="454"/>
      <c r="D1" s="455"/>
      <c r="E1" s="914"/>
      <c r="F1" s="444"/>
      <c r="G1" s="445" t="s">
        <v>367</v>
      </c>
      <c r="J1" s="17"/>
    </row>
    <row r="2" spans="1:10" ht="12.75" customHeight="1" x14ac:dyDescent="0.25">
      <c r="B2" s="6"/>
      <c r="C2" s="28"/>
      <c r="D2" s="63"/>
      <c r="E2" s="10"/>
      <c r="F2" s="302"/>
      <c r="G2" s="302"/>
      <c r="H2" s="178"/>
      <c r="I2" s="210"/>
      <c r="J2" s="17"/>
    </row>
    <row r="3" spans="1:10" ht="12.75" customHeight="1" x14ac:dyDescent="0.2">
      <c r="A3" s="67" t="s">
        <v>201</v>
      </c>
      <c r="B3" s="28"/>
      <c r="C3" s="483" t="s">
        <v>944</v>
      </c>
      <c r="D3" s="569"/>
      <c r="E3" s="302"/>
      <c r="F3" s="178"/>
      <c r="G3" s="179"/>
      <c r="H3" s="179"/>
    </row>
    <row r="4" spans="1:10" ht="12.75" customHeight="1" x14ac:dyDescent="0.25">
      <c r="A4" s="6"/>
      <c r="B4" s="28"/>
      <c r="C4" s="1610" t="s">
        <v>250</v>
      </c>
      <c r="D4" s="373"/>
      <c r="E4" s="302"/>
      <c r="F4" s="178"/>
      <c r="G4" s="179"/>
      <c r="H4" s="179"/>
    </row>
    <row r="5" spans="1:10" ht="12.75" customHeight="1" x14ac:dyDescent="0.25">
      <c r="A5" s="6"/>
      <c r="B5" s="28"/>
      <c r="C5" s="1610"/>
      <c r="D5" s="373"/>
      <c r="E5" s="302"/>
      <c r="F5" s="178"/>
      <c r="G5" s="179"/>
      <c r="H5" s="179"/>
    </row>
    <row r="6" spans="1:10" ht="12.75" customHeight="1" x14ac:dyDescent="0.25">
      <c r="B6" s="6"/>
      <c r="C6" s="28"/>
      <c r="D6" s="63"/>
      <c r="E6" s="10"/>
      <c r="F6" s="302"/>
      <c r="G6" s="302"/>
      <c r="H6" s="178"/>
      <c r="I6" s="210"/>
      <c r="J6" s="17"/>
    </row>
    <row r="7" spans="1:10" ht="18" x14ac:dyDescent="0.25">
      <c r="A7" s="33" t="s">
        <v>323</v>
      </c>
      <c r="B7" s="33"/>
      <c r="C7" s="28"/>
      <c r="D7" s="63"/>
      <c r="E7" s="10"/>
      <c r="F7" s="302"/>
      <c r="G7" s="302"/>
      <c r="H7" s="178"/>
      <c r="I7" s="210"/>
      <c r="J7" s="17"/>
    </row>
    <row r="8" spans="1:10" ht="18" x14ac:dyDescent="0.25">
      <c r="A8" s="33"/>
      <c r="B8" s="33"/>
      <c r="C8" s="28"/>
      <c r="D8" s="63"/>
      <c r="E8" s="10"/>
      <c r="F8" s="302"/>
      <c r="G8" s="302"/>
      <c r="H8" s="178"/>
      <c r="I8" s="210"/>
      <c r="J8" s="17"/>
    </row>
    <row r="9" spans="1:10" hidden="1" x14ac:dyDescent="0.2">
      <c r="A9" s="419" t="s">
        <v>140</v>
      </c>
      <c r="B9" s="570"/>
      <c r="C9" s="570"/>
      <c r="D9" s="649"/>
      <c r="E9" s="571"/>
      <c r="H9" s="560"/>
      <c r="I9" s="915" t="s">
        <v>583</v>
      </c>
    </row>
    <row r="10" spans="1:10" s="106" customFormat="1" hidden="1" thickTop="1" thickBot="1" x14ac:dyDescent="0.25">
      <c r="A10" s="572" t="s">
        <v>324</v>
      </c>
      <c r="B10" s="639" t="s">
        <v>93</v>
      </c>
      <c r="C10" s="573" t="s">
        <v>94</v>
      </c>
      <c r="D10" s="575" t="s">
        <v>364</v>
      </c>
      <c r="E10" s="575" t="s">
        <v>95</v>
      </c>
      <c r="F10" s="575" t="s">
        <v>328</v>
      </c>
      <c r="G10" s="575" t="s">
        <v>329</v>
      </c>
      <c r="H10" s="575" t="s">
        <v>448</v>
      </c>
      <c r="I10" s="651" t="s">
        <v>449</v>
      </c>
    </row>
    <row r="11" spans="1:10" s="374" customFormat="1" ht="20.25" hidden="1" customHeight="1" thickTop="1" thickBot="1" x14ac:dyDescent="0.25">
      <c r="A11" s="511">
        <v>1</v>
      </c>
      <c r="B11" s="512">
        <v>2</v>
      </c>
      <c r="C11" s="512">
        <v>3</v>
      </c>
      <c r="D11" s="512">
        <v>4</v>
      </c>
      <c r="E11" s="512">
        <v>5</v>
      </c>
      <c r="F11" s="499">
        <v>6</v>
      </c>
      <c r="G11" s="499">
        <v>7</v>
      </c>
      <c r="H11" s="500">
        <v>8</v>
      </c>
      <c r="I11" s="577" t="s">
        <v>393</v>
      </c>
    </row>
    <row r="12" spans="1:10" ht="15" hidden="1" x14ac:dyDescent="0.25">
      <c r="A12" s="418">
        <v>1000</v>
      </c>
      <c r="B12" s="634">
        <v>3111</v>
      </c>
      <c r="C12" s="603">
        <v>5336</v>
      </c>
      <c r="D12" s="513"/>
      <c r="E12" s="602" t="s">
        <v>856</v>
      </c>
      <c r="F12" s="675"/>
      <c r="G12" s="675">
        <f>G13+G14</f>
        <v>0</v>
      </c>
      <c r="H12" s="675">
        <f>H13+H14</f>
        <v>0</v>
      </c>
      <c r="I12" s="667" t="e">
        <f t="shared" ref="I12:I26" si="0">(H12/G12)*100</f>
        <v>#DIV/0!</v>
      </c>
    </row>
    <row r="13" spans="1:10" ht="15" hidden="1" x14ac:dyDescent="0.25">
      <c r="A13" s="418"/>
      <c r="B13" s="634"/>
      <c r="C13" s="603"/>
      <c r="D13" s="505" t="s">
        <v>900</v>
      </c>
      <c r="E13" s="435" t="s">
        <v>483</v>
      </c>
      <c r="F13" s="675"/>
      <c r="G13" s="668"/>
      <c r="H13" s="668"/>
      <c r="I13" s="661" t="e">
        <f t="shared" si="0"/>
        <v>#DIV/0!</v>
      </c>
    </row>
    <row r="14" spans="1:10" ht="14.25" hidden="1" x14ac:dyDescent="0.2">
      <c r="A14" s="418"/>
      <c r="B14" s="634"/>
      <c r="C14" s="603"/>
      <c r="D14" s="505" t="s">
        <v>901</v>
      </c>
      <c r="E14" s="436" t="s">
        <v>1637</v>
      </c>
      <c r="F14" s="665"/>
      <c r="G14" s="665"/>
      <c r="H14" s="665"/>
      <c r="I14" s="661" t="e">
        <f t="shared" si="0"/>
        <v>#DIV/0!</v>
      </c>
    </row>
    <row r="15" spans="1:10" ht="14.25" hidden="1" x14ac:dyDescent="0.2">
      <c r="A15" s="418">
        <v>1000</v>
      </c>
      <c r="B15" s="634">
        <v>3113</v>
      </c>
      <c r="C15" s="634">
        <v>5166</v>
      </c>
      <c r="D15" s="513"/>
      <c r="E15" s="439" t="s">
        <v>1533</v>
      </c>
      <c r="F15" s="668"/>
      <c r="G15" s="668"/>
      <c r="H15" s="668"/>
      <c r="I15" s="367" t="e">
        <f t="shared" ref="I15" si="1">(H15/G15)*100</f>
        <v>#DIV/0!</v>
      </c>
    </row>
    <row r="16" spans="1:10" ht="15" hidden="1" x14ac:dyDescent="0.25">
      <c r="A16" s="418">
        <v>1000</v>
      </c>
      <c r="B16" s="634">
        <v>3113</v>
      </c>
      <c r="C16" s="634">
        <v>5336</v>
      </c>
      <c r="D16" s="513"/>
      <c r="E16" s="602" t="s">
        <v>856</v>
      </c>
      <c r="F16" s="675"/>
      <c r="G16" s="675">
        <f>G20+G18+G17+G19</f>
        <v>0</v>
      </c>
      <c r="H16" s="675">
        <f>H20+H18+H17+H19</f>
        <v>0</v>
      </c>
      <c r="I16" s="667" t="e">
        <f t="shared" si="0"/>
        <v>#DIV/0!</v>
      </c>
    </row>
    <row r="17" spans="1:20" ht="14.25" hidden="1" x14ac:dyDescent="0.2">
      <c r="A17" s="418"/>
      <c r="B17" s="634"/>
      <c r="C17" s="634"/>
      <c r="D17" s="505" t="s">
        <v>900</v>
      </c>
      <c r="E17" s="435" t="s">
        <v>483</v>
      </c>
      <c r="F17" s="665"/>
      <c r="G17" s="665"/>
      <c r="H17" s="665"/>
      <c r="I17" s="661" t="e">
        <f t="shared" ref="I17:I19" si="2">(H17/G17)*100</f>
        <v>#DIV/0!</v>
      </c>
    </row>
    <row r="18" spans="1:20" ht="15" hidden="1" x14ac:dyDescent="0.2">
      <c r="A18" s="418"/>
      <c r="B18" s="634"/>
      <c r="C18" s="634"/>
      <c r="D18" s="810" t="s">
        <v>902</v>
      </c>
      <c r="E18" s="1352" t="s">
        <v>855</v>
      </c>
      <c r="F18" s="977"/>
      <c r="G18" s="978"/>
      <c r="H18" s="978"/>
      <c r="I18" s="874" t="e">
        <f t="shared" si="2"/>
        <v>#DIV/0!</v>
      </c>
    </row>
    <row r="19" spans="1:20" ht="28.5" hidden="1" x14ac:dyDescent="0.2">
      <c r="A19" s="418"/>
      <c r="B19" s="634"/>
      <c r="C19" s="634"/>
      <c r="D19" s="810" t="s">
        <v>903</v>
      </c>
      <c r="E19" s="949" t="s">
        <v>904</v>
      </c>
      <c r="F19" s="977"/>
      <c r="G19" s="978"/>
      <c r="H19" s="978"/>
      <c r="I19" s="874" t="e">
        <f t="shared" si="2"/>
        <v>#DIV/0!</v>
      </c>
    </row>
    <row r="20" spans="1:20" ht="14.25" hidden="1" x14ac:dyDescent="0.2">
      <c r="A20" s="418"/>
      <c r="B20" s="634"/>
      <c r="C20" s="634"/>
      <c r="D20" s="505" t="s">
        <v>901</v>
      </c>
      <c r="E20" s="436" t="s">
        <v>1637</v>
      </c>
      <c r="F20" s="665"/>
      <c r="G20" s="665"/>
      <c r="H20" s="665"/>
      <c r="I20" s="661" t="e">
        <f t="shared" si="0"/>
        <v>#DIV/0!</v>
      </c>
    </row>
    <row r="21" spans="1:20" ht="15" hidden="1" x14ac:dyDescent="0.25">
      <c r="A21" s="418">
        <v>1000</v>
      </c>
      <c r="B21" s="634">
        <v>3141</v>
      </c>
      <c r="C21" s="634">
        <v>5336</v>
      </c>
      <c r="D21" s="513"/>
      <c r="E21" s="602" t="s">
        <v>856</v>
      </c>
      <c r="F21" s="666"/>
      <c r="G21" s="675">
        <f>G22+G23</f>
        <v>0</v>
      </c>
      <c r="H21" s="675">
        <f>H22+H23</f>
        <v>0</v>
      </c>
      <c r="I21" s="669" t="e">
        <f t="shared" si="0"/>
        <v>#DIV/0!</v>
      </c>
    </row>
    <row r="22" spans="1:20" ht="15" hidden="1" x14ac:dyDescent="0.25">
      <c r="A22" s="418"/>
      <c r="B22" s="634"/>
      <c r="C22" s="634"/>
      <c r="D22" s="505" t="s">
        <v>900</v>
      </c>
      <c r="E22" s="435" t="s">
        <v>407</v>
      </c>
      <c r="F22" s="666"/>
      <c r="G22" s="665"/>
      <c r="H22" s="665"/>
      <c r="I22" s="661" t="e">
        <f t="shared" ref="I22" si="3">(H22/G22)*100</f>
        <v>#DIV/0!</v>
      </c>
    </row>
    <row r="23" spans="1:20" ht="15" hidden="1" x14ac:dyDescent="0.25">
      <c r="A23" s="418"/>
      <c r="B23" s="634"/>
      <c r="C23" s="634"/>
      <c r="D23" s="505" t="s">
        <v>901</v>
      </c>
      <c r="E23" s="436" t="s">
        <v>1637</v>
      </c>
      <c r="F23" s="666"/>
      <c r="G23" s="665"/>
      <c r="H23" s="665"/>
      <c r="I23" s="661" t="e">
        <f t="shared" si="0"/>
        <v>#DIV/0!</v>
      </c>
    </row>
    <row r="24" spans="1:20" ht="15" hidden="1" x14ac:dyDescent="0.25">
      <c r="A24" s="418">
        <v>1000</v>
      </c>
      <c r="B24" s="634">
        <v>3143</v>
      </c>
      <c r="C24" s="634">
        <v>5336</v>
      </c>
      <c r="D24" s="684"/>
      <c r="E24" s="602" t="s">
        <v>856</v>
      </c>
      <c r="F24" s="666"/>
      <c r="G24" s="666">
        <f>G25</f>
        <v>0</v>
      </c>
      <c r="H24" s="666">
        <f>H25</f>
        <v>0</v>
      </c>
      <c r="I24" s="667" t="e">
        <f t="shared" si="0"/>
        <v>#DIV/0!</v>
      </c>
    </row>
    <row r="25" spans="1:20" ht="15" hidden="1" x14ac:dyDescent="0.25">
      <c r="A25" s="418"/>
      <c r="B25" s="634"/>
      <c r="C25" s="634"/>
      <c r="D25" s="505" t="s">
        <v>901</v>
      </c>
      <c r="E25" s="436" t="s">
        <v>1637</v>
      </c>
      <c r="F25" s="666"/>
      <c r="G25" s="665"/>
      <c r="H25" s="665"/>
      <c r="I25" s="661" t="e">
        <f t="shared" si="0"/>
        <v>#DIV/0!</v>
      </c>
    </row>
    <row r="26" spans="1:20" ht="17.25" hidden="1" thickTop="1" thickBot="1" x14ac:dyDescent="0.3">
      <c r="A26" s="3233" t="s">
        <v>522</v>
      </c>
      <c r="B26" s="3234"/>
      <c r="C26" s="3234"/>
      <c r="D26" s="3234"/>
      <c r="E26" s="3234"/>
      <c r="F26" s="687">
        <v>0</v>
      </c>
      <c r="G26" s="687">
        <f>G12+G16+G21+G24+G15</f>
        <v>0</v>
      </c>
      <c r="H26" s="687">
        <f>H12+H16+H21+H24+H15</f>
        <v>0</v>
      </c>
      <c r="I26" s="688" t="e">
        <f t="shared" si="0"/>
        <v>#DIV/0!</v>
      </c>
      <c r="R26" s="373">
        <f>F26</f>
        <v>0</v>
      </c>
      <c r="S26" s="373">
        <f>G26</f>
        <v>0</v>
      </c>
      <c r="T26" s="373">
        <f>H26</f>
        <v>0</v>
      </c>
    </row>
    <row r="27" spans="1:20" ht="18" hidden="1" x14ac:dyDescent="0.25">
      <c r="A27" s="33"/>
      <c r="B27" s="33"/>
      <c r="C27" s="28"/>
      <c r="D27" s="63"/>
      <c r="E27" s="10"/>
      <c r="F27" s="302"/>
      <c r="G27" s="302"/>
      <c r="H27" s="178"/>
      <c r="I27" s="210"/>
      <c r="J27" s="17"/>
    </row>
    <row r="28" spans="1:20" ht="18" hidden="1" x14ac:dyDescent="0.25">
      <c r="A28" s="33"/>
      <c r="B28" s="33"/>
      <c r="C28" s="28"/>
      <c r="D28" s="63"/>
      <c r="E28" s="10"/>
      <c r="F28" s="302"/>
      <c r="G28" s="302"/>
      <c r="H28" s="178"/>
      <c r="I28" s="210"/>
      <c r="J28" s="17"/>
    </row>
    <row r="29" spans="1:20" ht="13.5" thickBot="1" x14ac:dyDescent="0.25">
      <c r="A29" s="419" t="s">
        <v>475</v>
      </c>
      <c r="B29" s="570"/>
      <c r="C29" s="570"/>
      <c r="D29" s="649"/>
      <c r="E29" s="571"/>
      <c r="H29" s="560"/>
      <c r="I29" s="915" t="s">
        <v>92</v>
      </c>
    </row>
    <row r="30" spans="1:20" s="106" customFormat="1" ht="14.25" customHeight="1" thickTop="1" thickBot="1" x14ac:dyDescent="0.25">
      <c r="A30" s="572" t="s">
        <v>324</v>
      </c>
      <c r="B30" s="639" t="s">
        <v>93</v>
      </c>
      <c r="C30" s="573" t="s">
        <v>94</v>
      </c>
      <c r="D30" s="575" t="s">
        <v>364</v>
      </c>
      <c r="E30" s="575" t="s">
        <v>95</v>
      </c>
      <c r="F30" s="575" t="s">
        <v>328</v>
      </c>
      <c r="G30" s="575" t="s">
        <v>329</v>
      </c>
      <c r="H30" s="575" t="s">
        <v>448</v>
      </c>
      <c r="I30" s="651" t="s">
        <v>449</v>
      </c>
    </row>
    <row r="31" spans="1:20" s="374" customFormat="1" ht="13.5" thickTop="1" thickBot="1" x14ac:dyDescent="0.25">
      <c r="A31" s="511">
        <v>1</v>
      </c>
      <c r="B31" s="512">
        <v>2</v>
      </c>
      <c r="C31" s="512">
        <v>3</v>
      </c>
      <c r="D31" s="512">
        <v>4</v>
      </c>
      <c r="E31" s="512">
        <v>5</v>
      </c>
      <c r="F31" s="499">
        <v>6</v>
      </c>
      <c r="G31" s="499">
        <v>7</v>
      </c>
      <c r="H31" s="500">
        <v>8</v>
      </c>
      <c r="I31" s="577" t="s">
        <v>393</v>
      </c>
    </row>
    <row r="32" spans="1:20" ht="20.25" hidden="1" customHeight="1" thickTop="1" x14ac:dyDescent="0.25">
      <c r="A32" s="916">
        <v>1001</v>
      </c>
      <c r="B32" s="640">
        <v>3112</v>
      </c>
      <c r="C32" s="640">
        <v>5331</v>
      </c>
      <c r="D32" s="670"/>
      <c r="E32" s="685" t="s">
        <v>481</v>
      </c>
      <c r="F32" s="686"/>
      <c r="G32" s="686">
        <f>G33+G34</f>
        <v>0</v>
      </c>
      <c r="H32" s="686">
        <f>H33+H34</f>
        <v>0</v>
      </c>
      <c r="I32" s="659" t="e">
        <f t="shared" ref="I32:I41" si="4">(H32/G32)*100</f>
        <v>#DIV/0!</v>
      </c>
    </row>
    <row r="33" spans="1:20" ht="15" hidden="1" thickTop="1" x14ac:dyDescent="0.2">
      <c r="A33" s="418"/>
      <c r="B33" s="603"/>
      <c r="C33" s="603"/>
      <c r="D33" s="620" t="s">
        <v>905</v>
      </c>
      <c r="E33" s="938" t="s">
        <v>408</v>
      </c>
      <c r="F33" s="660"/>
      <c r="G33" s="660"/>
      <c r="H33" s="660"/>
      <c r="I33" s="656" t="e">
        <f t="shared" si="4"/>
        <v>#DIV/0!</v>
      </c>
    </row>
    <row r="34" spans="1:20" ht="15" hidden="1" thickTop="1" x14ac:dyDescent="0.2">
      <c r="A34" s="418"/>
      <c r="B34" s="603"/>
      <c r="C34" s="603"/>
      <c r="D34" s="505" t="s">
        <v>906</v>
      </c>
      <c r="E34" s="436" t="s">
        <v>38</v>
      </c>
      <c r="F34" s="660"/>
      <c r="G34" s="660"/>
      <c r="H34" s="660"/>
      <c r="I34" s="656" t="e">
        <f t="shared" si="4"/>
        <v>#DIV/0!</v>
      </c>
    </row>
    <row r="35" spans="1:20" ht="15.75" thickTop="1" x14ac:dyDescent="0.25">
      <c r="A35" s="418">
        <v>1001</v>
      </c>
      <c r="B35" s="634">
        <v>3112</v>
      </c>
      <c r="C35" s="2722">
        <v>5336</v>
      </c>
      <c r="D35" s="505"/>
      <c r="E35" s="602" t="s">
        <v>856</v>
      </c>
      <c r="F35" s="675">
        <v>0</v>
      </c>
      <c r="G35" s="675">
        <f>G36+G38+G37</f>
        <v>3248</v>
      </c>
      <c r="H35" s="675">
        <f>H36+H38+H37</f>
        <v>3248</v>
      </c>
      <c r="I35" s="680">
        <f t="shared" si="4"/>
        <v>100</v>
      </c>
    </row>
    <row r="36" spans="1:20" ht="14.25" x14ac:dyDescent="0.2">
      <c r="A36" s="418"/>
      <c r="B36" s="634"/>
      <c r="C36" s="2722"/>
      <c r="D36" s="810" t="s">
        <v>902</v>
      </c>
      <c r="E36" s="1352" t="s">
        <v>855</v>
      </c>
      <c r="F36" s="978">
        <v>0</v>
      </c>
      <c r="G36" s="978">
        <v>69</v>
      </c>
      <c r="H36" s="978">
        <v>69</v>
      </c>
      <c r="I36" s="874">
        <f t="shared" ref="I36:I37" si="5">(H36/G36)*100</f>
        <v>100</v>
      </c>
    </row>
    <row r="37" spans="1:20" ht="14.25" x14ac:dyDescent="0.2">
      <c r="A37" s="418"/>
      <c r="B37" s="634"/>
      <c r="C37" s="2722"/>
      <c r="D37" s="810" t="s">
        <v>1896</v>
      </c>
      <c r="E37" s="1634" t="s">
        <v>1951</v>
      </c>
      <c r="F37" s="978">
        <v>0</v>
      </c>
      <c r="G37" s="978">
        <v>12</v>
      </c>
      <c r="H37" s="978">
        <v>12</v>
      </c>
      <c r="I37" s="874">
        <f t="shared" si="5"/>
        <v>100</v>
      </c>
    </row>
    <row r="38" spans="1:20" ht="14.25" x14ac:dyDescent="0.2">
      <c r="A38" s="418"/>
      <c r="B38" s="634"/>
      <c r="C38" s="2722"/>
      <c r="D38" s="505" t="s">
        <v>901</v>
      </c>
      <c r="E38" s="436" t="s">
        <v>1637</v>
      </c>
      <c r="F38" s="665">
        <v>0</v>
      </c>
      <c r="G38" s="665">
        <v>3167</v>
      </c>
      <c r="H38" s="665">
        <v>3167</v>
      </c>
      <c r="I38" s="656">
        <f t="shared" si="4"/>
        <v>100</v>
      </c>
    </row>
    <row r="39" spans="1:20" ht="15" x14ac:dyDescent="0.25">
      <c r="A39" s="418">
        <v>1001</v>
      </c>
      <c r="B39" s="634">
        <v>3141</v>
      </c>
      <c r="C39" s="2722">
        <v>5336</v>
      </c>
      <c r="D39" s="633"/>
      <c r="E39" s="602" t="s">
        <v>856</v>
      </c>
      <c r="F39" s="666">
        <v>0</v>
      </c>
      <c r="G39" s="666">
        <f>G40</f>
        <v>51</v>
      </c>
      <c r="H39" s="666">
        <f>H40</f>
        <v>51</v>
      </c>
      <c r="I39" s="667">
        <f t="shared" si="4"/>
        <v>100</v>
      </c>
    </row>
    <row r="40" spans="1:20" ht="15" thickBot="1" x14ac:dyDescent="0.25">
      <c r="A40" s="418"/>
      <c r="B40" s="634"/>
      <c r="C40" s="2722"/>
      <c r="D40" s="505" t="s">
        <v>901</v>
      </c>
      <c r="E40" s="436" t="s">
        <v>1637</v>
      </c>
      <c r="F40" s="665">
        <v>0</v>
      </c>
      <c r="G40" s="665">
        <v>51</v>
      </c>
      <c r="H40" s="665">
        <v>51</v>
      </c>
      <c r="I40" s="661">
        <f t="shared" si="4"/>
        <v>100</v>
      </c>
    </row>
    <row r="41" spans="1:20" ht="17.25" thickTop="1" thickBot="1" x14ac:dyDescent="0.3">
      <c r="A41" s="3233" t="s">
        <v>522</v>
      </c>
      <c r="B41" s="3234"/>
      <c r="C41" s="3234"/>
      <c r="D41" s="3234"/>
      <c r="E41" s="3234"/>
      <c r="F41" s="687">
        <f>SUM(F32)</f>
        <v>0</v>
      </c>
      <c r="G41" s="687">
        <f>G32+G35+G39</f>
        <v>3299</v>
      </c>
      <c r="H41" s="687">
        <f>H32+H35+H39</f>
        <v>3299</v>
      </c>
      <c r="I41" s="688">
        <f t="shared" si="4"/>
        <v>100</v>
      </c>
      <c r="R41" s="373">
        <f>F41</f>
        <v>0</v>
      </c>
      <c r="S41" s="373">
        <f>G41</f>
        <v>3299</v>
      </c>
      <c r="T41" s="373">
        <f>H41</f>
        <v>3299</v>
      </c>
    </row>
    <row r="42" spans="1:20" ht="13.5" thickTop="1" x14ac:dyDescent="0.2"/>
    <row r="44" spans="1:20" hidden="1" x14ac:dyDescent="0.2">
      <c r="A44" s="419" t="s">
        <v>384</v>
      </c>
      <c r="I44" s="915" t="s">
        <v>92</v>
      </c>
    </row>
    <row r="45" spans="1:20" s="106" customFormat="1" hidden="1" thickTop="1" thickBot="1" x14ac:dyDescent="0.25">
      <c r="A45" s="572" t="s">
        <v>324</v>
      </c>
      <c r="B45" s="639" t="s">
        <v>93</v>
      </c>
      <c r="C45" s="573" t="s">
        <v>94</v>
      </c>
      <c r="D45" s="575" t="s">
        <v>364</v>
      </c>
      <c r="E45" s="575" t="s">
        <v>95</v>
      </c>
      <c r="F45" s="575" t="s">
        <v>328</v>
      </c>
      <c r="G45" s="575" t="s">
        <v>329</v>
      </c>
      <c r="H45" s="575" t="s">
        <v>448</v>
      </c>
      <c r="I45" s="651" t="s">
        <v>449</v>
      </c>
    </row>
    <row r="46" spans="1:20" s="374" customFormat="1" ht="13.5" hidden="1" thickTop="1" thickBot="1" x14ac:dyDescent="0.25">
      <c r="A46" s="511">
        <v>1</v>
      </c>
      <c r="B46" s="512">
        <v>2</v>
      </c>
      <c r="C46" s="512">
        <v>3</v>
      </c>
      <c r="D46" s="512">
        <v>4</v>
      </c>
      <c r="E46" s="512">
        <v>5</v>
      </c>
      <c r="F46" s="499">
        <v>6</v>
      </c>
      <c r="G46" s="499">
        <v>7</v>
      </c>
      <c r="H46" s="500">
        <v>8</v>
      </c>
      <c r="I46" s="577" t="s">
        <v>393</v>
      </c>
    </row>
    <row r="47" spans="1:20" ht="15" hidden="1" x14ac:dyDescent="0.25">
      <c r="A47" s="418">
        <v>1010</v>
      </c>
      <c r="B47" s="603">
        <v>3112</v>
      </c>
      <c r="C47" s="603">
        <v>5336</v>
      </c>
      <c r="D47" s="505"/>
      <c r="E47" s="602" t="s">
        <v>856</v>
      </c>
      <c r="F47" s="1349"/>
      <c r="G47" s="678">
        <f>G48+G50+G49</f>
        <v>0</v>
      </c>
      <c r="H47" s="678">
        <f>H48+H50+H49</f>
        <v>0</v>
      </c>
      <c r="I47" s="680" t="e">
        <f t="shared" ref="I47:I55" si="6">(H47/G47)*100</f>
        <v>#DIV/0!</v>
      </c>
    </row>
    <row r="48" spans="1:20" ht="15" hidden="1" x14ac:dyDescent="0.2">
      <c r="A48" s="418"/>
      <c r="B48" s="603"/>
      <c r="C48" s="603"/>
      <c r="D48" s="810" t="s">
        <v>902</v>
      </c>
      <c r="E48" s="1352" t="s">
        <v>855</v>
      </c>
      <c r="F48" s="977"/>
      <c r="G48" s="978"/>
      <c r="H48" s="978"/>
      <c r="I48" s="874" t="e">
        <f t="shared" ref="I48:I49" si="7">(H48/G48)*100</f>
        <v>#DIV/0!</v>
      </c>
    </row>
    <row r="49" spans="1:20" ht="28.5" hidden="1" x14ac:dyDescent="0.2">
      <c r="A49" s="418"/>
      <c r="B49" s="603"/>
      <c r="C49" s="603"/>
      <c r="D49" s="810" t="s">
        <v>903</v>
      </c>
      <c r="E49" s="1634" t="s">
        <v>904</v>
      </c>
      <c r="F49" s="977"/>
      <c r="G49" s="978"/>
      <c r="H49" s="978"/>
      <c r="I49" s="874" t="e">
        <f t="shared" si="7"/>
        <v>#DIV/0!</v>
      </c>
    </row>
    <row r="50" spans="1:20" ht="14.25" hidden="1" x14ac:dyDescent="0.2">
      <c r="A50" s="418"/>
      <c r="B50" s="603"/>
      <c r="C50" s="603"/>
      <c r="D50" s="505" t="s">
        <v>901</v>
      </c>
      <c r="E50" s="436" t="s">
        <v>1637</v>
      </c>
      <c r="F50" s="660"/>
      <c r="G50" s="660"/>
      <c r="H50" s="660"/>
      <c r="I50" s="656" t="e">
        <f t="shared" si="6"/>
        <v>#DIV/0!</v>
      </c>
    </row>
    <row r="51" spans="1:20" ht="15" hidden="1" x14ac:dyDescent="0.25">
      <c r="A51" s="418">
        <v>1010</v>
      </c>
      <c r="B51" s="634">
        <v>3114</v>
      </c>
      <c r="C51" s="918">
        <v>5331</v>
      </c>
      <c r="D51" s="673"/>
      <c r="E51" s="602" t="s">
        <v>481</v>
      </c>
      <c r="F51" s="666">
        <f>SUM(F52:F52)</f>
        <v>0</v>
      </c>
      <c r="G51" s="666">
        <f>SUM(G52:G52)</f>
        <v>0</v>
      </c>
      <c r="H51" s="666">
        <f>SUM(H52:H52)</f>
        <v>0</v>
      </c>
      <c r="I51" s="667" t="e">
        <f t="shared" si="6"/>
        <v>#DIV/0!</v>
      </c>
    </row>
    <row r="52" spans="1:20" ht="14.25" hidden="1" x14ac:dyDescent="0.2">
      <c r="A52" s="418"/>
      <c r="B52" s="603"/>
      <c r="C52" s="917"/>
      <c r="D52" s="505" t="s">
        <v>906</v>
      </c>
      <c r="E52" s="436" t="s">
        <v>38</v>
      </c>
      <c r="F52" s="660"/>
      <c r="G52" s="660"/>
      <c r="H52" s="660"/>
      <c r="I52" s="656" t="e">
        <f t="shared" si="6"/>
        <v>#DIV/0!</v>
      </c>
    </row>
    <row r="53" spans="1:20" ht="15" hidden="1" x14ac:dyDescent="0.25">
      <c r="A53" s="418">
        <v>1010</v>
      </c>
      <c r="B53" s="634">
        <v>3114</v>
      </c>
      <c r="C53" s="634">
        <v>5336</v>
      </c>
      <c r="D53" s="513"/>
      <c r="E53" s="602" t="s">
        <v>856</v>
      </c>
      <c r="F53" s="675"/>
      <c r="G53" s="675">
        <f>G54</f>
        <v>0</v>
      </c>
      <c r="H53" s="675">
        <f>H54</f>
        <v>0</v>
      </c>
      <c r="I53" s="667" t="e">
        <f t="shared" si="6"/>
        <v>#DIV/0!</v>
      </c>
    </row>
    <row r="54" spans="1:20" ht="15.75" hidden="1" customHeight="1" thickBot="1" x14ac:dyDescent="0.3">
      <c r="A54" s="418"/>
      <c r="B54" s="634"/>
      <c r="C54" s="634"/>
      <c r="D54" s="505" t="s">
        <v>901</v>
      </c>
      <c r="E54" s="436" t="s">
        <v>1637</v>
      </c>
      <c r="F54" s="675"/>
      <c r="G54" s="668"/>
      <c r="H54" s="668"/>
      <c r="I54" s="656" t="e">
        <f t="shared" si="6"/>
        <v>#DIV/0!</v>
      </c>
    </row>
    <row r="55" spans="1:20" ht="15.75" hidden="1" customHeight="1" thickTop="1" thickBot="1" x14ac:dyDescent="0.3">
      <c r="A55" s="3233" t="s">
        <v>522</v>
      </c>
      <c r="B55" s="3234"/>
      <c r="C55" s="3234"/>
      <c r="D55" s="3234"/>
      <c r="E55" s="3234"/>
      <c r="F55" s="657">
        <f>F51+F53+F47</f>
        <v>0</v>
      </c>
      <c r="G55" s="657">
        <f t="shared" ref="G55:H55" si="8">G51+G53+G47</f>
        <v>0</v>
      </c>
      <c r="H55" s="657">
        <f t="shared" si="8"/>
        <v>0</v>
      </c>
      <c r="I55" s="658" t="e">
        <f t="shared" si="6"/>
        <v>#DIV/0!</v>
      </c>
      <c r="R55" s="373">
        <f>F55</f>
        <v>0</v>
      </c>
      <c r="S55" s="373">
        <f>G55</f>
        <v>0</v>
      </c>
      <c r="T55" s="373">
        <f>H55</f>
        <v>0</v>
      </c>
    </row>
    <row r="56" spans="1:20" ht="15.75" hidden="1" customHeight="1" thickTop="1" x14ac:dyDescent="0.25">
      <c r="A56" s="360"/>
      <c r="B56" s="360"/>
      <c r="C56" s="360"/>
      <c r="D56" s="360"/>
      <c r="E56" s="360"/>
      <c r="F56" s="177"/>
      <c r="G56" s="177"/>
      <c r="H56" s="177"/>
      <c r="I56" s="206"/>
      <c r="R56" s="373"/>
      <c r="S56" s="373"/>
      <c r="T56" s="373"/>
    </row>
    <row r="57" spans="1:20" ht="15.75" hidden="1" customHeight="1" x14ac:dyDescent="0.25">
      <c r="A57" s="360"/>
      <c r="B57" s="360"/>
      <c r="C57" s="360"/>
      <c r="D57" s="360"/>
      <c r="E57" s="360"/>
      <c r="F57" s="177"/>
      <c r="G57" s="177"/>
      <c r="H57" s="177"/>
      <c r="I57" s="206"/>
      <c r="R57" s="373"/>
      <c r="S57" s="373"/>
      <c r="T57" s="373"/>
    </row>
    <row r="58" spans="1:20" ht="13.5" thickBot="1" x14ac:dyDescent="0.25">
      <c r="A58" s="419" t="s">
        <v>409</v>
      </c>
      <c r="I58" s="915" t="s">
        <v>92</v>
      </c>
    </row>
    <row r="59" spans="1:20" s="106" customFormat="1" thickTop="1" thickBot="1" x14ac:dyDescent="0.25">
      <c r="A59" s="572" t="s">
        <v>324</v>
      </c>
      <c r="B59" s="639" t="s">
        <v>93</v>
      </c>
      <c r="C59" s="573" t="s">
        <v>94</v>
      </c>
      <c r="D59" s="575" t="s">
        <v>364</v>
      </c>
      <c r="E59" s="575" t="s">
        <v>95</v>
      </c>
      <c r="F59" s="575" t="s">
        <v>328</v>
      </c>
      <c r="G59" s="575" t="s">
        <v>329</v>
      </c>
      <c r="H59" s="575" t="s">
        <v>448</v>
      </c>
      <c r="I59" s="651" t="s">
        <v>449</v>
      </c>
    </row>
    <row r="60" spans="1:20" s="374" customFormat="1" ht="13.5" thickTop="1" thickBot="1" x14ac:dyDescent="0.25">
      <c r="A60" s="511">
        <v>1</v>
      </c>
      <c r="B60" s="512">
        <v>2</v>
      </c>
      <c r="C60" s="512">
        <v>3</v>
      </c>
      <c r="D60" s="512">
        <v>4</v>
      </c>
      <c r="E60" s="512">
        <v>5</v>
      </c>
      <c r="F60" s="499">
        <v>6</v>
      </c>
      <c r="G60" s="499">
        <v>7</v>
      </c>
      <c r="H60" s="500">
        <v>8</v>
      </c>
      <c r="I60" s="577" t="s">
        <v>393</v>
      </c>
    </row>
    <row r="61" spans="1:20" s="374" customFormat="1" ht="15.75" thickTop="1" x14ac:dyDescent="0.25">
      <c r="A61" s="921">
        <v>1012</v>
      </c>
      <c r="B61" s="1350">
        <v>3111</v>
      </c>
      <c r="C61" s="1350">
        <v>5336</v>
      </c>
      <c r="D61" s="513"/>
      <c r="E61" s="602" t="s">
        <v>856</v>
      </c>
      <c r="F61" s="878">
        <v>0</v>
      </c>
      <c r="G61" s="859">
        <f>G62</f>
        <v>1349</v>
      </c>
      <c r="H61" s="859">
        <f>H62</f>
        <v>1349</v>
      </c>
      <c r="I61" s="654">
        <f t="shared" ref="I61:I82" si="9">(H61/G61)*100</f>
        <v>100</v>
      </c>
    </row>
    <row r="62" spans="1:20" s="374" customFormat="1" ht="14.25" x14ac:dyDescent="0.2">
      <c r="A62" s="690"/>
      <c r="B62" s="691"/>
      <c r="C62" s="691"/>
      <c r="D62" s="513" t="s">
        <v>901</v>
      </c>
      <c r="E62" s="692" t="s">
        <v>1637</v>
      </c>
      <c r="F62" s="939">
        <v>0</v>
      </c>
      <c r="G62" s="927">
        <v>1349</v>
      </c>
      <c r="H62" s="927">
        <v>1349</v>
      </c>
      <c r="I62" s="656">
        <f t="shared" si="9"/>
        <v>100</v>
      </c>
    </row>
    <row r="63" spans="1:20" s="374" customFormat="1" ht="15" x14ac:dyDescent="0.25">
      <c r="A63" s="921">
        <v>1012</v>
      </c>
      <c r="B63" s="2427">
        <v>3112</v>
      </c>
      <c r="C63" s="1350">
        <v>5336</v>
      </c>
      <c r="D63" s="513"/>
      <c r="E63" s="602" t="s">
        <v>856</v>
      </c>
      <c r="F63" s="859">
        <v>0</v>
      </c>
      <c r="G63" s="859">
        <f>G64</f>
        <v>7769</v>
      </c>
      <c r="H63" s="859">
        <f>H64</f>
        <v>7769</v>
      </c>
      <c r="I63" s="654">
        <f t="shared" si="9"/>
        <v>100</v>
      </c>
    </row>
    <row r="64" spans="1:20" s="374" customFormat="1" ht="14.25" x14ac:dyDescent="0.2">
      <c r="A64" s="690"/>
      <c r="B64" s="691"/>
      <c r="C64" s="691"/>
      <c r="D64" s="513" t="s">
        <v>901</v>
      </c>
      <c r="E64" s="692" t="s">
        <v>1637</v>
      </c>
      <c r="F64" s="939">
        <v>0</v>
      </c>
      <c r="G64" s="927">
        <v>7769</v>
      </c>
      <c r="H64" s="927">
        <v>7769</v>
      </c>
      <c r="I64" s="656">
        <f t="shared" si="9"/>
        <v>100</v>
      </c>
    </row>
    <row r="65" spans="1:47" ht="15" x14ac:dyDescent="0.25">
      <c r="A65" s="921">
        <v>1012</v>
      </c>
      <c r="B65" s="2722">
        <v>3114</v>
      </c>
      <c r="C65" s="1350">
        <v>5336</v>
      </c>
      <c r="D65" s="513"/>
      <c r="E65" s="602" t="s">
        <v>856</v>
      </c>
      <c r="F65" s="675">
        <f>F68+F66+F67+F69+F70</f>
        <v>0</v>
      </c>
      <c r="G65" s="675">
        <f t="shared" ref="G65:H65" si="10">G68+G66+G67+G69+G70</f>
        <v>25254</v>
      </c>
      <c r="H65" s="675">
        <f t="shared" si="10"/>
        <v>25254</v>
      </c>
      <c r="I65" s="667">
        <f t="shared" si="9"/>
        <v>100</v>
      </c>
    </row>
    <row r="66" spans="1:47" ht="14.25" x14ac:dyDescent="0.2">
      <c r="A66" s="921"/>
      <c r="B66" s="2722"/>
      <c r="C66" s="1350"/>
      <c r="D66" s="810" t="s">
        <v>902</v>
      </c>
      <c r="E66" s="1634" t="s">
        <v>855</v>
      </c>
      <c r="F66" s="978">
        <v>0</v>
      </c>
      <c r="G66" s="978">
        <v>811</v>
      </c>
      <c r="H66" s="978">
        <v>811</v>
      </c>
      <c r="I66" s="874">
        <f t="shared" ref="I66:I67" si="11">(H66/G66)*100</f>
        <v>100</v>
      </c>
    </row>
    <row r="67" spans="1:47" ht="14.25" x14ac:dyDescent="0.2">
      <c r="A67" s="921"/>
      <c r="B67" s="2722"/>
      <c r="C67" s="1350"/>
      <c r="D67" s="810" t="s">
        <v>1896</v>
      </c>
      <c r="E67" s="3102" t="s">
        <v>1951</v>
      </c>
      <c r="F67" s="978">
        <v>0</v>
      </c>
      <c r="G67" s="978">
        <v>117</v>
      </c>
      <c r="H67" s="978">
        <v>117</v>
      </c>
      <c r="I67" s="874">
        <f t="shared" si="11"/>
        <v>100</v>
      </c>
    </row>
    <row r="68" spans="1:47" s="1562" customFormat="1" ht="14.25" x14ac:dyDescent="0.2">
      <c r="A68" s="921"/>
      <c r="B68" s="2722"/>
      <c r="C68" s="1350"/>
      <c r="D68" s="513" t="s">
        <v>901</v>
      </c>
      <c r="E68" s="692" t="s">
        <v>1637</v>
      </c>
      <c r="F68" s="978">
        <v>0</v>
      </c>
      <c r="G68" s="668">
        <v>23701</v>
      </c>
      <c r="H68" s="668">
        <v>23701</v>
      </c>
      <c r="I68" s="656">
        <f t="shared" si="9"/>
        <v>100</v>
      </c>
      <c r="P68" s="920"/>
      <c r="Q68" s="920"/>
      <c r="R68" s="920"/>
      <c r="S68" s="920"/>
      <c r="T68" s="920"/>
      <c r="U68" s="920"/>
      <c r="V68" s="920"/>
      <c r="W68" s="920"/>
      <c r="X68" s="920"/>
      <c r="Y68" s="920"/>
      <c r="Z68" s="920"/>
      <c r="AA68" s="920"/>
      <c r="AB68" s="920"/>
      <c r="AC68" s="920"/>
      <c r="AD68" s="920"/>
      <c r="AE68" s="920"/>
      <c r="AF68" s="920"/>
      <c r="AG68" s="920"/>
      <c r="AH68" s="920"/>
      <c r="AI68" s="920"/>
      <c r="AJ68" s="920"/>
      <c r="AK68" s="920"/>
      <c r="AL68" s="920"/>
      <c r="AM68" s="920"/>
      <c r="AN68" s="920"/>
      <c r="AO68" s="920"/>
      <c r="AP68" s="920"/>
      <c r="AQ68" s="920"/>
      <c r="AR68" s="920"/>
      <c r="AS68" s="920"/>
      <c r="AT68" s="920"/>
      <c r="AU68" s="920"/>
    </row>
    <row r="69" spans="1:47" s="920" customFormat="1" ht="14.25" x14ac:dyDescent="0.2">
      <c r="A69" s="921"/>
      <c r="B69" s="2722"/>
      <c r="C69" s="1350"/>
      <c r="D69" s="513" t="s">
        <v>1144</v>
      </c>
      <c r="E69" s="692" t="s">
        <v>1515</v>
      </c>
      <c r="F69" s="978">
        <v>0</v>
      </c>
      <c r="G69" s="668">
        <v>94</v>
      </c>
      <c r="H69" s="668">
        <v>94</v>
      </c>
      <c r="I69" s="656">
        <f t="shared" si="9"/>
        <v>100</v>
      </c>
    </row>
    <row r="70" spans="1:47" s="920" customFormat="1" ht="14.25" x14ac:dyDescent="0.2">
      <c r="A70" s="921"/>
      <c r="B70" s="2722"/>
      <c r="C70" s="1350"/>
      <c r="D70" s="513" t="s">
        <v>1145</v>
      </c>
      <c r="E70" s="692" t="s">
        <v>1515</v>
      </c>
      <c r="F70" s="978">
        <v>0</v>
      </c>
      <c r="G70" s="668">
        <v>531</v>
      </c>
      <c r="H70" s="668">
        <v>531</v>
      </c>
      <c r="I70" s="656">
        <f t="shared" si="9"/>
        <v>100</v>
      </c>
    </row>
    <row r="71" spans="1:47" ht="15" x14ac:dyDescent="0.25">
      <c r="A71" s="921">
        <v>1012</v>
      </c>
      <c r="B71" s="2427">
        <v>3141</v>
      </c>
      <c r="C71" s="2719">
        <v>5336</v>
      </c>
      <c r="D71" s="505"/>
      <c r="E71" s="602" t="s">
        <v>856</v>
      </c>
      <c r="F71" s="678">
        <f>F72</f>
        <v>0</v>
      </c>
      <c r="G71" s="678">
        <f>G72</f>
        <v>1545</v>
      </c>
      <c r="H71" s="678">
        <f>H72</f>
        <v>1545</v>
      </c>
      <c r="I71" s="680">
        <f t="shared" si="9"/>
        <v>100</v>
      </c>
      <c r="P71" s="920"/>
      <c r="Q71" s="920"/>
      <c r="R71" s="920"/>
      <c r="S71" s="920"/>
      <c r="T71" s="920"/>
      <c r="U71" s="920"/>
      <c r="V71" s="920"/>
      <c r="W71" s="920"/>
      <c r="X71" s="920"/>
      <c r="Y71" s="920"/>
      <c r="Z71" s="920"/>
      <c r="AA71" s="920"/>
      <c r="AB71" s="920"/>
      <c r="AC71" s="920"/>
      <c r="AD71" s="920"/>
      <c r="AE71" s="920"/>
      <c r="AF71" s="920"/>
      <c r="AG71" s="920"/>
      <c r="AH71" s="920"/>
      <c r="AI71" s="920"/>
      <c r="AJ71" s="920"/>
      <c r="AK71" s="920"/>
      <c r="AL71" s="920"/>
      <c r="AM71" s="920"/>
      <c r="AN71" s="920"/>
      <c r="AO71" s="920"/>
      <c r="AP71" s="920"/>
      <c r="AQ71" s="920"/>
      <c r="AR71" s="920"/>
      <c r="AS71" s="920"/>
      <c r="AT71" s="920"/>
      <c r="AU71" s="920"/>
    </row>
    <row r="72" spans="1:47" ht="14.25" x14ac:dyDescent="0.2">
      <c r="A72" s="921"/>
      <c r="B72" s="2722"/>
      <c r="C72" s="1350"/>
      <c r="D72" s="513" t="s">
        <v>901</v>
      </c>
      <c r="E72" s="692" t="s">
        <v>1637</v>
      </c>
      <c r="F72" s="665">
        <v>0</v>
      </c>
      <c r="G72" s="665">
        <v>1545</v>
      </c>
      <c r="H72" s="665">
        <v>1545</v>
      </c>
      <c r="I72" s="661">
        <f t="shared" si="9"/>
        <v>100</v>
      </c>
    </row>
    <row r="73" spans="1:47" ht="15.75" customHeight="1" x14ac:dyDescent="0.25">
      <c r="A73" s="921">
        <v>1012</v>
      </c>
      <c r="B73" s="2722">
        <v>3143</v>
      </c>
      <c r="C73" s="1350">
        <v>5336</v>
      </c>
      <c r="D73" s="673"/>
      <c r="E73" s="602" t="s">
        <v>856</v>
      </c>
      <c r="F73" s="666">
        <f>F74</f>
        <v>0</v>
      </c>
      <c r="G73" s="666">
        <f>G74</f>
        <v>1052</v>
      </c>
      <c r="H73" s="666">
        <f>H74</f>
        <v>1052</v>
      </c>
      <c r="I73" s="667">
        <f t="shared" si="9"/>
        <v>100</v>
      </c>
    </row>
    <row r="74" spans="1:47" ht="15.75" customHeight="1" x14ac:dyDescent="0.2">
      <c r="A74" s="921"/>
      <c r="B74" s="2722"/>
      <c r="C74" s="1350"/>
      <c r="D74" s="513" t="s">
        <v>901</v>
      </c>
      <c r="E74" s="692" t="s">
        <v>1637</v>
      </c>
      <c r="F74" s="665">
        <v>0</v>
      </c>
      <c r="G74" s="665">
        <v>1052</v>
      </c>
      <c r="H74" s="665">
        <v>1052</v>
      </c>
      <c r="I74" s="661">
        <f t="shared" si="9"/>
        <v>100</v>
      </c>
    </row>
    <row r="75" spans="1:47" ht="15.75" customHeight="1" x14ac:dyDescent="0.25">
      <c r="A75" s="921">
        <v>1012</v>
      </c>
      <c r="B75" s="2427">
        <v>3145</v>
      </c>
      <c r="C75" s="2720">
        <v>5336</v>
      </c>
      <c r="D75" s="505"/>
      <c r="E75" s="602" t="s">
        <v>856</v>
      </c>
      <c r="F75" s="678">
        <f>F76</f>
        <v>0</v>
      </c>
      <c r="G75" s="678">
        <f>G76</f>
        <v>3476</v>
      </c>
      <c r="H75" s="678">
        <f>H76</f>
        <v>3476</v>
      </c>
      <c r="I75" s="669">
        <f t="shared" si="9"/>
        <v>100</v>
      </c>
    </row>
    <row r="76" spans="1:47" ht="15.75" customHeight="1" x14ac:dyDescent="0.2">
      <c r="A76" s="921"/>
      <c r="B76" s="2427"/>
      <c r="C76" s="2719"/>
      <c r="D76" s="513" t="s">
        <v>901</v>
      </c>
      <c r="E76" s="692" t="s">
        <v>1637</v>
      </c>
      <c r="F76" s="655">
        <v>0</v>
      </c>
      <c r="G76" s="660">
        <v>3476</v>
      </c>
      <c r="H76" s="660">
        <v>3476</v>
      </c>
      <c r="I76" s="661">
        <f t="shared" si="9"/>
        <v>100</v>
      </c>
    </row>
    <row r="77" spans="1:47" ht="15.75" customHeight="1" x14ac:dyDescent="0.25">
      <c r="A77" s="921">
        <v>1012</v>
      </c>
      <c r="B77" s="2427">
        <v>3146</v>
      </c>
      <c r="C77" s="2721">
        <v>5336</v>
      </c>
      <c r="D77" s="505"/>
      <c r="E77" s="602" t="s">
        <v>856</v>
      </c>
      <c r="F77" s="678">
        <f>F79+F78</f>
        <v>0</v>
      </c>
      <c r="G77" s="678">
        <f>G79+G78</f>
        <v>10476</v>
      </c>
      <c r="H77" s="678">
        <f>H79+H78</f>
        <v>10476</v>
      </c>
      <c r="I77" s="669">
        <f t="shared" si="9"/>
        <v>100</v>
      </c>
    </row>
    <row r="78" spans="1:47" ht="15.75" customHeight="1" x14ac:dyDescent="0.2">
      <c r="A78" s="921"/>
      <c r="B78" s="2427"/>
      <c r="C78" s="2721"/>
      <c r="D78" s="505" t="s">
        <v>1133</v>
      </c>
      <c r="E78" s="692" t="s">
        <v>1514</v>
      </c>
      <c r="F78" s="660">
        <v>0</v>
      </c>
      <c r="G78" s="660">
        <v>1407</v>
      </c>
      <c r="H78" s="660">
        <v>1407</v>
      </c>
      <c r="I78" s="661">
        <f t="shared" si="9"/>
        <v>100</v>
      </c>
    </row>
    <row r="79" spans="1:47" ht="18" customHeight="1" x14ac:dyDescent="0.2">
      <c r="A79" s="921"/>
      <c r="B79" s="2427"/>
      <c r="C79" s="2721"/>
      <c r="D79" s="505" t="s">
        <v>901</v>
      </c>
      <c r="E79" s="692" t="s">
        <v>1637</v>
      </c>
      <c r="F79" s="660">
        <v>0</v>
      </c>
      <c r="G79" s="660">
        <v>9069</v>
      </c>
      <c r="H79" s="660">
        <v>9069</v>
      </c>
      <c r="I79" s="661">
        <f t="shared" si="9"/>
        <v>100</v>
      </c>
    </row>
    <row r="80" spans="1:47" ht="15" x14ac:dyDescent="0.25">
      <c r="A80" s="921">
        <v>1012</v>
      </c>
      <c r="B80" s="2427">
        <v>3314</v>
      </c>
      <c r="C80" s="2721">
        <v>5336</v>
      </c>
      <c r="D80" s="505"/>
      <c r="E80" s="602" t="s">
        <v>856</v>
      </c>
      <c r="F80" s="678">
        <f>F81</f>
        <v>0</v>
      </c>
      <c r="G80" s="678">
        <f t="shared" ref="G80:H80" si="12">G81</f>
        <v>51</v>
      </c>
      <c r="H80" s="678">
        <f t="shared" si="12"/>
        <v>51</v>
      </c>
      <c r="I80" s="669">
        <f t="shared" si="9"/>
        <v>100</v>
      </c>
    </row>
    <row r="81" spans="1:20" ht="15" thickBot="1" x14ac:dyDescent="0.25">
      <c r="A81" s="2733"/>
      <c r="B81" s="2429"/>
      <c r="C81" s="3104"/>
      <c r="D81" s="3103" t="s">
        <v>1896</v>
      </c>
      <c r="E81" s="3127" t="s">
        <v>1951</v>
      </c>
      <c r="F81" s="693">
        <v>0</v>
      </c>
      <c r="G81" s="693">
        <v>51</v>
      </c>
      <c r="H81" s="693">
        <v>51</v>
      </c>
      <c r="I81" s="694">
        <f t="shared" si="9"/>
        <v>100</v>
      </c>
    </row>
    <row r="82" spans="1:20" ht="16.5" thickTop="1" thickBot="1" x14ac:dyDescent="0.3">
      <c r="A82" s="3233" t="s">
        <v>522</v>
      </c>
      <c r="B82" s="3234"/>
      <c r="C82" s="3234"/>
      <c r="D82" s="3250"/>
      <c r="E82" s="3250"/>
      <c r="F82" s="695">
        <f>F61+F65+F71+F75+F77+F73+F63+F80</f>
        <v>0</v>
      </c>
      <c r="G82" s="695">
        <f t="shared" ref="G82:H82" si="13">G61+G65+G71+G75+G77+G73+G63+G80</f>
        <v>50972</v>
      </c>
      <c r="H82" s="695">
        <f t="shared" si="13"/>
        <v>50972</v>
      </c>
      <c r="I82" s="683">
        <f t="shared" si="9"/>
        <v>100</v>
      </c>
      <c r="R82" s="373">
        <f>F82</f>
        <v>0</v>
      </c>
      <c r="S82" s="373">
        <f>G82</f>
        <v>50972</v>
      </c>
      <c r="T82" s="373">
        <f>H82</f>
        <v>50972</v>
      </c>
    </row>
    <row r="83" spans="1:20" ht="18" customHeight="1" thickTop="1" x14ac:dyDescent="0.25">
      <c r="A83" s="360"/>
      <c r="B83" s="360"/>
      <c r="C83" s="360"/>
      <c r="D83" s="360"/>
      <c r="E83" s="360"/>
      <c r="F83" s="177"/>
      <c r="G83" s="177"/>
      <c r="H83" s="177"/>
      <c r="I83" s="206"/>
      <c r="R83" s="373"/>
      <c r="S83" s="373"/>
      <c r="T83" s="373"/>
    </row>
    <row r="84" spans="1:20" ht="18" customHeight="1" x14ac:dyDescent="0.25">
      <c r="A84" s="360"/>
      <c r="B84" s="360"/>
      <c r="C84" s="360"/>
      <c r="D84" s="360"/>
      <c r="E84" s="360"/>
      <c r="F84" s="177"/>
      <c r="G84" s="177"/>
      <c r="H84" s="177"/>
      <c r="I84" s="206"/>
      <c r="R84" s="373"/>
      <c r="S84" s="373"/>
      <c r="T84" s="373"/>
    </row>
    <row r="85" spans="1:20" ht="13.5" thickBot="1" x14ac:dyDescent="0.25">
      <c r="A85" s="419" t="s">
        <v>2000</v>
      </c>
      <c r="I85" s="915" t="s">
        <v>92</v>
      </c>
    </row>
    <row r="86" spans="1:20" s="106" customFormat="1" ht="20.25" customHeight="1" thickTop="1" thickBot="1" x14ac:dyDescent="0.25">
      <c r="A86" s="572" t="s">
        <v>324</v>
      </c>
      <c r="B86" s="639" t="s">
        <v>93</v>
      </c>
      <c r="C86" s="573" t="s">
        <v>94</v>
      </c>
      <c r="D86" s="575" t="s">
        <v>364</v>
      </c>
      <c r="E86" s="575" t="s">
        <v>95</v>
      </c>
      <c r="F86" s="575" t="s">
        <v>328</v>
      </c>
      <c r="G86" s="575" t="s">
        <v>329</v>
      </c>
      <c r="H86" s="575" t="s">
        <v>448</v>
      </c>
      <c r="I86" s="651" t="s">
        <v>449</v>
      </c>
    </row>
    <row r="87" spans="1:20" s="374" customFormat="1" ht="13.5" thickTop="1" thickBot="1" x14ac:dyDescent="0.25">
      <c r="A87" s="511">
        <v>1</v>
      </c>
      <c r="B87" s="512">
        <v>2</v>
      </c>
      <c r="C87" s="512">
        <v>3</v>
      </c>
      <c r="D87" s="512">
        <v>4</v>
      </c>
      <c r="E87" s="512">
        <v>5</v>
      </c>
      <c r="F87" s="499">
        <v>6</v>
      </c>
      <c r="G87" s="499">
        <v>7</v>
      </c>
      <c r="H87" s="500">
        <v>8</v>
      </c>
      <c r="I87" s="577" t="s">
        <v>393</v>
      </c>
    </row>
    <row r="88" spans="1:20" ht="17.25" customHeight="1" thickTop="1" x14ac:dyDescent="0.25">
      <c r="A88" s="921">
        <v>1014</v>
      </c>
      <c r="B88" s="2722">
        <v>3114</v>
      </c>
      <c r="C88" s="2722">
        <v>5336</v>
      </c>
      <c r="D88" s="2724"/>
      <c r="E88" s="602" t="s">
        <v>856</v>
      </c>
      <c r="F88" s="872">
        <f>F89+F91+F90+F92+F93</f>
        <v>0</v>
      </c>
      <c r="G88" s="872">
        <f t="shared" ref="G88:H88" si="14">G89+G91+G90+G92+G93</f>
        <v>17956</v>
      </c>
      <c r="H88" s="872">
        <f t="shared" si="14"/>
        <v>17956</v>
      </c>
      <c r="I88" s="981">
        <f t="shared" ref="I88:I106" si="15">(H88/G88)*100</f>
        <v>100</v>
      </c>
    </row>
    <row r="89" spans="1:20" ht="14.25" x14ac:dyDescent="0.2">
      <c r="A89" s="921"/>
      <c r="B89" s="2722"/>
      <c r="C89" s="2722"/>
      <c r="D89" s="2725" t="s">
        <v>902</v>
      </c>
      <c r="E89" s="1352" t="s">
        <v>855</v>
      </c>
      <c r="F89" s="668">
        <v>0</v>
      </c>
      <c r="G89" s="668">
        <v>448</v>
      </c>
      <c r="H89" s="700">
        <v>448</v>
      </c>
      <c r="I89" s="656">
        <f t="shared" ref="I89:I90" si="16">(H89/G89)*100</f>
        <v>100</v>
      </c>
    </row>
    <row r="90" spans="1:20" ht="14.25" x14ac:dyDescent="0.2">
      <c r="A90" s="921"/>
      <c r="B90" s="2722"/>
      <c r="C90" s="2722"/>
      <c r="D90" s="810" t="s">
        <v>1896</v>
      </c>
      <c r="E90" s="1352" t="s">
        <v>1951</v>
      </c>
      <c r="F90" s="668">
        <v>0</v>
      </c>
      <c r="G90" s="668">
        <v>73</v>
      </c>
      <c r="H90" s="700">
        <v>73</v>
      </c>
      <c r="I90" s="656">
        <f t="shared" si="16"/>
        <v>100</v>
      </c>
    </row>
    <row r="91" spans="1:20" ht="14.25" x14ac:dyDescent="0.2">
      <c r="A91" s="921"/>
      <c r="B91" s="2722"/>
      <c r="C91" s="2722"/>
      <c r="D91" s="2726" t="s">
        <v>901</v>
      </c>
      <c r="E91" s="436" t="s">
        <v>1636</v>
      </c>
      <c r="F91" s="665">
        <v>0</v>
      </c>
      <c r="G91" s="870">
        <v>17108</v>
      </c>
      <c r="H91" s="870">
        <v>17108</v>
      </c>
      <c r="I91" s="656">
        <f t="shared" si="15"/>
        <v>100</v>
      </c>
    </row>
    <row r="92" spans="1:20" ht="14.25" x14ac:dyDescent="0.2">
      <c r="A92" s="921"/>
      <c r="B92" s="2722"/>
      <c r="C92" s="2722"/>
      <c r="D92" s="513" t="s">
        <v>1144</v>
      </c>
      <c r="E92" s="692" t="s">
        <v>1515</v>
      </c>
      <c r="F92" s="665">
        <v>0</v>
      </c>
      <c r="G92" s="870">
        <v>49</v>
      </c>
      <c r="H92" s="870">
        <v>49</v>
      </c>
      <c r="I92" s="656">
        <f t="shared" si="15"/>
        <v>100</v>
      </c>
    </row>
    <row r="93" spans="1:20" ht="14.25" x14ac:dyDescent="0.2">
      <c r="A93" s="921"/>
      <c r="B93" s="2722"/>
      <c r="C93" s="2722"/>
      <c r="D93" s="513" t="s">
        <v>1145</v>
      </c>
      <c r="E93" s="692" t="s">
        <v>1515</v>
      </c>
      <c r="F93" s="665">
        <v>0</v>
      </c>
      <c r="G93" s="870">
        <v>278</v>
      </c>
      <c r="H93" s="870">
        <v>278</v>
      </c>
      <c r="I93" s="656">
        <f t="shared" si="15"/>
        <v>100</v>
      </c>
    </row>
    <row r="94" spans="1:20" ht="15.75" customHeight="1" x14ac:dyDescent="0.25">
      <c r="A94" s="921">
        <v>1014</v>
      </c>
      <c r="B94" s="2722">
        <v>3124</v>
      </c>
      <c r="C94" s="2722">
        <v>5336</v>
      </c>
      <c r="D94" s="2724"/>
      <c r="E94" s="602" t="s">
        <v>856</v>
      </c>
      <c r="F94" s="872">
        <f>F95+F97+F96</f>
        <v>0</v>
      </c>
      <c r="G94" s="872">
        <f t="shared" ref="G94:H94" si="17">G95+G97+G96</f>
        <v>2411</v>
      </c>
      <c r="H94" s="872">
        <f t="shared" si="17"/>
        <v>2411</v>
      </c>
      <c r="I94" s="873">
        <f t="shared" si="15"/>
        <v>100</v>
      </c>
    </row>
    <row r="95" spans="1:20" ht="14.25" x14ac:dyDescent="0.2">
      <c r="A95" s="921"/>
      <c r="B95" s="2722"/>
      <c r="C95" s="2722"/>
      <c r="D95" s="2726" t="s">
        <v>901</v>
      </c>
      <c r="E95" s="436" t="s">
        <v>1637</v>
      </c>
      <c r="F95" s="665">
        <v>0</v>
      </c>
      <c r="G95" s="870">
        <v>2286</v>
      </c>
      <c r="H95" s="870">
        <v>2286</v>
      </c>
      <c r="I95" s="874">
        <f t="shared" si="15"/>
        <v>100</v>
      </c>
    </row>
    <row r="96" spans="1:20" ht="14.25" x14ac:dyDescent="0.2">
      <c r="A96" s="921"/>
      <c r="B96" s="2722"/>
      <c r="C96" s="2722"/>
      <c r="D96" s="513" t="s">
        <v>1144</v>
      </c>
      <c r="E96" s="692" t="s">
        <v>1515</v>
      </c>
      <c r="F96" s="665">
        <v>0</v>
      </c>
      <c r="G96" s="870">
        <v>19</v>
      </c>
      <c r="H96" s="870">
        <v>19</v>
      </c>
      <c r="I96" s="874">
        <f t="shared" si="15"/>
        <v>100</v>
      </c>
    </row>
    <row r="97" spans="1:20" ht="14.25" x14ac:dyDescent="0.2">
      <c r="A97" s="921"/>
      <c r="B97" s="2722"/>
      <c r="C97" s="2722"/>
      <c r="D97" s="513" t="s">
        <v>1145</v>
      </c>
      <c r="E97" s="692" t="s">
        <v>1515</v>
      </c>
      <c r="F97" s="665">
        <v>0</v>
      </c>
      <c r="G97" s="870">
        <v>106</v>
      </c>
      <c r="H97" s="870">
        <v>106</v>
      </c>
      <c r="I97" s="874">
        <f t="shared" si="15"/>
        <v>100</v>
      </c>
    </row>
    <row r="98" spans="1:20" ht="15.75" customHeight="1" x14ac:dyDescent="0.25">
      <c r="A98" s="921">
        <v>1014</v>
      </c>
      <c r="B98" s="2722">
        <v>3141</v>
      </c>
      <c r="C98" s="2722">
        <v>5336</v>
      </c>
      <c r="D98" s="2724"/>
      <c r="E98" s="602" t="s">
        <v>856</v>
      </c>
      <c r="F98" s="872">
        <f>F99</f>
        <v>0</v>
      </c>
      <c r="G98" s="872">
        <f>G99</f>
        <v>128</v>
      </c>
      <c r="H98" s="872">
        <f>H99</f>
        <v>128</v>
      </c>
      <c r="I98" s="873">
        <f t="shared" si="15"/>
        <v>100</v>
      </c>
    </row>
    <row r="99" spans="1:20" ht="14.25" x14ac:dyDescent="0.2">
      <c r="A99" s="921"/>
      <c r="B99" s="2722"/>
      <c r="C99" s="2722"/>
      <c r="D99" s="2726" t="s">
        <v>901</v>
      </c>
      <c r="E99" s="436" t="s">
        <v>1637</v>
      </c>
      <c r="F99" s="665">
        <v>0</v>
      </c>
      <c r="G99" s="870">
        <v>128</v>
      </c>
      <c r="H99" s="870">
        <v>128</v>
      </c>
      <c r="I99" s="661">
        <f t="shared" si="15"/>
        <v>100</v>
      </c>
    </row>
    <row r="100" spans="1:20" ht="15.75" customHeight="1" x14ac:dyDescent="0.25">
      <c r="A100" s="921">
        <v>1014</v>
      </c>
      <c r="B100" s="2722">
        <v>3143</v>
      </c>
      <c r="C100" s="1350">
        <v>5336</v>
      </c>
      <c r="D100" s="2724"/>
      <c r="E100" s="602" t="s">
        <v>856</v>
      </c>
      <c r="F100" s="675">
        <f>F101</f>
        <v>0</v>
      </c>
      <c r="G100" s="675">
        <f>G101</f>
        <v>750</v>
      </c>
      <c r="H100" s="675">
        <f>H101</f>
        <v>750</v>
      </c>
      <c r="I100" s="669">
        <f t="shared" si="15"/>
        <v>100</v>
      </c>
    </row>
    <row r="101" spans="1:20" ht="15.75" customHeight="1" x14ac:dyDescent="0.2">
      <c r="A101" s="921"/>
      <c r="B101" s="2722"/>
      <c r="C101" s="1350"/>
      <c r="D101" s="2724" t="s">
        <v>901</v>
      </c>
      <c r="E101" s="692" t="s">
        <v>1637</v>
      </c>
      <c r="F101" s="665">
        <v>0</v>
      </c>
      <c r="G101" s="665">
        <v>750</v>
      </c>
      <c r="H101" s="665">
        <v>750</v>
      </c>
      <c r="I101" s="661">
        <f t="shared" si="15"/>
        <v>100</v>
      </c>
    </row>
    <row r="102" spans="1:20" ht="15" x14ac:dyDescent="0.25">
      <c r="A102" s="921">
        <v>1014</v>
      </c>
      <c r="B102" s="2722">
        <v>3145</v>
      </c>
      <c r="C102" s="1350">
        <v>5336</v>
      </c>
      <c r="D102" s="2726"/>
      <c r="E102" s="602" t="s">
        <v>856</v>
      </c>
      <c r="F102" s="675">
        <f>F103</f>
        <v>0</v>
      </c>
      <c r="G102" s="675">
        <f>G103</f>
        <v>1919</v>
      </c>
      <c r="H102" s="675">
        <f>H103</f>
        <v>1919</v>
      </c>
      <c r="I102" s="669">
        <f t="shared" si="15"/>
        <v>100</v>
      </c>
    </row>
    <row r="103" spans="1:20" ht="14.25" x14ac:dyDescent="0.2">
      <c r="A103" s="921"/>
      <c r="B103" s="2722"/>
      <c r="C103" s="1350"/>
      <c r="D103" s="2726" t="s">
        <v>901</v>
      </c>
      <c r="E103" s="436" t="s">
        <v>1637</v>
      </c>
      <c r="F103" s="665">
        <v>0</v>
      </c>
      <c r="G103" s="665">
        <v>1919</v>
      </c>
      <c r="H103" s="665">
        <v>1919</v>
      </c>
      <c r="I103" s="661">
        <f t="shared" si="15"/>
        <v>100</v>
      </c>
    </row>
    <row r="104" spans="1:20" ht="15" x14ac:dyDescent="0.25">
      <c r="A104" s="921">
        <v>1014</v>
      </c>
      <c r="B104" s="2722">
        <v>3314</v>
      </c>
      <c r="C104" s="1350">
        <v>5336</v>
      </c>
      <c r="D104" s="2726"/>
      <c r="E104" s="602" t="s">
        <v>856</v>
      </c>
      <c r="F104" s="675">
        <f>F105</f>
        <v>0</v>
      </c>
      <c r="G104" s="675">
        <f t="shared" ref="G104:H104" si="18">G105</f>
        <v>32</v>
      </c>
      <c r="H104" s="675">
        <f t="shared" si="18"/>
        <v>32</v>
      </c>
      <c r="I104" s="669">
        <f t="shared" si="15"/>
        <v>100</v>
      </c>
    </row>
    <row r="105" spans="1:20" ht="15" thickBot="1" x14ac:dyDescent="0.25">
      <c r="A105" s="921"/>
      <c r="B105" s="2722"/>
      <c r="C105" s="1350"/>
      <c r="D105" s="2726" t="s">
        <v>1896</v>
      </c>
      <c r="E105" s="436" t="s">
        <v>1951</v>
      </c>
      <c r="F105" s="665">
        <v>0</v>
      </c>
      <c r="G105" s="665">
        <v>32</v>
      </c>
      <c r="H105" s="665">
        <v>32</v>
      </c>
      <c r="I105" s="661">
        <f t="shared" si="15"/>
        <v>100</v>
      </c>
    </row>
    <row r="106" spans="1:20" ht="16.5" thickTop="1" thickBot="1" x14ac:dyDescent="0.3">
      <c r="A106" s="3233" t="s">
        <v>522</v>
      </c>
      <c r="B106" s="3234"/>
      <c r="C106" s="3234"/>
      <c r="D106" s="3234"/>
      <c r="E106" s="3234"/>
      <c r="F106" s="657">
        <f>F88+F94+F98+F100+F102+F104</f>
        <v>0</v>
      </c>
      <c r="G106" s="657">
        <f t="shared" ref="G106:H106" si="19">G88+G94+G98+G100+G102+G104</f>
        <v>23196</v>
      </c>
      <c r="H106" s="657">
        <f t="shared" si="19"/>
        <v>23196</v>
      </c>
      <c r="I106" s="658">
        <f t="shared" si="15"/>
        <v>100</v>
      </c>
      <c r="R106" s="373">
        <f>F106</f>
        <v>0</v>
      </c>
      <c r="S106" s="373">
        <f>G106</f>
        <v>23196</v>
      </c>
      <c r="T106" s="373">
        <f>H106</f>
        <v>23196</v>
      </c>
    </row>
    <row r="107" spans="1:20" ht="13.5" thickTop="1" x14ac:dyDescent="0.2"/>
    <row r="109" spans="1:20" ht="14.25" customHeight="1" thickBot="1" x14ac:dyDescent="0.25">
      <c r="A109" s="419" t="s">
        <v>914</v>
      </c>
      <c r="I109" s="915" t="s">
        <v>92</v>
      </c>
    </row>
    <row r="110" spans="1:20" s="106" customFormat="1" thickTop="1" thickBot="1" x14ac:dyDescent="0.25">
      <c r="A110" s="572" t="s">
        <v>324</v>
      </c>
      <c r="B110" s="639" t="s">
        <v>93</v>
      </c>
      <c r="C110" s="573" t="s">
        <v>94</v>
      </c>
      <c r="D110" s="575" t="s">
        <v>364</v>
      </c>
      <c r="E110" s="575" t="s">
        <v>95</v>
      </c>
      <c r="F110" s="575" t="s">
        <v>328</v>
      </c>
      <c r="G110" s="575" t="s">
        <v>329</v>
      </c>
      <c r="H110" s="575" t="s">
        <v>448</v>
      </c>
      <c r="I110" s="651" t="s">
        <v>449</v>
      </c>
    </row>
    <row r="111" spans="1:20" s="374" customFormat="1" ht="13.5" thickTop="1" thickBot="1" x14ac:dyDescent="0.25">
      <c r="A111" s="511">
        <v>1</v>
      </c>
      <c r="B111" s="512">
        <v>2</v>
      </c>
      <c r="C111" s="512">
        <v>3</v>
      </c>
      <c r="D111" s="512">
        <v>4</v>
      </c>
      <c r="E111" s="512">
        <v>5</v>
      </c>
      <c r="F111" s="499">
        <v>6</v>
      </c>
      <c r="G111" s="499">
        <v>7</v>
      </c>
      <c r="H111" s="500">
        <v>8</v>
      </c>
      <c r="I111" s="577" t="s">
        <v>393</v>
      </c>
    </row>
    <row r="112" spans="1:20" s="374" customFormat="1" ht="15.75" thickTop="1" x14ac:dyDescent="0.25">
      <c r="A112" s="921">
        <v>1015</v>
      </c>
      <c r="B112" s="2427">
        <v>3112</v>
      </c>
      <c r="C112" s="2427">
        <v>5336</v>
      </c>
      <c r="D112" s="857"/>
      <c r="E112" s="602" t="s">
        <v>856</v>
      </c>
      <c r="F112" s="401">
        <f>F113</f>
        <v>0</v>
      </c>
      <c r="G112" s="401">
        <f>G113</f>
        <v>2130</v>
      </c>
      <c r="H112" s="401">
        <f>H113</f>
        <v>2130</v>
      </c>
      <c r="I112" s="654">
        <f t="shared" ref="I112:I126" si="20">(H112/G112)*100</f>
        <v>100</v>
      </c>
    </row>
    <row r="113" spans="1:9" s="374" customFormat="1" ht="14.25" x14ac:dyDescent="0.2">
      <c r="A113" s="690"/>
      <c r="B113" s="879"/>
      <c r="C113" s="879"/>
      <c r="D113" s="2729" t="s">
        <v>901</v>
      </c>
      <c r="E113" s="436" t="s">
        <v>1637</v>
      </c>
      <c r="F113" s="912">
        <v>0</v>
      </c>
      <c r="G113" s="912">
        <v>2130</v>
      </c>
      <c r="H113" s="947">
        <v>2130</v>
      </c>
      <c r="I113" s="656">
        <f t="shared" si="20"/>
        <v>100</v>
      </c>
    </row>
    <row r="114" spans="1:9" s="374" customFormat="1" ht="15" x14ac:dyDescent="0.25">
      <c r="A114" s="921">
        <v>1015</v>
      </c>
      <c r="B114" s="2722">
        <v>3114</v>
      </c>
      <c r="C114" s="2722">
        <v>5336</v>
      </c>
      <c r="D114" s="2726"/>
      <c r="E114" s="602" t="s">
        <v>856</v>
      </c>
      <c r="F114" s="401">
        <f>F115</f>
        <v>0</v>
      </c>
      <c r="G114" s="401">
        <f>G115</f>
        <v>11219</v>
      </c>
      <c r="H114" s="401">
        <f>H115</f>
        <v>11219</v>
      </c>
      <c r="I114" s="654">
        <f t="shared" si="20"/>
        <v>100</v>
      </c>
    </row>
    <row r="115" spans="1:9" s="374" customFormat="1" ht="14.25" x14ac:dyDescent="0.2">
      <c r="A115" s="690"/>
      <c r="B115" s="879"/>
      <c r="C115" s="879"/>
      <c r="D115" s="2726" t="s">
        <v>901</v>
      </c>
      <c r="E115" s="436" t="s">
        <v>1637</v>
      </c>
      <c r="F115" s="912">
        <v>0</v>
      </c>
      <c r="G115" s="912">
        <v>11219</v>
      </c>
      <c r="H115" s="947">
        <v>11219</v>
      </c>
      <c r="I115" s="656">
        <f t="shared" si="20"/>
        <v>100</v>
      </c>
    </row>
    <row r="116" spans="1:9" s="374" customFormat="1" ht="15" x14ac:dyDescent="0.25">
      <c r="A116" s="921">
        <v>1015</v>
      </c>
      <c r="B116" s="2722">
        <v>3122</v>
      </c>
      <c r="C116" s="2722">
        <v>5336</v>
      </c>
      <c r="D116" s="2726"/>
      <c r="E116" s="602" t="s">
        <v>856</v>
      </c>
      <c r="F116" s="401">
        <f>F117</f>
        <v>0</v>
      </c>
      <c r="G116" s="401">
        <f>G117</f>
        <v>1046</v>
      </c>
      <c r="H116" s="401">
        <f>H117</f>
        <v>1046</v>
      </c>
      <c r="I116" s="654">
        <f t="shared" ref="I116:I117" si="21">(H116/G116)*100</f>
        <v>100</v>
      </c>
    </row>
    <row r="117" spans="1:9" s="374" customFormat="1" ht="14.25" x14ac:dyDescent="0.2">
      <c r="A117" s="690"/>
      <c r="B117" s="879"/>
      <c r="C117" s="879"/>
      <c r="D117" s="2726" t="s">
        <v>901</v>
      </c>
      <c r="E117" s="436" t="s">
        <v>1637</v>
      </c>
      <c r="F117" s="912">
        <v>0</v>
      </c>
      <c r="G117" s="912">
        <v>1046</v>
      </c>
      <c r="H117" s="947">
        <v>1046</v>
      </c>
      <c r="I117" s="656">
        <f t="shared" si="21"/>
        <v>100</v>
      </c>
    </row>
    <row r="118" spans="1:9" s="374" customFormat="1" ht="15" x14ac:dyDescent="0.25">
      <c r="A118" s="921">
        <v>1015</v>
      </c>
      <c r="B118" s="2427">
        <v>3124</v>
      </c>
      <c r="C118" s="2427">
        <v>5336</v>
      </c>
      <c r="D118" s="2725"/>
      <c r="E118" s="602" t="s">
        <v>856</v>
      </c>
      <c r="F118" s="401">
        <f>F122+F120+F119+F121+F123+F124</f>
        <v>0</v>
      </c>
      <c r="G118" s="401">
        <f t="shared" ref="G118:H118" si="22">G122+G120+G119+G121+G123+G124</f>
        <v>23720</v>
      </c>
      <c r="H118" s="401">
        <f t="shared" si="22"/>
        <v>23720</v>
      </c>
      <c r="I118" s="680">
        <f t="shared" si="20"/>
        <v>100</v>
      </c>
    </row>
    <row r="119" spans="1:9" s="374" customFormat="1" ht="14.25" x14ac:dyDescent="0.2">
      <c r="A119" s="921"/>
      <c r="B119" s="2427"/>
      <c r="C119" s="2427"/>
      <c r="D119" s="2723" t="s">
        <v>912</v>
      </c>
      <c r="E119" s="2617" t="s">
        <v>817</v>
      </c>
      <c r="F119" s="2727">
        <v>0</v>
      </c>
      <c r="G119" s="2727">
        <v>18</v>
      </c>
      <c r="H119" s="2728">
        <v>18</v>
      </c>
      <c r="I119" s="871">
        <f t="shared" si="20"/>
        <v>100</v>
      </c>
    </row>
    <row r="120" spans="1:9" s="374" customFormat="1" ht="14.25" x14ac:dyDescent="0.2">
      <c r="A120" s="921"/>
      <c r="B120" s="2427"/>
      <c r="C120" s="2427"/>
      <c r="D120" s="2725" t="s">
        <v>902</v>
      </c>
      <c r="E120" s="1352" t="s">
        <v>855</v>
      </c>
      <c r="F120" s="668">
        <v>0</v>
      </c>
      <c r="G120" s="668">
        <v>733</v>
      </c>
      <c r="H120" s="700">
        <v>733</v>
      </c>
      <c r="I120" s="656">
        <f t="shared" ref="I120:I121" si="23">(H120/G120)*100</f>
        <v>100</v>
      </c>
    </row>
    <row r="121" spans="1:9" s="374" customFormat="1" ht="14.25" x14ac:dyDescent="0.2">
      <c r="A121" s="921"/>
      <c r="B121" s="2427"/>
      <c r="C121" s="2427"/>
      <c r="D121" s="2723" t="s">
        <v>1896</v>
      </c>
      <c r="E121" s="1352" t="s">
        <v>1951</v>
      </c>
      <c r="F121" s="668">
        <v>0</v>
      </c>
      <c r="G121" s="668">
        <v>185</v>
      </c>
      <c r="H121" s="700">
        <v>185</v>
      </c>
      <c r="I121" s="656">
        <f t="shared" si="23"/>
        <v>100</v>
      </c>
    </row>
    <row r="122" spans="1:9" s="374" customFormat="1" ht="14.25" x14ac:dyDescent="0.2">
      <c r="A122" s="921"/>
      <c r="B122" s="2427"/>
      <c r="C122" s="2427"/>
      <c r="D122" s="2726" t="s">
        <v>901</v>
      </c>
      <c r="E122" s="436" t="s">
        <v>1637</v>
      </c>
      <c r="F122" s="912">
        <v>0</v>
      </c>
      <c r="G122" s="912">
        <v>18584</v>
      </c>
      <c r="H122" s="912">
        <v>18584</v>
      </c>
      <c r="I122" s="656">
        <f t="shared" si="20"/>
        <v>100</v>
      </c>
    </row>
    <row r="123" spans="1:9" s="374" customFormat="1" ht="14.25" x14ac:dyDescent="0.2">
      <c r="A123" s="921"/>
      <c r="B123" s="2427"/>
      <c r="C123" s="2427"/>
      <c r="D123" s="513" t="s">
        <v>1144</v>
      </c>
      <c r="E123" s="692" t="s">
        <v>1515</v>
      </c>
      <c r="F123" s="927">
        <v>0</v>
      </c>
      <c r="G123" s="927">
        <v>630</v>
      </c>
      <c r="H123" s="927">
        <v>630</v>
      </c>
      <c r="I123" s="656">
        <f t="shared" si="20"/>
        <v>100</v>
      </c>
    </row>
    <row r="124" spans="1:9" s="374" customFormat="1" ht="14.25" x14ac:dyDescent="0.2">
      <c r="A124" s="921"/>
      <c r="B124" s="2427"/>
      <c r="C124" s="2427"/>
      <c r="D124" s="513" t="s">
        <v>1145</v>
      </c>
      <c r="E124" s="692" t="s">
        <v>1515</v>
      </c>
      <c r="F124" s="927">
        <v>0</v>
      </c>
      <c r="G124" s="927">
        <v>3570</v>
      </c>
      <c r="H124" s="927">
        <v>3570</v>
      </c>
      <c r="I124" s="656">
        <f t="shared" si="20"/>
        <v>100</v>
      </c>
    </row>
    <row r="125" spans="1:9" s="374" customFormat="1" ht="15" x14ac:dyDescent="0.25">
      <c r="A125" s="921">
        <v>1015</v>
      </c>
      <c r="B125" s="2427">
        <v>3141</v>
      </c>
      <c r="C125" s="2427">
        <v>5336</v>
      </c>
      <c r="D125" s="2726"/>
      <c r="E125" s="602" t="s">
        <v>856</v>
      </c>
      <c r="F125" s="859">
        <f>F126</f>
        <v>0</v>
      </c>
      <c r="G125" s="859">
        <f>G126</f>
        <v>536</v>
      </c>
      <c r="H125" s="859">
        <f>H126</f>
        <v>536</v>
      </c>
      <c r="I125" s="680">
        <f t="shared" si="20"/>
        <v>100</v>
      </c>
    </row>
    <row r="126" spans="1:9" s="374" customFormat="1" ht="14.25" x14ac:dyDescent="0.2">
      <c r="A126" s="921"/>
      <c r="B126" s="2427"/>
      <c r="C126" s="2427"/>
      <c r="D126" s="2726" t="s">
        <v>901</v>
      </c>
      <c r="E126" s="436" t="s">
        <v>1637</v>
      </c>
      <c r="F126" s="927">
        <v>0</v>
      </c>
      <c r="G126" s="927">
        <v>536</v>
      </c>
      <c r="H126" s="927">
        <v>536</v>
      </c>
      <c r="I126" s="656">
        <f t="shared" si="20"/>
        <v>100</v>
      </c>
    </row>
    <row r="127" spans="1:9" ht="15" x14ac:dyDescent="0.25">
      <c r="A127" s="921">
        <v>1015</v>
      </c>
      <c r="B127" s="2427">
        <v>3143</v>
      </c>
      <c r="C127" s="2730">
        <v>5336</v>
      </c>
      <c r="D127" s="2726"/>
      <c r="E127" s="602" t="s">
        <v>856</v>
      </c>
      <c r="F127" s="675">
        <f>F128</f>
        <v>0</v>
      </c>
      <c r="G127" s="675">
        <f>G128</f>
        <v>677</v>
      </c>
      <c r="H127" s="675">
        <f>H128</f>
        <v>677</v>
      </c>
      <c r="I127" s="680">
        <f t="shared" ref="I127:I137" si="24">(H127/G127)*100</f>
        <v>100</v>
      </c>
    </row>
    <row r="128" spans="1:9" ht="14.25" x14ac:dyDescent="0.2">
      <c r="A128" s="921"/>
      <c r="B128" s="2427"/>
      <c r="C128" s="2730"/>
      <c r="D128" s="2726" t="s">
        <v>901</v>
      </c>
      <c r="E128" s="436" t="s">
        <v>1637</v>
      </c>
      <c r="F128" s="665">
        <v>0</v>
      </c>
      <c r="G128" s="665">
        <v>677</v>
      </c>
      <c r="H128" s="665">
        <v>677</v>
      </c>
      <c r="I128" s="656">
        <f t="shared" si="24"/>
        <v>100</v>
      </c>
    </row>
    <row r="129" spans="1:20" ht="15" x14ac:dyDescent="0.25">
      <c r="A129" s="921">
        <v>1015</v>
      </c>
      <c r="B129" s="2427">
        <v>3145</v>
      </c>
      <c r="C129" s="2730">
        <v>5336</v>
      </c>
      <c r="D129" s="2731"/>
      <c r="E129" s="644" t="s">
        <v>856</v>
      </c>
      <c r="F129" s="675">
        <f>F130</f>
        <v>0</v>
      </c>
      <c r="G129" s="675">
        <f>G130</f>
        <v>3271</v>
      </c>
      <c r="H129" s="675">
        <f>H130</f>
        <v>3271</v>
      </c>
      <c r="I129" s="680">
        <f t="shared" si="24"/>
        <v>100</v>
      </c>
    </row>
    <row r="130" spans="1:20" ht="14.25" x14ac:dyDescent="0.2">
      <c r="A130" s="921"/>
      <c r="B130" s="2427"/>
      <c r="C130" s="2730"/>
      <c r="D130" s="2726" t="s">
        <v>901</v>
      </c>
      <c r="E130" s="436" t="s">
        <v>1637</v>
      </c>
      <c r="F130" s="665">
        <v>0</v>
      </c>
      <c r="G130" s="665">
        <v>3271</v>
      </c>
      <c r="H130" s="665">
        <v>3271</v>
      </c>
      <c r="I130" s="656">
        <f t="shared" si="24"/>
        <v>100</v>
      </c>
    </row>
    <row r="131" spans="1:20" ht="15" x14ac:dyDescent="0.25">
      <c r="A131" s="921">
        <v>1015</v>
      </c>
      <c r="B131" s="2427">
        <v>3146</v>
      </c>
      <c r="C131" s="2730">
        <v>5336</v>
      </c>
      <c r="D131" s="2726"/>
      <c r="E131" s="602" t="s">
        <v>856</v>
      </c>
      <c r="F131" s="675">
        <f>F132</f>
        <v>0</v>
      </c>
      <c r="G131" s="675">
        <f t="shared" ref="G131:H131" si="25">G132</f>
        <v>747</v>
      </c>
      <c r="H131" s="675">
        <f t="shared" si="25"/>
        <v>747</v>
      </c>
      <c r="I131" s="680">
        <f t="shared" si="24"/>
        <v>100</v>
      </c>
    </row>
    <row r="132" spans="1:20" ht="14.25" x14ac:dyDescent="0.2">
      <c r="A132" s="921"/>
      <c r="B132" s="2427"/>
      <c r="C132" s="2730"/>
      <c r="D132" s="2726" t="s">
        <v>901</v>
      </c>
      <c r="E132" s="436" t="s">
        <v>1637</v>
      </c>
      <c r="F132" s="665">
        <v>0</v>
      </c>
      <c r="G132" s="665">
        <v>747</v>
      </c>
      <c r="H132" s="665">
        <v>747</v>
      </c>
      <c r="I132" s="656">
        <f t="shared" si="24"/>
        <v>100</v>
      </c>
    </row>
    <row r="133" spans="1:20" ht="15" x14ac:dyDescent="0.25">
      <c r="A133" s="921">
        <v>1015</v>
      </c>
      <c r="B133" s="2427">
        <v>3147</v>
      </c>
      <c r="C133" s="2730">
        <v>5336</v>
      </c>
      <c r="D133" s="2726"/>
      <c r="E133" s="602" t="s">
        <v>856</v>
      </c>
      <c r="F133" s="675">
        <f>F134</f>
        <v>0</v>
      </c>
      <c r="G133" s="675">
        <f t="shared" ref="G133" si="26">G134</f>
        <v>33</v>
      </c>
      <c r="H133" s="675">
        <f t="shared" ref="H133" si="27">H134</f>
        <v>33</v>
      </c>
      <c r="I133" s="680">
        <f t="shared" ref="I133:I134" si="28">(H133/G133)*100</f>
        <v>100</v>
      </c>
    </row>
    <row r="134" spans="1:20" ht="14.25" x14ac:dyDescent="0.2">
      <c r="A134" s="921"/>
      <c r="B134" s="2427"/>
      <c r="C134" s="2730"/>
      <c r="D134" s="2726" t="s">
        <v>901</v>
      </c>
      <c r="E134" s="436" t="s">
        <v>1637</v>
      </c>
      <c r="F134" s="665">
        <v>0</v>
      </c>
      <c r="G134" s="665">
        <v>33</v>
      </c>
      <c r="H134" s="665">
        <v>33</v>
      </c>
      <c r="I134" s="656">
        <f t="shared" si="28"/>
        <v>100</v>
      </c>
    </row>
    <row r="135" spans="1:20" ht="15" x14ac:dyDescent="0.25">
      <c r="A135" s="921">
        <v>1015</v>
      </c>
      <c r="B135" s="2427">
        <v>3293</v>
      </c>
      <c r="C135" s="2730">
        <v>5336</v>
      </c>
      <c r="D135" s="2726"/>
      <c r="E135" s="602" t="s">
        <v>856</v>
      </c>
      <c r="F135" s="675">
        <f>F136</f>
        <v>0</v>
      </c>
      <c r="G135" s="675">
        <f>G136</f>
        <v>16</v>
      </c>
      <c r="H135" s="675">
        <f>H136</f>
        <v>16</v>
      </c>
      <c r="I135" s="680">
        <f t="shared" si="24"/>
        <v>100</v>
      </c>
    </row>
    <row r="136" spans="1:20" ht="15" thickBot="1" x14ac:dyDescent="0.25">
      <c r="A136" s="921"/>
      <c r="B136" s="2427"/>
      <c r="C136" s="2730"/>
      <c r="D136" s="2726" t="s">
        <v>913</v>
      </c>
      <c r="E136" s="436" t="s">
        <v>768</v>
      </c>
      <c r="F136" s="665">
        <v>0</v>
      </c>
      <c r="G136" s="665">
        <v>16</v>
      </c>
      <c r="H136" s="665">
        <v>16</v>
      </c>
      <c r="I136" s="656">
        <f t="shared" si="24"/>
        <v>100</v>
      </c>
    </row>
    <row r="137" spans="1:20" ht="16.5" customHeight="1" thickTop="1" thickBot="1" x14ac:dyDescent="0.3">
      <c r="A137" s="3233" t="s">
        <v>522</v>
      </c>
      <c r="B137" s="3234"/>
      <c r="C137" s="3234"/>
      <c r="D137" s="3234"/>
      <c r="E137" s="3234"/>
      <c r="F137" s="657">
        <f>F112+F114+F118+F125+F127+F129+F131+F135+F116+F133</f>
        <v>0</v>
      </c>
      <c r="G137" s="657">
        <f t="shared" ref="G137:H137" si="29">G112+G114+G118+G125+G127+G129+G131+G135+G116+G133</f>
        <v>43395</v>
      </c>
      <c r="H137" s="657">
        <f t="shared" si="29"/>
        <v>43395</v>
      </c>
      <c r="I137" s="658">
        <f t="shared" si="24"/>
        <v>100</v>
      </c>
      <c r="R137" s="373">
        <f>F137</f>
        <v>0</v>
      </c>
      <c r="S137" s="373">
        <f>G137</f>
        <v>43395</v>
      </c>
      <c r="T137" s="373">
        <f>H137</f>
        <v>43395</v>
      </c>
    </row>
    <row r="138" spans="1:20" ht="16.5" customHeight="1" thickTop="1" x14ac:dyDescent="0.25">
      <c r="A138" s="360"/>
      <c r="B138" s="360"/>
      <c r="C138" s="360"/>
      <c r="D138" s="360"/>
      <c r="E138" s="360"/>
      <c r="F138" s="177"/>
      <c r="G138" s="177"/>
      <c r="H138" s="177"/>
      <c r="I138" s="206"/>
      <c r="R138" s="373"/>
      <c r="S138" s="373"/>
      <c r="T138" s="373"/>
    </row>
    <row r="139" spans="1:20" ht="16.5" customHeight="1" x14ac:dyDescent="0.25">
      <c r="A139" s="360"/>
      <c r="B139" s="360"/>
      <c r="C139" s="360"/>
      <c r="D139" s="360"/>
      <c r="E139" s="360"/>
      <c r="F139" s="177"/>
      <c r="G139" s="177"/>
      <c r="H139" s="177"/>
      <c r="I139" s="206"/>
      <c r="R139" s="373"/>
      <c r="S139" s="373"/>
      <c r="T139" s="373"/>
    </row>
    <row r="140" spans="1:20" ht="13.5" thickBot="1" x14ac:dyDescent="0.25">
      <c r="A140" s="419" t="s">
        <v>385</v>
      </c>
      <c r="I140" s="915" t="s">
        <v>92</v>
      </c>
    </row>
    <row r="141" spans="1:20" s="106" customFormat="1" thickTop="1" thickBot="1" x14ac:dyDescent="0.25">
      <c r="A141" s="612" t="s">
        <v>324</v>
      </c>
      <c r="B141" s="614" t="s">
        <v>93</v>
      </c>
      <c r="C141" s="613" t="s">
        <v>94</v>
      </c>
      <c r="D141" s="615" t="s">
        <v>364</v>
      </c>
      <c r="E141" s="575" t="s">
        <v>95</v>
      </c>
      <c r="F141" s="575" t="s">
        <v>328</v>
      </c>
      <c r="G141" s="575" t="s">
        <v>329</v>
      </c>
      <c r="H141" s="615" t="s">
        <v>448</v>
      </c>
      <c r="I141" s="651" t="s">
        <v>449</v>
      </c>
    </row>
    <row r="142" spans="1:20" s="374" customFormat="1" ht="13.5" thickTop="1" thickBot="1" x14ac:dyDescent="0.25">
      <c r="A142" s="511">
        <v>1</v>
      </c>
      <c r="B142" s="512">
        <v>2</v>
      </c>
      <c r="C142" s="512">
        <v>3</v>
      </c>
      <c r="D142" s="512">
        <v>4</v>
      </c>
      <c r="E142" s="512">
        <v>5</v>
      </c>
      <c r="F142" s="499">
        <v>6</v>
      </c>
      <c r="G142" s="499">
        <v>7</v>
      </c>
      <c r="H142" s="500">
        <v>8</v>
      </c>
      <c r="I142" s="577" t="s">
        <v>393</v>
      </c>
    </row>
    <row r="143" spans="1:20" s="106" customFormat="1" ht="15.75" thickTop="1" x14ac:dyDescent="0.25">
      <c r="A143" s="921">
        <v>1016</v>
      </c>
      <c r="B143" s="2722">
        <v>3112</v>
      </c>
      <c r="C143" s="2722">
        <v>5336</v>
      </c>
      <c r="D143" s="2732"/>
      <c r="E143" s="602" t="s">
        <v>856</v>
      </c>
      <c r="F143" s="704">
        <f>F144</f>
        <v>0</v>
      </c>
      <c r="G143" s="704">
        <f>G144</f>
        <v>7037</v>
      </c>
      <c r="H143" s="704">
        <f>H144</f>
        <v>7037</v>
      </c>
      <c r="I143" s="680">
        <f t="shared" ref="I143:I162" si="30">(H143/G143)*100</f>
        <v>100</v>
      </c>
    </row>
    <row r="144" spans="1:20" s="106" customFormat="1" ht="14.25" x14ac:dyDescent="0.2">
      <c r="A144" s="696"/>
      <c r="B144" s="697"/>
      <c r="C144" s="698"/>
      <c r="D144" s="2726" t="s">
        <v>901</v>
      </c>
      <c r="E144" s="436" t="s">
        <v>1637</v>
      </c>
      <c r="F144" s="699">
        <v>0</v>
      </c>
      <c r="G144" s="699">
        <v>7037</v>
      </c>
      <c r="H144" s="699">
        <v>7037</v>
      </c>
      <c r="I144" s="681">
        <f t="shared" si="30"/>
        <v>100</v>
      </c>
    </row>
    <row r="145" spans="1:9" ht="15" x14ac:dyDescent="0.25">
      <c r="A145" s="921">
        <v>1016</v>
      </c>
      <c r="B145" s="2722">
        <v>3114</v>
      </c>
      <c r="C145" s="2722">
        <v>5336</v>
      </c>
      <c r="D145" s="2724"/>
      <c r="E145" s="602" t="s">
        <v>856</v>
      </c>
      <c r="F145" s="675">
        <f>F146+F147+F148</f>
        <v>0</v>
      </c>
      <c r="G145" s="675">
        <f t="shared" ref="G145:H145" si="31">G146+G147+G148</f>
        <v>11806</v>
      </c>
      <c r="H145" s="675">
        <f t="shared" si="31"/>
        <v>11806</v>
      </c>
      <c r="I145" s="669">
        <f t="shared" si="30"/>
        <v>100</v>
      </c>
    </row>
    <row r="146" spans="1:9" ht="14.25" x14ac:dyDescent="0.2">
      <c r="A146" s="921"/>
      <c r="B146" s="2722"/>
      <c r="C146" s="2722"/>
      <c r="D146" s="2726" t="s">
        <v>902</v>
      </c>
      <c r="E146" s="1352" t="s">
        <v>855</v>
      </c>
      <c r="F146" s="668">
        <v>0</v>
      </c>
      <c r="G146" s="668">
        <v>651</v>
      </c>
      <c r="H146" s="668">
        <v>651</v>
      </c>
      <c r="I146" s="367">
        <f t="shared" si="30"/>
        <v>100</v>
      </c>
    </row>
    <row r="147" spans="1:9" ht="14.25" x14ac:dyDescent="0.2">
      <c r="A147" s="921"/>
      <c r="B147" s="2722"/>
      <c r="C147" s="2722"/>
      <c r="D147" s="2726" t="s">
        <v>1896</v>
      </c>
      <c r="E147" s="1352" t="s">
        <v>1951</v>
      </c>
      <c r="F147" s="668">
        <v>0</v>
      </c>
      <c r="G147" s="668">
        <v>150</v>
      </c>
      <c r="H147" s="668">
        <v>150</v>
      </c>
      <c r="I147" s="367">
        <f t="shared" si="30"/>
        <v>100</v>
      </c>
    </row>
    <row r="148" spans="1:9" ht="14.25" x14ac:dyDescent="0.2">
      <c r="A148" s="921"/>
      <c r="B148" s="2722"/>
      <c r="C148" s="2722"/>
      <c r="D148" s="2724" t="s">
        <v>901</v>
      </c>
      <c r="E148" s="436" t="s">
        <v>1637</v>
      </c>
      <c r="F148" s="668">
        <v>0</v>
      </c>
      <c r="G148" s="668">
        <v>11005</v>
      </c>
      <c r="H148" s="668">
        <v>11005</v>
      </c>
      <c r="I148" s="982">
        <f t="shared" si="30"/>
        <v>100</v>
      </c>
    </row>
    <row r="149" spans="1:9" ht="15" x14ac:dyDescent="0.25">
      <c r="A149" s="921">
        <v>1016</v>
      </c>
      <c r="B149" s="2722">
        <v>3124</v>
      </c>
      <c r="C149" s="2722">
        <v>5331</v>
      </c>
      <c r="D149" s="2724"/>
      <c r="E149" s="602" t="s">
        <v>481</v>
      </c>
      <c r="F149" s="675">
        <f>F150</f>
        <v>0</v>
      </c>
      <c r="G149" s="675">
        <f t="shared" ref="G149:H149" si="32">G150</f>
        <v>24</v>
      </c>
      <c r="H149" s="675">
        <f t="shared" si="32"/>
        <v>24</v>
      </c>
      <c r="I149" s="669">
        <f t="shared" si="30"/>
        <v>100</v>
      </c>
    </row>
    <row r="150" spans="1:9" ht="14.25" x14ac:dyDescent="0.2">
      <c r="A150" s="921"/>
      <c r="B150" s="2722"/>
      <c r="C150" s="2722"/>
      <c r="D150" s="2724" t="s">
        <v>1891</v>
      </c>
      <c r="E150" s="692" t="s">
        <v>1952</v>
      </c>
      <c r="F150" s="668">
        <v>0</v>
      </c>
      <c r="G150" s="668">
        <v>24</v>
      </c>
      <c r="H150" s="668">
        <v>24</v>
      </c>
      <c r="I150" s="982">
        <f t="shared" si="30"/>
        <v>100</v>
      </c>
    </row>
    <row r="151" spans="1:9" ht="15" x14ac:dyDescent="0.25">
      <c r="A151" s="921">
        <v>1016</v>
      </c>
      <c r="B151" s="2722">
        <v>3124</v>
      </c>
      <c r="C151" s="2722">
        <v>5336</v>
      </c>
      <c r="D151" s="2732"/>
      <c r="E151" s="602" t="s">
        <v>856</v>
      </c>
      <c r="F151" s="675">
        <f>F153+F152</f>
        <v>0</v>
      </c>
      <c r="G151" s="675">
        <f>G153+G152</f>
        <v>14450</v>
      </c>
      <c r="H151" s="675">
        <f>H153+H152</f>
        <v>14450</v>
      </c>
      <c r="I151" s="669">
        <f t="shared" si="30"/>
        <v>100</v>
      </c>
    </row>
    <row r="152" spans="1:9" ht="14.25" x14ac:dyDescent="0.2">
      <c r="A152" s="921"/>
      <c r="B152" s="2722"/>
      <c r="C152" s="2722"/>
      <c r="D152" s="2439" t="s">
        <v>912</v>
      </c>
      <c r="E152" s="2617" t="s">
        <v>817</v>
      </c>
      <c r="F152" s="978">
        <v>0</v>
      </c>
      <c r="G152" s="978">
        <v>33</v>
      </c>
      <c r="H152" s="978">
        <v>33</v>
      </c>
      <c r="I152" s="982">
        <f t="shared" si="30"/>
        <v>100</v>
      </c>
    </row>
    <row r="153" spans="1:9" ht="14.25" x14ac:dyDescent="0.2">
      <c r="A153" s="921"/>
      <c r="B153" s="2722"/>
      <c r="C153" s="1350"/>
      <c r="D153" s="2726" t="s">
        <v>901</v>
      </c>
      <c r="E153" s="436" t="s">
        <v>1637</v>
      </c>
      <c r="F153" s="668">
        <v>0</v>
      </c>
      <c r="G153" s="668">
        <v>14417</v>
      </c>
      <c r="H153" s="668">
        <v>14417</v>
      </c>
      <c r="I153" s="367">
        <f t="shared" si="30"/>
        <v>100</v>
      </c>
    </row>
    <row r="154" spans="1:9" ht="15" x14ac:dyDescent="0.25">
      <c r="A154" s="921">
        <v>1016</v>
      </c>
      <c r="B154" s="2722">
        <v>3141</v>
      </c>
      <c r="C154" s="1350">
        <v>5336</v>
      </c>
      <c r="D154" s="2726"/>
      <c r="E154" s="602" t="s">
        <v>856</v>
      </c>
      <c r="F154" s="675">
        <f>F155</f>
        <v>0</v>
      </c>
      <c r="G154" s="675">
        <f>G155</f>
        <v>162</v>
      </c>
      <c r="H154" s="675">
        <f>H155</f>
        <v>162</v>
      </c>
      <c r="I154" s="669">
        <f t="shared" si="30"/>
        <v>100</v>
      </c>
    </row>
    <row r="155" spans="1:9" ht="14.25" x14ac:dyDescent="0.2">
      <c r="A155" s="921"/>
      <c r="B155" s="2722"/>
      <c r="C155" s="1350"/>
      <c r="D155" s="2726" t="s">
        <v>901</v>
      </c>
      <c r="E155" s="436" t="s">
        <v>1637</v>
      </c>
      <c r="F155" s="668">
        <v>0</v>
      </c>
      <c r="G155" s="668">
        <v>162</v>
      </c>
      <c r="H155" s="668">
        <v>162</v>
      </c>
      <c r="I155" s="367">
        <f t="shared" si="30"/>
        <v>100</v>
      </c>
    </row>
    <row r="156" spans="1:9" ht="15" x14ac:dyDescent="0.25">
      <c r="A156" s="921">
        <v>1016</v>
      </c>
      <c r="B156" s="2722">
        <v>3143</v>
      </c>
      <c r="C156" s="1350">
        <v>5336</v>
      </c>
      <c r="D156" s="2726"/>
      <c r="E156" s="602" t="s">
        <v>856</v>
      </c>
      <c r="F156" s="678">
        <f>F157</f>
        <v>0</v>
      </c>
      <c r="G156" s="678">
        <f>G157</f>
        <v>1024</v>
      </c>
      <c r="H156" s="678">
        <f>H157</f>
        <v>1024</v>
      </c>
      <c r="I156" s="669">
        <f t="shared" si="30"/>
        <v>100</v>
      </c>
    </row>
    <row r="157" spans="1:9" s="920" customFormat="1" ht="14.25" x14ac:dyDescent="0.2">
      <c r="A157" s="921"/>
      <c r="B157" s="2427"/>
      <c r="C157" s="2719"/>
      <c r="D157" s="2726" t="s">
        <v>901</v>
      </c>
      <c r="E157" s="436" t="s">
        <v>1637</v>
      </c>
      <c r="F157" s="351">
        <v>0</v>
      </c>
      <c r="G157" s="700">
        <v>1024</v>
      </c>
      <c r="H157" s="351">
        <v>1024</v>
      </c>
      <c r="I157" s="367">
        <f t="shared" si="30"/>
        <v>100</v>
      </c>
    </row>
    <row r="158" spans="1:9" s="920" customFormat="1" ht="15" x14ac:dyDescent="0.25">
      <c r="A158" s="921">
        <v>1016</v>
      </c>
      <c r="B158" s="2722">
        <v>3145</v>
      </c>
      <c r="C158" s="1350">
        <v>5336</v>
      </c>
      <c r="D158" s="2726"/>
      <c r="E158" s="602" t="s">
        <v>856</v>
      </c>
      <c r="F158" s="678">
        <f>F159</f>
        <v>0</v>
      </c>
      <c r="G158" s="678">
        <f>G159</f>
        <v>740</v>
      </c>
      <c r="H158" s="678">
        <f>H159</f>
        <v>740</v>
      </c>
      <c r="I158" s="669">
        <f t="shared" si="30"/>
        <v>100</v>
      </c>
    </row>
    <row r="159" spans="1:9" s="920" customFormat="1" ht="14.25" x14ac:dyDescent="0.2">
      <c r="A159" s="921"/>
      <c r="B159" s="2427"/>
      <c r="C159" s="2719"/>
      <c r="D159" s="2726" t="s">
        <v>901</v>
      </c>
      <c r="E159" s="436" t="s">
        <v>1637</v>
      </c>
      <c r="F159" s="668">
        <v>0</v>
      </c>
      <c r="G159" s="351">
        <v>740</v>
      </c>
      <c r="H159" s="668">
        <v>740</v>
      </c>
      <c r="I159" s="367">
        <f t="shared" si="30"/>
        <v>100</v>
      </c>
    </row>
    <row r="160" spans="1:9" s="920" customFormat="1" ht="15" x14ac:dyDescent="0.25">
      <c r="A160" s="921">
        <v>1016</v>
      </c>
      <c r="B160" s="2722">
        <v>3299</v>
      </c>
      <c r="C160" s="1350">
        <v>5331</v>
      </c>
      <c r="D160" s="2726"/>
      <c r="E160" s="602" t="s">
        <v>481</v>
      </c>
      <c r="F160" s="678">
        <f>F161</f>
        <v>0</v>
      </c>
      <c r="G160" s="678">
        <f t="shared" ref="G160:H160" si="33">G161</f>
        <v>25</v>
      </c>
      <c r="H160" s="678">
        <f t="shared" si="33"/>
        <v>25</v>
      </c>
      <c r="I160" s="669">
        <f t="shared" si="30"/>
        <v>100</v>
      </c>
    </row>
    <row r="161" spans="1:20" s="920" customFormat="1" ht="15" thickBot="1" x14ac:dyDescent="0.25">
      <c r="A161" s="2733"/>
      <c r="B161" s="2429"/>
      <c r="C161" s="2734"/>
      <c r="D161" s="2735" t="s">
        <v>1891</v>
      </c>
      <c r="E161" s="437" t="s">
        <v>1952</v>
      </c>
      <c r="F161" s="433">
        <v>0</v>
      </c>
      <c r="G161" s="433">
        <v>25</v>
      </c>
      <c r="H161" s="433">
        <v>25</v>
      </c>
      <c r="I161" s="3108">
        <f t="shared" si="30"/>
        <v>100</v>
      </c>
    </row>
    <row r="162" spans="1:20" ht="16.5" thickTop="1" thickBot="1" x14ac:dyDescent="0.3">
      <c r="A162" s="3253" t="s">
        <v>522</v>
      </c>
      <c r="B162" s="3250"/>
      <c r="C162" s="3250"/>
      <c r="D162" s="3250"/>
      <c r="E162" s="3250"/>
      <c r="F162" s="701">
        <f>F143+F145+F151+F154+F156+F158+F149+F160</f>
        <v>0</v>
      </c>
      <c r="G162" s="701">
        <f t="shared" ref="G162:H162" si="34">G143+G145+G151+G154+G156+G158+G149+G160</f>
        <v>35268</v>
      </c>
      <c r="H162" s="701">
        <f t="shared" si="34"/>
        <v>35268</v>
      </c>
      <c r="I162" s="702">
        <f t="shared" si="30"/>
        <v>100</v>
      </c>
      <c r="R162" s="373">
        <f>F162</f>
        <v>0</v>
      </c>
      <c r="S162" s="373">
        <f>G162</f>
        <v>35268</v>
      </c>
      <c r="T162" s="373">
        <f>H162</f>
        <v>35268</v>
      </c>
    </row>
    <row r="163" spans="1:20" ht="15.75" thickTop="1" x14ac:dyDescent="0.25">
      <c r="A163" s="360"/>
      <c r="B163" s="360"/>
      <c r="C163" s="360"/>
      <c r="D163" s="360"/>
      <c r="E163" s="360"/>
      <c r="F163" s="726"/>
      <c r="G163" s="726"/>
      <c r="H163" s="726"/>
      <c r="I163" s="928"/>
      <c r="R163" s="373"/>
      <c r="S163" s="373"/>
      <c r="T163" s="373"/>
    </row>
    <row r="164" spans="1:20" ht="15" x14ac:dyDescent="0.25">
      <c r="A164" s="360"/>
      <c r="B164" s="360"/>
      <c r="C164" s="360"/>
      <c r="D164" s="360"/>
      <c r="E164" s="360"/>
      <c r="F164" s="726"/>
      <c r="G164" s="726"/>
      <c r="H164" s="726"/>
      <c r="I164" s="928"/>
      <c r="R164" s="373"/>
      <c r="S164" s="373"/>
      <c r="T164" s="373"/>
    </row>
    <row r="165" spans="1:20" ht="13.5" thickBot="1" x14ac:dyDescent="0.25">
      <c r="A165" s="419" t="s">
        <v>1002</v>
      </c>
      <c r="I165" s="915" t="s">
        <v>92</v>
      </c>
    </row>
    <row r="166" spans="1:20" s="106" customFormat="1" thickTop="1" thickBot="1" x14ac:dyDescent="0.25">
      <c r="A166" s="572" t="s">
        <v>324</v>
      </c>
      <c r="B166" s="639" t="s">
        <v>93</v>
      </c>
      <c r="C166" s="573" t="s">
        <v>94</v>
      </c>
      <c r="D166" s="575" t="s">
        <v>364</v>
      </c>
      <c r="E166" s="575" t="s">
        <v>95</v>
      </c>
      <c r="F166" s="575" t="s">
        <v>328</v>
      </c>
      <c r="G166" s="575" t="s">
        <v>329</v>
      </c>
      <c r="H166" s="575" t="s">
        <v>448</v>
      </c>
      <c r="I166" s="651" t="s">
        <v>449</v>
      </c>
    </row>
    <row r="167" spans="1:20" s="374" customFormat="1" ht="15.75" customHeight="1" thickTop="1" thickBot="1" x14ac:dyDescent="0.25">
      <c r="A167" s="511">
        <v>1</v>
      </c>
      <c r="B167" s="512">
        <v>2</v>
      </c>
      <c r="C167" s="512">
        <v>3</v>
      </c>
      <c r="D167" s="512">
        <v>4</v>
      </c>
      <c r="E167" s="512">
        <v>5</v>
      </c>
      <c r="F167" s="499">
        <v>6</v>
      </c>
      <c r="G167" s="499">
        <v>7</v>
      </c>
      <c r="H167" s="500">
        <v>8</v>
      </c>
      <c r="I167" s="577" t="s">
        <v>393</v>
      </c>
    </row>
    <row r="168" spans="1:20" ht="15.75" customHeight="1" thickTop="1" x14ac:dyDescent="0.25">
      <c r="A168" s="921">
        <v>1017</v>
      </c>
      <c r="B168" s="2722">
        <v>3133</v>
      </c>
      <c r="C168" s="2722">
        <v>5336</v>
      </c>
      <c r="D168" s="2724"/>
      <c r="E168" s="602" t="s">
        <v>856</v>
      </c>
      <c r="F168" s="675">
        <f>F169+F171+F170</f>
        <v>0</v>
      </c>
      <c r="G168" s="675">
        <f t="shared" ref="G168:H168" si="35">G169+G171+G170</f>
        <v>15748</v>
      </c>
      <c r="H168" s="675">
        <f t="shared" si="35"/>
        <v>15748</v>
      </c>
      <c r="I168" s="680">
        <f t="shared" ref="I168:I174" si="36">(H168/G168)*100</f>
        <v>100</v>
      </c>
    </row>
    <row r="169" spans="1:20" ht="15.75" customHeight="1" x14ac:dyDescent="0.2">
      <c r="A169" s="921"/>
      <c r="B169" s="2722"/>
      <c r="C169" s="2722"/>
      <c r="D169" s="2726" t="s">
        <v>902</v>
      </c>
      <c r="E169" s="1642" t="s">
        <v>855</v>
      </c>
      <c r="F169" s="660">
        <v>0</v>
      </c>
      <c r="G169" s="668">
        <v>276</v>
      </c>
      <c r="H169" s="668">
        <v>276</v>
      </c>
      <c r="I169" s="656">
        <f t="shared" si="36"/>
        <v>100</v>
      </c>
    </row>
    <row r="170" spans="1:20" ht="15.75" customHeight="1" x14ac:dyDescent="0.2">
      <c r="A170" s="921"/>
      <c r="B170" s="2722"/>
      <c r="C170" s="2722"/>
      <c r="D170" s="2726" t="s">
        <v>1896</v>
      </c>
      <c r="E170" s="1642" t="s">
        <v>1951</v>
      </c>
      <c r="F170" s="660">
        <v>0</v>
      </c>
      <c r="G170" s="668">
        <v>136</v>
      </c>
      <c r="H170" s="668">
        <v>136</v>
      </c>
      <c r="I170" s="656">
        <f t="shared" si="36"/>
        <v>100</v>
      </c>
    </row>
    <row r="171" spans="1:20" ht="14.25" x14ac:dyDescent="0.2">
      <c r="A171" s="921"/>
      <c r="B171" s="2427"/>
      <c r="C171" s="2722"/>
      <c r="D171" s="2726" t="s">
        <v>901</v>
      </c>
      <c r="E171" s="436" t="s">
        <v>1637</v>
      </c>
      <c r="F171" s="665">
        <v>0</v>
      </c>
      <c r="G171" s="665">
        <v>15336</v>
      </c>
      <c r="H171" s="665">
        <v>15336</v>
      </c>
      <c r="I171" s="656">
        <f t="shared" si="36"/>
        <v>100</v>
      </c>
    </row>
    <row r="172" spans="1:20" ht="15.75" customHeight="1" x14ac:dyDescent="0.25">
      <c r="A172" s="921">
        <v>1017</v>
      </c>
      <c r="B172" s="2722">
        <v>3141</v>
      </c>
      <c r="C172" s="2722">
        <v>5336</v>
      </c>
      <c r="D172" s="2724"/>
      <c r="E172" s="602" t="s">
        <v>856</v>
      </c>
      <c r="F172" s="675">
        <f>F173</f>
        <v>0</v>
      </c>
      <c r="G172" s="675">
        <f>G173</f>
        <v>876</v>
      </c>
      <c r="H172" s="675">
        <f>H173</f>
        <v>876</v>
      </c>
      <c r="I172" s="669">
        <f t="shared" si="36"/>
        <v>100</v>
      </c>
    </row>
    <row r="173" spans="1:20" ht="15" thickBot="1" x14ac:dyDescent="0.25">
      <c r="A173" s="921"/>
      <c r="B173" s="2722"/>
      <c r="C173" s="2722"/>
      <c r="D173" s="2726" t="s">
        <v>901</v>
      </c>
      <c r="E173" s="436" t="s">
        <v>1637</v>
      </c>
      <c r="F173" s="665">
        <v>0</v>
      </c>
      <c r="G173" s="665">
        <v>876</v>
      </c>
      <c r="H173" s="665">
        <v>876</v>
      </c>
      <c r="I173" s="661">
        <f t="shared" ref="I173" si="37">(H173/G173)*100</f>
        <v>100</v>
      </c>
    </row>
    <row r="174" spans="1:20" s="941" customFormat="1" ht="15.75" customHeight="1" thickTop="1" thickBot="1" x14ac:dyDescent="0.25">
      <c r="A174" s="3251" t="s">
        <v>522</v>
      </c>
      <c r="B174" s="3252"/>
      <c r="C174" s="3252"/>
      <c r="D174" s="3252"/>
      <c r="E174" s="3252"/>
      <c r="F174" s="950">
        <f>F168+F172</f>
        <v>0</v>
      </c>
      <c r="G174" s="950">
        <f>G168+G172</f>
        <v>16624</v>
      </c>
      <c r="H174" s="950">
        <f>H168+H172</f>
        <v>16624</v>
      </c>
      <c r="I174" s="951">
        <f t="shared" si="36"/>
        <v>100</v>
      </c>
      <c r="R174" s="952">
        <f>F174</f>
        <v>0</v>
      </c>
      <c r="S174" s="952">
        <f>G174</f>
        <v>16624</v>
      </c>
      <c r="T174" s="952">
        <f>H174</f>
        <v>16624</v>
      </c>
    </row>
    <row r="175" spans="1:20" s="941" customFormat="1" ht="15.75" customHeight="1" thickTop="1" x14ac:dyDescent="0.2">
      <c r="A175" s="940"/>
      <c r="B175" s="940"/>
      <c r="C175" s="940"/>
      <c r="D175" s="940"/>
      <c r="E175" s="940"/>
      <c r="F175" s="968"/>
      <c r="G175" s="968"/>
      <c r="H175" s="968"/>
      <c r="I175" s="969"/>
      <c r="R175" s="952"/>
      <c r="S175" s="952"/>
      <c r="T175" s="952"/>
    </row>
    <row r="176" spans="1:20" s="941" customFormat="1" ht="15.75" customHeight="1" x14ac:dyDescent="0.2">
      <c r="A176" s="940"/>
      <c r="B176" s="940"/>
      <c r="C176" s="940"/>
      <c r="D176" s="940"/>
      <c r="E176" s="940"/>
      <c r="F176" s="968"/>
      <c r="G176" s="968"/>
      <c r="H176" s="968"/>
      <c r="I176" s="969"/>
      <c r="R176" s="952"/>
      <c r="S176" s="952"/>
      <c r="T176" s="952"/>
    </row>
    <row r="177" spans="1:20" ht="18" customHeight="1" thickBot="1" x14ac:dyDescent="0.25">
      <c r="A177" s="419" t="s">
        <v>285</v>
      </c>
      <c r="I177" s="915" t="s">
        <v>92</v>
      </c>
    </row>
    <row r="178" spans="1:20" s="106" customFormat="1" thickTop="1" thickBot="1" x14ac:dyDescent="0.25">
      <c r="A178" s="572" t="s">
        <v>324</v>
      </c>
      <c r="B178" s="639" t="s">
        <v>93</v>
      </c>
      <c r="C178" s="573" t="s">
        <v>94</v>
      </c>
      <c r="D178" s="575" t="s">
        <v>364</v>
      </c>
      <c r="E178" s="575" t="s">
        <v>95</v>
      </c>
      <c r="F178" s="575" t="s">
        <v>328</v>
      </c>
      <c r="G178" s="575" t="s">
        <v>329</v>
      </c>
      <c r="H178" s="575" t="s">
        <v>448</v>
      </c>
      <c r="I178" s="651" t="s">
        <v>449</v>
      </c>
    </row>
    <row r="179" spans="1:20" s="374" customFormat="1" ht="13.5" thickTop="1" thickBot="1" x14ac:dyDescent="0.25">
      <c r="A179" s="511">
        <v>1</v>
      </c>
      <c r="B179" s="512">
        <v>2</v>
      </c>
      <c r="C179" s="512">
        <v>3</v>
      </c>
      <c r="D179" s="512">
        <v>4</v>
      </c>
      <c r="E179" s="512">
        <v>5</v>
      </c>
      <c r="F179" s="499">
        <v>6</v>
      </c>
      <c r="G179" s="499">
        <v>7</v>
      </c>
      <c r="H179" s="500">
        <v>8</v>
      </c>
      <c r="I179" s="577" t="s">
        <v>393</v>
      </c>
    </row>
    <row r="180" spans="1:20" ht="15.75" thickTop="1" x14ac:dyDescent="0.25">
      <c r="A180" s="921">
        <v>1021</v>
      </c>
      <c r="B180" s="2427">
        <v>3114</v>
      </c>
      <c r="C180" s="2719">
        <v>5336</v>
      </c>
      <c r="D180" s="2726"/>
      <c r="E180" s="602" t="s">
        <v>856</v>
      </c>
      <c r="F180" s="678">
        <f>F181</f>
        <v>0</v>
      </c>
      <c r="G180" s="678">
        <f>G181</f>
        <v>1891</v>
      </c>
      <c r="H180" s="678">
        <f>H181</f>
        <v>1891</v>
      </c>
      <c r="I180" s="680">
        <f t="shared" ref="I180:I182" si="38">(H180/G180)*100</f>
        <v>100</v>
      </c>
    </row>
    <row r="181" spans="1:20" ht="15" thickBot="1" x14ac:dyDescent="0.25">
      <c r="A181" s="921"/>
      <c r="B181" s="2427"/>
      <c r="C181" s="2719"/>
      <c r="D181" s="2726" t="s">
        <v>901</v>
      </c>
      <c r="E181" s="436" t="s">
        <v>1637</v>
      </c>
      <c r="F181" s="660">
        <v>0</v>
      </c>
      <c r="G181" s="660">
        <v>1891</v>
      </c>
      <c r="H181" s="660">
        <v>1891</v>
      </c>
      <c r="I181" s="656">
        <f t="shared" si="38"/>
        <v>100</v>
      </c>
    </row>
    <row r="182" spans="1:20" s="941" customFormat="1" ht="16.5" thickTop="1" thickBot="1" x14ac:dyDescent="0.25">
      <c r="A182" s="3251" t="s">
        <v>522</v>
      </c>
      <c r="B182" s="3252"/>
      <c r="C182" s="3252"/>
      <c r="D182" s="3252"/>
      <c r="E182" s="3252"/>
      <c r="F182" s="950">
        <f>F180</f>
        <v>0</v>
      </c>
      <c r="G182" s="950">
        <f t="shared" ref="G182:H182" si="39">G180</f>
        <v>1891</v>
      </c>
      <c r="H182" s="950">
        <f t="shared" si="39"/>
        <v>1891</v>
      </c>
      <c r="I182" s="951">
        <f t="shared" si="38"/>
        <v>100</v>
      </c>
      <c r="R182" s="952">
        <f>F182</f>
        <v>0</v>
      </c>
      <c r="S182" s="952">
        <f>G182</f>
        <v>1891</v>
      </c>
      <c r="T182" s="952">
        <f>H182</f>
        <v>1891</v>
      </c>
    </row>
    <row r="183" spans="1:20" s="941" customFormat="1" ht="13.5" thickTop="1" x14ac:dyDescent="0.2">
      <c r="B183" s="953"/>
      <c r="D183" s="954"/>
      <c r="F183" s="952"/>
      <c r="G183" s="952"/>
      <c r="H183" s="952"/>
      <c r="I183" s="955"/>
    </row>
    <row r="184" spans="1:20" ht="13.5" thickBot="1" x14ac:dyDescent="0.25">
      <c r="A184" s="419" t="s">
        <v>245</v>
      </c>
      <c r="I184" s="915" t="s">
        <v>92</v>
      </c>
    </row>
    <row r="185" spans="1:20" s="106" customFormat="1" thickTop="1" thickBot="1" x14ac:dyDescent="0.25">
      <c r="A185" s="572" t="s">
        <v>324</v>
      </c>
      <c r="B185" s="639" t="s">
        <v>93</v>
      </c>
      <c r="C185" s="573" t="s">
        <v>94</v>
      </c>
      <c r="D185" s="575" t="s">
        <v>364</v>
      </c>
      <c r="E185" s="575" t="s">
        <v>95</v>
      </c>
      <c r="F185" s="575" t="s">
        <v>328</v>
      </c>
      <c r="G185" s="575" t="s">
        <v>329</v>
      </c>
      <c r="H185" s="575" t="s">
        <v>448</v>
      </c>
      <c r="I185" s="651" t="s">
        <v>449</v>
      </c>
    </row>
    <row r="186" spans="1:20" s="374" customFormat="1" ht="18" customHeight="1" thickTop="1" thickBot="1" x14ac:dyDescent="0.25">
      <c r="A186" s="511">
        <v>1</v>
      </c>
      <c r="B186" s="512">
        <v>2</v>
      </c>
      <c r="C186" s="512">
        <v>3</v>
      </c>
      <c r="D186" s="512">
        <v>4</v>
      </c>
      <c r="E186" s="512">
        <v>5</v>
      </c>
      <c r="F186" s="499">
        <v>6</v>
      </c>
      <c r="G186" s="499">
        <v>7</v>
      </c>
      <c r="H186" s="500">
        <v>8</v>
      </c>
      <c r="I186" s="577" t="s">
        <v>393</v>
      </c>
    </row>
    <row r="187" spans="1:20" s="106" customFormat="1" ht="15.75" thickTop="1" x14ac:dyDescent="0.25">
      <c r="A187" s="921">
        <v>1022</v>
      </c>
      <c r="B187" s="2722">
        <v>3112</v>
      </c>
      <c r="C187" s="2722">
        <v>5336</v>
      </c>
      <c r="D187" s="2724"/>
      <c r="E187" s="602" t="s">
        <v>856</v>
      </c>
      <c r="F187" s="704">
        <f>F188</f>
        <v>0</v>
      </c>
      <c r="G187" s="704">
        <f>G188</f>
        <v>1055</v>
      </c>
      <c r="H187" s="704">
        <f>H188</f>
        <v>1055</v>
      </c>
      <c r="I187" s="680">
        <f t="shared" ref="I187:I193" si="40">(H187/G187)*100</f>
        <v>100</v>
      </c>
    </row>
    <row r="188" spans="1:20" s="106" customFormat="1" ht="13.5" customHeight="1" x14ac:dyDescent="0.2">
      <c r="A188" s="696"/>
      <c r="B188" s="697"/>
      <c r="C188" s="698"/>
      <c r="D188" s="2726" t="s">
        <v>901</v>
      </c>
      <c r="E188" s="436" t="s">
        <v>1637</v>
      </c>
      <c r="F188" s="699">
        <v>0</v>
      </c>
      <c r="G188" s="699">
        <v>1055</v>
      </c>
      <c r="H188" s="699">
        <v>1055</v>
      </c>
      <c r="I188" s="681">
        <f t="shared" si="40"/>
        <v>100</v>
      </c>
    </row>
    <row r="189" spans="1:20" ht="15" x14ac:dyDescent="0.25">
      <c r="A189" s="921">
        <v>1022</v>
      </c>
      <c r="B189" s="2722">
        <v>3114</v>
      </c>
      <c r="C189" s="2722">
        <v>5336</v>
      </c>
      <c r="D189" s="2724"/>
      <c r="E189" s="602" t="s">
        <v>856</v>
      </c>
      <c r="F189" s="675">
        <f>F190+F192+F191</f>
        <v>0</v>
      </c>
      <c r="G189" s="675">
        <f t="shared" ref="G189:H189" si="41">G190+G192+G191</f>
        <v>1919</v>
      </c>
      <c r="H189" s="675">
        <f t="shared" si="41"/>
        <v>1919</v>
      </c>
      <c r="I189" s="669">
        <f t="shared" si="40"/>
        <v>100</v>
      </c>
    </row>
    <row r="190" spans="1:20" ht="14.25" x14ac:dyDescent="0.2">
      <c r="A190" s="921"/>
      <c r="B190" s="2722"/>
      <c r="C190" s="2722"/>
      <c r="D190" s="2726" t="s">
        <v>902</v>
      </c>
      <c r="E190" s="1642" t="s">
        <v>855</v>
      </c>
      <c r="F190" s="668">
        <v>0</v>
      </c>
      <c r="G190" s="668">
        <v>75</v>
      </c>
      <c r="H190" s="668">
        <v>75</v>
      </c>
      <c r="I190" s="367">
        <f t="shared" si="40"/>
        <v>100</v>
      </c>
    </row>
    <row r="191" spans="1:20" ht="14.25" x14ac:dyDescent="0.2">
      <c r="A191" s="921"/>
      <c r="B191" s="2722"/>
      <c r="C191" s="2722"/>
      <c r="D191" s="2726" t="s">
        <v>1896</v>
      </c>
      <c r="E191" s="1642" t="s">
        <v>1951</v>
      </c>
      <c r="F191" s="668">
        <v>0</v>
      </c>
      <c r="G191" s="668">
        <v>5</v>
      </c>
      <c r="H191" s="668">
        <v>5</v>
      </c>
      <c r="I191" s="367">
        <f t="shared" si="40"/>
        <v>100</v>
      </c>
    </row>
    <row r="192" spans="1:20" ht="15" thickBot="1" x14ac:dyDescent="0.25">
      <c r="A192" s="921"/>
      <c r="B192" s="2722"/>
      <c r="C192" s="2722"/>
      <c r="D192" s="2726" t="s">
        <v>901</v>
      </c>
      <c r="E192" s="436" t="s">
        <v>1637</v>
      </c>
      <c r="F192" s="668">
        <v>0</v>
      </c>
      <c r="G192" s="668">
        <v>1839</v>
      </c>
      <c r="H192" s="668">
        <v>1839</v>
      </c>
      <c r="I192" s="367">
        <f t="shared" si="40"/>
        <v>100</v>
      </c>
    </row>
    <row r="193" spans="1:20" ht="15.75" customHeight="1" thickTop="1" thickBot="1" x14ac:dyDescent="0.3">
      <c r="A193" s="3233" t="s">
        <v>522</v>
      </c>
      <c r="B193" s="3234"/>
      <c r="C193" s="3234"/>
      <c r="D193" s="3234"/>
      <c r="E193" s="3234"/>
      <c r="F193" s="705">
        <f>F187+F189</f>
        <v>0</v>
      </c>
      <c r="G193" s="705">
        <f t="shared" ref="G193:H193" si="42">G187+G189</f>
        <v>2974</v>
      </c>
      <c r="H193" s="705">
        <f t="shared" si="42"/>
        <v>2974</v>
      </c>
      <c r="I193" s="706">
        <f t="shared" si="40"/>
        <v>100</v>
      </c>
      <c r="R193" s="373">
        <f>F193</f>
        <v>0</v>
      </c>
      <c r="S193" s="373">
        <f>G193</f>
        <v>2974</v>
      </c>
      <c r="T193" s="373">
        <f>H193</f>
        <v>2974</v>
      </c>
    </row>
    <row r="194" spans="1:20" ht="15.75" customHeight="1" thickTop="1" x14ac:dyDescent="0.2"/>
    <row r="195" spans="1:20" ht="15.75" customHeight="1" thickBot="1" x14ac:dyDescent="0.25">
      <c r="A195" s="419" t="s">
        <v>1975</v>
      </c>
      <c r="I195" s="915" t="s">
        <v>92</v>
      </c>
    </row>
    <row r="196" spans="1:20" s="106" customFormat="1" ht="15.75" customHeight="1" thickTop="1" thickBot="1" x14ac:dyDescent="0.25">
      <c r="A196" s="572" t="s">
        <v>324</v>
      </c>
      <c r="B196" s="639" t="s">
        <v>93</v>
      </c>
      <c r="C196" s="573" t="s">
        <v>94</v>
      </c>
      <c r="D196" s="575" t="s">
        <v>364</v>
      </c>
      <c r="E196" s="575" t="s">
        <v>95</v>
      </c>
      <c r="F196" s="575" t="s">
        <v>328</v>
      </c>
      <c r="G196" s="575" t="s">
        <v>329</v>
      </c>
      <c r="H196" s="575" t="s">
        <v>448</v>
      </c>
      <c r="I196" s="651" t="s">
        <v>449</v>
      </c>
    </row>
    <row r="197" spans="1:20" s="374" customFormat="1" ht="15.75" customHeight="1" thickTop="1" thickBot="1" x14ac:dyDescent="0.25">
      <c r="A197" s="511">
        <v>1</v>
      </c>
      <c r="B197" s="512">
        <v>2</v>
      </c>
      <c r="C197" s="512">
        <v>3</v>
      </c>
      <c r="D197" s="512">
        <v>4</v>
      </c>
      <c r="E197" s="512">
        <v>5</v>
      </c>
      <c r="F197" s="499">
        <v>6</v>
      </c>
      <c r="G197" s="499">
        <v>7</v>
      </c>
      <c r="H197" s="500">
        <v>8</v>
      </c>
      <c r="I197" s="577" t="s">
        <v>393</v>
      </c>
    </row>
    <row r="198" spans="1:20" ht="13.5" customHeight="1" thickTop="1" x14ac:dyDescent="0.25">
      <c r="A198" s="921">
        <v>1024</v>
      </c>
      <c r="B198" s="2722">
        <v>3112</v>
      </c>
      <c r="C198" s="1350">
        <v>5336</v>
      </c>
      <c r="D198" s="2724"/>
      <c r="E198" s="602" t="s">
        <v>856</v>
      </c>
      <c r="F198" s="678">
        <f>F199</f>
        <v>0</v>
      </c>
      <c r="G198" s="678">
        <f>G199</f>
        <v>911</v>
      </c>
      <c r="H198" s="678">
        <f>H199</f>
        <v>911</v>
      </c>
      <c r="I198" s="680">
        <f t="shared" ref="I198:I213" si="43">(H198/G198)*100</f>
        <v>100</v>
      </c>
    </row>
    <row r="199" spans="1:20" ht="12" customHeight="1" x14ac:dyDescent="0.2">
      <c r="A199" s="921"/>
      <c r="B199" s="2722"/>
      <c r="C199" s="2719"/>
      <c r="D199" s="2726" t="s">
        <v>901</v>
      </c>
      <c r="E199" s="436" t="s">
        <v>1637</v>
      </c>
      <c r="F199" s="660">
        <v>0</v>
      </c>
      <c r="G199" s="660">
        <v>911</v>
      </c>
      <c r="H199" s="660">
        <v>911</v>
      </c>
      <c r="I199" s="656">
        <f t="shared" si="43"/>
        <v>100</v>
      </c>
    </row>
    <row r="200" spans="1:20" ht="15" x14ac:dyDescent="0.25">
      <c r="A200" s="921">
        <v>1024</v>
      </c>
      <c r="B200" s="2722">
        <v>3113</v>
      </c>
      <c r="C200" s="1350">
        <v>5336</v>
      </c>
      <c r="D200" s="2724"/>
      <c r="E200" s="602" t="s">
        <v>856</v>
      </c>
      <c r="F200" s="675">
        <f>F201+F202</f>
        <v>0</v>
      </c>
      <c r="G200" s="675">
        <f t="shared" ref="G200:H200" si="44">G201+G202</f>
        <v>201</v>
      </c>
      <c r="H200" s="675">
        <f t="shared" si="44"/>
        <v>201</v>
      </c>
      <c r="I200" s="667">
        <f t="shared" ref="I200:I202" si="45">(H200/G200)*100</f>
        <v>100</v>
      </c>
    </row>
    <row r="201" spans="1:20" ht="14.25" x14ac:dyDescent="0.2">
      <c r="A201" s="921"/>
      <c r="B201" s="2722"/>
      <c r="C201" s="1350"/>
      <c r="D201" s="2725" t="s">
        <v>1144</v>
      </c>
      <c r="E201" s="1351" t="s">
        <v>1515</v>
      </c>
      <c r="F201" s="668">
        <v>0</v>
      </c>
      <c r="G201" s="668">
        <v>30</v>
      </c>
      <c r="H201" s="668">
        <v>30</v>
      </c>
      <c r="I201" s="367">
        <f t="shared" si="45"/>
        <v>100</v>
      </c>
    </row>
    <row r="202" spans="1:20" ht="12" customHeight="1" x14ac:dyDescent="0.2">
      <c r="A202" s="921"/>
      <c r="B202" s="2722"/>
      <c r="C202" s="1350"/>
      <c r="D202" s="2725" t="s">
        <v>1145</v>
      </c>
      <c r="E202" s="1352" t="s">
        <v>1515</v>
      </c>
      <c r="F202" s="1600">
        <v>0</v>
      </c>
      <c r="G202" s="1600">
        <v>171</v>
      </c>
      <c r="H202" s="1600">
        <v>171</v>
      </c>
      <c r="I202" s="367">
        <f t="shared" si="45"/>
        <v>100</v>
      </c>
    </row>
    <row r="203" spans="1:20" ht="15.75" customHeight="1" x14ac:dyDescent="0.25">
      <c r="A203" s="921">
        <v>1024</v>
      </c>
      <c r="B203" s="2722">
        <v>3114</v>
      </c>
      <c r="C203" s="1350">
        <v>5336</v>
      </c>
      <c r="D203" s="2724"/>
      <c r="E203" s="602" t="s">
        <v>856</v>
      </c>
      <c r="F203" s="675">
        <f>F204+F206+F205</f>
        <v>0</v>
      </c>
      <c r="G203" s="675">
        <f t="shared" ref="G203:H203" si="46">G204+G206+G205</f>
        <v>9481</v>
      </c>
      <c r="H203" s="675">
        <f t="shared" si="46"/>
        <v>9481</v>
      </c>
      <c r="I203" s="667">
        <f t="shared" si="43"/>
        <v>100</v>
      </c>
    </row>
    <row r="204" spans="1:20" ht="15.75" customHeight="1" x14ac:dyDescent="0.2">
      <c r="A204" s="921"/>
      <c r="B204" s="2722"/>
      <c r="C204" s="1350"/>
      <c r="D204" s="2725" t="s">
        <v>902</v>
      </c>
      <c r="E204" s="1352" t="s">
        <v>855</v>
      </c>
      <c r="F204" s="1600">
        <v>0</v>
      </c>
      <c r="G204" s="1600">
        <v>246</v>
      </c>
      <c r="H204" s="1600">
        <v>246</v>
      </c>
      <c r="I204" s="367">
        <f t="shared" ref="I204:I205" si="47">(H204/G204)*100</f>
        <v>100</v>
      </c>
    </row>
    <row r="205" spans="1:20" ht="15.75" customHeight="1" x14ac:dyDescent="0.2">
      <c r="A205" s="921"/>
      <c r="B205" s="2722"/>
      <c r="C205" s="1350"/>
      <c r="D205" s="2725" t="s">
        <v>1896</v>
      </c>
      <c r="E205" s="1352" t="s">
        <v>1951</v>
      </c>
      <c r="F205" s="1600">
        <v>0</v>
      </c>
      <c r="G205" s="1600">
        <v>47</v>
      </c>
      <c r="H205" s="1600">
        <v>47</v>
      </c>
      <c r="I205" s="367">
        <f t="shared" si="47"/>
        <v>100</v>
      </c>
    </row>
    <row r="206" spans="1:20" ht="15.75" customHeight="1" x14ac:dyDescent="0.2">
      <c r="A206" s="921"/>
      <c r="B206" s="2722"/>
      <c r="C206" s="1350"/>
      <c r="D206" s="2726" t="s">
        <v>901</v>
      </c>
      <c r="E206" s="436" t="s">
        <v>1637</v>
      </c>
      <c r="F206" s="668">
        <v>0</v>
      </c>
      <c r="G206" s="668">
        <v>9188</v>
      </c>
      <c r="H206" s="668">
        <v>9188</v>
      </c>
      <c r="I206" s="661">
        <f t="shared" si="43"/>
        <v>100</v>
      </c>
    </row>
    <row r="207" spans="1:20" ht="15.75" customHeight="1" x14ac:dyDescent="0.25">
      <c r="A207" s="921">
        <v>1024</v>
      </c>
      <c r="B207" s="2722">
        <v>3124</v>
      </c>
      <c r="C207" s="1350">
        <v>5336</v>
      </c>
      <c r="D207" s="2724"/>
      <c r="E207" s="602" t="s">
        <v>856</v>
      </c>
      <c r="F207" s="675">
        <f>F208</f>
        <v>0</v>
      </c>
      <c r="G207" s="675">
        <f t="shared" ref="G207:H207" si="48">G208</f>
        <v>212</v>
      </c>
      <c r="H207" s="675">
        <f t="shared" si="48"/>
        <v>212</v>
      </c>
      <c r="I207" s="667">
        <f t="shared" ref="I207:I208" si="49">(H207/G207)*100</f>
        <v>100</v>
      </c>
    </row>
    <row r="208" spans="1:20" ht="15.75" customHeight="1" x14ac:dyDescent="0.2">
      <c r="A208" s="921"/>
      <c r="B208" s="2722"/>
      <c r="C208" s="1350"/>
      <c r="D208" s="2726" t="s">
        <v>901</v>
      </c>
      <c r="E208" s="436" t="s">
        <v>1637</v>
      </c>
      <c r="F208" s="1600">
        <v>0</v>
      </c>
      <c r="G208" s="1600">
        <v>212</v>
      </c>
      <c r="H208" s="1600">
        <v>212</v>
      </c>
      <c r="I208" s="367">
        <f t="shared" si="49"/>
        <v>100</v>
      </c>
    </row>
    <row r="209" spans="1:20" ht="15" x14ac:dyDescent="0.25">
      <c r="A209" s="921">
        <v>1024</v>
      </c>
      <c r="B209" s="2722">
        <v>3141</v>
      </c>
      <c r="C209" s="1350">
        <v>5336</v>
      </c>
      <c r="D209" s="2724"/>
      <c r="E209" s="602" t="s">
        <v>856</v>
      </c>
      <c r="F209" s="675">
        <f>F210</f>
        <v>0</v>
      </c>
      <c r="G209" s="675">
        <f>G210</f>
        <v>41</v>
      </c>
      <c r="H209" s="675">
        <f>H210</f>
        <v>41</v>
      </c>
      <c r="I209" s="669">
        <f t="shared" si="43"/>
        <v>100</v>
      </c>
    </row>
    <row r="210" spans="1:20" ht="14.25" x14ac:dyDescent="0.2">
      <c r="A210" s="921"/>
      <c r="B210" s="2722"/>
      <c r="C210" s="1350"/>
      <c r="D210" s="2726" t="s">
        <v>901</v>
      </c>
      <c r="E210" s="436" t="s">
        <v>1637</v>
      </c>
      <c r="F210" s="665">
        <v>0</v>
      </c>
      <c r="G210" s="665">
        <v>41</v>
      </c>
      <c r="H210" s="665">
        <v>41</v>
      </c>
      <c r="I210" s="661">
        <f t="shared" si="43"/>
        <v>100</v>
      </c>
    </row>
    <row r="211" spans="1:20" ht="15" x14ac:dyDescent="0.25">
      <c r="A211" s="921">
        <v>1024</v>
      </c>
      <c r="B211" s="2722">
        <v>3143</v>
      </c>
      <c r="C211" s="1350">
        <v>5336</v>
      </c>
      <c r="D211" s="2724"/>
      <c r="E211" s="602" t="s">
        <v>856</v>
      </c>
      <c r="F211" s="675">
        <f>F212</f>
        <v>0</v>
      </c>
      <c r="G211" s="675">
        <f>G212</f>
        <v>648</v>
      </c>
      <c r="H211" s="675">
        <f>H212</f>
        <v>648</v>
      </c>
      <c r="I211" s="669">
        <f t="shared" si="43"/>
        <v>100</v>
      </c>
    </row>
    <row r="212" spans="1:20" ht="15" thickBot="1" x14ac:dyDescent="0.25">
      <c r="A212" s="921"/>
      <c r="B212" s="2722"/>
      <c r="C212" s="1350"/>
      <c r="D212" s="2726" t="s">
        <v>901</v>
      </c>
      <c r="E212" s="436" t="s">
        <v>1637</v>
      </c>
      <c r="F212" s="665">
        <v>0</v>
      </c>
      <c r="G212" s="665">
        <v>648</v>
      </c>
      <c r="H212" s="665">
        <v>648</v>
      </c>
      <c r="I212" s="661">
        <f t="shared" si="43"/>
        <v>100</v>
      </c>
    </row>
    <row r="213" spans="1:20" ht="15.75" hidden="1" customHeight="1" x14ac:dyDescent="0.25">
      <c r="A213" s="418">
        <v>1024</v>
      </c>
      <c r="B213" s="634">
        <v>3146</v>
      </c>
      <c r="C213" s="918">
        <v>5336</v>
      </c>
      <c r="D213" s="513"/>
      <c r="E213" s="602" t="s">
        <v>856</v>
      </c>
      <c r="F213" s="665"/>
      <c r="G213" s="675">
        <f>G214</f>
        <v>0</v>
      </c>
      <c r="H213" s="675">
        <f>H214</f>
        <v>0</v>
      </c>
      <c r="I213" s="669" t="e">
        <f t="shared" si="43"/>
        <v>#DIV/0!</v>
      </c>
    </row>
    <row r="214" spans="1:20" ht="15.75" hidden="1" customHeight="1" thickBot="1" x14ac:dyDescent="0.25">
      <c r="A214" s="418"/>
      <c r="B214" s="634"/>
      <c r="C214" s="918"/>
      <c r="D214" s="505" t="s">
        <v>901</v>
      </c>
      <c r="E214" s="436" t="s">
        <v>1637</v>
      </c>
      <c r="F214" s="665"/>
      <c r="G214" s="665"/>
      <c r="H214" s="665"/>
      <c r="I214" s="661" t="e">
        <f>(H214/G214)*100</f>
        <v>#DIV/0!</v>
      </c>
    </row>
    <row r="215" spans="1:20" s="941" customFormat="1" ht="15.75" customHeight="1" thickTop="1" thickBot="1" x14ac:dyDescent="0.25">
      <c r="A215" s="3251" t="s">
        <v>522</v>
      </c>
      <c r="B215" s="3252"/>
      <c r="C215" s="3252"/>
      <c r="D215" s="3252"/>
      <c r="E215" s="3252"/>
      <c r="F215" s="950">
        <f>F211+F209+F207+F203+F200+F198</f>
        <v>0</v>
      </c>
      <c r="G215" s="950">
        <f t="shared" ref="G215:H215" si="50">G211+G209+G207+G203+G200+G198</f>
        <v>11494</v>
      </c>
      <c r="H215" s="950">
        <f t="shared" si="50"/>
        <v>11494</v>
      </c>
      <c r="I215" s="951">
        <f>(H215/G215)*100</f>
        <v>100</v>
      </c>
      <c r="R215" s="952">
        <f>F215</f>
        <v>0</v>
      </c>
      <c r="S215" s="952">
        <f>G215</f>
        <v>11494</v>
      </c>
      <c r="T215" s="952">
        <f>H215</f>
        <v>11494</v>
      </c>
    </row>
    <row r="216" spans="1:20" s="941" customFormat="1" ht="15.75" customHeight="1" thickTop="1" x14ac:dyDescent="0.2">
      <c r="B216" s="953"/>
      <c r="D216" s="954"/>
      <c r="F216" s="952"/>
      <c r="G216" s="952"/>
      <c r="H216" s="952"/>
      <c r="I216" s="955"/>
    </row>
    <row r="217" spans="1:20" ht="15.75" customHeight="1" thickBot="1" x14ac:dyDescent="0.25">
      <c r="A217" s="419" t="s">
        <v>598</v>
      </c>
      <c r="I217" s="915" t="s">
        <v>92</v>
      </c>
    </row>
    <row r="218" spans="1:20" s="106" customFormat="1" thickTop="1" thickBot="1" x14ac:dyDescent="0.25">
      <c r="A218" s="572" t="s">
        <v>324</v>
      </c>
      <c r="B218" s="639" t="s">
        <v>93</v>
      </c>
      <c r="C218" s="573" t="s">
        <v>94</v>
      </c>
      <c r="D218" s="575" t="s">
        <v>364</v>
      </c>
      <c r="E218" s="575" t="s">
        <v>95</v>
      </c>
      <c r="F218" s="575" t="s">
        <v>328</v>
      </c>
      <c r="G218" s="575" t="s">
        <v>329</v>
      </c>
      <c r="H218" s="575" t="s">
        <v>448</v>
      </c>
      <c r="I218" s="651" t="s">
        <v>449</v>
      </c>
    </row>
    <row r="219" spans="1:20" s="374" customFormat="1" ht="20.25" customHeight="1" thickTop="1" thickBot="1" x14ac:dyDescent="0.25">
      <c r="A219" s="511">
        <v>1</v>
      </c>
      <c r="B219" s="512">
        <v>2</v>
      </c>
      <c r="C219" s="512">
        <v>3</v>
      </c>
      <c r="D219" s="512">
        <v>4</v>
      </c>
      <c r="E219" s="512">
        <v>5</v>
      </c>
      <c r="F219" s="499">
        <v>6</v>
      </c>
      <c r="G219" s="499">
        <v>7</v>
      </c>
      <c r="H219" s="500">
        <v>8</v>
      </c>
      <c r="I219" s="577" t="s">
        <v>393</v>
      </c>
    </row>
    <row r="220" spans="1:20" ht="15.75" thickTop="1" x14ac:dyDescent="0.25">
      <c r="A220" s="2736">
        <v>1025</v>
      </c>
      <c r="B220" s="2737">
        <v>3112</v>
      </c>
      <c r="C220" s="2737">
        <v>5336</v>
      </c>
      <c r="D220" s="2738"/>
      <c r="E220" s="602" t="s">
        <v>856</v>
      </c>
      <c r="F220" s="686">
        <f>F221</f>
        <v>0</v>
      </c>
      <c r="G220" s="686">
        <f>G221</f>
        <v>667</v>
      </c>
      <c r="H220" s="686">
        <f>H221</f>
        <v>667</v>
      </c>
      <c r="I220" s="659">
        <f t="shared" ref="I220:I226" si="51">(H220/G220)*100</f>
        <v>100</v>
      </c>
    </row>
    <row r="221" spans="1:20" ht="15.75" customHeight="1" x14ac:dyDescent="0.2">
      <c r="A221" s="921"/>
      <c r="B221" s="2427"/>
      <c r="C221" s="2719"/>
      <c r="D221" s="2726" t="s">
        <v>901</v>
      </c>
      <c r="E221" s="436" t="s">
        <v>1637</v>
      </c>
      <c r="F221" s="660">
        <v>0</v>
      </c>
      <c r="G221" s="660">
        <v>667</v>
      </c>
      <c r="H221" s="660">
        <v>667</v>
      </c>
      <c r="I221" s="656">
        <f t="shared" si="51"/>
        <v>100</v>
      </c>
    </row>
    <row r="222" spans="1:20" ht="15.75" customHeight="1" x14ac:dyDescent="0.25">
      <c r="A222" s="2739">
        <v>1025</v>
      </c>
      <c r="B222" s="2427">
        <v>3114</v>
      </c>
      <c r="C222" s="1350">
        <v>5336</v>
      </c>
      <c r="D222" s="2724"/>
      <c r="E222" s="602" t="s">
        <v>856</v>
      </c>
      <c r="F222" s="675">
        <f>F223+F224+F225</f>
        <v>0</v>
      </c>
      <c r="G222" s="675">
        <f>G223+G224+G225</f>
        <v>5827</v>
      </c>
      <c r="H222" s="675">
        <f>H223+H224+H225</f>
        <v>5827</v>
      </c>
      <c r="I222" s="667">
        <f t="shared" si="51"/>
        <v>100</v>
      </c>
    </row>
    <row r="223" spans="1:20" ht="15.75" customHeight="1" x14ac:dyDescent="0.2">
      <c r="A223" s="2739"/>
      <c r="B223" s="2427"/>
      <c r="C223" s="1350"/>
      <c r="D223" s="2725" t="s">
        <v>902</v>
      </c>
      <c r="E223" s="1352" t="s">
        <v>855</v>
      </c>
      <c r="F223" s="1600">
        <v>0</v>
      </c>
      <c r="G223" s="1600">
        <v>111</v>
      </c>
      <c r="H223" s="1600">
        <v>111</v>
      </c>
      <c r="I223" s="367">
        <f t="shared" ref="I223:I224" si="52">(H223/G223)*100</f>
        <v>100</v>
      </c>
    </row>
    <row r="224" spans="1:20" ht="14.25" x14ac:dyDescent="0.2">
      <c r="A224" s="2739"/>
      <c r="B224" s="2427"/>
      <c r="C224" s="1350"/>
      <c r="D224" s="2724" t="s">
        <v>1896</v>
      </c>
      <c r="E224" s="3102" t="s">
        <v>1951</v>
      </c>
      <c r="F224" s="1600">
        <v>0</v>
      </c>
      <c r="G224" s="1600">
        <v>16</v>
      </c>
      <c r="H224" s="1600">
        <v>16</v>
      </c>
      <c r="I224" s="367">
        <f t="shared" si="52"/>
        <v>100</v>
      </c>
    </row>
    <row r="225" spans="1:27" ht="15.75" customHeight="1" thickBot="1" x14ac:dyDescent="0.25">
      <c r="A225" s="2739"/>
      <c r="B225" s="2427"/>
      <c r="C225" s="1350"/>
      <c r="D225" s="2726" t="s">
        <v>901</v>
      </c>
      <c r="E225" s="436" t="s">
        <v>1637</v>
      </c>
      <c r="F225" s="668">
        <v>0</v>
      </c>
      <c r="G225" s="668">
        <v>5700</v>
      </c>
      <c r="H225" s="668">
        <v>5700</v>
      </c>
      <c r="I225" s="661">
        <f t="shared" si="51"/>
        <v>100</v>
      </c>
    </row>
    <row r="226" spans="1:27" s="941" customFormat="1" ht="16.5" thickTop="1" thickBot="1" x14ac:dyDescent="0.25">
      <c r="A226" s="3251" t="s">
        <v>522</v>
      </c>
      <c r="B226" s="3252"/>
      <c r="C226" s="3252"/>
      <c r="D226" s="3252"/>
      <c r="E226" s="3252"/>
      <c r="F226" s="950">
        <f>F220+F222</f>
        <v>0</v>
      </c>
      <c r="G226" s="950">
        <f t="shared" ref="G226:H226" si="53">G220+G222</f>
        <v>6494</v>
      </c>
      <c r="H226" s="950">
        <f t="shared" si="53"/>
        <v>6494</v>
      </c>
      <c r="I226" s="951">
        <f t="shared" si="51"/>
        <v>100</v>
      </c>
      <c r="J226" s="952" t="e">
        <f>F226+#REF!</f>
        <v>#REF!</v>
      </c>
      <c r="K226" s="952" t="e">
        <f>G226+#REF!</f>
        <v>#REF!</v>
      </c>
      <c r="L226" s="952" t="e">
        <f>H226+#REF!</f>
        <v>#REF!</v>
      </c>
      <c r="R226" s="952">
        <f>F226</f>
        <v>0</v>
      </c>
      <c r="S226" s="952">
        <f>G226</f>
        <v>6494</v>
      </c>
      <c r="T226" s="952">
        <f>H226</f>
        <v>6494</v>
      </c>
      <c r="V226" s="952"/>
      <c r="W226" s="952"/>
      <c r="Y226" s="952"/>
      <c r="Z226" s="952"/>
      <c r="AA226" s="952"/>
    </row>
    <row r="227" spans="1:27" s="920" customFormat="1" ht="20.25" customHeight="1" thickTop="1" x14ac:dyDescent="0.2">
      <c r="B227" s="631"/>
      <c r="D227" s="711"/>
      <c r="F227" s="302"/>
      <c r="G227" s="302"/>
      <c r="H227" s="302"/>
      <c r="I227" s="2238"/>
    </row>
    <row r="228" spans="1:27" s="920" customFormat="1" ht="12.75" customHeight="1" x14ac:dyDescent="0.2">
      <c r="B228" s="631"/>
      <c r="D228" s="711"/>
      <c r="F228" s="302"/>
      <c r="G228" s="302"/>
      <c r="H228" s="302"/>
      <c r="I228" s="2238"/>
    </row>
    <row r="229" spans="1:27" ht="13.5" thickBot="1" x14ac:dyDescent="0.25">
      <c r="A229" s="419" t="s">
        <v>171</v>
      </c>
      <c r="I229" s="915" t="s">
        <v>92</v>
      </c>
    </row>
    <row r="230" spans="1:27" s="106" customFormat="1" thickTop="1" thickBot="1" x14ac:dyDescent="0.25">
      <c r="A230" s="572" t="s">
        <v>324</v>
      </c>
      <c r="B230" s="639" t="s">
        <v>93</v>
      </c>
      <c r="C230" s="573" t="s">
        <v>94</v>
      </c>
      <c r="D230" s="575" t="s">
        <v>364</v>
      </c>
      <c r="E230" s="575" t="s">
        <v>95</v>
      </c>
      <c r="F230" s="575" t="s">
        <v>328</v>
      </c>
      <c r="G230" s="575" t="s">
        <v>329</v>
      </c>
      <c r="H230" s="575" t="s">
        <v>448</v>
      </c>
      <c r="I230" s="651" t="s">
        <v>449</v>
      </c>
    </row>
    <row r="231" spans="1:27" s="374" customFormat="1" ht="13.5" thickTop="1" thickBot="1" x14ac:dyDescent="0.25">
      <c r="A231" s="511">
        <v>1</v>
      </c>
      <c r="B231" s="512">
        <v>2</v>
      </c>
      <c r="C231" s="512">
        <v>3</v>
      </c>
      <c r="D231" s="512">
        <v>4</v>
      </c>
      <c r="E231" s="512">
        <v>5</v>
      </c>
      <c r="F231" s="499">
        <v>6</v>
      </c>
      <c r="G231" s="499">
        <v>7</v>
      </c>
      <c r="H231" s="500">
        <v>8</v>
      </c>
      <c r="I231" s="577" t="s">
        <v>393</v>
      </c>
    </row>
    <row r="232" spans="1:27" ht="15.75" customHeight="1" thickTop="1" x14ac:dyDescent="0.25">
      <c r="A232" s="2739">
        <v>1026</v>
      </c>
      <c r="B232" s="2427">
        <v>3112</v>
      </c>
      <c r="C232" s="1350">
        <v>5336</v>
      </c>
      <c r="D232" s="2724"/>
      <c r="E232" s="602" t="s">
        <v>856</v>
      </c>
      <c r="F232" s="675">
        <f>F233</f>
        <v>0</v>
      </c>
      <c r="G232" s="675">
        <f>G233</f>
        <v>1621</v>
      </c>
      <c r="H232" s="675">
        <f>H233</f>
        <v>1621</v>
      </c>
      <c r="I232" s="680">
        <f t="shared" ref="I232:I238" si="54">(H232/G232)*100</f>
        <v>100</v>
      </c>
    </row>
    <row r="233" spans="1:27" ht="15.75" customHeight="1" x14ac:dyDescent="0.2">
      <c r="A233" s="921"/>
      <c r="B233" s="2427"/>
      <c r="C233" s="2719"/>
      <c r="D233" s="2726" t="s">
        <v>901</v>
      </c>
      <c r="E233" s="436" t="s">
        <v>1637</v>
      </c>
      <c r="F233" s="660">
        <v>0</v>
      </c>
      <c r="G233" s="665">
        <v>1621</v>
      </c>
      <c r="H233" s="665">
        <v>1621</v>
      </c>
      <c r="I233" s="656">
        <f t="shared" si="54"/>
        <v>100</v>
      </c>
    </row>
    <row r="234" spans="1:27" ht="15.75" customHeight="1" x14ac:dyDescent="0.25">
      <c r="A234" s="2739">
        <v>1026</v>
      </c>
      <c r="B234" s="2427">
        <v>3114</v>
      </c>
      <c r="C234" s="1350">
        <v>5336</v>
      </c>
      <c r="D234" s="2724"/>
      <c r="E234" s="602" t="s">
        <v>856</v>
      </c>
      <c r="F234" s="675">
        <f>F235+F236+F237</f>
        <v>0</v>
      </c>
      <c r="G234" s="675">
        <f>G235+G236+G237</f>
        <v>2980</v>
      </c>
      <c r="H234" s="675">
        <f>H235+H236+H237</f>
        <v>2980</v>
      </c>
      <c r="I234" s="669">
        <f t="shared" si="54"/>
        <v>100</v>
      </c>
    </row>
    <row r="235" spans="1:27" ht="13.5" customHeight="1" x14ac:dyDescent="0.2">
      <c r="A235" s="921"/>
      <c r="B235" s="2722"/>
      <c r="C235" s="1350"/>
      <c r="D235" s="2725" t="s">
        <v>902</v>
      </c>
      <c r="E235" s="1352" t="s">
        <v>855</v>
      </c>
      <c r="F235" s="1600">
        <v>0</v>
      </c>
      <c r="G235" s="1600">
        <v>75</v>
      </c>
      <c r="H235" s="1600">
        <v>75</v>
      </c>
      <c r="I235" s="367">
        <f t="shared" ref="I235:I236" si="55">(H235/G235)*100</f>
        <v>100</v>
      </c>
    </row>
    <row r="236" spans="1:27" ht="14.25" x14ac:dyDescent="0.2">
      <c r="A236" s="921"/>
      <c r="B236" s="2722"/>
      <c r="C236" s="1350"/>
      <c r="D236" s="2724" t="s">
        <v>1896</v>
      </c>
      <c r="E236" s="1637" t="s">
        <v>1951</v>
      </c>
      <c r="F236" s="1643">
        <v>0</v>
      </c>
      <c r="G236" s="1643">
        <v>9</v>
      </c>
      <c r="H236" s="1643">
        <v>9</v>
      </c>
      <c r="I236" s="982">
        <f t="shared" si="55"/>
        <v>100</v>
      </c>
    </row>
    <row r="237" spans="1:27" ht="15.75" customHeight="1" thickBot="1" x14ac:dyDescent="0.25">
      <c r="A237" s="921"/>
      <c r="B237" s="2722"/>
      <c r="C237" s="1350"/>
      <c r="D237" s="2726" t="s">
        <v>901</v>
      </c>
      <c r="E237" s="436" t="s">
        <v>1637</v>
      </c>
      <c r="F237" s="665">
        <v>0</v>
      </c>
      <c r="G237" s="665">
        <v>2896</v>
      </c>
      <c r="H237" s="665">
        <v>2896</v>
      </c>
      <c r="I237" s="661">
        <f t="shared" si="54"/>
        <v>100</v>
      </c>
    </row>
    <row r="238" spans="1:27" s="941" customFormat="1" ht="18" customHeight="1" thickTop="1" thickBot="1" x14ac:dyDescent="0.25">
      <c r="A238" s="3251" t="s">
        <v>522</v>
      </c>
      <c r="B238" s="3252"/>
      <c r="C238" s="3252"/>
      <c r="D238" s="3252"/>
      <c r="E238" s="3252"/>
      <c r="F238" s="950">
        <f>F232+F234</f>
        <v>0</v>
      </c>
      <c r="G238" s="950">
        <f t="shared" ref="G238:H238" si="56">G232+G234</f>
        <v>4601</v>
      </c>
      <c r="H238" s="950">
        <f t="shared" si="56"/>
        <v>4601</v>
      </c>
      <c r="I238" s="951">
        <f t="shared" si="54"/>
        <v>100</v>
      </c>
      <c r="R238" s="952">
        <f>F238</f>
        <v>0</v>
      </c>
      <c r="S238" s="952">
        <f>G238</f>
        <v>4601</v>
      </c>
      <c r="T238" s="952">
        <f>H238</f>
        <v>4601</v>
      </c>
    </row>
    <row r="239" spans="1:27" ht="13.5" thickTop="1" x14ac:dyDescent="0.2"/>
    <row r="241" spans="1:20" ht="13.5" thickBot="1" x14ac:dyDescent="0.25">
      <c r="A241" s="419" t="s">
        <v>172</v>
      </c>
      <c r="I241" s="915" t="s">
        <v>92</v>
      </c>
    </row>
    <row r="242" spans="1:20" s="106" customFormat="1" thickTop="1" thickBot="1" x14ac:dyDescent="0.25">
      <c r="A242" s="572" t="s">
        <v>324</v>
      </c>
      <c r="B242" s="639" t="s">
        <v>93</v>
      </c>
      <c r="C242" s="573" t="s">
        <v>94</v>
      </c>
      <c r="D242" s="575" t="s">
        <v>364</v>
      </c>
      <c r="E242" s="575" t="s">
        <v>95</v>
      </c>
      <c r="F242" s="575" t="s">
        <v>328</v>
      </c>
      <c r="G242" s="575" t="s">
        <v>329</v>
      </c>
      <c r="H242" s="575" t="s">
        <v>448</v>
      </c>
      <c r="I242" s="651" t="s">
        <v>449</v>
      </c>
    </row>
    <row r="243" spans="1:20" s="374" customFormat="1" ht="13.5" thickTop="1" thickBot="1" x14ac:dyDescent="0.25">
      <c r="A243" s="511">
        <v>1</v>
      </c>
      <c r="B243" s="512">
        <v>2</v>
      </c>
      <c r="C243" s="512">
        <v>3</v>
      </c>
      <c r="D243" s="512">
        <v>4</v>
      </c>
      <c r="E243" s="512">
        <v>5</v>
      </c>
      <c r="F243" s="499">
        <v>6</v>
      </c>
      <c r="G243" s="499">
        <v>7</v>
      </c>
      <c r="H243" s="500">
        <v>8</v>
      </c>
      <c r="I243" s="577" t="s">
        <v>393</v>
      </c>
    </row>
    <row r="244" spans="1:20" ht="15.75" thickTop="1" x14ac:dyDescent="0.25">
      <c r="A244" s="2739">
        <v>1032</v>
      </c>
      <c r="B244" s="2427">
        <v>3114</v>
      </c>
      <c r="C244" s="1350">
        <v>5336</v>
      </c>
      <c r="D244" s="2724"/>
      <c r="E244" s="602" t="s">
        <v>856</v>
      </c>
      <c r="F244" s="675">
        <f>F245+F246+F247</f>
        <v>0</v>
      </c>
      <c r="G244" s="675">
        <f>G245+G246+G247</f>
        <v>8922</v>
      </c>
      <c r="H244" s="675">
        <f>H245+H246+H247</f>
        <v>8922</v>
      </c>
      <c r="I244" s="667">
        <f t="shared" ref="I244:I252" si="57">(H244/G244)*100</f>
        <v>100</v>
      </c>
    </row>
    <row r="245" spans="1:20" ht="14.25" x14ac:dyDescent="0.2">
      <c r="A245" s="2739"/>
      <c r="B245" s="2427"/>
      <c r="C245" s="1350"/>
      <c r="D245" s="2725" t="s">
        <v>902</v>
      </c>
      <c r="E245" s="1352" t="s">
        <v>855</v>
      </c>
      <c r="F245" s="1600">
        <v>0</v>
      </c>
      <c r="G245" s="1600">
        <v>172</v>
      </c>
      <c r="H245" s="1600">
        <v>172</v>
      </c>
      <c r="I245" s="367">
        <f t="shared" ref="I245:I246" si="58">(H245/G245)*100</f>
        <v>100</v>
      </c>
    </row>
    <row r="246" spans="1:20" ht="14.25" x14ac:dyDescent="0.2">
      <c r="A246" s="2739"/>
      <c r="B246" s="2427"/>
      <c r="C246" s="1350"/>
      <c r="D246" s="2724" t="s">
        <v>1896</v>
      </c>
      <c r="E246" s="1637" t="s">
        <v>1951</v>
      </c>
      <c r="F246" s="1643">
        <v>0</v>
      </c>
      <c r="G246" s="1643">
        <v>28</v>
      </c>
      <c r="H246" s="1643">
        <v>28</v>
      </c>
      <c r="I246" s="982">
        <f t="shared" si="58"/>
        <v>100</v>
      </c>
    </row>
    <row r="247" spans="1:20" ht="14.25" x14ac:dyDescent="0.2">
      <c r="A247" s="2739"/>
      <c r="B247" s="2427"/>
      <c r="C247" s="1350"/>
      <c r="D247" s="2726" t="s">
        <v>901</v>
      </c>
      <c r="E247" s="436" t="s">
        <v>1637</v>
      </c>
      <c r="F247" s="668">
        <v>0</v>
      </c>
      <c r="G247" s="668">
        <v>8722</v>
      </c>
      <c r="H247" s="668">
        <v>8722</v>
      </c>
      <c r="I247" s="661">
        <f t="shared" si="57"/>
        <v>100</v>
      </c>
    </row>
    <row r="248" spans="1:20" ht="15" x14ac:dyDescent="0.25">
      <c r="A248" s="921">
        <v>1032</v>
      </c>
      <c r="B248" s="2722">
        <v>3141</v>
      </c>
      <c r="C248" s="1350">
        <v>5336</v>
      </c>
      <c r="D248" s="2724"/>
      <c r="E248" s="602" t="s">
        <v>856</v>
      </c>
      <c r="F248" s="666">
        <f>F249</f>
        <v>0</v>
      </c>
      <c r="G248" s="666">
        <f>G249</f>
        <v>12</v>
      </c>
      <c r="H248" s="666">
        <f>H249</f>
        <v>12</v>
      </c>
      <c r="I248" s="667">
        <f t="shared" si="57"/>
        <v>100</v>
      </c>
    </row>
    <row r="249" spans="1:20" ht="14.25" x14ac:dyDescent="0.2">
      <c r="A249" s="921"/>
      <c r="B249" s="2722"/>
      <c r="C249" s="1350"/>
      <c r="D249" s="2726" t="s">
        <v>901</v>
      </c>
      <c r="E249" s="436" t="s">
        <v>1637</v>
      </c>
      <c r="F249" s="665">
        <v>0</v>
      </c>
      <c r="G249" s="665">
        <v>12</v>
      </c>
      <c r="H249" s="665">
        <v>12</v>
      </c>
      <c r="I249" s="661">
        <f t="shared" si="57"/>
        <v>100</v>
      </c>
    </row>
    <row r="250" spans="1:20" ht="15" x14ac:dyDescent="0.25">
      <c r="A250" s="921">
        <v>1032</v>
      </c>
      <c r="B250" s="2722">
        <v>3143</v>
      </c>
      <c r="C250" s="1350">
        <v>5336</v>
      </c>
      <c r="D250" s="2724"/>
      <c r="E250" s="602" t="s">
        <v>856</v>
      </c>
      <c r="F250" s="666">
        <f>F251</f>
        <v>0</v>
      </c>
      <c r="G250" s="666">
        <f>G251</f>
        <v>313</v>
      </c>
      <c r="H250" s="666">
        <f>H251</f>
        <v>313</v>
      </c>
      <c r="I250" s="667">
        <f t="shared" si="57"/>
        <v>100</v>
      </c>
    </row>
    <row r="251" spans="1:20" ht="15" thickBot="1" x14ac:dyDescent="0.25">
      <c r="A251" s="921"/>
      <c r="B251" s="2722"/>
      <c r="C251" s="1350"/>
      <c r="D251" s="2726" t="s">
        <v>901</v>
      </c>
      <c r="E251" s="436" t="s">
        <v>1637</v>
      </c>
      <c r="F251" s="665">
        <v>0</v>
      </c>
      <c r="G251" s="665">
        <v>313</v>
      </c>
      <c r="H251" s="665">
        <v>313</v>
      </c>
      <c r="I251" s="661">
        <f t="shared" si="57"/>
        <v>100</v>
      </c>
    </row>
    <row r="252" spans="1:20" s="941" customFormat="1" ht="16.5" thickTop="1" thickBot="1" x14ac:dyDescent="0.25">
      <c r="A252" s="3251" t="s">
        <v>522</v>
      </c>
      <c r="B252" s="3252"/>
      <c r="C252" s="3252"/>
      <c r="D252" s="3252"/>
      <c r="E252" s="3252"/>
      <c r="F252" s="950">
        <f>F244+F248+F250</f>
        <v>0</v>
      </c>
      <c r="G252" s="950">
        <f t="shared" ref="G252:H252" si="59">G244+G248+G250</f>
        <v>9247</v>
      </c>
      <c r="H252" s="950">
        <f t="shared" si="59"/>
        <v>9247</v>
      </c>
      <c r="I252" s="951">
        <f t="shared" si="57"/>
        <v>100</v>
      </c>
      <c r="R252" s="952">
        <f>F252</f>
        <v>0</v>
      </c>
      <c r="S252" s="952">
        <f>G252</f>
        <v>9247</v>
      </c>
      <c r="T252" s="952">
        <f>H252</f>
        <v>9247</v>
      </c>
    </row>
    <row r="253" spans="1:20" ht="13.5" thickTop="1" x14ac:dyDescent="0.2">
      <c r="S253" s="373"/>
      <c r="T253" s="373"/>
    </row>
    <row r="255" spans="1:20" ht="13.5" thickBot="1" x14ac:dyDescent="0.25">
      <c r="A255" s="419" t="s">
        <v>1976</v>
      </c>
      <c r="I255" s="915" t="s">
        <v>92</v>
      </c>
    </row>
    <row r="256" spans="1:20" s="106" customFormat="1" ht="20.25" customHeight="1" thickTop="1" thickBot="1" x14ac:dyDescent="0.25">
      <c r="A256" s="572" t="s">
        <v>324</v>
      </c>
      <c r="B256" s="639" t="s">
        <v>93</v>
      </c>
      <c r="C256" s="573" t="s">
        <v>94</v>
      </c>
      <c r="D256" s="575" t="s">
        <v>364</v>
      </c>
      <c r="E256" s="575" t="s">
        <v>95</v>
      </c>
      <c r="F256" s="575" t="s">
        <v>328</v>
      </c>
      <c r="G256" s="575" t="s">
        <v>329</v>
      </c>
      <c r="H256" s="575" t="s">
        <v>448</v>
      </c>
      <c r="I256" s="651" t="s">
        <v>449</v>
      </c>
    </row>
    <row r="257" spans="1:20" s="374" customFormat="1" ht="13.5" thickTop="1" thickBot="1" x14ac:dyDescent="0.25">
      <c r="A257" s="511">
        <v>1</v>
      </c>
      <c r="B257" s="512">
        <v>2</v>
      </c>
      <c r="C257" s="512">
        <v>3</v>
      </c>
      <c r="D257" s="512">
        <v>4</v>
      </c>
      <c r="E257" s="512">
        <v>5</v>
      </c>
      <c r="F257" s="499">
        <v>6</v>
      </c>
      <c r="G257" s="499">
        <v>7</v>
      </c>
      <c r="H257" s="500">
        <v>8</v>
      </c>
      <c r="I257" s="577" t="s">
        <v>393</v>
      </c>
    </row>
    <row r="258" spans="1:20" ht="15.75" thickTop="1" x14ac:dyDescent="0.25">
      <c r="A258" s="916">
        <v>1033</v>
      </c>
      <c r="B258" s="640">
        <v>3113</v>
      </c>
      <c r="C258" s="640">
        <v>5336</v>
      </c>
      <c r="D258" s="670"/>
      <c r="E258" s="602" t="s">
        <v>856</v>
      </c>
      <c r="F258" s="686">
        <f>F259+F260</f>
        <v>0</v>
      </c>
      <c r="G258" s="686">
        <f>SUM(G259:G260)</f>
        <v>173</v>
      </c>
      <c r="H258" s="686">
        <f>SUM(H259:H260)</f>
        <v>173</v>
      </c>
      <c r="I258" s="659">
        <f t="shared" ref="I258:I271" si="60">(H258/G258)*100</f>
        <v>100</v>
      </c>
    </row>
    <row r="259" spans="1:20" ht="14.25" x14ac:dyDescent="0.2">
      <c r="A259" s="418"/>
      <c r="B259" s="603"/>
      <c r="C259" s="603"/>
      <c r="D259" s="620" t="s">
        <v>1144</v>
      </c>
      <c r="E259" s="938" t="s">
        <v>1515</v>
      </c>
      <c r="F259" s="660">
        <v>0</v>
      </c>
      <c r="G259" s="660">
        <v>26</v>
      </c>
      <c r="H259" s="660">
        <v>26</v>
      </c>
      <c r="I259" s="656">
        <f t="shared" si="60"/>
        <v>100</v>
      </c>
    </row>
    <row r="260" spans="1:20" ht="14.25" x14ac:dyDescent="0.2">
      <c r="A260" s="418"/>
      <c r="B260" s="603"/>
      <c r="C260" s="603"/>
      <c r="D260" s="505" t="s">
        <v>1145</v>
      </c>
      <c r="E260" s="436" t="s">
        <v>1515</v>
      </c>
      <c r="F260" s="660">
        <v>0</v>
      </c>
      <c r="G260" s="660">
        <v>147</v>
      </c>
      <c r="H260" s="660">
        <v>147</v>
      </c>
      <c r="I260" s="656">
        <f t="shared" si="60"/>
        <v>100</v>
      </c>
    </row>
    <row r="261" spans="1:20" ht="15" x14ac:dyDescent="0.25">
      <c r="A261" s="2739">
        <v>1033</v>
      </c>
      <c r="B261" s="2427">
        <v>3114</v>
      </c>
      <c r="C261" s="1350">
        <v>5336</v>
      </c>
      <c r="D261" s="2724"/>
      <c r="E261" s="602" t="s">
        <v>856</v>
      </c>
      <c r="F261" s="678">
        <f>F262+F263+F264+F265+F266</f>
        <v>0</v>
      </c>
      <c r="G261" s="678">
        <f>G262+G263+G264+G265+G266</f>
        <v>5251</v>
      </c>
      <c r="H261" s="678">
        <f>H262+H263+H264+H265+H266</f>
        <v>5251</v>
      </c>
      <c r="I261" s="680">
        <f t="shared" si="60"/>
        <v>100</v>
      </c>
    </row>
    <row r="262" spans="1:20" ht="14.25" x14ac:dyDescent="0.2">
      <c r="A262" s="2739"/>
      <c r="B262" s="2427"/>
      <c r="C262" s="1350"/>
      <c r="D262" s="2725" t="s">
        <v>902</v>
      </c>
      <c r="E262" s="1352" t="s">
        <v>855</v>
      </c>
      <c r="F262" s="1600">
        <v>0</v>
      </c>
      <c r="G262" s="1600">
        <v>111</v>
      </c>
      <c r="H262" s="1600">
        <v>111</v>
      </c>
      <c r="I262" s="367">
        <f t="shared" ref="I262:I263" si="61">(H262/G262)*100</f>
        <v>100</v>
      </c>
    </row>
    <row r="263" spans="1:20" ht="14.25" x14ac:dyDescent="0.2">
      <c r="A263" s="2739"/>
      <c r="B263" s="2427"/>
      <c r="C263" s="1350"/>
      <c r="D263" s="2724" t="s">
        <v>1896</v>
      </c>
      <c r="E263" s="1637" t="s">
        <v>1951</v>
      </c>
      <c r="F263" s="1643">
        <v>0</v>
      </c>
      <c r="G263" s="1643">
        <v>12</v>
      </c>
      <c r="H263" s="1643">
        <v>12</v>
      </c>
      <c r="I263" s="982">
        <f t="shared" si="61"/>
        <v>100</v>
      </c>
    </row>
    <row r="264" spans="1:20" ht="14.25" x14ac:dyDescent="0.2">
      <c r="A264" s="921"/>
      <c r="B264" s="2427"/>
      <c r="C264" s="2427"/>
      <c r="D264" s="2726" t="s">
        <v>901</v>
      </c>
      <c r="E264" s="436" t="s">
        <v>1637</v>
      </c>
      <c r="F264" s="660">
        <v>0</v>
      </c>
      <c r="G264" s="660">
        <v>5013</v>
      </c>
      <c r="H264" s="660">
        <v>5013</v>
      </c>
      <c r="I264" s="656">
        <f t="shared" si="60"/>
        <v>100</v>
      </c>
    </row>
    <row r="265" spans="1:20" ht="14.25" x14ac:dyDescent="0.2">
      <c r="A265" s="921"/>
      <c r="B265" s="2722"/>
      <c r="C265" s="2722"/>
      <c r="D265" s="620" t="s">
        <v>1144</v>
      </c>
      <c r="E265" s="938" t="s">
        <v>1515</v>
      </c>
      <c r="F265" s="665">
        <v>0</v>
      </c>
      <c r="G265" s="665">
        <v>17</v>
      </c>
      <c r="H265" s="665">
        <v>17</v>
      </c>
      <c r="I265" s="661">
        <f t="shared" si="60"/>
        <v>100</v>
      </c>
    </row>
    <row r="266" spans="1:20" ht="14.25" x14ac:dyDescent="0.2">
      <c r="A266" s="921"/>
      <c r="B266" s="2722"/>
      <c r="C266" s="2722"/>
      <c r="D266" s="505" t="s">
        <v>1145</v>
      </c>
      <c r="E266" s="938" t="s">
        <v>1515</v>
      </c>
      <c r="F266" s="665">
        <v>0</v>
      </c>
      <c r="G266" s="665">
        <v>98</v>
      </c>
      <c r="H266" s="665">
        <v>98</v>
      </c>
      <c r="I266" s="661">
        <f t="shared" si="60"/>
        <v>100</v>
      </c>
    </row>
    <row r="267" spans="1:20" ht="15" x14ac:dyDescent="0.25">
      <c r="A267" s="921">
        <v>1033</v>
      </c>
      <c r="B267" s="2722">
        <v>3141</v>
      </c>
      <c r="C267" s="1350">
        <v>5336</v>
      </c>
      <c r="D267" s="2724"/>
      <c r="E267" s="602" t="s">
        <v>856</v>
      </c>
      <c r="F267" s="666">
        <f>F268</f>
        <v>0</v>
      </c>
      <c r="G267" s="666">
        <f>G268</f>
        <v>64</v>
      </c>
      <c r="H267" s="666">
        <f>H268</f>
        <v>64</v>
      </c>
      <c r="I267" s="667">
        <f t="shared" si="60"/>
        <v>100</v>
      </c>
    </row>
    <row r="268" spans="1:20" ht="14.25" x14ac:dyDescent="0.2">
      <c r="A268" s="921"/>
      <c r="B268" s="2722"/>
      <c r="C268" s="2722"/>
      <c r="D268" s="2726" t="s">
        <v>901</v>
      </c>
      <c r="E268" s="436" t="s">
        <v>1637</v>
      </c>
      <c r="F268" s="665">
        <v>0</v>
      </c>
      <c r="G268" s="665">
        <v>64</v>
      </c>
      <c r="H268" s="665">
        <v>64</v>
      </c>
      <c r="I268" s="661">
        <f t="shared" si="60"/>
        <v>100</v>
      </c>
    </row>
    <row r="269" spans="1:20" ht="15" x14ac:dyDescent="0.25">
      <c r="A269" s="921">
        <v>1033</v>
      </c>
      <c r="B269" s="2722">
        <v>3143</v>
      </c>
      <c r="C269" s="1350">
        <v>5336</v>
      </c>
      <c r="D269" s="2724"/>
      <c r="E269" s="602" t="s">
        <v>856</v>
      </c>
      <c r="F269" s="666">
        <f>F270</f>
        <v>0</v>
      </c>
      <c r="G269" s="666">
        <f>G270</f>
        <v>320</v>
      </c>
      <c r="H269" s="666">
        <f>H270</f>
        <v>320</v>
      </c>
      <c r="I269" s="667">
        <f t="shared" si="60"/>
        <v>100</v>
      </c>
    </row>
    <row r="270" spans="1:20" ht="15" thickBot="1" x14ac:dyDescent="0.25">
      <c r="A270" s="921"/>
      <c r="B270" s="2722"/>
      <c r="C270" s="1350"/>
      <c r="D270" s="2726" t="s">
        <v>901</v>
      </c>
      <c r="E270" s="436" t="s">
        <v>1637</v>
      </c>
      <c r="F270" s="665">
        <v>0</v>
      </c>
      <c r="G270" s="665">
        <v>320</v>
      </c>
      <c r="H270" s="665">
        <v>320</v>
      </c>
      <c r="I270" s="661">
        <f t="shared" si="60"/>
        <v>100</v>
      </c>
    </row>
    <row r="271" spans="1:20" s="941" customFormat="1" ht="16.5" thickTop="1" thickBot="1" x14ac:dyDescent="0.25">
      <c r="A271" s="3251" t="s">
        <v>522</v>
      </c>
      <c r="B271" s="3252"/>
      <c r="C271" s="3252"/>
      <c r="D271" s="3252"/>
      <c r="E271" s="3252"/>
      <c r="F271" s="950">
        <f>SUM(F258+F269+F267)</f>
        <v>0</v>
      </c>
      <c r="G271" s="950">
        <f>G258+G261+G267+G269</f>
        <v>5808</v>
      </c>
      <c r="H271" s="950">
        <f>H258+H261+H267+H269</f>
        <v>5808</v>
      </c>
      <c r="I271" s="951">
        <f t="shared" si="60"/>
        <v>100</v>
      </c>
      <c r="R271" s="952">
        <f>F271</f>
        <v>0</v>
      </c>
      <c r="S271" s="952">
        <f>G271</f>
        <v>5808</v>
      </c>
      <c r="T271" s="952">
        <f>H271</f>
        <v>5808</v>
      </c>
    </row>
    <row r="272" spans="1:20" s="941" customFormat="1" ht="15.75" thickTop="1" x14ac:dyDescent="0.2">
      <c r="A272" s="940"/>
      <c r="B272" s="940"/>
      <c r="C272" s="940"/>
      <c r="D272" s="940"/>
      <c r="E272" s="940"/>
      <c r="F272" s="968"/>
      <c r="G272" s="968"/>
      <c r="H272" s="968"/>
      <c r="I272" s="969"/>
      <c r="R272" s="952"/>
      <c r="S272" s="952"/>
      <c r="T272" s="952"/>
    </row>
    <row r="273" spans="1:20" s="941" customFormat="1" ht="15" x14ac:dyDescent="0.2">
      <c r="A273" s="940"/>
      <c r="B273" s="940"/>
      <c r="C273" s="940"/>
      <c r="D273" s="940"/>
      <c r="E273" s="940"/>
      <c r="F273" s="968"/>
      <c r="G273" s="968"/>
      <c r="H273" s="968"/>
      <c r="I273" s="969"/>
      <c r="R273" s="952"/>
      <c r="S273" s="952"/>
      <c r="T273" s="952"/>
    </row>
    <row r="274" spans="1:20" ht="13.5" thickBot="1" x14ac:dyDescent="0.25">
      <c r="A274" s="419" t="s">
        <v>276</v>
      </c>
      <c r="I274" s="915" t="s">
        <v>92</v>
      </c>
    </row>
    <row r="275" spans="1:20" s="106" customFormat="1" thickTop="1" thickBot="1" x14ac:dyDescent="0.25">
      <c r="A275" s="572" t="s">
        <v>324</v>
      </c>
      <c r="B275" s="639" t="s">
        <v>93</v>
      </c>
      <c r="C275" s="573" t="s">
        <v>94</v>
      </c>
      <c r="D275" s="575" t="s">
        <v>364</v>
      </c>
      <c r="E275" s="575" t="s">
        <v>95</v>
      </c>
      <c r="F275" s="575" t="s">
        <v>328</v>
      </c>
      <c r="G275" s="575" t="s">
        <v>329</v>
      </c>
      <c r="H275" s="575" t="s">
        <v>448</v>
      </c>
      <c r="I275" s="651" t="s">
        <v>449</v>
      </c>
    </row>
    <row r="276" spans="1:20" s="374" customFormat="1" ht="20.25" customHeight="1" thickTop="1" thickBot="1" x14ac:dyDescent="0.25">
      <c r="A276" s="511">
        <v>1</v>
      </c>
      <c r="B276" s="512">
        <v>2</v>
      </c>
      <c r="C276" s="512">
        <v>3</v>
      </c>
      <c r="D276" s="512">
        <v>4</v>
      </c>
      <c r="E276" s="512">
        <v>5</v>
      </c>
      <c r="F276" s="499">
        <v>6</v>
      </c>
      <c r="G276" s="499">
        <v>7</v>
      </c>
      <c r="H276" s="500">
        <v>8</v>
      </c>
      <c r="I276" s="577" t="s">
        <v>393</v>
      </c>
    </row>
    <row r="277" spans="1:20" ht="15.75" thickTop="1" x14ac:dyDescent="0.25">
      <c r="A277" s="921">
        <v>1034</v>
      </c>
      <c r="B277" s="2722">
        <v>3114</v>
      </c>
      <c r="C277" s="1350">
        <v>5336</v>
      </c>
      <c r="D277" s="2724"/>
      <c r="E277" s="602" t="s">
        <v>856</v>
      </c>
      <c r="F277" s="678">
        <f>F278</f>
        <v>0</v>
      </c>
      <c r="G277" s="678">
        <f>G278</f>
        <v>3446</v>
      </c>
      <c r="H277" s="678">
        <f>H278</f>
        <v>3446</v>
      </c>
      <c r="I277" s="667">
        <f t="shared" ref="I277:I288" si="62">(H277/G277)*100</f>
        <v>100</v>
      </c>
    </row>
    <row r="278" spans="1:20" ht="14.25" x14ac:dyDescent="0.2">
      <c r="A278" s="921"/>
      <c r="B278" s="2427"/>
      <c r="C278" s="2427"/>
      <c r="D278" s="2726" t="s">
        <v>901</v>
      </c>
      <c r="E278" s="436" t="s">
        <v>1637</v>
      </c>
      <c r="F278" s="660">
        <v>0</v>
      </c>
      <c r="G278" s="660">
        <v>3446</v>
      </c>
      <c r="H278" s="660">
        <v>3446</v>
      </c>
      <c r="I278" s="656">
        <f>(H278/G278)*100</f>
        <v>100</v>
      </c>
    </row>
    <row r="279" spans="1:20" ht="15" hidden="1" x14ac:dyDescent="0.25">
      <c r="A279" s="921">
        <v>1034</v>
      </c>
      <c r="B279" s="2722">
        <v>3133</v>
      </c>
      <c r="C279" s="2722">
        <v>5331</v>
      </c>
      <c r="D279" s="2724"/>
      <c r="E279" s="602" t="s">
        <v>481</v>
      </c>
      <c r="F279" s="675">
        <f>F280+F281</f>
        <v>0</v>
      </c>
      <c r="G279" s="675">
        <f t="shared" ref="G279:H279" si="63">G280+G281</f>
        <v>0</v>
      </c>
      <c r="H279" s="675">
        <f t="shared" si="63"/>
        <v>0</v>
      </c>
      <c r="I279" s="680" t="e">
        <f t="shared" ref="I279:I285" si="64">(H279/G279)*100</f>
        <v>#DIV/0!</v>
      </c>
    </row>
    <row r="280" spans="1:20" ht="14.25" hidden="1" x14ac:dyDescent="0.2">
      <c r="A280" s="921"/>
      <c r="B280" s="2722"/>
      <c r="C280" s="2722"/>
      <c r="D280" s="2742" t="s">
        <v>905</v>
      </c>
      <c r="E280" s="938" t="s">
        <v>408</v>
      </c>
      <c r="F280" s="665"/>
      <c r="G280" s="665"/>
      <c r="H280" s="665"/>
      <c r="I280" s="656" t="e">
        <f t="shared" si="64"/>
        <v>#DIV/0!</v>
      </c>
    </row>
    <row r="281" spans="1:20" ht="14.25" hidden="1" x14ac:dyDescent="0.2">
      <c r="A281" s="921"/>
      <c r="B281" s="2722"/>
      <c r="C281" s="2722"/>
      <c r="D281" s="2726" t="s">
        <v>906</v>
      </c>
      <c r="E281" s="436" t="s">
        <v>38</v>
      </c>
      <c r="F281" s="665"/>
      <c r="G281" s="665"/>
      <c r="H281" s="665"/>
      <c r="I281" s="656" t="e">
        <f t="shared" si="64"/>
        <v>#DIV/0!</v>
      </c>
    </row>
    <row r="282" spans="1:20" ht="15" x14ac:dyDescent="0.25">
      <c r="A282" s="921">
        <v>1034</v>
      </c>
      <c r="B282" s="2722">
        <v>3133</v>
      </c>
      <c r="C282" s="2722">
        <v>5336</v>
      </c>
      <c r="D282" s="2724"/>
      <c r="E282" s="602" t="s">
        <v>856</v>
      </c>
      <c r="F282" s="675">
        <f>F283+F284+F285</f>
        <v>0</v>
      </c>
      <c r="G282" s="675">
        <f>G283+G284+G285</f>
        <v>7747</v>
      </c>
      <c r="H282" s="675">
        <f>H283+H284+H285</f>
        <v>7747</v>
      </c>
      <c r="I282" s="680">
        <f t="shared" si="64"/>
        <v>100</v>
      </c>
    </row>
    <row r="283" spans="1:20" ht="14.25" x14ac:dyDescent="0.2">
      <c r="A283" s="921"/>
      <c r="B283" s="2722"/>
      <c r="C283" s="2722"/>
      <c r="D283" s="2725" t="s">
        <v>902</v>
      </c>
      <c r="E283" s="1352" t="s">
        <v>855</v>
      </c>
      <c r="F283" s="665">
        <v>0</v>
      </c>
      <c r="G283" s="665">
        <v>203</v>
      </c>
      <c r="H283" s="665">
        <v>203</v>
      </c>
      <c r="I283" s="656">
        <f t="shared" si="64"/>
        <v>100</v>
      </c>
    </row>
    <row r="284" spans="1:20" ht="14.25" x14ac:dyDescent="0.2">
      <c r="A284" s="921"/>
      <c r="B284" s="2722"/>
      <c r="C284" s="2722"/>
      <c r="D284" s="2724" t="s">
        <v>1896</v>
      </c>
      <c r="E284" s="1637" t="s">
        <v>1951</v>
      </c>
      <c r="F284" s="665">
        <v>0</v>
      </c>
      <c r="G284" s="870">
        <v>72</v>
      </c>
      <c r="H284" s="870">
        <v>72</v>
      </c>
      <c r="I284" s="871">
        <f t="shared" si="64"/>
        <v>100</v>
      </c>
    </row>
    <row r="285" spans="1:20" ht="14.25" x14ac:dyDescent="0.2">
      <c r="A285" s="921"/>
      <c r="B285" s="2722"/>
      <c r="C285" s="2722"/>
      <c r="D285" s="2726" t="s">
        <v>901</v>
      </c>
      <c r="E285" s="436" t="s">
        <v>1637</v>
      </c>
      <c r="F285" s="665">
        <v>0</v>
      </c>
      <c r="G285" s="665">
        <v>7472</v>
      </c>
      <c r="H285" s="665">
        <v>7472</v>
      </c>
      <c r="I285" s="656">
        <f t="shared" si="64"/>
        <v>100</v>
      </c>
    </row>
    <row r="286" spans="1:20" ht="15" x14ac:dyDescent="0.25">
      <c r="A286" s="921">
        <v>1034</v>
      </c>
      <c r="B286" s="2722">
        <v>3141</v>
      </c>
      <c r="C286" s="1350">
        <v>5336</v>
      </c>
      <c r="D286" s="2724"/>
      <c r="E286" s="602" t="s">
        <v>856</v>
      </c>
      <c r="F286" s="675">
        <f>F287</f>
        <v>0</v>
      </c>
      <c r="G286" s="675">
        <f>G287</f>
        <v>136</v>
      </c>
      <c r="H286" s="675">
        <f>H287</f>
        <v>136</v>
      </c>
      <c r="I286" s="669">
        <f t="shared" si="62"/>
        <v>100</v>
      </c>
    </row>
    <row r="287" spans="1:20" ht="15" thickBot="1" x14ac:dyDescent="0.25">
      <c r="A287" s="921"/>
      <c r="B287" s="2722"/>
      <c r="C287" s="1350"/>
      <c r="D287" s="2726" t="s">
        <v>901</v>
      </c>
      <c r="E287" s="436" t="s">
        <v>1637</v>
      </c>
      <c r="F287" s="665">
        <v>0</v>
      </c>
      <c r="G287" s="665">
        <v>136</v>
      </c>
      <c r="H287" s="665">
        <v>136</v>
      </c>
      <c r="I287" s="661">
        <f t="shared" si="62"/>
        <v>100</v>
      </c>
    </row>
    <row r="288" spans="1:20" s="941" customFormat="1" ht="16.5" thickTop="1" thickBot="1" x14ac:dyDescent="0.25">
      <c r="A288" s="3251" t="s">
        <v>522</v>
      </c>
      <c r="B288" s="3252"/>
      <c r="C288" s="3252"/>
      <c r="D288" s="3252"/>
      <c r="E288" s="3252"/>
      <c r="F288" s="950">
        <f>SUM(F279)</f>
        <v>0</v>
      </c>
      <c r="G288" s="950">
        <f>G286+G282+G279+G277</f>
        <v>11329</v>
      </c>
      <c r="H288" s="950">
        <f>H286+H282+H279+H277</f>
        <v>11329</v>
      </c>
      <c r="I288" s="951">
        <f t="shared" si="62"/>
        <v>100</v>
      </c>
      <c r="R288" s="952">
        <f>F288</f>
        <v>0</v>
      </c>
      <c r="S288" s="952">
        <f>G288</f>
        <v>11329</v>
      </c>
      <c r="T288" s="952">
        <f>H288</f>
        <v>11329</v>
      </c>
    </row>
    <row r="289" spans="1:9" ht="13.5" thickTop="1" x14ac:dyDescent="0.2"/>
    <row r="291" spans="1:9" ht="13.5" thickBot="1" x14ac:dyDescent="0.25">
      <c r="A291" s="419" t="s">
        <v>527</v>
      </c>
      <c r="I291" s="915" t="s">
        <v>92</v>
      </c>
    </row>
    <row r="292" spans="1:9" s="106" customFormat="1" thickTop="1" thickBot="1" x14ac:dyDescent="0.25">
      <c r="A292" s="572" t="s">
        <v>324</v>
      </c>
      <c r="B292" s="639" t="s">
        <v>93</v>
      </c>
      <c r="C292" s="573" t="s">
        <v>94</v>
      </c>
      <c r="D292" s="575" t="s">
        <v>364</v>
      </c>
      <c r="E292" s="575" t="s">
        <v>95</v>
      </c>
      <c r="F292" s="575" t="s">
        <v>328</v>
      </c>
      <c r="G292" s="575" t="s">
        <v>329</v>
      </c>
      <c r="H292" s="575" t="s">
        <v>448</v>
      </c>
      <c r="I292" s="651" t="s">
        <v>449</v>
      </c>
    </row>
    <row r="293" spans="1:9" s="374" customFormat="1" ht="14.25" customHeight="1" thickTop="1" thickBot="1" x14ac:dyDescent="0.25">
      <c r="A293" s="511">
        <v>1</v>
      </c>
      <c r="B293" s="512">
        <v>2</v>
      </c>
      <c r="C293" s="512">
        <v>3</v>
      </c>
      <c r="D293" s="512">
        <v>4</v>
      </c>
      <c r="E293" s="512">
        <v>5</v>
      </c>
      <c r="F293" s="499">
        <v>6</v>
      </c>
      <c r="G293" s="499">
        <v>7</v>
      </c>
      <c r="H293" s="500">
        <v>8</v>
      </c>
      <c r="I293" s="577" t="s">
        <v>393</v>
      </c>
    </row>
    <row r="294" spans="1:9" ht="15.75" hidden="1" thickTop="1" x14ac:dyDescent="0.25">
      <c r="A294" s="916">
        <v>1035</v>
      </c>
      <c r="B294" s="640">
        <v>3114</v>
      </c>
      <c r="C294" s="640">
        <v>5331</v>
      </c>
      <c r="D294" s="670"/>
      <c r="E294" s="685" t="s">
        <v>481</v>
      </c>
      <c r="F294" s="686"/>
      <c r="G294" s="686"/>
      <c r="H294" s="686"/>
      <c r="I294" s="659" t="e">
        <f>(H294/G294)*100</f>
        <v>#DIV/0!</v>
      </c>
    </row>
    <row r="295" spans="1:9" ht="15" hidden="1" thickTop="1" x14ac:dyDescent="0.2">
      <c r="A295" s="418"/>
      <c r="B295" s="603"/>
      <c r="C295" s="603"/>
      <c r="D295" s="505" t="s">
        <v>906</v>
      </c>
      <c r="E295" s="436" t="s">
        <v>38</v>
      </c>
      <c r="F295" s="660"/>
      <c r="G295" s="660"/>
      <c r="H295" s="660"/>
      <c r="I295" s="656" t="e">
        <f>(H295/G295)*100</f>
        <v>#DIV/0!</v>
      </c>
    </row>
    <row r="296" spans="1:9" ht="15.75" thickTop="1" x14ac:dyDescent="0.25">
      <c r="A296" s="921">
        <v>1035</v>
      </c>
      <c r="B296" s="2722">
        <v>3114</v>
      </c>
      <c r="C296" s="1350">
        <v>5336</v>
      </c>
      <c r="D296" s="2724"/>
      <c r="E296" s="602" t="s">
        <v>856</v>
      </c>
      <c r="F296" s="872">
        <f>F297+F298+F299+F300+F301+F302</f>
        <v>0</v>
      </c>
      <c r="G296" s="872">
        <f>G297+G298+G299+G300+G301+G302</f>
        <v>2016</v>
      </c>
      <c r="H296" s="872">
        <f>H297+H298+H299+H300+H301+H302</f>
        <v>2009</v>
      </c>
      <c r="I296" s="667">
        <f t="shared" ref="I296:I305" si="65">(H296/G296)*100</f>
        <v>99.652777777777786</v>
      </c>
    </row>
    <row r="297" spans="1:9" ht="14.25" hidden="1" x14ac:dyDescent="0.2">
      <c r="A297" s="921"/>
      <c r="B297" s="2722"/>
      <c r="C297" s="1350"/>
      <c r="D297" s="2725" t="s">
        <v>915</v>
      </c>
      <c r="E297" s="1351" t="s">
        <v>767</v>
      </c>
      <c r="F297" s="665"/>
      <c r="G297" s="978"/>
      <c r="H297" s="978"/>
      <c r="I297" s="367" t="e">
        <f t="shared" si="65"/>
        <v>#DIV/0!</v>
      </c>
    </row>
    <row r="298" spans="1:9" ht="15" hidden="1" x14ac:dyDescent="0.2">
      <c r="A298" s="921"/>
      <c r="B298" s="2722"/>
      <c r="C298" s="1350"/>
      <c r="D298" s="2725" t="s">
        <v>902</v>
      </c>
      <c r="E298" s="1352" t="s">
        <v>855</v>
      </c>
      <c r="F298" s="1599"/>
      <c r="G298" s="1600"/>
      <c r="H298" s="1600"/>
      <c r="I298" s="367" t="e">
        <f t="shared" ref="I298:I299" si="66">(H298/G298)*100</f>
        <v>#DIV/0!</v>
      </c>
    </row>
    <row r="299" spans="1:9" ht="28.5" hidden="1" x14ac:dyDescent="0.2">
      <c r="A299" s="921"/>
      <c r="B299" s="2722"/>
      <c r="C299" s="1350"/>
      <c r="D299" s="2724" t="s">
        <v>903</v>
      </c>
      <c r="E299" s="1637" t="s">
        <v>904</v>
      </c>
      <c r="F299" s="1599"/>
      <c r="G299" s="1643"/>
      <c r="H299" s="1643"/>
      <c r="I299" s="982" t="e">
        <f t="shared" si="66"/>
        <v>#DIV/0!</v>
      </c>
    </row>
    <row r="300" spans="1:9" ht="14.25" x14ac:dyDescent="0.2">
      <c r="A300" s="921"/>
      <c r="B300" s="2722"/>
      <c r="C300" s="1350"/>
      <c r="D300" s="2726" t="s">
        <v>901</v>
      </c>
      <c r="E300" s="436" t="s">
        <v>1637</v>
      </c>
      <c r="F300" s="665">
        <v>0</v>
      </c>
      <c r="G300" s="870">
        <v>2016</v>
      </c>
      <c r="H300" s="870">
        <v>2009</v>
      </c>
      <c r="I300" s="367">
        <f t="shared" si="65"/>
        <v>99.652777777777786</v>
      </c>
    </row>
    <row r="301" spans="1:9" ht="14.25" hidden="1" x14ac:dyDescent="0.2">
      <c r="A301" s="921"/>
      <c r="B301" s="2722"/>
      <c r="C301" s="1350"/>
      <c r="D301" s="2724" t="s">
        <v>907</v>
      </c>
      <c r="E301" s="938" t="s">
        <v>909</v>
      </c>
      <c r="F301" s="665"/>
      <c r="G301" s="870"/>
      <c r="H301" s="870"/>
      <c r="I301" s="367" t="e">
        <f t="shared" si="65"/>
        <v>#DIV/0!</v>
      </c>
    </row>
    <row r="302" spans="1:9" ht="14.25" hidden="1" x14ac:dyDescent="0.2">
      <c r="A302" s="921"/>
      <c r="B302" s="2722"/>
      <c r="C302" s="1350"/>
      <c r="D302" s="2724" t="s">
        <v>908</v>
      </c>
      <c r="E302" s="938" t="s">
        <v>909</v>
      </c>
      <c r="F302" s="665"/>
      <c r="G302" s="870"/>
      <c r="H302" s="870"/>
      <c r="I302" s="367" t="e">
        <f t="shared" si="65"/>
        <v>#DIV/0!</v>
      </c>
    </row>
    <row r="303" spans="1:9" ht="15" x14ac:dyDescent="0.25">
      <c r="A303" s="921">
        <v>1035</v>
      </c>
      <c r="B303" s="2722">
        <v>3143</v>
      </c>
      <c r="C303" s="2722">
        <v>5336</v>
      </c>
      <c r="D303" s="2732"/>
      <c r="E303" s="602" t="s">
        <v>856</v>
      </c>
      <c r="F303" s="666">
        <f>F304</f>
        <v>0</v>
      </c>
      <c r="G303" s="666">
        <f>G304</f>
        <v>131</v>
      </c>
      <c r="H303" s="666">
        <f>H304</f>
        <v>131</v>
      </c>
      <c r="I303" s="667">
        <f t="shared" si="65"/>
        <v>100</v>
      </c>
    </row>
    <row r="304" spans="1:9" ht="15.75" thickBot="1" x14ac:dyDescent="0.3">
      <c r="A304" s="921"/>
      <c r="B304" s="2722"/>
      <c r="C304" s="2722"/>
      <c r="D304" s="2726" t="s">
        <v>901</v>
      </c>
      <c r="E304" s="436" t="s">
        <v>1637</v>
      </c>
      <c r="F304" s="666">
        <v>0</v>
      </c>
      <c r="G304" s="665">
        <v>131</v>
      </c>
      <c r="H304" s="665">
        <v>131</v>
      </c>
      <c r="I304" s="661">
        <f t="shared" si="65"/>
        <v>100</v>
      </c>
    </row>
    <row r="305" spans="1:20" s="941" customFormat="1" ht="16.5" thickTop="1" thickBot="1" x14ac:dyDescent="0.25">
      <c r="A305" s="1606" t="s">
        <v>522</v>
      </c>
      <c r="B305" s="1607"/>
      <c r="C305" s="1607"/>
      <c r="D305" s="1607"/>
      <c r="E305" s="1607"/>
      <c r="F305" s="950">
        <f>SUM(F294,F303)</f>
        <v>0</v>
      </c>
      <c r="G305" s="950">
        <f>G303+G296+G294</f>
        <v>2147</v>
      </c>
      <c r="H305" s="950">
        <f>H303+H296+H294</f>
        <v>2140</v>
      </c>
      <c r="I305" s="951">
        <f t="shared" si="65"/>
        <v>99.673963670237541</v>
      </c>
      <c r="K305" s="952" t="e">
        <f>SUM(F305,F288,F271,F252,#REF!,#REF!,F238,#REF!,F215,#REF!,F193,F182,#REF!,F174,F162,F137,F106,#REF!,F82,#REF!,F55,#REF!,#REF!,F41,F26)</f>
        <v>#REF!</v>
      </c>
      <c r="L305" s="952" t="e">
        <f>SUM(G305,G288,G271,G252,#REF!,#REF!,G238,#REF!,G215,#REF!,G193,G182,#REF!,G174,G162,G137,G106,#REF!,G82,#REF!,G55,#REF!,#REF!,G41,G26)</f>
        <v>#REF!</v>
      </c>
      <c r="M305" s="952" t="e">
        <f>SUM(H305,H288,H271,H252,#REF!,#REF!,H238,#REF!,H215,#REF!,H193,H182,#REF!,H174,H162,H137,H106,#REF!,H82,#REF!,H55,#REF!,#REF!,H41,H26)</f>
        <v>#REF!</v>
      </c>
      <c r="R305" s="952">
        <f>F305</f>
        <v>0</v>
      </c>
      <c r="S305" s="952">
        <f>G305</f>
        <v>2147</v>
      </c>
      <c r="T305" s="952">
        <f>H305</f>
        <v>2140</v>
      </c>
    </row>
    <row r="306" spans="1:20" ht="13.5" thickTop="1" x14ac:dyDescent="0.2"/>
    <row r="308" spans="1:20" ht="13.5" thickBot="1" x14ac:dyDescent="0.25">
      <c r="A308" s="419" t="s">
        <v>1977</v>
      </c>
      <c r="I308" s="915" t="s">
        <v>92</v>
      </c>
    </row>
    <row r="309" spans="1:20" s="106" customFormat="1" ht="20.25" customHeight="1" thickTop="1" thickBot="1" x14ac:dyDescent="0.25">
      <c r="A309" s="572" t="s">
        <v>324</v>
      </c>
      <c r="B309" s="639" t="s">
        <v>93</v>
      </c>
      <c r="C309" s="573" t="s">
        <v>94</v>
      </c>
      <c r="D309" s="575" t="s">
        <v>364</v>
      </c>
      <c r="E309" s="575" t="s">
        <v>95</v>
      </c>
      <c r="F309" s="575" t="s">
        <v>328</v>
      </c>
      <c r="G309" s="575" t="s">
        <v>329</v>
      </c>
      <c r="H309" s="575" t="s">
        <v>448</v>
      </c>
      <c r="I309" s="651" t="s">
        <v>449</v>
      </c>
    </row>
    <row r="310" spans="1:20" s="374" customFormat="1" ht="13.5" thickTop="1" thickBot="1" x14ac:dyDescent="0.25">
      <c r="A310" s="511">
        <v>1</v>
      </c>
      <c r="B310" s="512">
        <v>2</v>
      </c>
      <c r="C310" s="512">
        <v>3</v>
      </c>
      <c r="D310" s="512">
        <v>4</v>
      </c>
      <c r="E310" s="512">
        <v>5</v>
      </c>
      <c r="F310" s="499">
        <v>6</v>
      </c>
      <c r="G310" s="499">
        <v>7</v>
      </c>
      <c r="H310" s="500">
        <v>8</v>
      </c>
      <c r="I310" s="577" t="s">
        <v>393</v>
      </c>
    </row>
    <row r="311" spans="1:20" ht="15.75" thickTop="1" x14ac:dyDescent="0.25">
      <c r="A311" s="921">
        <v>1036</v>
      </c>
      <c r="B311" s="2427">
        <v>3112</v>
      </c>
      <c r="C311" s="2427">
        <v>5336</v>
      </c>
      <c r="D311" s="2726"/>
      <c r="E311" s="602" t="s">
        <v>856</v>
      </c>
      <c r="F311" s="675">
        <f>F312</f>
        <v>0</v>
      </c>
      <c r="G311" s="675">
        <f>G312</f>
        <v>1556</v>
      </c>
      <c r="H311" s="675">
        <f>H312</f>
        <v>1556</v>
      </c>
      <c r="I311" s="654">
        <f t="shared" ref="I311:I327" si="67">(H311/G311)*100</f>
        <v>100</v>
      </c>
    </row>
    <row r="312" spans="1:20" ht="14.25" x14ac:dyDescent="0.2">
      <c r="A312" s="921"/>
      <c r="B312" s="2427"/>
      <c r="C312" s="2427"/>
      <c r="D312" s="2726" t="s">
        <v>901</v>
      </c>
      <c r="E312" s="436" t="s">
        <v>1637</v>
      </c>
      <c r="F312" s="665">
        <v>0</v>
      </c>
      <c r="G312" s="665">
        <v>1556</v>
      </c>
      <c r="H312" s="665">
        <v>1556</v>
      </c>
      <c r="I312" s="661">
        <f t="shared" si="67"/>
        <v>100</v>
      </c>
    </row>
    <row r="313" spans="1:20" ht="15" hidden="1" x14ac:dyDescent="0.25">
      <c r="A313" s="921">
        <v>1036</v>
      </c>
      <c r="B313" s="2427">
        <v>3114</v>
      </c>
      <c r="C313" s="2427">
        <v>5331</v>
      </c>
      <c r="D313" s="2743"/>
      <c r="E313" s="644" t="s">
        <v>481</v>
      </c>
      <c r="F313" s="653">
        <f>SUM(F314:F315)</f>
        <v>0</v>
      </c>
      <c r="G313" s="653">
        <f>SUM(G314:G315)</f>
        <v>0</v>
      </c>
      <c r="H313" s="653">
        <f>SUM(H314:H315)</f>
        <v>0</v>
      </c>
      <c r="I313" s="654" t="e">
        <f t="shared" si="67"/>
        <v>#DIV/0!</v>
      </c>
    </row>
    <row r="314" spans="1:20" ht="14.25" hidden="1" x14ac:dyDescent="0.2">
      <c r="A314" s="921"/>
      <c r="B314" s="2427"/>
      <c r="C314" s="2427"/>
      <c r="D314" s="2742" t="s">
        <v>905</v>
      </c>
      <c r="E314" s="938" t="s">
        <v>408</v>
      </c>
      <c r="F314" s="660"/>
      <c r="G314" s="660"/>
      <c r="H314" s="660"/>
      <c r="I314" s="656" t="e">
        <f t="shared" si="67"/>
        <v>#DIV/0!</v>
      </c>
    </row>
    <row r="315" spans="1:20" ht="14.25" hidden="1" x14ac:dyDescent="0.2">
      <c r="A315" s="921"/>
      <c r="B315" s="2427"/>
      <c r="C315" s="2427"/>
      <c r="D315" s="2726" t="s">
        <v>906</v>
      </c>
      <c r="E315" s="436" t="s">
        <v>38</v>
      </c>
      <c r="F315" s="660"/>
      <c r="G315" s="660"/>
      <c r="H315" s="660"/>
      <c r="I315" s="656" t="e">
        <f t="shared" si="67"/>
        <v>#DIV/0!</v>
      </c>
    </row>
    <row r="316" spans="1:20" ht="15" x14ac:dyDescent="0.25">
      <c r="A316" s="2426">
        <v>1036</v>
      </c>
      <c r="B316" s="2427">
        <v>3114</v>
      </c>
      <c r="C316" s="1350">
        <v>5336</v>
      </c>
      <c r="D316" s="2724"/>
      <c r="E316" s="602" t="s">
        <v>856</v>
      </c>
      <c r="F316" s="675">
        <f>F317+F318+F319+F320+F321</f>
        <v>0</v>
      </c>
      <c r="G316" s="675">
        <f>G317+G318+G319+G320+G321</f>
        <v>9093</v>
      </c>
      <c r="H316" s="675">
        <f>H317+H318+H319+H320+H321</f>
        <v>9093</v>
      </c>
      <c r="I316" s="667">
        <f t="shared" si="67"/>
        <v>100</v>
      </c>
    </row>
    <row r="317" spans="1:20" ht="15" hidden="1" x14ac:dyDescent="0.25">
      <c r="A317" s="2426"/>
      <c r="B317" s="2427"/>
      <c r="C317" s="1350"/>
      <c r="D317" s="2725" t="s">
        <v>915</v>
      </c>
      <c r="E317" s="1351" t="s">
        <v>767</v>
      </c>
      <c r="F317" s="675"/>
      <c r="G317" s="668"/>
      <c r="H317" s="668"/>
      <c r="I317" s="656" t="e">
        <f t="shared" si="67"/>
        <v>#DIV/0!</v>
      </c>
    </row>
    <row r="318" spans="1:20" ht="14.25" x14ac:dyDescent="0.2">
      <c r="A318" s="2426"/>
      <c r="B318" s="2427"/>
      <c r="C318" s="1350"/>
      <c r="D318" s="2725" t="s">
        <v>902</v>
      </c>
      <c r="E318" s="1352" t="s">
        <v>855</v>
      </c>
      <c r="F318" s="1600">
        <v>0</v>
      </c>
      <c r="G318" s="1600">
        <v>214</v>
      </c>
      <c r="H318" s="1600">
        <v>214</v>
      </c>
      <c r="I318" s="367">
        <f t="shared" ref="I318:I319" si="68">(H318/G318)*100</f>
        <v>100</v>
      </c>
    </row>
    <row r="319" spans="1:20" ht="14.25" x14ac:dyDescent="0.2">
      <c r="A319" s="2426"/>
      <c r="B319" s="2427"/>
      <c r="C319" s="1350"/>
      <c r="D319" s="2724" t="s">
        <v>1896</v>
      </c>
      <c r="E319" s="1637" t="s">
        <v>1951</v>
      </c>
      <c r="F319" s="1643">
        <v>0</v>
      </c>
      <c r="G319" s="1643">
        <v>41</v>
      </c>
      <c r="H319" s="1643">
        <v>41</v>
      </c>
      <c r="I319" s="982">
        <f t="shared" si="68"/>
        <v>100</v>
      </c>
    </row>
    <row r="320" spans="1:20" ht="14.25" x14ac:dyDescent="0.2">
      <c r="A320" s="2426"/>
      <c r="B320" s="2427"/>
      <c r="C320" s="1350"/>
      <c r="D320" s="2726" t="s">
        <v>901</v>
      </c>
      <c r="E320" s="436" t="s">
        <v>1637</v>
      </c>
      <c r="F320" s="668">
        <v>0</v>
      </c>
      <c r="G320" s="668">
        <v>8790</v>
      </c>
      <c r="H320" s="668">
        <v>8790</v>
      </c>
      <c r="I320" s="656">
        <f t="shared" si="67"/>
        <v>100</v>
      </c>
    </row>
    <row r="321" spans="1:20" ht="14.25" x14ac:dyDescent="0.2">
      <c r="A321" s="2426"/>
      <c r="B321" s="2722"/>
      <c r="C321" s="1350"/>
      <c r="D321" s="2726" t="s">
        <v>918</v>
      </c>
      <c r="E321" s="3236" t="s">
        <v>857</v>
      </c>
      <c r="F321" s="870">
        <v>0</v>
      </c>
      <c r="G321" s="870">
        <v>48</v>
      </c>
      <c r="H321" s="870">
        <v>48</v>
      </c>
      <c r="I321" s="874">
        <f t="shared" ref="I321" si="69">(H321/G321)*100</f>
        <v>100</v>
      </c>
    </row>
    <row r="322" spans="1:20" ht="15" x14ac:dyDescent="0.25">
      <c r="A322" s="2426"/>
      <c r="B322" s="2722"/>
      <c r="C322" s="1350"/>
      <c r="D322" s="2724"/>
      <c r="E322" s="3237"/>
      <c r="F322" s="675"/>
      <c r="G322" s="668"/>
      <c r="H322" s="668"/>
      <c r="I322" s="661"/>
    </row>
    <row r="323" spans="1:20" ht="16.5" customHeight="1" x14ac:dyDescent="0.25">
      <c r="A323" s="921">
        <v>1036</v>
      </c>
      <c r="B323" s="2722">
        <v>3141</v>
      </c>
      <c r="C323" s="1350">
        <v>5336</v>
      </c>
      <c r="D323" s="2726"/>
      <c r="E323" s="602" t="s">
        <v>856</v>
      </c>
      <c r="F323" s="675">
        <f>F324</f>
        <v>0</v>
      </c>
      <c r="G323" s="675">
        <f>G324</f>
        <v>20</v>
      </c>
      <c r="H323" s="675">
        <f>H324</f>
        <v>20</v>
      </c>
      <c r="I323" s="667">
        <f t="shared" si="67"/>
        <v>100</v>
      </c>
    </row>
    <row r="324" spans="1:20" ht="15" customHeight="1" x14ac:dyDescent="0.2">
      <c r="A324" s="921"/>
      <c r="B324" s="2722"/>
      <c r="C324" s="1350"/>
      <c r="D324" s="2726" t="s">
        <v>901</v>
      </c>
      <c r="E324" s="436" t="s">
        <v>1637</v>
      </c>
      <c r="F324" s="665">
        <v>0</v>
      </c>
      <c r="G324" s="665">
        <v>20</v>
      </c>
      <c r="H324" s="665">
        <v>20</v>
      </c>
      <c r="I324" s="661">
        <f t="shared" si="67"/>
        <v>100</v>
      </c>
    </row>
    <row r="325" spans="1:20" ht="15" x14ac:dyDescent="0.25">
      <c r="A325" s="921">
        <v>1036</v>
      </c>
      <c r="B325" s="2722">
        <v>3143</v>
      </c>
      <c r="C325" s="2722">
        <v>5336</v>
      </c>
      <c r="D325" s="2726"/>
      <c r="E325" s="602" t="s">
        <v>856</v>
      </c>
      <c r="F325" s="675">
        <f>F326</f>
        <v>0</v>
      </c>
      <c r="G325" s="675">
        <f>G326</f>
        <v>529</v>
      </c>
      <c r="H325" s="675">
        <f>H326</f>
        <v>529</v>
      </c>
      <c r="I325" s="669">
        <f t="shared" si="67"/>
        <v>100</v>
      </c>
    </row>
    <row r="326" spans="1:20" ht="15" thickBot="1" x14ac:dyDescent="0.25">
      <c r="A326" s="921"/>
      <c r="B326" s="2722"/>
      <c r="C326" s="1350"/>
      <c r="D326" s="2726" t="s">
        <v>901</v>
      </c>
      <c r="E326" s="436" t="s">
        <v>1637</v>
      </c>
      <c r="F326" s="665">
        <v>0</v>
      </c>
      <c r="G326" s="665">
        <v>529</v>
      </c>
      <c r="H326" s="665">
        <v>529</v>
      </c>
      <c r="I326" s="661">
        <f t="shared" si="67"/>
        <v>100</v>
      </c>
    </row>
    <row r="327" spans="1:20" ht="16.5" thickTop="1" thickBot="1" x14ac:dyDescent="0.3">
      <c r="A327" s="3233" t="s">
        <v>522</v>
      </c>
      <c r="B327" s="3234"/>
      <c r="C327" s="3234"/>
      <c r="D327" s="3234"/>
      <c r="E327" s="3234"/>
      <c r="F327" s="657">
        <f>SUM(F313)</f>
        <v>0</v>
      </c>
      <c r="G327" s="657">
        <f>G325+G323+G316+G313+G311</f>
        <v>11198</v>
      </c>
      <c r="H327" s="657">
        <f>H325+H323+H316+H313+H311</f>
        <v>11198</v>
      </c>
      <c r="I327" s="658">
        <f t="shared" si="67"/>
        <v>100</v>
      </c>
      <c r="R327" s="373">
        <f>F327</f>
        <v>0</v>
      </c>
      <c r="S327" s="373">
        <f>G327</f>
        <v>11198</v>
      </c>
      <c r="T327" s="373">
        <f>H327</f>
        <v>11198</v>
      </c>
    </row>
    <row r="328" spans="1:20" ht="15.75" thickTop="1" x14ac:dyDescent="0.25">
      <c r="A328" s="360"/>
      <c r="B328" s="360"/>
      <c r="C328" s="360"/>
      <c r="D328" s="360"/>
      <c r="E328" s="360"/>
      <c r="F328" s="177"/>
      <c r="G328" s="177"/>
      <c r="H328" s="177"/>
      <c r="I328" s="206"/>
      <c r="R328" s="373"/>
      <c r="S328" s="373"/>
      <c r="T328" s="373"/>
    </row>
    <row r="329" spans="1:20" ht="15" x14ac:dyDescent="0.25">
      <c r="A329" s="360"/>
      <c r="B329" s="360"/>
      <c r="C329" s="360"/>
      <c r="D329" s="360"/>
      <c r="E329" s="360"/>
      <c r="F329" s="177"/>
      <c r="G329" s="177"/>
      <c r="H329" s="177"/>
      <c r="I329" s="206"/>
      <c r="R329" s="373"/>
      <c r="S329" s="373"/>
      <c r="T329" s="373"/>
    </row>
    <row r="330" spans="1:20" ht="13.5" thickBot="1" x14ac:dyDescent="0.25">
      <c r="A330" s="419" t="s">
        <v>1978</v>
      </c>
      <c r="I330" s="915" t="s">
        <v>92</v>
      </c>
    </row>
    <row r="331" spans="1:20" s="106" customFormat="1" ht="20.25" customHeight="1" thickTop="1" thickBot="1" x14ac:dyDescent="0.25">
      <c r="A331" s="572" t="s">
        <v>324</v>
      </c>
      <c r="B331" s="639" t="s">
        <v>93</v>
      </c>
      <c r="C331" s="573" t="s">
        <v>94</v>
      </c>
      <c r="D331" s="575" t="s">
        <v>364</v>
      </c>
      <c r="E331" s="575" t="s">
        <v>95</v>
      </c>
      <c r="F331" s="575" t="s">
        <v>328</v>
      </c>
      <c r="G331" s="575" t="s">
        <v>329</v>
      </c>
      <c r="H331" s="575" t="s">
        <v>448</v>
      </c>
      <c r="I331" s="651" t="s">
        <v>449</v>
      </c>
    </row>
    <row r="332" spans="1:20" s="374" customFormat="1" ht="13.5" thickTop="1" thickBot="1" x14ac:dyDescent="0.25">
      <c r="A332" s="511">
        <v>1</v>
      </c>
      <c r="B332" s="512">
        <v>2</v>
      </c>
      <c r="C332" s="512">
        <v>3</v>
      </c>
      <c r="D332" s="512">
        <v>4</v>
      </c>
      <c r="E332" s="512">
        <v>5</v>
      </c>
      <c r="F332" s="499">
        <v>6</v>
      </c>
      <c r="G332" s="499">
        <v>7</v>
      </c>
      <c r="H332" s="500">
        <v>8</v>
      </c>
      <c r="I332" s="577" t="s">
        <v>393</v>
      </c>
    </row>
    <row r="333" spans="1:20" ht="15.75" thickTop="1" x14ac:dyDescent="0.25">
      <c r="A333" s="2736">
        <v>1037</v>
      </c>
      <c r="B333" s="2737">
        <v>3112</v>
      </c>
      <c r="C333" s="2737">
        <v>5336</v>
      </c>
      <c r="D333" s="2738"/>
      <c r="E333" s="602" t="s">
        <v>856</v>
      </c>
      <c r="F333" s="686">
        <f>F334</f>
        <v>0</v>
      </c>
      <c r="G333" s="686">
        <f>G334</f>
        <v>910</v>
      </c>
      <c r="H333" s="686">
        <f>H334</f>
        <v>910</v>
      </c>
      <c r="I333" s="659">
        <f t="shared" ref="I333:I351" si="70">(H333/G333)*100</f>
        <v>100</v>
      </c>
    </row>
    <row r="334" spans="1:20" ht="14.25" x14ac:dyDescent="0.2">
      <c r="A334" s="921"/>
      <c r="B334" s="2427"/>
      <c r="C334" s="2427"/>
      <c r="D334" s="2726" t="s">
        <v>901</v>
      </c>
      <c r="E334" s="436" t="s">
        <v>1637</v>
      </c>
      <c r="F334" s="660">
        <v>0</v>
      </c>
      <c r="G334" s="660">
        <v>910</v>
      </c>
      <c r="H334" s="660">
        <v>910</v>
      </c>
      <c r="I334" s="656">
        <f t="shared" si="70"/>
        <v>100</v>
      </c>
    </row>
    <row r="335" spans="1:20" ht="15" hidden="1" x14ac:dyDescent="0.25">
      <c r="A335" s="921">
        <v>1037</v>
      </c>
      <c r="B335" s="2722">
        <v>3114</v>
      </c>
      <c r="C335" s="2722">
        <v>5331</v>
      </c>
      <c r="D335" s="2732"/>
      <c r="E335" s="602" t="s">
        <v>481</v>
      </c>
      <c r="F335" s="666">
        <f>F336+F337</f>
        <v>0</v>
      </c>
      <c r="G335" s="666">
        <f t="shared" ref="G335:H335" si="71">G336+G337</f>
        <v>0</v>
      </c>
      <c r="H335" s="666">
        <f t="shared" si="71"/>
        <v>0</v>
      </c>
      <c r="I335" s="667" t="e">
        <f t="shared" si="70"/>
        <v>#DIV/0!</v>
      </c>
    </row>
    <row r="336" spans="1:20" ht="15" hidden="1" x14ac:dyDescent="0.25">
      <c r="A336" s="921"/>
      <c r="B336" s="2722"/>
      <c r="C336" s="2722"/>
      <c r="D336" s="2742" t="s">
        <v>905</v>
      </c>
      <c r="E336" s="938" t="s">
        <v>408</v>
      </c>
      <c r="F336" s="668"/>
      <c r="G336" s="668"/>
      <c r="H336" s="668"/>
      <c r="I336" s="667"/>
    </row>
    <row r="337" spans="1:20" ht="14.25" hidden="1" x14ac:dyDescent="0.2">
      <c r="A337" s="921"/>
      <c r="B337" s="2722"/>
      <c r="C337" s="2722"/>
      <c r="D337" s="2726" t="s">
        <v>906</v>
      </c>
      <c r="E337" s="436" t="s">
        <v>38</v>
      </c>
      <c r="F337" s="665"/>
      <c r="G337" s="665"/>
      <c r="H337" s="665"/>
      <c r="I337" s="661" t="e">
        <f t="shared" si="70"/>
        <v>#DIV/0!</v>
      </c>
    </row>
    <row r="338" spans="1:20" s="1091" customFormat="1" ht="15" x14ac:dyDescent="0.25">
      <c r="A338" s="921">
        <v>1037</v>
      </c>
      <c r="B338" s="2722">
        <v>3114</v>
      </c>
      <c r="C338" s="2722">
        <v>5336</v>
      </c>
      <c r="D338" s="2724"/>
      <c r="E338" s="602" t="s">
        <v>856</v>
      </c>
      <c r="F338" s="872">
        <f>F339+F340+F341+F342+F343+F344</f>
        <v>0</v>
      </c>
      <c r="G338" s="872">
        <f>G339+G340+G341+G342+G343+G344</f>
        <v>15477</v>
      </c>
      <c r="H338" s="872">
        <f>H339+H340+H341+H342+H343+H344</f>
        <v>15477</v>
      </c>
      <c r="I338" s="667">
        <f t="shared" si="70"/>
        <v>100</v>
      </c>
    </row>
    <row r="339" spans="1:20" s="1091" customFormat="1" ht="14.25" hidden="1" x14ac:dyDescent="0.2">
      <c r="A339" s="921"/>
      <c r="B339" s="2722"/>
      <c r="C339" s="2722"/>
      <c r="D339" s="2725" t="s">
        <v>915</v>
      </c>
      <c r="E339" s="1351" t="s">
        <v>767</v>
      </c>
      <c r="F339" s="870"/>
      <c r="G339" s="978"/>
      <c r="H339" s="978"/>
      <c r="I339" s="367" t="e">
        <f t="shared" si="70"/>
        <v>#DIV/0!</v>
      </c>
    </row>
    <row r="340" spans="1:20" s="1091" customFormat="1" ht="14.25" x14ac:dyDescent="0.2">
      <c r="A340" s="921"/>
      <c r="B340" s="2722"/>
      <c r="C340" s="2722"/>
      <c r="D340" s="2725" t="s">
        <v>902</v>
      </c>
      <c r="E340" s="1352" t="s">
        <v>855</v>
      </c>
      <c r="F340" s="1600">
        <v>0</v>
      </c>
      <c r="G340" s="1600">
        <v>332</v>
      </c>
      <c r="H340" s="1600">
        <v>332</v>
      </c>
      <c r="I340" s="367">
        <f t="shared" ref="I340:I341" si="72">(H340/G340)*100</f>
        <v>100</v>
      </c>
    </row>
    <row r="341" spans="1:20" s="1091" customFormat="1" ht="14.25" x14ac:dyDescent="0.2">
      <c r="A341" s="921"/>
      <c r="B341" s="2722"/>
      <c r="C341" s="2722"/>
      <c r="D341" s="2724" t="s">
        <v>1896</v>
      </c>
      <c r="E341" s="1637" t="s">
        <v>1951</v>
      </c>
      <c r="F341" s="1643">
        <v>0</v>
      </c>
      <c r="G341" s="1643">
        <v>53</v>
      </c>
      <c r="H341" s="1643">
        <v>53</v>
      </c>
      <c r="I341" s="982">
        <f t="shared" si="72"/>
        <v>100</v>
      </c>
    </row>
    <row r="342" spans="1:20" s="1091" customFormat="1" ht="14.25" x14ac:dyDescent="0.2">
      <c r="A342" s="921"/>
      <c r="B342" s="2722"/>
      <c r="C342" s="2722"/>
      <c r="D342" s="2726" t="s">
        <v>901</v>
      </c>
      <c r="E342" s="436" t="s">
        <v>1637</v>
      </c>
      <c r="F342" s="870">
        <v>0</v>
      </c>
      <c r="G342" s="870">
        <v>14823</v>
      </c>
      <c r="H342" s="870">
        <v>14823</v>
      </c>
      <c r="I342" s="661">
        <f t="shared" si="70"/>
        <v>100</v>
      </c>
    </row>
    <row r="343" spans="1:20" s="1091" customFormat="1" ht="14.25" x14ac:dyDescent="0.2">
      <c r="A343" s="921"/>
      <c r="B343" s="2722"/>
      <c r="C343" s="2722"/>
      <c r="D343" s="620" t="s">
        <v>1144</v>
      </c>
      <c r="E343" s="938" t="s">
        <v>1515</v>
      </c>
      <c r="F343" s="870">
        <v>0</v>
      </c>
      <c r="G343" s="870">
        <v>40</v>
      </c>
      <c r="H343" s="870">
        <v>40</v>
      </c>
      <c r="I343" s="661">
        <f t="shared" si="70"/>
        <v>100</v>
      </c>
    </row>
    <row r="344" spans="1:20" s="1091" customFormat="1" ht="14.25" x14ac:dyDescent="0.2">
      <c r="A344" s="921"/>
      <c r="B344" s="2722"/>
      <c r="C344" s="2722"/>
      <c r="D344" s="505" t="s">
        <v>1145</v>
      </c>
      <c r="E344" s="938" t="s">
        <v>1515</v>
      </c>
      <c r="F344" s="870">
        <v>0</v>
      </c>
      <c r="G344" s="870">
        <v>229</v>
      </c>
      <c r="H344" s="870">
        <v>229</v>
      </c>
      <c r="I344" s="661">
        <f t="shared" si="70"/>
        <v>100</v>
      </c>
    </row>
    <row r="345" spans="1:20" s="1091" customFormat="1" ht="15" x14ac:dyDescent="0.25">
      <c r="A345" s="921">
        <v>1037</v>
      </c>
      <c r="B345" s="2722">
        <v>3124</v>
      </c>
      <c r="C345" s="2722">
        <v>5336</v>
      </c>
      <c r="D345" s="2732"/>
      <c r="E345" s="602" t="s">
        <v>856</v>
      </c>
      <c r="F345" s="666">
        <f>F346</f>
        <v>0</v>
      </c>
      <c r="G345" s="666">
        <f>G346</f>
        <v>294</v>
      </c>
      <c r="H345" s="666">
        <f>H346</f>
        <v>294</v>
      </c>
      <c r="I345" s="667">
        <f t="shared" ref="I345:I346" si="73">(H345/G345)*100</f>
        <v>100</v>
      </c>
    </row>
    <row r="346" spans="1:20" s="1091" customFormat="1" ht="14.25" x14ac:dyDescent="0.2">
      <c r="A346" s="921"/>
      <c r="B346" s="2722"/>
      <c r="C346" s="1350"/>
      <c r="D346" s="2726" t="s">
        <v>901</v>
      </c>
      <c r="E346" s="436" t="s">
        <v>1637</v>
      </c>
      <c r="F346" s="665">
        <v>0</v>
      </c>
      <c r="G346" s="665">
        <v>294</v>
      </c>
      <c r="H346" s="665">
        <v>294</v>
      </c>
      <c r="I346" s="661">
        <f t="shared" si="73"/>
        <v>100</v>
      </c>
    </row>
    <row r="347" spans="1:20" ht="15" x14ac:dyDescent="0.25">
      <c r="A347" s="921">
        <v>1037</v>
      </c>
      <c r="B347" s="2722">
        <v>3143</v>
      </c>
      <c r="C347" s="2722">
        <v>5336</v>
      </c>
      <c r="D347" s="2732"/>
      <c r="E347" s="602" t="s">
        <v>856</v>
      </c>
      <c r="F347" s="666">
        <f>F348</f>
        <v>0</v>
      </c>
      <c r="G347" s="666">
        <f>G348</f>
        <v>554</v>
      </c>
      <c r="H347" s="666">
        <f>H348</f>
        <v>554</v>
      </c>
      <c r="I347" s="667">
        <f t="shared" si="70"/>
        <v>100</v>
      </c>
    </row>
    <row r="348" spans="1:20" ht="14.25" x14ac:dyDescent="0.2">
      <c r="A348" s="921"/>
      <c r="B348" s="2722"/>
      <c r="C348" s="1350"/>
      <c r="D348" s="2726" t="s">
        <v>901</v>
      </c>
      <c r="E348" s="436" t="s">
        <v>1637</v>
      </c>
      <c r="F348" s="665">
        <v>0</v>
      </c>
      <c r="G348" s="665">
        <v>554</v>
      </c>
      <c r="H348" s="665">
        <v>554</v>
      </c>
      <c r="I348" s="661">
        <f t="shared" si="70"/>
        <v>100</v>
      </c>
    </row>
    <row r="349" spans="1:20" ht="18" customHeight="1" x14ac:dyDescent="0.25">
      <c r="A349" s="418">
        <v>1037</v>
      </c>
      <c r="B349" s="634">
        <v>3792</v>
      </c>
      <c r="C349" s="1350">
        <v>5331</v>
      </c>
      <c r="D349" s="505"/>
      <c r="E349" s="602" t="s">
        <v>481</v>
      </c>
      <c r="F349" s="675">
        <f>F350</f>
        <v>0</v>
      </c>
      <c r="G349" s="675">
        <f>G350</f>
        <v>10</v>
      </c>
      <c r="H349" s="675">
        <f>H350</f>
        <v>10</v>
      </c>
      <c r="I349" s="667">
        <f t="shared" si="70"/>
        <v>100</v>
      </c>
    </row>
    <row r="350" spans="1:20" ht="15" thickBot="1" x14ac:dyDescent="0.25">
      <c r="A350" s="418"/>
      <c r="B350" s="634"/>
      <c r="C350" s="918"/>
      <c r="D350" s="643" t="s">
        <v>1892</v>
      </c>
      <c r="E350" s="852" t="s">
        <v>1901</v>
      </c>
      <c r="F350" s="665">
        <v>0</v>
      </c>
      <c r="G350" s="665">
        <v>10</v>
      </c>
      <c r="H350" s="665">
        <v>10</v>
      </c>
      <c r="I350" s="661">
        <f t="shared" si="70"/>
        <v>100</v>
      </c>
    </row>
    <row r="351" spans="1:20" ht="18" customHeight="1" thickTop="1" thickBot="1" x14ac:dyDescent="0.3">
      <c r="A351" s="3233" t="s">
        <v>522</v>
      </c>
      <c r="B351" s="3234"/>
      <c r="C351" s="3234"/>
      <c r="D351" s="3234"/>
      <c r="E351" s="3234"/>
      <c r="F351" s="657">
        <f>SUM(F333,F335,F347,F345,F338,F349)</f>
        <v>0</v>
      </c>
      <c r="G351" s="657">
        <f>SUM(G333,G335,G347,G345,G338,G349)</f>
        <v>17245</v>
      </c>
      <c r="H351" s="657">
        <f>SUM(H333,H335,H347,H345,H338,H349)</f>
        <v>17245</v>
      </c>
      <c r="I351" s="658">
        <f t="shared" si="70"/>
        <v>100</v>
      </c>
      <c r="R351" s="373">
        <f>F351</f>
        <v>0</v>
      </c>
      <c r="S351" s="373">
        <f>G351</f>
        <v>17245</v>
      </c>
      <c r="T351" s="373">
        <f>H351</f>
        <v>17245</v>
      </c>
    </row>
    <row r="352" spans="1:20" ht="18" customHeight="1" thickTop="1" x14ac:dyDescent="0.25">
      <c r="A352" s="360"/>
      <c r="B352" s="360"/>
      <c r="C352" s="360"/>
      <c r="D352" s="360"/>
      <c r="E352" s="360"/>
      <c r="F352" s="177"/>
      <c r="G352" s="177"/>
      <c r="H352" s="177"/>
      <c r="I352" s="206"/>
      <c r="R352" s="373"/>
      <c r="S352" s="373"/>
      <c r="T352" s="373"/>
    </row>
    <row r="353" spans="1:20" ht="18" customHeight="1" x14ac:dyDescent="0.25">
      <c r="A353" s="360"/>
      <c r="B353" s="360"/>
      <c r="C353" s="360"/>
      <c r="D353" s="360"/>
      <c r="E353" s="360"/>
      <c r="F353" s="177"/>
      <c r="G353" s="177"/>
      <c r="H353" s="177"/>
      <c r="I353" s="206"/>
      <c r="R353" s="373"/>
      <c r="S353" s="373"/>
      <c r="T353" s="373"/>
    </row>
    <row r="354" spans="1:20" ht="16.5" customHeight="1" thickBot="1" x14ac:dyDescent="0.25">
      <c r="A354" s="419" t="s">
        <v>701</v>
      </c>
      <c r="I354" s="915" t="s">
        <v>92</v>
      </c>
    </row>
    <row r="355" spans="1:20" s="106" customFormat="1" thickTop="1" thickBot="1" x14ac:dyDescent="0.25">
      <c r="A355" s="572" t="s">
        <v>324</v>
      </c>
      <c r="B355" s="639" t="s">
        <v>93</v>
      </c>
      <c r="C355" s="573" t="s">
        <v>94</v>
      </c>
      <c r="D355" s="575" t="s">
        <v>364</v>
      </c>
      <c r="E355" s="575" t="s">
        <v>95</v>
      </c>
      <c r="F355" s="575" t="s">
        <v>328</v>
      </c>
      <c r="G355" s="575" t="s">
        <v>329</v>
      </c>
      <c r="H355" s="575" t="s">
        <v>448</v>
      </c>
      <c r="I355" s="651" t="s">
        <v>449</v>
      </c>
    </row>
    <row r="356" spans="1:20" s="961" customFormat="1" ht="13.5" thickTop="1" thickBot="1" x14ac:dyDescent="0.25">
      <c r="A356" s="956">
        <v>1</v>
      </c>
      <c r="B356" s="957">
        <v>2</v>
      </c>
      <c r="C356" s="957">
        <v>3</v>
      </c>
      <c r="D356" s="957">
        <v>4</v>
      </c>
      <c r="E356" s="957">
        <v>5</v>
      </c>
      <c r="F356" s="958">
        <v>6</v>
      </c>
      <c r="G356" s="958">
        <v>7</v>
      </c>
      <c r="H356" s="959">
        <v>8</v>
      </c>
      <c r="I356" s="960" t="s">
        <v>393</v>
      </c>
    </row>
    <row r="357" spans="1:20" s="941" customFormat="1" ht="15.75" thickTop="1" x14ac:dyDescent="0.25">
      <c r="A357" s="942">
        <v>1038</v>
      </c>
      <c r="B357" s="943">
        <v>3113</v>
      </c>
      <c r="C357" s="2737">
        <v>5336</v>
      </c>
      <c r="D357" s="944"/>
      <c r="E357" s="602" t="s">
        <v>856</v>
      </c>
      <c r="F357" s="945">
        <f>SUM(F358:F359)</f>
        <v>0</v>
      </c>
      <c r="G357" s="945">
        <f>SUM(G358:G359)</f>
        <v>217</v>
      </c>
      <c r="H357" s="945">
        <f>SUM(H358:H359)</f>
        <v>217</v>
      </c>
      <c r="I357" s="946">
        <f t="shared" ref="I357:I378" si="74">(H357/G357)*100</f>
        <v>100</v>
      </c>
    </row>
    <row r="358" spans="1:20" s="941" customFormat="1" ht="14.25" x14ac:dyDescent="0.2">
      <c r="A358" s="962"/>
      <c r="B358" s="963"/>
      <c r="C358" s="963"/>
      <c r="D358" s="620" t="s">
        <v>1144</v>
      </c>
      <c r="E358" s="964" t="s">
        <v>1515</v>
      </c>
      <c r="F358" s="875">
        <v>0</v>
      </c>
      <c r="G358" s="875">
        <v>33</v>
      </c>
      <c r="H358" s="875">
        <v>33</v>
      </c>
      <c r="I358" s="871">
        <f t="shared" si="74"/>
        <v>100</v>
      </c>
    </row>
    <row r="359" spans="1:20" ht="14.25" x14ac:dyDescent="0.2">
      <c r="A359" s="418"/>
      <c r="B359" s="603"/>
      <c r="C359" s="671"/>
      <c r="D359" s="505" t="s">
        <v>1145</v>
      </c>
      <c r="E359" s="436" t="s">
        <v>1515</v>
      </c>
      <c r="F359" s="660">
        <v>0</v>
      </c>
      <c r="G359" s="660">
        <v>184</v>
      </c>
      <c r="H359" s="660">
        <v>184</v>
      </c>
      <c r="I359" s="656">
        <f t="shared" si="74"/>
        <v>100</v>
      </c>
    </row>
    <row r="360" spans="1:20" ht="15" x14ac:dyDescent="0.25">
      <c r="A360" s="921">
        <v>1038</v>
      </c>
      <c r="B360" s="2722">
        <v>3114</v>
      </c>
      <c r="C360" s="1350">
        <v>5336</v>
      </c>
      <c r="D360" s="869"/>
      <c r="E360" s="602" t="s">
        <v>856</v>
      </c>
      <c r="F360" s="872">
        <f>F361+F363+F364+F365+F366</f>
        <v>0</v>
      </c>
      <c r="G360" s="872">
        <f t="shared" ref="G360:H360" si="75">G361+G363+G364+G365+G366</f>
        <v>11768</v>
      </c>
      <c r="H360" s="872">
        <f t="shared" si="75"/>
        <v>11768</v>
      </c>
      <c r="I360" s="667">
        <f t="shared" si="74"/>
        <v>100</v>
      </c>
    </row>
    <row r="361" spans="1:20" ht="14.25" x14ac:dyDescent="0.2">
      <c r="A361" s="921"/>
      <c r="B361" s="2722"/>
      <c r="C361" s="1350"/>
      <c r="D361" s="2725" t="s">
        <v>902</v>
      </c>
      <c r="E361" s="1352" t="s">
        <v>855</v>
      </c>
      <c r="F361" s="1600">
        <v>0</v>
      </c>
      <c r="G361" s="1600">
        <v>332</v>
      </c>
      <c r="H361" s="1600">
        <v>332</v>
      </c>
      <c r="I361" s="367">
        <f t="shared" ref="I361:I364" si="76">(H361/G361)*100</f>
        <v>100</v>
      </c>
    </row>
    <row r="362" spans="1:20" ht="28.5" hidden="1" x14ac:dyDescent="0.2">
      <c r="A362" s="921"/>
      <c r="B362" s="2722"/>
      <c r="C362" s="1350"/>
      <c r="D362" s="869" t="s">
        <v>903</v>
      </c>
      <c r="E362" s="1637" t="s">
        <v>904</v>
      </c>
      <c r="F362" s="1643"/>
      <c r="G362" s="1643"/>
      <c r="H362" s="1643"/>
      <c r="I362" s="982" t="e">
        <f t="shared" si="76"/>
        <v>#DIV/0!</v>
      </c>
    </row>
    <row r="363" spans="1:20" ht="14.25" customHeight="1" x14ac:dyDescent="0.2">
      <c r="A363" s="921"/>
      <c r="B363" s="2722"/>
      <c r="C363" s="1350"/>
      <c r="D363" s="2725" t="s">
        <v>1894</v>
      </c>
      <c r="E363" s="3102" t="s">
        <v>1953</v>
      </c>
      <c r="F363" s="311">
        <v>0</v>
      </c>
      <c r="G363" s="311">
        <v>21</v>
      </c>
      <c r="H363" s="311">
        <v>21</v>
      </c>
      <c r="I363" s="816">
        <f t="shared" si="76"/>
        <v>100</v>
      </c>
    </row>
    <row r="364" spans="1:20" ht="14.25" x14ac:dyDescent="0.2">
      <c r="A364" s="921"/>
      <c r="B364" s="2722"/>
      <c r="C364" s="1350"/>
      <c r="D364" s="2725" t="s">
        <v>1896</v>
      </c>
      <c r="E364" s="3102" t="s">
        <v>1951</v>
      </c>
      <c r="F364" s="311">
        <v>0</v>
      </c>
      <c r="G364" s="311">
        <v>40</v>
      </c>
      <c r="H364" s="311">
        <v>40</v>
      </c>
      <c r="I364" s="816">
        <f t="shared" si="76"/>
        <v>100</v>
      </c>
    </row>
    <row r="365" spans="1:20" ht="14.25" x14ac:dyDescent="0.2">
      <c r="A365" s="921"/>
      <c r="B365" s="2722"/>
      <c r="C365" s="1350"/>
      <c r="D365" s="2726" t="s">
        <v>901</v>
      </c>
      <c r="E365" s="436" t="s">
        <v>1637</v>
      </c>
      <c r="F365" s="870">
        <v>0</v>
      </c>
      <c r="G365" s="870">
        <v>11254</v>
      </c>
      <c r="H365" s="870">
        <v>11254</v>
      </c>
      <c r="I365" s="656">
        <f t="shared" si="74"/>
        <v>100</v>
      </c>
    </row>
    <row r="366" spans="1:20" ht="14.25" x14ac:dyDescent="0.2">
      <c r="A366" s="921"/>
      <c r="B366" s="2722"/>
      <c r="C366" s="1350"/>
      <c r="D366" s="2726" t="s">
        <v>918</v>
      </c>
      <c r="E366" s="3236" t="s">
        <v>857</v>
      </c>
      <c r="F366" s="870">
        <v>0</v>
      </c>
      <c r="G366" s="870">
        <v>121</v>
      </c>
      <c r="H366" s="870">
        <v>121</v>
      </c>
      <c r="I366" s="874">
        <f t="shared" si="74"/>
        <v>100</v>
      </c>
    </row>
    <row r="367" spans="1:20" ht="15" x14ac:dyDescent="0.25">
      <c r="A367" s="921"/>
      <c r="B367" s="2722"/>
      <c r="C367" s="1350"/>
      <c r="D367" s="2724"/>
      <c r="E367" s="3237"/>
      <c r="F367" s="675"/>
      <c r="G367" s="668"/>
      <c r="H367" s="668"/>
      <c r="I367" s="874"/>
    </row>
    <row r="368" spans="1:20" ht="15" x14ac:dyDescent="0.25">
      <c r="A368" s="921">
        <v>1038</v>
      </c>
      <c r="B368" s="2722">
        <v>3122</v>
      </c>
      <c r="C368" s="1350">
        <v>5336</v>
      </c>
      <c r="D368" s="869"/>
      <c r="E368" s="602" t="s">
        <v>856</v>
      </c>
      <c r="F368" s="675">
        <f>F369+F370</f>
        <v>0</v>
      </c>
      <c r="G368" s="675">
        <f t="shared" ref="G368:H368" si="77">G369+G370</f>
        <v>141</v>
      </c>
      <c r="H368" s="675">
        <f t="shared" si="77"/>
        <v>141</v>
      </c>
      <c r="I368" s="667">
        <f>(H368/G368)*100</f>
        <v>100</v>
      </c>
    </row>
    <row r="369" spans="1:20" ht="14.25" x14ac:dyDescent="0.2">
      <c r="A369" s="921"/>
      <c r="B369" s="2722"/>
      <c r="C369" s="1350"/>
      <c r="D369" s="620" t="s">
        <v>1144</v>
      </c>
      <c r="E369" s="938" t="s">
        <v>1515</v>
      </c>
      <c r="F369" s="668">
        <v>0</v>
      </c>
      <c r="G369" s="668">
        <v>21</v>
      </c>
      <c r="H369" s="668">
        <v>21</v>
      </c>
      <c r="I369" s="874">
        <f t="shared" si="74"/>
        <v>100</v>
      </c>
    </row>
    <row r="370" spans="1:20" ht="14.25" x14ac:dyDescent="0.2">
      <c r="A370" s="921"/>
      <c r="B370" s="2722"/>
      <c r="C370" s="1350"/>
      <c r="D370" s="505" t="s">
        <v>1145</v>
      </c>
      <c r="E370" s="938" t="s">
        <v>1515</v>
      </c>
      <c r="F370" s="668">
        <v>0</v>
      </c>
      <c r="G370" s="668">
        <v>120</v>
      </c>
      <c r="H370" s="668">
        <v>120</v>
      </c>
      <c r="I370" s="874">
        <f t="shared" si="74"/>
        <v>100</v>
      </c>
    </row>
    <row r="371" spans="1:20" ht="15" x14ac:dyDescent="0.25">
      <c r="A371" s="921">
        <v>1038</v>
      </c>
      <c r="B371" s="2722">
        <v>3124</v>
      </c>
      <c r="C371" s="2722">
        <v>5336</v>
      </c>
      <c r="D371" s="2724"/>
      <c r="E371" s="602" t="s">
        <v>856</v>
      </c>
      <c r="F371" s="872">
        <f>F372</f>
        <v>0</v>
      </c>
      <c r="G371" s="872">
        <f>G372</f>
        <v>2827</v>
      </c>
      <c r="H371" s="872">
        <f>H372</f>
        <v>2827</v>
      </c>
      <c r="I371" s="667">
        <f t="shared" si="74"/>
        <v>100</v>
      </c>
    </row>
    <row r="372" spans="1:20" ht="14.25" x14ac:dyDescent="0.2">
      <c r="A372" s="921"/>
      <c r="B372" s="2427"/>
      <c r="C372" s="2427"/>
      <c r="D372" s="2726" t="s">
        <v>901</v>
      </c>
      <c r="E372" s="436" t="s">
        <v>1637</v>
      </c>
      <c r="F372" s="909">
        <v>0</v>
      </c>
      <c r="G372" s="909">
        <v>2827</v>
      </c>
      <c r="H372" s="909">
        <v>2827</v>
      </c>
      <c r="I372" s="656">
        <f t="shared" si="74"/>
        <v>100</v>
      </c>
    </row>
    <row r="373" spans="1:20" ht="15" x14ac:dyDescent="0.25">
      <c r="A373" s="921">
        <v>1038</v>
      </c>
      <c r="B373" s="2427">
        <v>3141</v>
      </c>
      <c r="C373" s="2427">
        <v>5336</v>
      </c>
      <c r="D373" s="2726"/>
      <c r="E373" s="602" t="s">
        <v>856</v>
      </c>
      <c r="F373" s="980">
        <f>F374</f>
        <v>0</v>
      </c>
      <c r="G373" s="980">
        <f>G374</f>
        <v>69</v>
      </c>
      <c r="H373" s="980">
        <f>H374</f>
        <v>69</v>
      </c>
      <c r="I373" s="680">
        <f t="shared" si="74"/>
        <v>100</v>
      </c>
    </row>
    <row r="374" spans="1:20" ht="14.25" x14ac:dyDescent="0.2">
      <c r="A374" s="921"/>
      <c r="B374" s="2427"/>
      <c r="C374" s="2427"/>
      <c r="D374" s="2726" t="s">
        <v>901</v>
      </c>
      <c r="E374" s="436" t="s">
        <v>1637</v>
      </c>
      <c r="F374" s="909">
        <v>0</v>
      </c>
      <c r="G374" s="909">
        <v>69</v>
      </c>
      <c r="H374" s="909">
        <v>69</v>
      </c>
      <c r="I374" s="656">
        <f t="shared" si="74"/>
        <v>100</v>
      </c>
    </row>
    <row r="375" spans="1:20" ht="15" x14ac:dyDescent="0.25">
      <c r="A375" s="921">
        <v>1038</v>
      </c>
      <c r="B375" s="2722">
        <v>3143</v>
      </c>
      <c r="C375" s="2722">
        <v>5336</v>
      </c>
      <c r="D375" s="2732"/>
      <c r="E375" s="602" t="s">
        <v>856</v>
      </c>
      <c r="F375" s="666">
        <f>F376</f>
        <v>0</v>
      </c>
      <c r="G375" s="666">
        <f>G376</f>
        <v>519</v>
      </c>
      <c r="H375" s="666">
        <f>H376</f>
        <v>519</v>
      </c>
      <c r="I375" s="667">
        <f t="shared" si="74"/>
        <v>100</v>
      </c>
    </row>
    <row r="376" spans="1:20" ht="15" thickBot="1" x14ac:dyDescent="0.25">
      <c r="A376" s="921"/>
      <c r="B376" s="2722"/>
      <c r="C376" s="2722"/>
      <c r="D376" s="2726" t="s">
        <v>901</v>
      </c>
      <c r="E376" s="436" t="s">
        <v>1637</v>
      </c>
      <c r="F376" s="665">
        <v>0</v>
      </c>
      <c r="G376" s="665">
        <v>519</v>
      </c>
      <c r="H376" s="665">
        <v>519</v>
      </c>
      <c r="I376" s="661">
        <f t="shared" si="74"/>
        <v>100</v>
      </c>
    </row>
    <row r="377" spans="1:20" ht="15.75" hidden="1" thickBot="1" x14ac:dyDescent="0.3">
      <c r="A377" s="418">
        <v>1038</v>
      </c>
      <c r="B377" s="634">
        <v>3293</v>
      </c>
      <c r="C377" s="634">
        <v>5336</v>
      </c>
      <c r="D377" s="684"/>
      <c r="E377" s="602" t="s">
        <v>856</v>
      </c>
      <c r="F377" s="675"/>
      <c r="G377" s="675">
        <f>G378</f>
        <v>0</v>
      </c>
      <c r="H377" s="675">
        <f>H378</f>
        <v>0</v>
      </c>
      <c r="I377" s="667" t="e">
        <f t="shared" si="74"/>
        <v>#DIV/0!</v>
      </c>
    </row>
    <row r="378" spans="1:20" ht="15" hidden="1" thickBot="1" x14ac:dyDescent="0.25">
      <c r="A378" s="418"/>
      <c r="B378" s="634"/>
      <c r="C378" s="634"/>
      <c r="D378" s="810" t="s">
        <v>913</v>
      </c>
      <c r="E378" s="1605" t="s">
        <v>570</v>
      </c>
      <c r="F378" s="665"/>
      <c r="G378" s="665"/>
      <c r="H378" s="665"/>
      <c r="I378" s="661" t="e">
        <f t="shared" si="74"/>
        <v>#DIV/0!</v>
      </c>
    </row>
    <row r="379" spans="1:20" ht="16.5" thickTop="1" thickBot="1" x14ac:dyDescent="0.3">
      <c r="A379" s="3233" t="s">
        <v>522</v>
      </c>
      <c r="B379" s="3234"/>
      <c r="C379" s="3234"/>
      <c r="D379" s="3234"/>
      <c r="E379" s="3234"/>
      <c r="F379" s="657">
        <f>SUM(F357,F375,F371,F377,F360,F368,F373)</f>
        <v>0</v>
      </c>
      <c r="G379" s="657">
        <f t="shared" ref="G379:H379" si="78">SUM(G357,G375,G371,G377,G360,G368,G373)</f>
        <v>15541</v>
      </c>
      <c r="H379" s="657">
        <f t="shared" si="78"/>
        <v>15541</v>
      </c>
      <c r="I379" s="658">
        <f>(H379/G379)*100</f>
        <v>100</v>
      </c>
      <c r="R379" s="373">
        <f>F379</f>
        <v>0</v>
      </c>
      <c r="S379" s="373">
        <f>G379</f>
        <v>15541</v>
      </c>
      <c r="T379" s="373">
        <f>H379</f>
        <v>15541</v>
      </c>
    </row>
    <row r="380" spans="1:20" s="941" customFormat="1" ht="13.5" thickTop="1" x14ac:dyDescent="0.2">
      <c r="B380" s="953"/>
      <c r="D380" s="954"/>
      <c r="F380" s="952"/>
      <c r="G380" s="952"/>
      <c r="H380" s="952"/>
      <c r="I380" s="955"/>
    </row>
    <row r="381" spans="1:20" s="941" customFormat="1" x14ac:dyDescent="0.2">
      <c r="B381" s="953"/>
      <c r="D381" s="954"/>
      <c r="F381" s="952"/>
      <c r="G381" s="952"/>
      <c r="H381" s="952"/>
      <c r="I381" s="955"/>
    </row>
    <row r="382" spans="1:20" ht="13.5" thickBot="1" x14ac:dyDescent="0.25">
      <c r="A382" s="419" t="s">
        <v>27</v>
      </c>
      <c r="I382" s="915" t="s">
        <v>92</v>
      </c>
    </row>
    <row r="383" spans="1:20" s="106" customFormat="1" thickTop="1" thickBot="1" x14ac:dyDescent="0.25">
      <c r="A383" s="572" t="s">
        <v>324</v>
      </c>
      <c r="B383" s="639" t="s">
        <v>93</v>
      </c>
      <c r="C383" s="573" t="s">
        <v>94</v>
      </c>
      <c r="D383" s="575" t="s">
        <v>364</v>
      </c>
      <c r="E383" s="575" t="s">
        <v>95</v>
      </c>
      <c r="F383" s="575" t="s">
        <v>328</v>
      </c>
      <c r="G383" s="575" t="s">
        <v>329</v>
      </c>
      <c r="H383" s="575" t="s">
        <v>448</v>
      </c>
      <c r="I383" s="651" t="s">
        <v>449</v>
      </c>
    </row>
    <row r="384" spans="1:20" s="374" customFormat="1" ht="13.5" thickTop="1" thickBot="1" x14ac:dyDescent="0.25">
      <c r="A384" s="511">
        <v>1</v>
      </c>
      <c r="B384" s="512">
        <v>2</v>
      </c>
      <c r="C384" s="512">
        <v>3</v>
      </c>
      <c r="D384" s="512">
        <v>4</v>
      </c>
      <c r="E384" s="512">
        <v>5</v>
      </c>
      <c r="F384" s="499">
        <v>6</v>
      </c>
      <c r="G384" s="499">
        <v>7</v>
      </c>
      <c r="H384" s="500">
        <v>8</v>
      </c>
      <c r="I384" s="577" t="s">
        <v>393</v>
      </c>
    </row>
    <row r="385" spans="1:9" ht="15.75" thickTop="1" x14ac:dyDescent="0.25">
      <c r="A385" s="921">
        <v>1040</v>
      </c>
      <c r="B385" s="2722">
        <v>3112</v>
      </c>
      <c r="C385" s="2722">
        <v>5336</v>
      </c>
      <c r="D385" s="2732"/>
      <c r="E385" s="602" t="s">
        <v>856</v>
      </c>
      <c r="F385" s="675">
        <f>F386</f>
        <v>0</v>
      </c>
      <c r="G385" s="675">
        <f>G386</f>
        <v>6749</v>
      </c>
      <c r="H385" s="675">
        <f>H386</f>
        <v>6749</v>
      </c>
      <c r="I385" s="654">
        <f t="shared" ref="I385:I403" si="79">(H385/G385)*100</f>
        <v>100</v>
      </c>
    </row>
    <row r="386" spans="1:9" ht="14.25" x14ac:dyDescent="0.2">
      <c r="A386" s="921"/>
      <c r="B386" s="2722"/>
      <c r="C386" s="2722"/>
      <c r="D386" s="2724" t="s">
        <v>901</v>
      </c>
      <c r="E386" s="692" t="s">
        <v>1637</v>
      </c>
      <c r="F386" s="668">
        <v>0</v>
      </c>
      <c r="G386" s="668">
        <v>6749</v>
      </c>
      <c r="H386" s="668">
        <v>6749</v>
      </c>
      <c r="I386" s="656">
        <f t="shared" si="79"/>
        <v>100</v>
      </c>
    </row>
    <row r="387" spans="1:9" ht="15" hidden="1" x14ac:dyDescent="0.25">
      <c r="A387" s="921">
        <v>1040</v>
      </c>
      <c r="B387" s="2427">
        <v>3114</v>
      </c>
      <c r="C387" s="2427">
        <v>5331</v>
      </c>
      <c r="D387" s="2743"/>
      <c r="E387" s="644" t="s">
        <v>481</v>
      </c>
      <c r="F387" s="653">
        <f>SUM(F388:F389)</f>
        <v>0</v>
      </c>
      <c r="G387" s="653">
        <f>SUM(G388:G389)</f>
        <v>0</v>
      </c>
      <c r="H387" s="653">
        <f>SUM(H388:H389)</f>
        <v>0</v>
      </c>
      <c r="I387" s="654" t="e">
        <f t="shared" si="79"/>
        <v>#DIV/0!</v>
      </c>
    </row>
    <row r="388" spans="1:9" ht="14.25" hidden="1" x14ac:dyDescent="0.2">
      <c r="A388" s="921"/>
      <c r="B388" s="2427"/>
      <c r="C388" s="2427"/>
      <c r="D388" s="2742" t="s">
        <v>905</v>
      </c>
      <c r="E388" s="938" t="s">
        <v>408</v>
      </c>
      <c r="F388" s="660"/>
      <c r="G388" s="660"/>
      <c r="H388" s="660"/>
      <c r="I388" s="656" t="e">
        <f t="shared" si="79"/>
        <v>#DIV/0!</v>
      </c>
    </row>
    <row r="389" spans="1:9" ht="14.25" hidden="1" x14ac:dyDescent="0.2">
      <c r="A389" s="921"/>
      <c r="B389" s="2427"/>
      <c r="C389" s="2427"/>
      <c r="D389" s="2726" t="s">
        <v>906</v>
      </c>
      <c r="E389" s="436" t="s">
        <v>38</v>
      </c>
      <c r="F389" s="660"/>
      <c r="G389" s="660"/>
      <c r="H389" s="660"/>
      <c r="I389" s="656" t="e">
        <f t="shared" si="79"/>
        <v>#DIV/0!</v>
      </c>
    </row>
    <row r="390" spans="1:9" s="1091" customFormat="1" ht="15" x14ac:dyDescent="0.25">
      <c r="A390" s="921">
        <v>1040</v>
      </c>
      <c r="B390" s="2722">
        <v>3114</v>
      </c>
      <c r="C390" s="2722">
        <v>5336</v>
      </c>
      <c r="D390" s="2724"/>
      <c r="E390" s="602" t="s">
        <v>856</v>
      </c>
      <c r="F390" s="872">
        <f>F391+F392+F393</f>
        <v>0</v>
      </c>
      <c r="G390" s="872">
        <f>G391+G392+G393</f>
        <v>23472</v>
      </c>
      <c r="H390" s="872">
        <f>H391+H392+H393</f>
        <v>23472</v>
      </c>
      <c r="I390" s="654">
        <f t="shared" si="79"/>
        <v>100</v>
      </c>
    </row>
    <row r="391" spans="1:9" s="1091" customFormat="1" ht="14.25" x14ac:dyDescent="0.2">
      <c r="A391" s="921"/>
      <c r="B391" s="2722"/>
      <c r="C391" s="2722"/>
      <c r="D391" s="2725" t="s">
        <v>902</v>
      </c>
      <c r="E391" s="1352" t="s">
        <v>855</v>
      </c>
      <c r="F391" s="1600">
        <v>0</v>
      </c>
      <c r="G391" s="1600">
        <v>681</v>
      </c>
      <c r="H391" s="1600">
        <v>681</v>
      </c>
      <c r="I391" s="367">
        <f t="shared" ref="I391:I392" si="80">(H391/G391)*100</f>
        <v>100</v>
      </c>
    </row>
    <row r="392" spans="1:9" s="1091" customFormat="1" ht="14.25" x14ac:dyDescent="0.2">
      <c r="A392" s="921"/>
      <c r="B392" s="2722"/>
      <c r="C392" s="2722"/>
      <c r="D392" s="2724" t="s">
        <v>1896</v>
      </c>
      <c r="E392" s="1637" t="s">
        <v>1951</v>
      </c>
      <c r="F392" s="1643">
        <v>0</v>
      </c>
      <c r="G392" s="1643">
        <v>143</v>
      </c>
      <c r="H392" s="1643">
        <v>143</v>
      </c>
      <c r="I392" s="982">
        <f t="shared" si="80"/>
        <v>100</v>
      </c>
    </row>
    <row r="393" spans="1:9" s="1091" customFormat="1" ht="14.25" x14ac:dyDescent="0.2">
      <c r="A393" s="921"/>
      <c r="B393" s="2722"/>
      <c r="C393" s="2722"/>
      <c r="D393" s="2726" t="s">
        <v>901</v>
      </c>
      <c r="E393" s="436" t="s">
        <v>1637</v>
      </c>
      <c r="F393" s="870">
        <v>0</v>
      </c>
      <c r="G393" s="870">
        <v>22648</v>
      </c>
      <c r="H393" s="870">
        <v>22648</v>
      </c>
      <c r="I393" s="656">
        <f t="shared" si="79"/>
        <v>100</v>
      </c>
    </row>
    <row r="394" spans="1:9" ht="15" x14ac:dyDescent="0.25">
      <c r="A394" s="921">
        <v>1040</v>
      </c>
      <c r="B394" s="2722">
        <v>3124</v>
      </c>
      <c r="C394" s="2722">
        <v>5336</v>
      </c>
      <c r="D394" s="2726"/>
      <c r="E394" s="602" t="s">
        <v>856</v>
      </c>
      <c r="F394" s="675">
        <f>F395</f>
        <v>0</v>
      </c>
      <c r="G394" s="675">
        <f>G395</f>
        <v>3188</v>
      </c>
      <c r="H394" s="675">
        <f>H395</f>
        <v>3188</v>
      </c>
      <c r="I394" s="654">
        <f t="shared" si="79"/>
        <v>100</v>
      </c>
    </row>
    <row r="395" spans="1:9" ht="14.25" x14ac:dyDescent="0.2">
      <c r="A395" s="921"/>
      <c r="B395" s="2722"/>
      <c r="C395" s="2722"/>
      <c r="D395" s="2726" t="s">
        <v>901</v>
      </c>
      <c r="E395" s="436" t="s">
        <v>1637</v>
      </c>
      <c r="F395" s="665">
        <v>0</v>
      </c>
      <c r="G395" s="665">
        <v>3188</v>
      </c>
      <c r="H395" s="665">
        <v>3188</v>
      </c>
      <c r="I395" s="661">
        <f t="shared" si="79"/>
        <v>100</v>
      </c>
    </row>
    <row r="396" spans="1:9" ht="15" x14ac:dyDescent="0.25">
      <c r="A396" s="921">
        <v>1040</v>
      </c>
      <c r="B396" s="2722">
        <v>3141</v>
      </c>
      <c r="C396" s="2722">
        <v>5336</v>
      </c>
      <c r="D396" s="2726"/>
      <c r="E396" s="602" t="s">
        <v>856</v>
      </c>
      <c r="F396" s="675">
        <f>F397</f>
        <v>0</v>
      </c>
      <c r="G396" s="675">
        <f>G397</f>
        <v>243</v>
      </c>
      <c r="H396" s="675">
        <f>H397</f>
        <v>243</v>
      </c>
      <c r="I396" s="669">
        <f t="shared" si="79"/>
        <v>100</v>
      </c>
    </row>
    <row r="397" spans="1:9" ht="14.25" x14ac:dyDescent="0.2">
      <c r="A397" s="921"/>
      <c r="B397" s="2722"/>
      <c r="C397" s="2722"/>
      <c r="D397" s="2726" t="s">
        <v>901</v>
      </c>
      <c r="E397" s="436" t="s">
        <v>1637</v>
      </c>
      <c r="F397" s="665">
        <v>0</v>
      </c>
      <c r="G397" s="665">
        <v>243</v>
      </c>
      <c r="H397" s="665">
        <v>243</v>
      </c>
      <c r="I397" s="661">
        <f t="shared" si="79"/>
        <v>100</v>
      </c>
    </row>
    <row r="398" spans="1:9" ht="15" x14ac:dyDescent="0.25">
      <c r="A398" s="921">
        <v>1040</v>
      </c>
      <c r="B398" s="2722">
        <v>3143</v>
      </c>
      <c r="C398" s="2722">
        <v>5336</v>
      </c>
      <c r="D398" s="2726"/>
      <c r="E398" s="602" t="s">
        <v>856</v>
      </c>
      <c r="F398" s="675">
        <f>F399</f>
        <v>0</v>
      </c>
      <c r="G398" s="675">
        <f>G399</f>
        <v>1082</v>
      </c>
      <c r="H398" s="675">
        <f>H399</f>
        <v>1082</v>
      </c>
      <c r="I398" s="669">
        <f t="shared" si="79"/>
        <v>100</v>
      </c>
    </row>
    <row r="399" spans="1:9" ht="14.25" x14ac:dyDescent="0.2">
      <c r="A399" s="921"/>
      <c r="B399" s="2722"/>
      <c r="C399" s="1350"/>
      <c r="D399" s="2726" t="s">
        <v>901</v>
      </c>
      <c r="E399" s="436" t="s">
        <v>1637</v>
      </c>
      <c r="F399" s="665">
        <v>0</v>
      </c>
      <c r="G399" s="665">
        <v>1082</v>
      </c>
      <c r="H399" s="665">
        <v>1082</v>
      </c>
      <c r="I399" s="661">
        <f t="shared" si="79"/>
        <v>100</v>
      </c>
    </row>
    <row r="400" spans="1:9" ht="15" x14ac:dyDescent="0.25">
      <c r="A400" s="921">
        <v>1040</v>
      </c>
      <c r="B400" s="2722">
        <v>3145</v>
      </c>
      <c r="C400" s="2722">
        <v>5336</v>
      </c>
      <c r="D400" s="2726"/>
      <c r="E400" s="602" t="s">
        <v>856</v>
      </c>
      <c r="F400" s="675">
        <f>F401</f>
        <v>0</v>
      </c>
      <c r="G400" s="675">
        <f>G401</f>
        <v>1630</v>
      </c>
      <c r="H400" s="675">
        <f>H401</f>
        <v>1630</v>
      </c>
      <c r="I400" s="669">
        <f t="shared" si="79"/>
        <v>100</v>
      </c>
    </row>
    <row r="401" spans="1:20" ht="14.25" x14ac:dyDescent="0.2">
      <c r="A401" s="921"/>
      <c r="B401" s="2722"/>
      <c r="C401" s="1350"/>
      <c r="D401" s="2726" t="s">
        <v>901</v>
      </c>
      <c r="E401" s="436" t="s">
        <v>1637</v>
      </c>
      <c r="F401" s="665">
        <v>0</v>
      </c>
      <c r="G401" s="665">
        <v>1630</v>
      </c>
      <c r="H401" s="665">
        <v>1630</v>
      </c>
      <c r="I401" s="661">
        <f t="shared" si="79"/>
        <v>100</v>
      </c>
    </row>
    <row r="402" spans="1:20" ht="15" x14ac:dyDescent="0.25">
      <c r="A402" s="418">
        <v>1040</v>
      </c>
      <c r="B402" s="634">
        <v>5399</v>
      </c>
      <c r="C402" s="2722">
        <v>5336</v>
      </c>
      <c r="D402" s="2726"/>
      <c r="E402" s="602" t="s">
        <v>856</v>
      </c>
      <c r="F402" s="675">
        <f>F403</f>
        <v>0</v>
      </c>
      <c r="G402" s="675">
        <f>G403</f>
        <v>55</v>
      </c>
      <c r="H402" s="675">
        <f>H403</f>
        <v>55</v>
      </c>
      <c r="I402" s="669">
        <f t="shared" si="79"/>
        <v>100</v>
      </c>
    </row>
    <row r="403" spans="1:20" ht="15" thickBot="1" x14ac:dyDescent="0.25">
      <c r="A403" s="418"/>
      <c r="B403" s="634"/>
      <c r="C403" s="918"/>
      <c r="D403" s="802" t="s">
        <v>937</v>
      </c>
      <c r="E403" s="852" t="s">
        <v>1954</v>
      </c>
      <c r="F403" s="665">
        <v>0</v>
      </c>
      <c r="G403" s="665">
        <v>55</v>
      </c>
      <c r="H403" s="665">
        <v>55</v>
      </c>
      <c r="I403" s="661">
        <f t="shared" si="79"/>
        <v>100</v>
      </c>
    </row>
    <row r="404" spans="1:20" ht="16.5" thickTop="1" thickBot="1" x14ac:dyDescent="0.3">
      <c r="A404" s="3233" t="s">
        <v>522</v>
      </c>
      <c r="B404" s="3234"/>
      <c r="C404" s="3234"/>
      <c r="D404" s="3234"/>
      <c r="E404" s="3234"/>
      <c r="F404" s="657">
        <f>F402+F400+F398+F396+F394+F390+F385</f>
        <v>0</v>
      </c>
      <c r="G404" s="657">
        <f t="shared" ref="G404:H404" si="81">G402+G400+G398+G396+G394+G390+G385</f>
        <v>36419</v>
      </c>
      <c r="H404" s="657">
        <f t="shared" si="81"/>
        <v>36419</v>
      </c>
      <c r="I404" s="658">
        <f>(H404/G404)*100</f>
        <v>100</v>
      </c>
      <c r="R404" s="373">
        <f>F404</f>
        <v>0</v>
      </c>
      <c r="S404" s="373">
        <f>G404</f>
        <v>36419</v>
      </c>
      <c r="T404" s="373">
        <f>H404</f>
        <v>36419</v>
      </c>
    </row>
    <row r="405" spans="1:20" ht="13.5" thickTop="1" x14ac:dyDescent="0.2"/>
    <row r="422" spans="1:9" s="1391" customFormat="1" ht="20.25" customHeight="1" thickBot="1" x14ac:dyDescent="0.25">
      <c r="A422" s="1427" t="s">
        <v>859</v>
      </c>
      <c r="B422" s="2239"/>
      <c r="D422" s="1492"/>
      <c r="F422" s="1396"/>
      <c r="G422" s="1396"/>
      <c r="H422" s="1396"/>
      <c r="I422" s="2240" t="s">
        <v>92</v>
      </c>
    </row>
    <row r="423" spans="1:9" s="2246" customFormat="1" thickTop="1" thickBot="1" x14ac:dyDescent="0.25">
      <c r="A423" s="2241" t="s">
        <v>324</v>
      </c>
      <c r="B423" s="2242" t="s">
        <v>93</v>
      </c>
      <c r="C423" s="2243" t="s">
        <v>94</v>
      </c>
      <c r="D423" s="2244" t="s">
        <v>364</v>
      </c>
      <c r="E423" s="2244" t="s">
        <v>95</v>
      </c>
      <c r="F423" s="2244" t="s">
        <v>328</v>
      </c>
      <c r="G423" s="2244" t="s">
        <v>329</v>
      </c>
      <c r="H423" s="2244" t="s">
        <v>448</v>
      </c>
      <c r="I423" s="2245" t="s">
        <v>449</v>
      </c>
    </row>
    <row r="424" spans="1:9" s="2251" customFormat="1" ht="13.5" thickTop="1" thickBot="1" x14ac:dyDescent="0.25">
      <c r="A424" s="1444">
        <v>1</v>
      </c>
      <c r="B424" s="2247">
        <v>2</v>
      </c>
      <c r="C424" s="2247">
        <v>3</v>
      </c>
      <c r="D424" s="2247">
        <v>4</v>
      </c>
      <c r="E424" s="2247">
        <v>5</v>
      </c>
      <c r="F424" s="2248">
        <v>6</v>
      </c>
      <c r="G424" s="2248">
        <v>7</v>
      </c>
      <c r="H424" s="2249">
        <v>8</v>
      </c>
      <c r="I424" s="2250" t="s">
        <v>393</v>
      </c>
    </row>
    <row r="425" spans="1:9" s="2251" customFormat="1" ht="15.75" thickTop="1" x14ac:dyDescent="0.25">
      <c r="A425" s="2744">
        <v>1041</v>
      </c>
      <c r="B425" s="2745">
        <v>3112</v>
      </c>
      <c r="C425" s="2745">
        <v>5336</v>
      </c>
      <c r="D425" s="2746"/>
      <c r="E425" s="2253" t="s">
        <v>856</v>
      </c>
      <c r="F425" s="2254">
        <f>F426</f>
        <v>0</v>
      </c>
      <c r="G425" s="2254">
        <f>G426</f>
        <v>2582</v>
      </c>
      <c r="H425" s="2254">
        <f>H426</f>
        <v>2582</v>
      </c>
      <c r="I425" s="2255">
        <f t="shared" ref="I425:I426" si="82">(H425/G425)*100</f>
        <v>100</v>
      </c>
    </row>
    <row r="426" spans="1:9" s="2251" customFormat="1" ht="14.25" x14ac:dyDescent="0.2">
      <c r="A426" s="2744"/>
      <c r="B426" s="2747"/>
      <c r="C426" s="2747"/>
      <c r="D426" s="2746" t="s">
        <v>901</v>
      </c>
      <c r="E426" s="2257" t="s">
        <v>1637</v>
      </c>
      <c r="F426" s="2259">
        <v>0</v>
      </c>
      <c r="G426" s="2259">
        <v>2582</v>
      </c>
      <c r="H426" s="2259">
        <v>2582</v>
      </c>
      <c r="I426" s="2260">
        <f t="shared" si="82"/>
        <v>100</v>
      </c>
    </row>
    <row r="427" spans="1:9" s="1391" customFormat="1" ht="15" hidden="1" x14ac:dyDescent="0.25">
      <c r="A427" s="2744">
        <v>1041</v>
      </c>
      <c r="B427" s="2747">
        <v>3114</v>
      </c>
      <c r="C427" s="2747">
        <v>5331</v>
      </c>
      <c r="D427" s="2748"/>
      <c r="E427" s="2261" t="s">
        <v>481</v>
      </c>
      <c r="F427" s="2258">
        <f>SUM(F428:F431)</f>
        <v>0</v>
      </c>
      <c r="G427" s="2258">
        <f>SUM(G428:G429)</f>
        <v>0</v>
      </c>
      <c r="H427" s="2258">
        <f>SUM(H428:H429)</f>
        <v>0</v>
      </c>
      <c r="I427" s="2262" t="e">
        <f t="shared" ref="I427:I444" si="83">(H427/G427)*100</f>
        <v>#DIV/0!</v>
      </c>
    </row>
    <row r="428" spans="1:9" s="1391" customFormat="1" ht="14.25" hidden="1" x14ac:dyDescent="0.2">
      <c r="A428" s="2744"/>
      <c r="B428" s="2747"/>
      <c r="C428" s="2747"/>
      <c r="D428" s="2749" t="s">
        <v>905</v>
      </c>
      <c r="E428" s="2264" t="s">
        <v>408</v>
      </c>
      <c r="F428" s="1542"/>
      <c r="G428" s="2259"/>
      <c r="H428" s="2259"/>
      <c r="I428" s="2260" t="e">
        <f t="shared" si="83"/>
        <v>#DIV/0!</v>
      </c>
    </row>
    <row r="429" spans="1:9" s="1391" customFormat="1" ht="14.25" hidden="1" x14ac:dyDescent="0.2">
      <c r="A429" s="2744"/>
      <c r="B429" s="2747"/>
      <c r="C429" s="2747"/>
      <c r="D429" s="2746" t="s">
        <v>906</v>
      </c>
      <c r="E429" s="2257" t="s">
        <v>38</v>
      </c>
      <c r="F429" s="1542"/>
      <c r="G429" s="2259"/>
      <c r="H429" s="2259"/>
      <c r="I429" s="2260" t="e">
        <f t="shared" si="83"/>
        <v>#DIV/0!</v>
      </c>
    </row>
    <row r="430" spans="1:9" s="1391" customFormat="1" ht="15" x14ac:dyDescent="0.25">
      <c r="A430" s="2744">
        <v>1041</v>
      </c>
      <c r="B430" s="2745">
        <v>3114</v>
      </c>
      <c r="C430" s="2745">
        <v>5336</v>
      </c>
      <c r="D430" s="2746"/>
      <c r="E430" s="2253" t="s">
        <v>856</v>
      </c>
      <c r="F430" s="2254">
        <f>+F431</f>
        <v>0</v>
      </c>
      <c r="G430" s="2254">
        <f>+G431</f>
        <v>10035</v>
      </c>
      <c r="H430" s="2254">
        <f>+H431</f>
        <v>10035</v>
      </c>
      <c r="I430" s="2255">
        <f t="shared" si="83"/>
        <v>100</v>
      </c>
    </row>
    <row r="431" spans="1:9" s="1391" customFormat="1" ht="14.25" x14ac:dyDescent="0.2">
      <c r="A431" s="2744"/>
      <c r="B431" s="2747"/>
      <c r="C431" s="2747"/>
      <c r="D431" s="2746" t="s">
        <v>901</v>
      </c>
      <c r="E431" s="2257" t="s">
        <v>1637</v>
      </c>
      <c r="F431" s="2259">
        <v>0</v>
      </c>
      <c r="G431" s="2259">
        <v>10035</v>
      </c>
      <c r="H431" s="2259">
        <v>10035</v>
      </c>
      <c r="I431" s="2260">
        <f t="shared" si="83"/>
        <v>100</v>
      </c>
    </row>
    <row r="432" spans="1:9" s="1391" customFormat="1" ht="15" x14ac:dyDescent="0.25">
      <c r="A432" s="2744">
        <v>1041</v>
      </c>
      <c r="B432" s="2745">
        <v>3124</v>
      </c>
      <c r="C432" s="2745">
        <v>5336</v>
      </c>
      <c r="D432" s="2746"/>
      <c r="E432" s="2253" t="s">
        <v>856</v>
      </c>
      <c r="F432" s="2266">
        <f>F433</f>
        <v>0</v>
      </c>
      <c r="G432" s="2266">
        <f>G433</f>
        <v>1351</v>
      </c>
      <c r="H432" s="2266">
        <f>H433</f>
        <v>1351</v>
      </c>
      <c r="I432" s="2267">
        <f t="shared" si="83"/>
        <v>100</v>
      </c>
    </row>
    <row r="433" spans="1:20" s="1391" customFormat="1" ht="14.25" x14ac:dyDescent="0.2">
      <c r="A433" s="2744"/>
      <c r="B433" s="2745"/>
      <c r="C433" s="2750"/>
      <c r="D433" s="2746" t="s">
        <v>901</v>
      </c>
      <c r="E433" s="2257" t="s">
        <v>1637</v>
      </c>
      <c r="F433" s="2269">
        <v>0</v>
      </c>
      <c r="G433" s="2269">
        <v>1351</v>
      </c>
      <c r="H433" s="2269">
        <v>1351</v>
      </c>
      <c r="I433" s="2270">
        <f t="shared" si="83"/>
        <v>100</v>
      </c>
    </row>
    <row r="434" spans="1:20" s="1391" customFormat="1" ht="15" x14ac:dyDescent="0.25">
      <c r="A434" s="2744">
        <v>1041</v>
      </c>
      <c r="B434" s="2745">
        <v>3127</v>
      </c>
      <c r="C434" s="2745">
        <v>5336</v>
      </c>
      <c r="D434" s="2746"/>
      <c r="E434" s="2253" t="s">
        <v>856</v>
      </c>
      <c r="F434" s="2266">
        <f>F435+F436</f>
        <v>0</v>
      </c>
      <c r="G434" s="2266">
        <f t="shared" ref="G434:H434" si="84">G435+G436</f>
        <v>2633</v>
      </c>
      <c r="H434" s="2266">
        <f t="shared" si="84"/>
        <v>2633</v>
      </c>
      <c r="I434" s="2267">
        <f t="shared" si="83"/>
        <v>100</v>
      </c>
    </row>
    <row r="435" spans="1:20" s="1391" customFormat="1" ht="14.25" x14ac:dyDescent="0.2">
      <c r="A435" s="2744"/>
      <c r="B435" s="2745"/>
      <c r="C435" s="2750"/>
      <c r="D435" s="505" t="s">
        <v>1144</v>
      </c>
      <c r="E435" s="2282" t="s">
        <v>1515</v>
      </c>
      <c r="F435" s="2269">
        <v>0</v>
      </c>
      <c r="G435" s="2269">
        <v>395</v>
      </c>
      <c r="H435" s="2269">
        <v>395</v>
      </c>
      <c r="I435" s="2270">
        <f t="shared" si="83"/>
        <v>100</v>
      </c>
    </row>
    <row r="436" spans="1:20" s="1391" customFormat="1" ht="14.25" x14ac:dyDescent="0.2">
      <c r="A436" s="2744"/>
      <c r="B436" s="2745"/>
      <c r="C436" s="2750"/>
      <c r="D436" s="505" t="s">
        <v>1145</v>
      </c>
      <c r="E436" s="2282" t="s">
        <v>1515</v>
      </c>
      <c r="F436" s="2269">
        <v>0</v>
      </c>
      <c r="G436" s="2269">
        <v>2238</v>
      </c>
      <c r="H436" s="2269">
        <v>2238</v>
      </c>
      <c r="I436" s="2270">
        <f t="shared" si="83"/>
        <v>100</v>
      </c>
    </row>
    <row r="437" spans="1:20" s="1391" customFormat="1" ht="15" x14ac:dyDescent="0.25">
      <c r="A437" s="2744">
        <v>1041</v>
      </c>
      <c r="B437" s="2745">
        <v>3133</v>
      </c>
      <c r="C437" s="2750">
        <v>5336</v>
      </c>
      <c r="D437" s="2751"/>
      <c r="E437" s="2253" t="s">
        <v>856</v>
      </c>
      <c r="F437" s="2266">
        <f>F438+F439+F440+F441+F442</f>
        <v>0</v>
      </c>
      <c r="G437" s="2266">
        <f>G438+G439+G440+G441+G442</f>
        <v>21303</v>
      </c>
      <c r="H437" s="2266">
        <f>H438+H439+H440+H441+H442</f>
        <v>21303</v>
      </c>
      <c r="I437" s="2267">
        <f t="shared" si="83"/>
        <v>100</v>
      </c>
    </row>
    <row r="438" spans="1:20" s="1391" customFormat="1" ht="14.25" x14ac:dyDescent="0.2">
      <c r="A438" s="2744"/>
      <c r="B438" s="2745"/>
      <c r="C438" s="2750"/>
      <c r="D438" s="2746" t="s">
        <v>902</v>
      </c>
      <c r="E438" s="2271" t="s">
        <v>855</v>
      </c>
      <c r="F438" s="2265">
        <v>0</v>
      </c>
      <c r="G438" s="2265">
        <v>623</v>
      </c>
      <c r="H438" s="2265">
        <v>623</v>
      </c>
      <c r="I438" s="1543">
        <f t="shared" si="83"/>
        <v>100</v>
      </c>
    </row>
    <row r="439" spans="1:20" s="1391" customFormat="1" ht="14.25" x14ac:dyDescent="0.2">
      <c r="A439" s="2744"/>
      <c r="B439" s="2745"/>
      <c r="C439" s="2750"/>
      <c r="D439" s="2751" t="s">
        <v>1896</v>
      </c>
      <c r="E439" s="2272" t="s">
        <v>1951</v>
      </c>
      <c r="F439" s="2273">
        <v>0</v>
      </c>
      <c r="G439" s="2273">
        <v>243</v>
      </c>
      <c r="H439" s="2273">
        <v>243</v>
      </c>
      <c r="I439" s="2274">
        <f t="shared" si="83"/>
        <v>100</v>
      </c>
    </row>
    <row r="440" spans="1:20" s="1391" customFormat="1" ht="14.25" x14ac:dyDescent="0.2">
      <c r="A440" s="2744"/>
      <c r="B440" s="2745"/>
      <c r="C440" s="2750"/>
      <c r="D440" s="2746" t="s">
        <v>901</v>
      </c>
      <c r="E440" s="2257" t="s">
        <v>1637</v>
      </c>
      <c r="F440" s="2269">
        <v>0</v>
      </c>
      <c r="G440" s="2269">
        <v>19928</v>
      </c>
      <c r="H440" s="2269">
        <v>19928</v>
      </c>
      <c r="I440" s="2270">
        <f t="shared" si="83"/>
        <v>100</v>
      </c>
    </row>
    <row r="441" spans="1:20" s="1391" customFormat="1" ht="14.25" x14ac:dyDescent="0.2">
      <c r="A441" s="2744"/>
      <c r="B441" s="2745"/>
      <c r="C441" s="2750"/>
      <c r="D441" s="2751" t="s">
        <v>1144</v>
      </c>
      <c r="E441" s="2264" t="s">
        <v>1515</v>
      </c>
      <c r="F441" s="2269">
        <v>0</v>
      </c>
      <c r="G441" s="2269">
        <v>76</v>
      </c>
      <c r="H441" s="2269">
        <v>76</v>
      </c>
      <c r="I441" s="2270">
        <f t="shared" si="83"/>
        <v>100</v>
      </c>
    </row>
    <row r="442" spans="1:20" s="1391" customFormat="1" ht="14.25" x14ac:dyDescent="0.2">
      <c r="A442" s="2744"/>
      <c r="B442" s="2745"/>
      <c r="C442" s="2750"/>
      <c r="D442" s="2746" t="s">
        <v>1145</v>
      </c>
      <c r="E442" s="2264" t="s">
        <v>1515</v>
      </c>
      <c r="F442" s="2259">
        <v>0</v>
      </c>
      <c r="G442" s="2259">
        <v>433</v>
      </c>
      <c r="H442" s="2269">
        <v>433</v>
      </c>
      <c r="I442" s="2270">
        <f t="shared" si="83"/>
        <v>100</v>
      </c>
    </row>
    <row r="443" spans="1:20" ht="15" customHeight="1" x14ac:dyDescent="0.25">
      <c r="A443" s="921">
        <v>1041</v>
      </c>
      <c r="B443" s="2427">
        <v>3141</v>
      </c>
      <c r="C443" s="2719">
        <v>5336</v>
      </c>
      <c r="D443" s="2724"/>
      <c r="E443" s="602" t="s">
        <v>856</v>
      </c>
      <c r="F443" s="675">
        <f>F444</f>
        <v>0</v>
      </c>
      <c r="G443" s="675">
        <f>G444</f>
        <v>672</v>
      </c>
      <c r="H443" s="675">
        <f>H444</f>
        <v>672</v>
      </c>
      <c r="I443" s="680">
        <f t="shared" si="83"/>
        <v>100</v>
      </c>
    </row>
    <row r="444" spans="1:20" ht="15" customHeight="1" x14ac:dyDescent="0.2">
      <c r="A444" s="921"/>
      <c r="B444" s="2722"/>
      <c r="C444" s="1350"/>
      <c r="D444" s="2726" t="s">
        <v>901</v>
      </c>
      <c r="E444" s="436" t="s">
        <v>1637</v>
      </c>
      <c r="F444" s="665">
        <v>0</v>
      </c>
      <c r="G444" s="665">
        <v>672</v>
      </c>
      <c r="H444" s="665">
        <v>672</v>
      </c>
      <c r="I444" s="661">
        <f t="shared" si="83"/>
        <v>100</v>
      </c>
    </row>
    <row r="445" spans="1:20" ht="15.75" customHeight="1" x14ac:dyDescent="0.25">
      <c r="A445" s="921">
        <v>1041</v>
      </c>
      <c r="B445" s="2427">
        <v>3143</v>
      </c>
      <c r="C445" s="2427">
        <v>5336</v>
      </c>
      <c r="D445" s="2726"/>
      <c r="E445" s="602" t="s">
        <v>856</v>
      </c>
      <c r="F445" s="980">
        <f>F446</f>
        <v>0</v>
      </c>
      <c r="G445" s="980">
        <f>G446</f>
        <v>494</v>
      </c>
      <c r="H445" s="980">
        <f>H446</f>
        <v>494</v>
      </c>
      <c r="I445" s="667">
        <f>(H445/G445)*100</f>
        <v>100</v>
      </c>
    </row>
    <row r="446" spans="1:20" ht="15" thickBot="1" x14ac:dyDescent="0.25">
      <c r="A446" s="921"/>
      <c r="B446" s="2427"/>
      <c r="C446" s="2427"/>
      <c r="D446" s="2726" t="s">
        <v>901</v>
      </c>
      <c r="E446" s="436" t="s">
        <v>1637</v>
      </c>
      <c r="F446" s="875">
        <v>0</v>
      </c>
      <c r="G446" s="875">
        <v>494</v>
      </c>
      <c r="H446" s="875">
        <v>494</v>
      </c>
      <c r="I446" s="367">
        <f>(H446/G446)*100</f>
        <v>100</v>
      </c>
    </row>
    <row r="447" spans="1:20" ht="16.5" thickTop="1" thickBot="1" x14ac:dyDescent="0.3">
      <c r="A447" s="3233" t="s">
        <v>522</v>
      </c>
      <c r="B447" s="3234"/>
      <c r="C447" s="3234"/>
      <c r="D447" s="3234"/>
      <c r="E447" s="3234"/>
      <c r="F447" s="657">
        <f>F445+F443+F437+F434+F432+F430+F425</f>
        <v>0</v>
      </c>
      <c r="G447" s="657">
        <f t="shared" ref="G447:H447" si="85">G445+G443+G437+G434+G432+G430+G425</f>
        <v>39070</v>
      </c>
      <c r="H447" s="657">
        <f t="shared" si="85"/>
        <v>39070</v>
      </c>
      <c r="I447" s="658">
        <f>(H447/G447)*100</f>
        <v>100</v>
      </c>
      <c r="R447" s="373">
        <f>F447</f>
        <v>0</v>
      </c>
      <c r="S447" s="373">
        <f>G447</f>
        <v>39070</v>
      </c>
      <c r="T447" s="373">
        <f>H447</f>
        <v>39070</v>
      </c>
    </row>
    <row r="448" spans="1:20" s="941" customFormat="1" ht="13.5" thickTop="1" x14ac:dyDescent="0.2">
      <c r="B448" s="953"/>
      <c r="D448" s="954"/>
      <c r="E448" s="2620"/>
      <c r="F448" s="952"/>
      <c r="G448" s="952"/>
      <c r="H448" s="952"/>
      <c r="I448" s="955"/>
    </row>
    <row r="449" spans="1:9" s="941" customFormat="1" x14ac:dyDescent="0.2">
      <c r="B449" s="953"/>
      <c r="D449" s="954"/>
      <c r="E449" s="2621"/>
      <c r="F449" s="952"/>
      <c r="G449" s="952"/>
      <c r="H449" s="952"/>
      <c r="I449" s="955"/>
    </row>
    <row r="450" spans="1:9" ht="13.5" thickBot="1" x14ac:dyDescent="0.25">
      <c r="A450" s="419" t="s">
        <v>1979</v>
      </c>
      <c r="E450" s="1611"/>
      <c r="I450" s="915" t="s">
        <v>92</v>
      </c>
    </row>
    <row r="451" spans="1:9" s="106" customFormat="1" thickTop="1" thickBot="1" x14ac:dyDescent="0.25">
      <c r="A451" s="572" t="s">
        <v>324</v>
      </c>
      <c r="B451" s="639" t="s">
        <v>93</v>
      </c>
      <c r="C451" s="573" t="s">
        <v>94</v>
      </c>
      <c r="D451" s="575" t="s">
        <v>364</v>
      </c>
      <c r="E451" s="575" t="s">
        <v>95</v>
      </c>
      <c r="F451" s="575" t="s">
        <v>328</v>
      </c>
      <c r="G451" s="575" t="s">
        <v>329</v>
      </c>
      <c r="H451" s="575" t="s">
        <v>448</v>
      </c>
      <c r="I451" s="651" t="s">
        <v>449</v>
      </c>
    </row>
    <row r="452" spans="1:9" s="374" customFormat="1" ht="20.25" customHeight="1" thickTop="1" thickBot="1" x14ac:dyDescent="0.25">
      <c r="A452" s="511">
        <v>1</v>
      </c>
      <c r="B452" s="512">
        <v>2</v>
      </c>
      <c r="C452" s="512">
        <v>3</v>
      </c>
      <c r="D452" s="512">
        <v>4</v>
      </c>
      <c r="E452" s="512">
        <v>5</v>
      </c>
      <c r="F452" s="499">
        <v>6</v>
      </c>
      <c r="G452" s="499">
        <v>7</v>
      </c>
      <c r="H452" s="500">
        <v>8</v>
      </c>
      <c r="I452" s="577" t="s">
        <v>393</v>
      </c>
    </row>
    <row r="453" spans="1:9" ht="15.75" hidden="1" thickTop="1" x14ac:dyDescent="0.25">
      <c r="A453" s="916">
        <v>1043</v>
      </c>
      <c r="B453" s="640">
        <v>3114</v>
      </c>
      <c r="C453" s="640">
        <v>5331</v>
      </c>
      <c r="D453" s="670"/>
      <c r="E453" s="685" t="s">
        <v>481</v>
      </c>
      <c r="F453" s="686">
        <f>SUM(F454,F455)</f>
        <v>0</v>
      </c>
      <c r="G453" s="686">
        <f>G454+G455</f>
        <v>0</v>
      </c>
      <c r="H453" s="686">
        <f>H454+H455</f>
        <v>0</v>
      </c>
      <c r="I453" s="659" t="e">
        <f t="shared" ref="I453:I469" si="86">(H453/G453)*100</f>
        <v>#DIV/0!</v>
      </c>
    </row>
    <row r="454" spans="1:9" ht="15" hidden="1" thickTop="1" x14ac:dyDescent="0.2">
      <c r="A454" s="418"/>
      <c r="B454" s="603"/>
      <c r="C454" s="603"/>
      <c r="D454" s="620" t="s">
        <v>905</v>
      </c>
      <c r="E454" s="938" t="s">
        <v>408</v>
      </c>
      <c r="F454" s="660"/>
      <c r="G454" s="660"/>
      <c r="H454" s="660"/>
      <c r="I454" s="656" t="e">
        <f t="shared" si="86"/>
        <v>#DIV/0!</v>
      </c>
    </row>
    <row r="455" spans="1:9" ht="15" hidden="1" thickTop="1" x14ac:dyDescent="0.2">
      <c r="A455" s="418"/>
      <c r="B455" s="603"/>
      <c r="C455" s="603"/>
      <c r="D455" s="505" t="s">
        <v>906</v>
      </c>
      <c r="E455" s="436" t="s">
        <v>38</v>
      </c>
      <c r="F455" s="660"/>
      <c r="G455" s="660"/>
      <c r="H455" s="660"/>
      <c r="I455" s="656" t="e">
        <f t="shared" si="86"/>
        <v>#DIV/0!</v>
      </c>
    </row>
    <row r="456" spans="1:9" ht="15.75" thickTop="1" x14ac:dyDescent="0.25">
      <c r="A456" s="921">
        <v>1043</v>
      </c>
      <c r="B456" s="2722">
        <v>3114</v>
      </c>
      <c r="C456" s="2722">
        <v>5336</v>
      </c>
      <c r="D456" s="2724"/>
      <c r="E456" s="602" t="s">
        <v>856</v>
      </c>
      <c r="F456" s="872">
        <f>F458+F459+F460+F461</f>
        <v>0</v>
      </c>
      <c r="G456" s="872">
        <f t="shared" ref="G456:H456" si="87">G458+G459+G460+G461</f>
        <v>20449</v>
      </c>
      <c r="H456" s="872">
        <f t="shared" si="87"/>
        <v>20449</v>
      </c>
      <c r="I456" s="667">
        <f t="shared" si="86"/>
        <v>100</v>
      </c>
    </row>
    <row r="457" spans="1:9" ht="14.25" hidden="1" x14ac:dyDescent="0.2">
      <c r="A457" s="921"/>
      <c r="B457" s="2722"/>
      <c r="C457" s="2722"/>
      <c r="D457" s="2725" t="s">
        <v>915</v>
      </c>
      <c r="E457" s="1352" t="s">
        <v>855</v>
      </c>
      <c r="F457" s="351"/>
      <c r="G457" s="351"/>
      <c r="H457" s="351"/>
      <c r="I457" s="681" t="e">
        <f t="shared" si="86"/>
        <v>#DIV/0!</v>
      </c>
    </row>
    <row r="458" spans="1:9" ht="14.25" x14ac:dyDescent="0.2">
      <c r="A458" s="921"/>
      <c r="B458" s="2722"/>
      <c r="C458" s="2722"/>
      <c r="D458" s="2725" t="s">
        <v>902</v>
      </c>
      <c r="E458" s="1352" t="s">
        <v>855</v>
      </c>
      <c r="F458" s="1600">
        <v>0</v>
      </c>
      <c r="G458" s="1600">
        <v>425</v>
      </c>
      <c r="H458" s="1600">
        <v>425</v>
      </c>
      <c r="I458" s="367">
        <f t="shared" ref="I458:I460" si="88">(H458/G458)*100</f>
        <v>100</v>
      </c>
    </row>
    <row r="459" spans="1:9" ht="14.25" x14ac:dyDescent="0.2">
      <c r="A459" s="921"/>
      <c r="B459" s="2722"/>
      <c r="C459" s="2722"/>
      <c r="D459" s="2724" t="s">
        <v>1896</v>
      </c>
      <c r="E459" s="1637" t="s">
        <v>1951</v>
      </c>
      <c r="F459" s="1600">
        <v>0</v>
      </c>
      <c r="G459" s="1643">
        <v>86</v>
      </c>
      <c r="H459" s="1643">
        <v>86</v>
      </c>
      <c r="I459" s="982">
        <f t="shared" si="88"/>
        <v>100</v>
      </c>
    </row>
    <row r="460" spans="1:9" ht="14.25" x14ac:dyDescent="0.2">
      <c r="A460" s="921"/>
      <c r="B460" s="2722"/>
      <c r="C460" s="2722"/>
      <c r="D460" s="2726" t="s">
        <v>901</v>
      </c>
      <c r="E460" s="436" t="s">
        <v>1637</v>
      </c>
      <c r="F460" s="1600">
        <v>0</v>
      </c>
      <c r="G460" s="978">
        <v>19938</v>
      </c>
      <c r="H460" s="978">
        <v>19938</v>
      </c>
      <c r="I460" s="661">
        <f t="shared" si="88"/>
        <v>100</v>
      </c>
    </row>
    <row r="461" spans="1:9" ht="14.25" hidden="1" customHeight="1" x14ac:dyDescent="0.2">
      <c r="A461" s="921"/>
      <c r="B461" s="2722"/>
      <c r="C461" s="2722"/>
      <c r="D461" s="2726" t="s">
        <v>918</v>
      </c>
      <c r="E461" s="3236" t="s">
        <v>857</v>
      </c>
      <c r="F461" s="870"/>
      <c r="G461" s="870"/>
      <c r="H461" s="870"/>
      <c r="I461" s="871" t="e">
        <f t="shared" ref="I461:I465" si="89">(H461/G461)*100</f>
        <v>#DIV/0!</v>
      </c>
    </row>
    <row r="462" spans="1:9" ht="15" hidden="1" x14ac:dyDescent="0.2">
      <c r="A462" s="921"/>
      <c r="B462" s="2722"/>
      <c r="C462" s="2722"/>
      <c r="D462" s="2724"/>
      <c r="E462" s="3237"/>
      <c r="F462" s="872"/>
      <c r="G462" s="872"/>
      <c r="H462" s="872"/>
      <c r="I462" s="871"/>
    </row>
    <row r="463" spans="1:9" ht="15" x14ac:dyDescent="0.25">
      <c r="A463" s="921">
        <v>1043</v>
      </c>
      <c r="B463" s="2722">
        <v>3117</v>
      </c>
      <c r="C463" s="1350">
        <v>5336</v>
      </c>
      <c r="D463" s="2740"/>
      <c r="E463" s="602" t="s">
        <v>856</v>
      </c>
      <c r="F463" s="872">
        <f>F464+F465</f>
        <v>0</v>
      </c>
      <c r="G463" s="872">
        <f t="shared" ref="G463:H463" si="90">G464+G465</f>
        <v>160</v>
      </c>
      <c r="H463" s="872">
        <f t="shared" si="90"/>
        <v>160</v>
      </c>
      <c r="I463" s="667">
        <f t="shared" si="86"/>
        <v>100</v>
      </c>
    </row>
    <row r="464" spans="1:9" ht="14.25" x14ac:dyDescent="0.2">
      <c r="A464" s="921"/>
      <c r="B464" s="2722"/>
      <c r="C464" s="2722"/>
      <c r="D464" s="2724" t="s">
        <v>1144</v>
      </c>
      <c r="E464" s="938" t="s">
        <v>1515</v>
      </c>
      <c r="F464" s="978">
        <v>0</v>
      </c>
      <c r="G464" s="978">
        <v>24</v>
      </c>
      <c r="H464" s="978">
        <v>24</v>
      </c>
      <c r="I464" s="979">
        <f t="shared" si="89"/>
        <v>100</v>
      </c>
    </row>
    <row r="465" spans="1:20" ht="14.25" x14ac:dyDescent="0.2">
      <c r="A465" s="921"/>
      <c r="B465" s="2722"/>
      <c r="C465" s="2722"/>
      <c r="D465" s="2724" t="s">
        <v>1145</v>
      </c>
      <c r="E465" s="938" t="s">
        <v>1515</v>
      </c>
      <c r="F465" s="978">
        <v>0</v>
      </c>
      <c r="G465" s="978">
        <v>136</v>
      </c>
      <c r="H465" s="978">
        <v>136</v>
      </c>
      <c r="I465" s="979">
        <f t="shared" si="89"/>
        <v>100</v>
      </c>
    </row>
    <row r="466" spans="1:20" ht="15" x14ac:dyDescent="0.25">
      <c r="A466" s="921">
        <v>1043</v>
      </c>
      <c r="B466" s="2722">
        <v>3141</v>
      </c>
      <c r="C466" s="1350">
        <v>5336</v>
      </c>
      <c r="D466" s="2740"/>
      <c r="E466" s="602" t="s">
        <v>856</v>
      </c>
      <c r="F466" s="666">
        <f>F467</f>
        <v>0</v>
      </c>
      <c r="G466" s="666">
        <f>G467</f>
        <v>51</v>
      </c>
      <c r="H466" s="666">
        <f>H467</f>
        <v>51</v>
      </c>
      <c r="I466" s="667">
        <f t="shared" si="86"/>
        <v>100</v>
      </c>
    </row>
    <row r="467" spans="1:20" ht="14.25" x14ac:dyDescent="0.2">
      <c r="A467" s="921"/>
      <c r="B467" s="2722"/>
      <c r="C467" s="1350"/>
      <c r="D467" s="2726" t="s">
        <v>901</v>
      </c>
      <c r="E467" s="436" t="s">
        <v>1637</v>
      </c>
      <c r="F467" s="665">
        <v>0</v>
      </c>
      <c r="G467" s="665">
        <v>51</v>
      </c>
      <c r="H467" s="665">
        <v>51</v>
      </c>
      <c r="I467" s="661">
        <f t="shared" si="86"/>
        <v>100</v>
      </c>
    </row>
    <row r="468" spans="1:20" ht="15" x14ac:dyDescent="0.25">
      <c r="A468" s="921">
        <v>1043</v>
      </c>
      <c r="B468" s="2722">
        <v>3143</v>
      </c>
      <c r="C468" s="1350">
        <v>5336</v>
      </c>
      <c r="D468" s="2740"/>
      <c r="E468" s="602" t="s">
        <v>856</v>
      </c>
      <c r="F468" s="666">
        <f>F469</f>
        <v>0</v>
      </c>
      <c r="G468" s="666">
        <f>G469</f>
        <v>1362</v>
      </c>
      <c r="H468" s="666">
        <f>H469</f>
        <v>1362</v>
      </c>
      <c r="I468" s="667">
        <f t="shared" si="86"/>
        <v>100</v>
      </c>
    </row>
    <row r="469" spans="1:20" ht="15" thickBot="1" x14ac:dyDescent="0.25">
      <c r="A469" s="921"/>
      <c r="B469" s="2722"/>
      <c r="C469" s="1350"/>
      <c r="D469" s="2726" t="s">
        <v>901</v>
      </c>
      <c r="E469" s="436" t="s">
        <v>1637</v>
      </c>
      <c r="F469" s="665">
        <v>0</v>
      </c>
      <c r="G469" s="665">
        <v>1362</v>
      </c>
      <c r="H469" s="665">
        <v>1362</v>
      </c>
      <c r="I469" s="661">
        <f t="shared" si="86"/>
        <v>100</v>
      </c>
    </row>
    <row r="470" spans="1:20" ht="16.5" thickTop="1" thickBot="1" x14ac:dyDescent="0.3">
      <c r="A470" s="3233" t="s">
        <v>522</v>
      </c>
      <c r="B470" s="3234"/>
      <c r="C470" s="3234"/>
      <c r="D470" s="3234"/>
      <c r="E470" s="3234"/>
      <c r="F470" s="657">
        <f>F453+F466+F468+F463+F456</f>
        <v>0</v>
      </c>
      <c r="G470" s="657">
        <f t="shared" ref="G470:H470" si="91">G453+G466+G468+G463+G456</f>
        <v>22022</v>
      </c>
      <c r="H470" s="657">
        <f t="shared" si="91"/>
        <v>22022</v>
      </c>
      <c r="I470" s="658">
        <f>(H470/G470)*100</f>
        <v>100</v>
      </c>
      <c r="R470" s="373">
        <f>F470</f>
        <v>0</v>
      </c>
      <c r="S470" s="373">
        <f>G470</f>
        <v>22022</v>
      </c>
      <c r="T470" s="373">
        <f>H470</f>
        <v>22022</v>
      </c>
    </row>
    <row r="471" spans="1:20" ht="15.75" thickTop="1" x14ac:dyDescent="0.25">
      <c r="A471" s="360"/>
      <c r="B471" s="360"/>
      <c r="C471" s="360"/>
      <c r="D471" s="360"/>
      <c r="E471" s="360"/>
      <c r="F471" s="177"/>
      <c r="G471" s="177"/>
      <c r="H471" s="177"/>
      <c r="I471" s="206"/>
      <c r="R471" s="373"/>
      <c r="S471" s="373"/>
      <c r="T471" s="373"/>
    </row>
    <row r="472" spans="1:20" ht="15" x14ac:dyDescent="0.25">
      <c r="A472" s="360"/>
      <c r="B472" s="360"/>
      <c r="C472" s="360"/>
      <c r="D472" s="360"/>
      <c r="E472" s="360"/>
      <c r="F472" s="177"/>
      <c r="G472" s="177"/>
      <c r="H472" s="177"/>
      <c r="I472" s="206"/>
      <c r="R472" s="373"/>
      <c r="S472" s="373"/>
      <c r="T472" s="373"/>
    </row>
    <row r="473" spans="1:20" ht="13.5" thickBot="1" x14ac:dyDescent="0.25">
      <c r="A473" s="419" t="s">
        <v>623</v>
      </c>
      <c r="I473" s="915" t="s">
        <v>92</v>
      </c>
    </row>
    <row r="474" spans="1:20" s="106" customFormat="1" thickTop="1" thickBot="1" x14ac:dyDescent="0.25">
      <c r="A474" s="572" t="s">
        <v>324</v>
      </c>
      <c r="B474" s="639" t="s">
        <v>93</v>
      </c>
      <c r="C474" s="573" t="s">
        <v>94</v>
      </c>
      <c r="D474" s="575" t="s">
        <v>364</v>
      </c>
      <c r="E474" s="575" t="s">
        <v>95</v>
      </c>
      <c r="F474" s="575" t="s">
        <v>328</v>
      </c>
      <c r="G474" s="575" t="s">
        <v>329</v>
      </c>
      <c r="H474" s="575" t="s">
        <v>448</v>
      </c>
      <c r="I474" s="651" t="s">
        <v>449</v>
      </c>
    </row>
    <row r="475" spans="1:20" s="374" customFormat="1" ht="13.5" thickTop="1" thickBot="1" x14ac:dyDescent="0.25">
      <c r="A475" s="511">
        <v>1</v>
      </c>
      <c r="B475" s="512">
        <v>2</v>
      </c>
      <c r="C475" s="512">
        <v>3</v>
      </c>
      <c r="D475" s="512">
        <v>4</v>
      </c>
      <c r="E475" s="512">
        <v>5</v>
      </c>
      <c r="F475" s="499">
        <v>6</v>
      </c>
      <c r="G475" s="499">
        <v>7</v>
      </c>
      <c r="H475" s="500">
        <v>8</v>
      </c>
      <c r="I475" s="577" t="s">
        <v>393</v>
      </c>
    </row>
    <row r="476" spans="1:20" ht="15.75" hidden="1" thickTop="1" x14ac:dyDescent="0.25">
      <c r="A476" s="916">
        <v>1100</v>
      </c>
      <c r="B476" s="640">
        <v>3121</v>
      </c>
      <c r="C476" s="640">
        <v>5331</v>
      </c>
      <c r="D476" s="670"/>
      <c r="E476" s="685" t="s">
        <v>481</v>
      </c>
      <c r="F476" s="686">
        <f>SUM(F477:F479)</f>
        <v>0</v>
      </c>
      <c r="G476" s="686">
        <f>SUM(G477:G479)</f>
        <v>0</v>
      </c>
      <c r="H476" s="686">
        <f>SUM(H477:H479)</f>
        <v>0</v>
      </c>
      <c r="I476" s="659" t="e">
        <f t="shared" ref="I476:I489" si="92">(H476/G476)*100</f>
        <v>#DIV/0!</v>
      </c>
    </row>
    <row r="477" spans="1:20" ht="15" hidden="1" thickTop="1" x14ac:dyDescent="0.2">
      <c r="A477" s="418"/>
      <c r="B477" s="603"/>
      <c r="C477" s="603"/>
      <c r="D477" s="620" t="s">
        <v>905</v>
      </c>
      <c r="E477" s="938" t="s">
        <v>408</v>
      </c>
      <c r="F477" s="660"/>
      <c r="G477" s="660"/>
      <c r="H477" s="660"/>
      <c r="I477" s="656" t="e">
        <f t="shared" si="92"/>
        <v>#DIV/0!</v>
      </c>
    </row>
    <row r="478" spans="1:20" ht="15" hidden="1" thickTop="1" x14ac:dyDescent="0.2">
      <c r="A478" s="418"/>
      <c r="B478" s="603"/>
      <c r="C478" s="603"/>
      <c r="D478" s="633" t="s">
        <v>872</v>
      </c>
      <c r="E478" s="436" t="s">
        <v>428</v>
      </c>
      <c r="F478" s="665"/>
      <c r="G478" s="660"/>
      <c r="H478" s="660"/>
      <c r="I478" s="656" t="e">
        <f t="shared" si="92"/>
        <v>#DIV/0!</v>
      </c>
    </row>
    <row r="479" spans="1:20" ht="15" hidden="1" thickTop="1" x14ac:dyDescent="0.2">
      <c r="A479" s="418"/>
      <c r="B479" s="603"/>
      <c r="C479" s="603"/>
      <c r="D479" s="505" t="s">
        <v>906</v>
      </c>
      <c r="E479" s="436" t="s">
        <v>38</v>
      </c>
      <c r="F479" s="665"/>
      <c r="G479" s="660"/>
      <c r="H479" s="660"/>
      <c r="I479" s="656" t="e">
        <f t="shared" si="92"/>
        <v>#DIV/0!</v>
      </c>
    </row>
    <row r="480" spans="1:20" ht="15.75" thickTop="1" x14ac:dyDescent="0.25">
      <c r="A480" s="921">
        <v>1100</v>
      </c>
      <c r="B480" s="2722">
        <v>3121</v>
      </c>
      <c r="C480" s="2427">
        <v>5336</v>
      </c>
      <c r="D480" s="2726"/>
      <c r="E480" s="602" t="s">
        <v>856</v>
      </c>
      <c r="F480" s="675">
        <f>F481+F482+F485+F483+F484</f>
        <v>0</v>
      </c>
      <c r="G480" s="675">
        <f t="shared" ref="G480:H480" si="93">G481+G482+G485+G483+G484</f>
        <v>14211</v>
      </c>
      <c r="H480" s="675">
        <f t="shared" si="93"/>
        <v>14211</v>
      </c>
      <c r="I480" s="680">
        <f t="shared" si="92"/>
        <v>100</v>
      </c>
    </row>
    <row r="481" spans="1:20" ht="14.25" x14ac:dyDescent="0.2">
      <c r="A481" s="921"/>
      <c r="B481" s="2722"/>
      <c r="C481" s="2427"/>
      <c r="D481" s="2725" t="s">
        <v>920</v>
      </c>
      <c r="E481" s="1352" t="s">
        <v>769</v>
      </c>
      <c r="F481" s="660">
        <v>0</v>
      </c>
      <c r="G481" s="660">
        <v>56</v>
      </c>
      <c r="H481" s="660">
        <v>56</v>
      </c>
      <c r="I481" s="656">
        <f t="shared" si="92"/>
        <v>100</v>
      </c>
    </row>
    <row r="482" spans="1:20" ht="14.25" x14ac:dyDescent="0.2">
      <c r="A482" s="921"/>
      <c r="B482" s="2722"/>
      <c r="C482" s="2730"/>
      <c r="D482" s="2725" t="s">
        <v>902</v>
      </c>
      <c r="E482" s="1352" t="s">
        <v>855</v>
      </c>
      <c r="F482" s="1600">
        <v>0</v>
      </c>
      <c r="G482" s="1600">
        <v>307</v>
      </c>
      <c r="H482" s="1600">
        <v>307</v>
      </c>
      <c r="I482" s="367">
        <f t="shared" si="92"/>
        <v>100</v>
      </c>
    </row>
    <row r="483" spans="1:20" ht="14.25" x14ac:dyDescent="0.2">
      <c r="A483" s="921"/>
      <c r="B483" s="2722"/>
      <c r="C483" s="2492"/>
      <c r="D483" s="2726" t="s">
        <v>1132</v>
      </c>
      <c r="E483" s="3102" t="s">
        <v>1516</v>
      </c>
      <c r="F483" s="1643">
        <v>0</v>
      </c>
      <c r="G483" s="1643">
        <v>3</v>
      </c>
      <c r="H483" s="1643">
        <v>3</v>
      </c>
      <c r="I483" s="982">
        <f t="shared" si="92"/>
        <v>100</v>
      </c>
    </row>
    <row r="484" spans="1:20" ht="14.25" x14ac:dyDescent="0.2">
      <c r="A484" s="921"/>
      <c r="B484" s="2722"/>
      <c r="C484" s="2492"/>
      <c r="D484" s="2725" t="s">
        <v>1896</v>
      </c>
      <c r="E484" s="3105" t="s">
        <v>1951</v>
      </c>
      <c r="F484" s="311">
        <v>0</v>
      </c>
      <c r="G484" s="311">
        <v>74</v>
      </c>
      <c r="H484" s="311">
        <v>74</v>
      </c>
      <c r="I484" s="816">
        <f t="shared" si="92"/>
        <v>100</v>
      </c>
    </row>
    <row r="485" spans="1:20" ht="14.25" x14ac:dyDescent="0.2">
      <c r="A485" s="921"/>
      <c r="B485" s="2722"/>
      <c r="C485" s="468"/>
      <c r="D485" s="2726" t="s">
        <v>901</v>
      </c>
      <c r="E485" s="436" t="s">
        <v>1637</v>
      </c>
      <c r="F485" s="665">
        <v>0</v>
      </c>
      <c r="G485" s="665">
        <v>13771</v>
      </c>
      <c r="H485" s="660">
        <v>13771</v>
      </c>
      <c r="I485" s="656">
        <f>(H485/G485)*100</f>
        <v>100</v>
      </c>
    </row>
    <row r="486" spans="1:20" ht="15" x14ac:dyDescent="0.25">
      <c r="A486" s="921">
        <v>1100</v>
      </c>
      <c r="B486" s="2722">
        <v>3121</v>
      </c>
      <c r="C486" s="2427">
        <v>5331</v>
      </c>
      <c r="D486" s="468"/>
      <c r="E486" s="644" t="s">
        <v>481</v>
      </c>
      <c r="F486" s="675">
        <f>F487</f>
        <v>0</v>
      </c>
      <c r="G486" s="675">
        <f>G487</f>
        <v>15</v>
      </c>
      <c r="H486" s="675">
        <f>H487</f>
        <v>15</v>
      </c>
      <c r="I486" s="680">
        <f>(H486/G486)*100</f>
        <v>100</v>
      </c>
    </row>
    <row r="487" spans="1:20" ht="15" thickBot="1" x14ac:dyDescent="0.25">
      <c r="A487" s="921"/>
      <c r="B487" s="2722"/>
      <c r="C487" s="2427"/>
      <c r="D487" s="2724" t="s">
        <v>917</v>
      </c>
      <c r="E487" s="949" t="s">
        <v>1534</v>
      </c>
      <c r="F487" s="372">
        <v>0</v>
      </c>
      <c r="G487" s="917">
        <v>15</v>
      </c>
      <c r="H487" s="917">
        <v>15</v>
      </c>
      <c r="I487" s="982">
        <f>(H487/G487)*100</f>
        <v>100</v>
      </c>
    </row>
    <row r="488" spans="1:20" ht="15.75" hidden="1" thickBot="1" x14ac:dyDescent="0.3">
      <c r="A488" s="921">
        <v>1100</v>
      </c>
      <c r="B488" s="2722">
        <v>3792</v>
      </c>
      <c r="C488" s="2427">
        <v>5331</v>
      </c>
      <c r="D488" s="2726"/>
      <c r="E488" s="602" t="s">
        <v>481</v>
      </c>
      <c r="F488" s="665"/>
      <c r="G488" s="675">
        <f>G489</f>
        <v>0</v>
      </c>
      <c r="H488" s="675">
        <f>H489</f>
        <v>0</v>
      </c>
      <c r="I488" s="680" t="e">
        <f t="shared" si="92"/>
        <v>#DIV/0!</v>
      </c>
    </row>
    <row r="489" spans="1:20" ht="15" hidden="1" thickBot="1" x14ac:dyDescent="0.25">
      <c r="A489" s="921"/>
      <c r="B489" s="2722"/>
      <c r="C489" s="2722"/>
      <c r="D489" s="2752" t="s">
        <v>974</v>
      </c>
      <c r="E489" s="852" t="s">
        <v>1530</v>
      </c>
      <c r="F489" s="665"/>
      <c r="G489" s="665"/>
      <c r="H489" s="665"/>
      <c r="I489" s="656" t="e">
        <f t="shared" si="92"/>
        <v>#DIV/0!</v>
      </c>
    </row>
    <row r="490" spans="1:20" ht="16.5" thickTop="1" thickBot="1" x14ac:dyDescent="0.3">
      <c r="A490" s="3233" t="s">
        <v>522</v>
      </c>
      <c r="B490" s="3234"/>
      <c r="C490" s="3234"/>
      <c r="D490" s="3234"/>
      <c r="E490" s="3234"/>
      <c r="F490" s="657">
        <f>F476</f>
        <v>0</v>
      </c>
      <c r="G490" s="657">
        <f>G480+G476+G488+G486</f>
        <v>14226</v>
      </c>
      <c r="H490" s="657">
        <f>H480+H476+H488+H486</f>
        <v>14226</v>
      </c>
      <c r="I490" s="658">
        <f>(H490/G490)*100</f>
        <v>100</v>
      </c>
      <c r="R490" s="373">
        <f>F490</f>
        <v>0</v>
      </c>
      <c r="S490" s="373">
        <f>G490</f>
        <v>14226</v>
      </c>
      <c r="T490" s="373">
        <f>H490</f>
        <v>14226</v>
      </c>
    </row>
    <row r="491" spans="1:20" ht="14.25" customHeight="1" thickTop="1" x14ac:dyDescent="0.2"/>
    <row r="492" spans="1:20" ht="14.25" customHeight="1" x14ac:dyDescent="0.2"/>
    <row r="493" spans="1:20" ht="16.5" customHeight="1" thickBot="1" x14ac:dyDescent="0.25">
      <c r="A493" s="419" t="s">
        <v>624</v>
      </c>
      <c r="I493" s="915" t="s">
        <v>92</v>
      </c>
    </row>
    <row r="494" spans="1:20" s="106" customFormat="1" thickTop="1" thickBot="1" x14ac:dyDescent="0.25">
      <c r="A494" s="572" t="s">
        <v>324</v>
      </c>
      <c r="B494" s="639" t="s">
        <v>93</v>
      </c>
      <c r="C494" s="573" t="s">
        <v>94</v>
      </c>
      <c r="D494" s="575" t="s">
        <v>364</v>
      </c>
      <c r="E494" s="575" t="s">
        <v>95</v>
      </c>
      <c r="F494" s="575" t="s">
        <v>328</v>
      </c>
      <c r="G494" s="575" t="s">
        <v>329</v>
      </c>
      <c r="H494" s="575" t="s">
        <v>448</v>
      </c>
      <c r="I494" s="651" t="s">
        <v>449</v>
      </c>
    </row>
    <row r="495" spans="1:20" s="374" customFormat="1" ht="13.5" thickTop="1" thickBot="1" x14ac:dyDescent="0.25">
      <c r="A495" s="511">
        <v>1</v>
      </c>
      <c r="B495" s="512">
        <v>2</v>
      </c>
      <c r="C495" s="512">
        <v>3</v>
      </c>
      <c r="D495" s="512">
        <v>4</v>
      </c>
      <c r="E495" s="512">
        <v>5</v>
      </c>
      <c r="F495" s="499">
        <v>6</v>
      </c>
      <c r="G495" s="499">
        <v>7</v>
      </c>
      <c r="H495" s="500">
        <v>8</v>
      </c>
      <c r="I495" s="577" t="s">
        <v>393</v>
      </c>
    </row>
    <row r="496" spans="1:20" ht="15.75" hidden="1" thickTop="1" x14ac:dyDescent="0.25">
      <c r="A496" s="916">
        <v>1101</v>
      </c>
      <c r="B496" s="640">
        <v>3121</v>
      </c>
      <c r="C496" s="640">
        <v>5331</v>
      </c>
      <c r="D496" s="670"/>
      <c r="E496" s="685" t="s">
        <v>481</v>
      </c>
      <c r="F496" s="686">
        <f>SUM(F497:F498)</f>
        <v>0</v>
      </c>
      <c r="G496" s="686">
        <f>SUM(G497:G498)</f>
        <v>0</v>
      </c>
      <c r="H496" s="686">
        <f>SUM(H497:H498)</f>
        <v>0</v>
      </c>
      <c r="I496" s="659" t="e">
        <f t="shared" ref="I496:I515" si="94">(H496/G496)*100</f>
        <v>#DIV/0!</v>
      </c>
    </row>
    <row r="497" spans="1:9" ht="15" hidden="1" thickTop="1" x14ac:dyDescent="0.2">
      <c r="A497" s="418"/>
      <c r="B497" s="603"/>
      <c r="C497" s="603"/>
      <c r="D497" s="620" t="s">
        <v>905</v>
      </c>
      <c r="E497" s="938" t="s">
        <v>408</v>
      </c>
      <c r="F497" s="660"/>
      <c r="G497" s="660"/>
      <c r="H497" s="660"/>
      <c r="I497" s="656" t="e">
        <f t="shared" si="94"/>
        <v>#DIV/0!</v>
      </c>
    </row>
    <row r="498" spans="1:9" ht="15" hidden="1" thickTop="1" x14ac:dyDescent="0.2">
      <c r="A498" s="418"/>
      <c r="B498" s="603"/>
      <c r="C498" s="603"/>
      <c r="D498" s="505" t="s">
        <v>906</v>
      </c>
      <c r="E498" s="436" t="s">
        <v>38</v>
      </c>
      <c r="F498" s="660"/>
      <c r="G498" s="660"/>
      <c r="H498" s="660"/>
      <c r="I498" s="656" t="e">
        <f t="shared" si="94"/>
        <v>#DIV/0!</v>
      </c>
    </row>
    <row r="499" spans="1:9" ht="15.75" thickTop="1" x14ac:dyDescent="0.25">
      <c r="A499" s="921">
        <v>1101</v>
      </c>
      <c r="B499" s="2722">
        <v>3121</v>
      </c>
      <c r="C499" s="2722">
        <v>5336</v>
      </c>
      <c r="D499" s="2726"/>
      <c r="E499" s="602" t="s">
        <v>856</v>
      </c>
      <c r="F499" s="678">
        <f>F500+F502+F503+F504+F506+F507+F508+F505+F501</f>
        <v>0</v>
      </c>
      <c r="G499" s="678">
        <f t="shared" ref="G499:H499" si="95">G500+G502+G503+G504+G506+G507+G508+G505+G501</f>
        <v>34151</v>
      </c>
      <c r="H499" s="678">
        <f t="shared" si="95"/>
        <v>34151</v>
      </c>
      <c r="I499" s="680">
        <f t="shared" si="94"/>
        <v>100</v>
      </c>
    </row>
    <row r="500" spans="1:9" ht="14.25" x14ac:dyDescent="0.2">
      <c r="A500" s="921"/>
      <c r="B500" s="2722"/>
      <c r="C500" s="2722"/>
      <c r="D500" s="2725" t="s">
        <v>920</v>
      </c>
      <c r="E500" s="1352" t="s">
        <v>769</v>
      </c>
      <c r="F500" s="660">
        <v>0</v>
      </c>
      <c r="G500" s="660">
        <v>4</v>
      </c>
      <c r="H500" s="660">
        <v>4</v>
      </c>
      <c r="I500" s="656">
        <f t="shared" ref="I500:I501" si="96">(H500/G500)*100</f>
        <v>100</v>
      </c>
    </row>
    <row r="501" spans="1:9" ht="33" customHeight="1" x14ac:dyDescent="0.2">
      <c r="A501" s="921"/>
      <c r="B501" s="2722"/>
      <c r="C501" s="2722"/>
      <c r="D501" s="2723" t="s">
        <v>921</v>
      </c>
      <c r="E501" s="3102" t="s">
        <v>860</v>
      </c>
      <c r="F501" s="870">
        <v>0</v>
      </c>
      <c r="G501" s="870">
        <v>299</v>
      </c>
      <c r="H501" s="870">
        <v>299</v>
      </c>
      <c r="I501" s="871">
        <f t="shared" si="96"/>
        <v>100</v>
      </c>
    </row>
    <row r="502" spans="1:9" ht="14.25" x14ac:dyDescent="0.2">
      <c r="A502" s="921"/>
      <c r="B502" s="2722"/>
      <c r="C502" s="2722"/>
      <c r="D502" s="2725" t="s">
        <v>902</v>
      </c>
      <c r="E502" s="1352" t="s">
        <v>855</v>
      </c>
      <c r="F502" s="1600">
        <v>0</v>
      </c>
      <c r="G502" s="1600">
        <v>608</v>
      </c>
      <c r="H502" s="1600">
        <v>608</v>
      </c>
      <c r="I502" s="367">
        <f t="shared" ref="I502:I505" si="97">(H502/G502)*100</f>
        <v>100</v>
      </c>
    </row>
    <row r="503" spans="1:9" ht="14.25" x14ac:dyDescent="0.2">
      <c r="A503" s="921"/>
      <c r="B503" s="2722"/>
      <c r="C503" s="2722"/>
      <c r="D503" s="2724" t="s">
        <v>1132</v>
      </c>
      <c r="E503" s="1637" t="s">
        <v>1516</v>
      </c>
      <c r="F503" s="1643">
        <v>0</v>
      </c>
      <c r="G503" s="1643">
        <v>4</v>
      </c>
      <c r="H503" s="1643">
        <v>4</v>
      </c>
      <c r="I503" s="982">
        <f t="shared" si="97"/>
        <v>100</v>
      </c>
    </row>
    <row r="504" spans="1:9" ht="14.25" x14ac:dyDescent="0.2">
      <c r="A504" s="921"/>
      <c r="B504" s="2722"/>
      <c r="C504" s="2722"/>
      <c r="D504" s="2725" t="s">
        <v>1896</v>
      </c>
      <c r="E504" s="3105" t="s">
        <v>1951</v>
      </c>
      <c r="F504" s="311">
        <v>0</v>
      </c>
      <c r="G504" s="311">
        <v>109</v>
      </c>
      <c r="H504" s="311">
        <v>109</v>
      </c>
      <c r="I504" s="816">
        <f t="shared" si="97"/>
        <v>100</v>
      </c>
    </row>
    <row r="505" spans="1:9" ht="28.5" x14ac:dyDescent="0.2">
      <c r="A505" s="921"/>
      <c r="B505" s="2722"/>
      <c r="C505" s="2722"/>
      <c r="D505" s="2723" t="s">
        <v>922</v>
      </c>
      <c r="E505" s="3105" t="s">
        <v>1955</v>
      </c>
      <c r="F505" s="894">
        <v>0</v>
      </c>
      <c r="G505" s="893">
        <v>76</v>
      </c>
      <c r="H505" s="893">
        <v>76</v>
      </c>
      <c r="I505" s="903">
        <f t="shared" si="97"/>
        <v>100</v>
      </c>
    </row>
    <row r="506" spans="1:9" ht="14.25" x14ac:dyDescent="0.2">
      <c r="A506" s="921"/>
      <c r="B506" s="2722"/>
      <c r="C506" s="2722"/>
      <c r="D506" s="2726" t="s">
        <v>901</v>
      </c>
      <c r="E506" s="436" t="s">
        <v>1637</v>
      </c>
      <c r="F506" s="660">
        <v>0</v>
      </c>
      <c r="G506" s="660">
        <v>32156</v>
      </c>
      <c r="H506" s="660">
        <v>32156</v>
      </c>
      <c r="I506" s="656">
        <f t="shared" si="94"/>
        <v>100</v>
      </c>
    </row>
    <row r="507" spans="1:9" ht="14.25" x14ac:dyDescent="0.2">
      <c r="A507" s="921"/>
      <c r="B507" s="2722"/>
      <c r="C507" s="2722"/>
      <c r="D507" s="2724" t="s">
        <v>1144</v>
      </c>
      <c r="E507" s="692" t="s">
        <v>1515</v>
      </c>
      <c r="F507" s="665">
        <v>0</v>
      </c>
      <c r="G507" s="665">
        <v>134</v>
      </c>
      <c r="H507" s="665">
        <v>134</v>
      </c>
      <c r="I507" s="656">
        <f t="shared" si="94"/>
        <v>100</v>
      </c>
    </row>
    <row r="508" spans="1:9" ht="14.25" x14ac:dyDescent="0.2">
      <c r="A508" s="921"/>
      <c r="B508" s="2722"/>
      <c r="C508" s="2722"/>
      <c r="D508" s="2724" t="s">
        <v>1145</v>
      </c>
      <c r="E508" s="692" t="s">
        <v>1515</v>
      </c>
      <c r="F508" s="665">
        <v>0</v>
      </c>
      <c r="G508" s="665">
        <v>761</v>
      </c>
      <c r="H508" s="665">
        <v>761</v>
      </c>
      <c r="I508" s="656">
        <f t="shared" si="94"/>
        <v>100</v>
      </c>
    </row>
    <row r="509" spans="1:9" ht="15" x14ac:dyDescent="0.25">
      <c r="A509" s="921">
        <v>1101</v>
      </c>
      <c r="B509" s="2722">
        <v>3299</v>
      </c>
      <c r="C509" s="2722">
        <v>5331</v>
      </c>
      <c r="D509" s="2724"/>
      <c r="E509" s="602" t="s">
        <v>481</v>
      </c>
      <c r="F509" s="675">
        <f>F510</f>
        <v>0</v>
      </c>
      <c r="G509" s="675">
        <f>G510</f>
        <v>30</v>
      </c>
      <c r="H509" s="675">
        <f>H510</f>
        <v>30</v>
      </c>
      <c r="I509" s="680">
        <f t="shared" si="94"/>
        <v>100</v>
      </c>
    </row>
    <row r="510" spans="1:9" ht="14.25" x14ac:dyDescent="0.2">
      <c r="A510" s="921"/>
      <c r="B510" s="2722"/>
      <c r="C510" s="2722"/>
      <c r="D510" s="2726" t="s">
        <v>923</v>
      </c>
      <c r="E510" s="436" t="s">
        <v>653</v>
      </c>
      <c r="F510" s="665">
        <v>0</v>
      </c>
      <c r="G510" s="665">
        <v>30</v>
      </c>
      <c r="H510" s="665">
        <v>30</v>
      </c>
      <c r="I510" s="656">
        <f t="shared" si="94"/>
        <v>100</v>
      </c>
    </row>
    <row r="511" spans="1:9" ht="15" x14ac:dyDescent="0.25">
      <c r="A511" s="921">
        <v>1101</v>
      </c>
      <c r="B511" s="2722">
        <v>3141</v>
      </c>
      <c r="C511" s="2722">
        <v>5336</v>
      </c>
      <c r="D511" s="2724"/>
      <c r="E511" s="602" t="s">
        <v>856</v>
      </c>
      <c r="F511" s="675">
        <f>F512</f>
        <v>0</v>
      </c>
      <c r="G511" s="675">
        <f>G512</f>
        <v>458</v>
      </c>
      <c r="H511" s="675">
        <f>H512</f>
        <v>458</v>
      </c>
      <c r="I511" s="669">
        <f t="shared" si="94"/>
        <v>100</v>
      </c>
    </row>
    <row r="512" spans="1:9" ht="15" thickBot="1" x14ac:dyDescent="0.25">
      <c r="A512" s="921"/>
      <c r="B512" s="2722"/>
      <c r="C512" s="2722"/>
      <c r="D512" s="2726" t="s">
        <v>901</v>
      </c>
      <c r="E512" s="436" t="s">
        <v>1637</v>
      </c>
      <c r="F512" s="665">
        <v>0</v>
      </c>
      <c r="G512" s="665">
        <v>458</v>
      </c>
      <c r="H512" s="665">
        <v>458</v>
      </c>
      <c r="I512" s="661">
        <f t="shared" si="94"/>
        <v>100</v>
      </c>
    </row>
    <row r="513" spans="1:20" ht="15.75" hidden="1" thickBot="1" x14ac:dyDescent="0.3">
      <c r="A513" s="921">
        <v>1101</v>
      </c>
      <c r="B513" s="2722">
        <v>3792</v>
      </c>
      <c r="C513" s="1350">
        <v>5331</v>
      </c>
      <c r="D513" s="2740"/>
      <c r="E513" s="602" t="s">
        <v>481</v>
      </c>
      <c r="F513" s="666"/>
      <c r="G513" s="666">
        <f>G514+G515</f>
        <v>0</v>
      </c>
      <c r="H513" s="666">
        <f>H514+H515</f>
        <v>0</v>
      </c>
      <c r="I513" s="667" t="e">
        <f t="shared" si="94"/>
        <v>#DIV/0!</v>
      </c>
    </row>
    <row r="514" spans="1:20" ht="15" hidden="1" thickBot="1" x14ac:dyDescent="0.25">
      <c r="A514" s="921"/>
      <c r="B514" s="2722"/>
      <c r="C514" s="1350"/>
      <c r="D514" s="2752" t="s">
        <v>974</v>
      </c>
      <c r="E514" s="852" t="s">
        <v>1530</v>
      </c>
      <c r="F514" s="660"/>
      <c r="G514" s="660"/>
      <c r="H514" s="660"/>
      <c r="I514" s="656" t="e">
        <f t="shared" si="94"/>
        <v>#DIV/0!</v>
      </c>
    </row>
    <row r="515" spans="1:20" ht="29.25" hidden="1" thickBot="1" x14ac:dyDescent="0.25">
      <c r="A515" s="418"/>
      <c r="B515" s="634"/>
      <c r="C515" s="918"/>
      <c r="D515" s="633" t="s">
        <v>924</v>
      </c>
      <c r="E515" s="1638" t="s">
        <v>925</v>
      </c>
      <c r="F515" s="665"/>
      <c r="G515" s="870"/>
      <c r="H515" s="870"/>
      <c r="I515" s="874" t="e">
        <f t="shared" si="94"/>
        <v>#DIV/0!</v>
      </c>
    </row>
    <row r="516" spans="1:20" ht="16.5" thickTop="1" thickBot="1" x14ac:dyDescent="0.3">
      <c r="A516" s="3233" t="s">
        <v>522</v>
      </c>
      <c r="B516" s="3234"/>
      <c r="C516" s="3234"/>
      <c r="D516" s="3234"/>
      <c r="E516" s="3234"/>
      <c r="F516" s="657">
        <f>F496+F513</f>
        <v>0</v>
      </c>
      <c r="G516" s="657">
        <f>G513+G511+G499+G496+G509</f>
        <v>34639</v>
      </c>
      <c r="H516" s="657">
        <f>H513+H511+H499+H496+H509</f>
        <v>34639</v>
      </c>
      <c r="I516" s="658">
        <f>(H516/G516)*100</f>
        <v>100</v>
      </c>
      <c r="R516" s="373">
        <f>F516</f>
        <v>0</v>
      </c>
      <c r="S516" s="373">
        <f>G516</f>
        <v>34639</v>
      </c>
      <c r="T516" s="373">
        <f>H516</f>
        <v>34639</v>
      </c>
    </row>
    <row r="517" spans="1:20" ht="15.75" thickTop="1" x14ac:dyDescent="0.25">
      <c r="A517" s="360"/>
      <c r="B517" s="360"/>
      <c r="C517" s="360"/>
      <c r="D517" s="360"/>
      <c r="E517" s="360"/>
      <c r="F517" s="177"/>
      <c r="G517" s="177"/>
      <c r="H517" s="177"/>
      <c r="I517" s="206"/>
      <c r="R517" s="373"/>
      <c r="S517" s="373"/>
      <c r="T517" s="373"/>
    </row>
    <row r="518" spans="1:20" ht="15" x14ac:dyDescent="0.25">
      <c r="A518" s="360"/>
      <c r="B518" s="360"/>
      <c r="C518" s="360"/>
      <c r="D518" s="360"/>
      <c r="E518" s="360"/>
      <c r="F518" s="177"/>
      <c r="G518" s="177"/>
      <c r="H518" s="177"/>
      <c r="I518" s="206"/>
      <c r="R518" s="373"/>
      <c r="S518" s="373"/>
      <c r="T518" s="373"/>
    </row>
    <row r="519" spans="1:20" ht="15" x14ac:dyDescent="0.25">
      <c r="A519" s="360"/>
      <c r="B519" s="360"/>
      <c r="C519" s="360"/>
      <c r="D519" s="360"/>
      <c r="E519" s="360"/>
      <c r="F519" s="177"/>
      <c r="G519" s="177"/>
      <c r="H519" s="177"/>
      <c r="I519" s="206"/>
      <c r="R519" s="373"/>
      <c r="S519" s="373"/>
      <c r="T519" s="373"/>
    </row>
    <row r="520" spans="1:20" ht="15" x14ac:dyDescent="0.25">
      <c r="A520" s="360"/>
      <c r="B520" s="360"/>
      <c r="C520" s="360"/>
      <c r="D520" s="360"/>
      <c r="E520" s="360"/>
      <c r="F520" s="177"/>
      <c r="G520" s="177"/>
      <c r="H520" s="177"/>
      <c r="I520" s="206"/>
      <c r="R520" s="373"/>
      <c r="S520" s="373"/>
      <c r="T520" s="373"/>
    </row>
    <row r="521" spans="1:20" ht="13.5" thickBot="1" x14ac:dyDescent="0.25">
      <c r="A521" s="419" t="s">
        <v>220</v>
      </c>
      <c r="I521" s="915" t="s">
        <v>92</v>
      </c>
    </row>
    <row r="522" spans="1:20" s="106" customFormat="1" thickTop="1" thickBot="1" x14ac:dyDescent="0.25">
      <c r="A522" s="572" t="s">
        <v>324</v>
      </c>
      <c r="B522" s="639" t="s">
        <v>93</v>
      </c>
      <c r="C522" s="573" t="s">
        <v>94</v>
      </c>
      <c r="D522" s="575" t="s">
        <v>364</v>
      </c>
      <c r="E522" s="575" t="s">
        <v>95</v>
      </c>
      <c r="F522" s="575" t="s">
        <v>328</v>
      </c>
      <c r="G522" s="575" t="s">
        <v>329</v>
      </c>
      <c r="H522" s="575" t="s">
        <v>448</v>
      </c>
      <c r="I522" s="651" t="s">
        <v>449</v>
      </c>
    </row>
    <row r="523" spans="1:20" s="374" customFormat="1" ht="13.5" thickTop="1" thickBot="1" x14ac:dyDescent="0.25">
      <c r="A523" s="511">
        <v>1</v>
      </c>
      <c r="B523" s="512">
        <v>2</v>
      </c>
      <c r="C523" s="512">
        <v>3</v>
      </c>
      <c r="D523" s="512">
        <v>4</v>
      </c>
      <c r="E523" s="512">
        <v>5</v>
      </c>
      <c r="F523" s="499">
        <v>6</v>
      </c>
      <c r="G523" s="499">
        <v>7</v>
      </c>
      <c r="H523" s="500">
        <v>8</v>
      </c>
      <c r="I523" s="577" t="s">
        <v>393</v>
      </c>
    </row>
    <row r="524" spans="1:20" ht="15.75" hidden="1" thickTop="1" x14ac:dyDescent="0.25">
      <c r="A524" s="916">
        <v>1102</v>
      </c>
      <c r="B524" s="640">
        <v>3121</v>
      </c>
      <c r="C524" s="640">
        <v>5331</v>
      </c>
      <c r="D524" s="670"/>
      <c r="E524" s="685" t="s">
        <v>481</v>
      </c>
      <c r="F524" s="686">
        <f>F525+F526</f>
        <v>0</v>
      </c>
      <c r="G524" s="686">
        <f t="shared" ref="G524:H524" si="98">G525+G526</f>
        <v>0</v>
      </c>
      <c r="H524" s="686">
        <f t="shared" si="98"/>
        <v>0</v>
      </c>
      <c r="I524" s="659" t="e">
        <f t="shared" ref="I524:I539" si="99">(H524/G524)*100</f>
        <v>#DIV/0!</v>
      </c>
    </row>
    <row r="525" spans="1:20" ht="15" hidden="1" thickTop="1" x14ac:dyDescent="0.2">
      <c r="A525" s="418"/>
      <c r="B525" s="603"/>
      <c r="C525" s="603"/>
      <c r="D525" s="620" t="s">
        <v>905</v>
      </c>
      <c r="E525" s="938" t="s">
        <v>408</v>
      </c>
      <c r="F525" s="660"/>
      <c r="G525" s="660"/>
      <c r="H525" s="660"/>
      <c r="I525" s="656" t="e">
        <f t="shared" si="99"/>
        <v>#DIV/0!</v>
      </c>
    </row>
    <row r="526" spans="1:20" ht="15" hidden="1" thickTop="1" x14ac:dyDescent="0.2">
      <c r="A526" s="418"/>
      <c r="B526" s="603"/>
      <c r="C526" s="603"/>
      <c r="D526" s="505" t="s">
        <v>906</v>
      </c>
      <c r="E526" s="436" t="s">
        <v>38</v>
      </c>
      <c r="F526" s="660"/>
      <c r="G526" s="660"/>
      <c r="H526" s="660"/>
      <c r="I526" s="656" t="e">
        <f t="shared" si="99"/>
        <v>#DIV/0!</v>
      </c>
    </row>
    <row r="527" spans="1:20" ht="15.75" thickTop="1" x14ac:dyDescent="0.25">
      <c r="A527" s="921">
        <v>1102</v>
      </c>
      <c r="B527" s="2722">
        <v>3121</v>
      </c>
      <c r="C527" s="2722">
        <v>5336</v>
      </c>
      <c r="D527" s="2726"/>
      <c r="E527" s="602" t="s">
        <v>856</v>
      </c>
      <c r="F527" s="678">
        <f>F528+F529+F530+F531+F533+F532</f>
        <v>0</v>
      </c>
      <c r="G527" s="678">
        <f t="shared" ref="G527:H527" si="100">G528+G529+G530+G531+G533+G532</f>
        <v>45322</v>
      </c>
      <c r="H527" s="678">
        <f t="shared" si="100"/>
        <v>45322</v>
      </c>
      <c r="I527" s="680">
        <f t="shared" si="99"/>
        <v>100</v>
      </c>
    </row>
    <row r="528" spans="1:20" ht="14.25" x14ac:dyDescent="0.2">
      <c r="A528" s="921"/>
      <c r="B528" s="2722"/>
      <c r="C528" s="2722"/>
      <c r="D528" s="2725" t="s">
        <v>926</v>
      </c>
      <c r="E528" s="923" t="s">
        <v>702</v>
      </c>
      <c r="F528" s="660">
        <v>0</v>
      </c>
      <c r="G528" s="660">
        <v>96</v>
      </c>
      <c r="H528" s="660">
        <v>96</v>
      </c>
      <c r="I528" s="656">
        <f t="shared" ref="I528:I529" si="101">(H528/G528)*100</f>
        <v>100</v>
      </c>
    </row>
    <row r="529" spans="1:19" ht="14.25" x14ac:dyDescent="0.2">
      <c r="A529" s="921"/>
      <c r="B529" s="2722"/>
      <c r="C529" s="2722"/>
      <c r="D529" s="2725" t="s">
        <v>920</v>
      </c>
      <c r="E529" s="1352" t="s">
        <v>769</v>
      </c>
      <c r="F529" s="660">
        <v>0</v>
      </c>
      <c r="G529" s="660">
        <v>173</v>
      </c>
      <c r="H529" s="660">
        <v>173</v>
      </c>
      <c r="I529" s="656">
        <f t="shared" si="101"/>
        <v>100</v>
      </c>
    </row>
    <row r="530" spans="1:19" ht="14.25" x14ac:dyDescent="0.2">
      <c r="A530" s="921"/>
      <c r="B530" s="2722"/>
      <c r="C530" s="2722"/>
      <c r="D530" s="2725" t="s">
        <v>902</v>
      </c>
      <c r="E530" s="1352" t="s">
        <v>855</v>
      </c>
      <c r="F530" s="660">
        <v>0</v>
      </c>
      <c r="G530" s="1600">
        <v>846</v>
      </c>
      <c r="H530" s="1600">
        <v>846</v>
      </c>
      <c r="I530" s="367">
        <f t="shared" ref="I530:I532" si="102">(H530/G530)*100</f>
        <v>100</v>
      </c>
    </row>
    <row r="531" spans="1:19" ht="14.25" x14ac:dyDescent="0.2">
      <c r="A531" s="921"/>
      <c r="B531" s="2722"/>
      <c r="C531" s="2722"/>
      <c r="D531" s="2725" t="s">
        <v>1132</v>
      </c>
      <c r="E531" s="1637" t="s">
        <v>1516</v>
      </c>
      <c r="F531" s="660">
        <v>0</v>
      </c>
      <c r="G531" s="1643">
        <v>54</v>
      </c>
      <c r="H531" s="1643">
        <v>54</v>
      </c>
      <c r="I531" s="982">
        <f t="shared" si="102"/>
        <v>100</v>
      </c>
    </row>
    <row r="532" spans="1:19" ht="14.25" x14ac:dyDescent="0.2">
      <c r="A532" s="921"/>
      <c r="B532" s="2722"/>
      <c r="C532" s="2722"/>
      <c r="D532" s="2725" t="s">
        <v>1896</v>
      </c>
      <c r="E532" s="3102" t="s">
        <v>1951</v>
      </c>
      <c r="F532" s="660">
        <v>0</v>
      </c>
      <c r="G532" s="1643">
        <v>226</v>
      </c>
      <c r="H532" s="1643">
        <v>226</v>
      </c>
      <c r="I532" s="982">
        <f t="shared" si="102"/>
        <v>100</v>
      </c>
    </row>
    <row r="533" spans="1:19" ht="14.25" x14ac:dyDescent="0.2">
      <c r="A533" s="921"/>
      <c r="B533" s="2722"/>
      <c r="C533" s="2427"/>
      <c r="D533" s="2726" t="s">
        <v>901</v>
      </c>
      <c r="E533" s="436" t="s">
        <v>1637</v>
      </c>
      <c r="F533" s="660">
        <v>0</v>
      </c>
      <c r="G533" s="660">
        <v>43927</v>
      </c>
      <c r="H533" s="660">
        <v>43927</v>
      </c>
      <c r="I533" s="656">
        <f t="shared" si="99"/>
        <v>100</v>
      </c>
    </row>
    <row r="534" spans="1:19" ht="15" x14ac:dyDescent="0.25">
      <c r="A534" s="2754">
        <v>1102</v>
      </c>
      <c r="B534" s="2722">
        <v>3121</v>
      </c>
      <c r="C534" s="2722">
        <v>5331</v>
      </c>
      <c r="D534" s="2724"/>
      <c r="E534" s="602" t="s">
        <v>481</v>
      </c>
      <c r="F534" s="2626">
        <f>F535</f>
        <v>0</v>
      </c>
      <c r="G534" s="2626">
        <f>G535</f>
        <v>15</v>
      </c>
      <c r="H534" s="2626">
        <f>H535</f>
        <v>15</v>
      </c>
      <c r="I534" s="680">
        <f t="shared" si="99"/>
        <v>100</v>
      </c>
    </row>
    <row r="535" spans="1:19" ht="14.25" x14ac:dyDescent="0.2">
      <c r="A535" s="2754"/>
      <c r="B535" s="2722"/>
      <c r="C535" s="2722"/>
      <c r="D535" s="2726" t="s">
        <v>917</v>
      </c>
      <c r="E535" s="436" t="s">
        <v>1956</v>
      </c>
      <c r="F535" s="2628">
        <v>0</v>
      </c>
      <c r="G535" s="2628">
        <v>15</v>
      </c>
      <c r="H535" s="2628">
        <v>15</v>
      </c>
      <c r="I535" s="656">
        <f t="shared" si="99"/>
        <v>100</v>
      </c>
    </row>
    <row r="536" spans="1:19" ht="15" x14ac:dyDescent="0.25">
      <c r="A536" s="921">
        <v>1102</v>
      </c>
      <c r="B536" s="2722">
        <v>3141</v>
      </c>
      <c r="C536" s="2722">
        <v>5336</v>
      </c>
      <c r="D536" s="2724"/>
      <c r="E536" s="602" t="s">
        <v>856</v>
      </c>
      <c r="F536" s="675">
        <f>F537</f>
        <v>0</v>
      </c>
      <c r="G536" s="675">
        <f>G537</f>
        <v>732</v>
      </c>
      <c r="H536" s="675">
        <f>H537</f>
        <v>732</v>
      </c>
      <c r="I536" s="669">
        <f t="shared" si="99"/>
        <v>100</v>
      </c>
    </row>
    <row r="537" spans="1:19" ht="14.25" x14ac:dyDescent="0.2">
      <c r="A537" s="921"/>
      <c r="B537" s="2722"/>
      <c r="C537" s="2722"/>
      <c r="D537" s="2726" t="s">
        <v>901</v>
      </c>
      <c r="E537" s="436" t="s">
        <v>1637</v>
      </c>
      <c r="F537" s="665">
        <v>0</v>
      </c>
      <c r="G537" s="665">
        <v>732</v>
      </c>
      <c r="H537" s="665">
        <v>732</v>
      </c>
      <c r="I537" s="661">
        <f t="shared" si="99"/>
        <v>100</v>
      </c>
    </row>
    <row r="538" spans="1:19" ht="15" x14ac:dyDescent="0.25">
      <c r="A538" s="2754">
        <v>1102</v>
      </c>
      <c r="B538" s="2722">
        <v>3299</v>
      </c>
      <c r="C538" s="2722">
        <v>5331</v>
      </c>
      <c r="D538" s="2724"/>
      <c r="E538" s="602" t="s">
        <v>481</v>
      </c>
      <c r="F538" s="675">
        <f>F539</f>
        <v>0</v>
      </c>
      <c r="G538" s="675">
        <f t="shared" ref="G538:H538" si="103">G539</f>
        <v>32</v>
      </c>
      <c r="H538" s="675">
        <f t="shared" si="103"/>
        <v>32</v>
      </c>
      <c r="I538" s="669">
        <f t="shared" si="99"/>
        <v>100</v>
      </c>
    </row>
    <row r="539" spans="1:19" ht="14.25" x14ac:dyDescent="0.2">
      <c r="A539" s="2754"/>
      <c r="B539" s="2722"/>
      <c r="C539" s="2722"/>
      <c r="D539" s="2726" t="s">
        <v>923</v>
      </c>
      <c r="E539" s="436" t="s">
        <v>653</v>
      </c>
      <c r="F539" s="665">
        <v>0</v>
      </c>
      <c r="G539" s="665">
        <v>32</v>
      </c>
      <c r="H539" s="665">
        <v>32</v>
      </c>
      <c r="I539" s="661">
        <f t="shared" si="99"/>
        <v>100</v>
      </c>
    </row>
    <row r="540" spans="1:19" ht="15" x14ac:dyDescent="0.25">
      <c r="A540" s="2754">
        <v>1102</v>
      </c>
      <c r="B540" s="2722">
        <v>3792</v>
      </c>
      <c r="C540" s="2722">
        <v>5331</v>
      </c>
      <c r="D540" s="2724"/>
      <c r="E540" s="602" t="s">
        <v>481</v>
      </c>
      <c r="F540" s="675">
        <f>F541</f>
        <v>0</v>
      </c>
      <c r="G540" s="675">
        <f t="shared" ref="G540" si="104">G541</f>
        <v>10</v>
      </c>
      <c r="H540" s="675">
        <f t="shared" ref="H540" si="105">H541</f>
        <v>10</v>
      </c>
      <c r="I540" s="669">
        <f t="shared" ref="I540:I541" si="106">(H540/G540)*100</f>
        <v>100</v>
      </c>
    </row>
    <row r="541" spans="1:19" ht="14.25" x14ac:dyDescent="0.2">
      <c r="A541" s="2754"/>
      <c r="B541" s="2722"/>
      <c r="C541" s="2722"/>
      <c r="D541" s="2726" t="s">
        <v>1892</v>
      </c>
      <c r="E541" s="436" t="s">
        <v>1901</v>
      </c>
      <c r="F541" s="665">
        <v>0</v>
      </c>
      <c r="G541" s="665">
        <v>10</v>
      </c>
      <c r="H541" s="665">
        <v>10</v>
      </c>
      <c r="I541" s="661">
        <f t="shared" si="106"/>
        <v>100</v>
      </c>
    </row>
    <row r="542" spans="1:19" ht="15" x14ac:dyDescent="0.25">
      <c r="A542" s="418">
        <v>1102</v>
      </c>
      <c r="B542" s="603">
        <v>5399</v>
      </c>
      <c r="C542" s="2722">
        <v>5336</v>
      </c>
      <c r="D542" s="2724"/>
      <c r="E542" s="602" t="s">
        <v>856</v>
      </c>
      <c r="F542" s="666">
        <f>SUM(F543:F543)</f>
        <v>0</v>
      </c>
      <c r="G542" s="666">
        <f>SUM(G543:G543)</f>
        <v>40</v>
      </c>
      <c r="H542" s="666">
        <f>SUM(H543:H543)</f>
        <v>40</v>
      </c>
      <c r="I542" s="654">
        <v>100</v>
      </c>
      <c r="R542" s="708"/>
      <c r="S542" s="1639"/>
    </row>
    <row r="543" spans="1:19" ht="14.25" customHeight="1" thickBot="1" x14ac:dyDescent="0.25">
      <c r="A543" s="418"/>
      <c r="B543" s="603"/>
      <c r="C543" s="917"/>
      <c r="D543" s="876" t="s">
        <v>937</v>
      </c>
      <c r="E543" s="439" t="s">
        <v>1954</v>
      </c>
      <c r="F543" s="660">
        <v>0</v>
      </c>
      <c r="G543" s="660">
        <v>40</v>
      </c>
      <c r="H543" s="660">
        <v>40</v>
      </c>
      <c r="I543" s="656">
        <f t="shared" ref="I543:I546" si="107">(H543/G543)*100</f>
        <v>100</v>
      </c>
    </row>
    <row r="544" spans="1:19" ht="14.25" hidden="1" customHeight="1" x14ac:dyDescent="0.25">
      <c r="A544" s="418">
        <v>1102</v>
      </c>
      <c r="B544" s="603">
        <v>3792</v>
      </c>
      <c r="C544" s="917">
        <v>5331</v>
      </c>
      <c r="D544" s="876"/>
      <c r="E544" s="644" t="s">
        <v>481</v>
      </c>
      <c r="F544" s="653"/>
      <c r="G544" s="678">
        <f>G545</f>
        <v>0</v>
      </c>
      <c r="H544" s="678">
        <f>H545</f>
        <v>0</v>
      </c>
      <c r="I544" s="680" t="e">
        <f t="shared" si="107"/>
        <v>#DIV/0!</v>
      </c>
    </row>
    <row r="545" spans="1:20" ht="15.75" hidden="1" thickBot="1" x14ac:dyDescent="0.3">
      <c r="A545" s="418"/>
      <c r="B545" s="603"/>
      <c r="C545" s="917"/>
      <c r="D545" s="633" t="s">
        <v>917</v>
      </c>
      <c r="E545" s="1640" t="s">
        <v>835</v>
      </c>
      <c r="F545" s="653"/>
      <c r="G545" s="875"/>
      <c r="H545" s="875"/>
      <c r="I545" s="871" t="e">
        <f t="shared" si="107"/>
        <v>#DIV/0!</v>
      </c>
    </row>
    <row r="546" spans="1:20" ht="16.5" thickTop="1" thickBot="1" x14ac:dyDescent="0.3">
      <c r="A546" s="3233" t="s">
        <v>522</v>
      </c>
      <c r="B546" s="3234"/>
      <c r="C546" s="3234"/>
      <c r="D546" s="3234"/>
      <c r="E546" s="3234"/>
      <c r="F546" s="657">
        <f>F544+F542+F536+F527+F524+F534+F538+F540</f>
        <v>0</v>
      </c>
      <c r="G546" s="657">
        <f t="shared" ref="G546:H546" si="108">G544+G542+G536+G527+G524+G534+G538+G540</f>
        <v>46151</v>
      </c>
      <c r="H546" s="657">
        <f t="shared" si="108"/>
        <v>46151</v>
      </c>
      <c r="I546" s="658">
        <f t="shared" si="107"/>
        <v>100</v>
      </c>
      <c r="R546" s="373">
        <f>F546</f>
        <v>0</v>
      </c>
      <c r="S546" s="373">
        <f>G546</f>
        <v>46151</v>
      </c>
      <c r="T546" s="373">
        <f>H546</f>
        <v>46151</v>
      </c>
    </row>
    <row r="547" spans="1:20" ht="13.5" thickTop="1" x14ac:dyDescent="0.2"/>
    <row r="548" spans="1:20" ht="13.5" thickBot="1" x14ac:dyDescent="0.25">
      <c r="A548" s="419" t="s">
        <v>625</v>
      </c>
      <c r="I548" s="915" t="s">
        <v>92</v>
      </c>
    </row>
    <row r="549" spans="1:20" s="106" customFormat="1" thickTop="1" thickBot="1" x14ac:dyDescent="0.25">
      <c r="A549" s="572" t="s">
        <v>324</v>
      </c>
      <c r="B549" s="639" t="s">
        <v>93</v>
      </c>
      <c r="C549" s="573" t="s">
        <v>94</v>
      </c>
      <c r="D549" s="575" t="s">
        <v>364</v>
      </c>
      <c r="E549" s="575" t="s">
        <v>95</v>
      </c>
      <c r="F549" s="575" t="s">
        <v>328</v>
      </c>
      <c r="G549" s="575" t="s">
        <v>329</v>
      </c>
      <c r="H549" s="575" t="s">
        <v>448</v>
      </c>
      <c r="I549" s="651" t="s">
        <v>449</v>
      </c>
    </row>
    <row r="550" spans="1:20" s="374" customFormat="1" ht="13.5" thickTop="1" thickBot="1" x14ac:dyDescent="0.25">
      <c r="A550" s="511">
        <v>1</v>
      </c>
      <c r="B550" s="512">
        <v>2</v>
      </c>
      <c r="C550" s="512">
        <v>3</v>
      </c>
      <c r="D550" s="512">
        <v>4</v>
      </c>
      <c r="E550" s="512">
        <v>5</v>
      </c>
      <c r="F550" s="499">
        <v>6</v>
      </c>
      <c r="G550" s="499">
        <v>7</v>
      </c>
      <c r="H550" s="500">
        <v>8</v>
      </c>
      <c r="I550" s="577" t="s">
        <v>393</v>
      </c>
    </row>
    <row r="551" spans="1:20" ht="15.75" thickTop="1" x14ac:dyDescent="0.25">
      <c r="A551" s="916">
        <v>1103</v>
      </c>
      <c r="B551" s="640">
        <v>3121</v>
      </c>
      <c r="C551" s="2737">
        <v>5331</v>
      </c>
      <c r="D551" s="670"/>
      <c r="E551" s="685" t="s">
        <v>481</v>
      </c>
      <c r="F551" s="686">
        <f>F552</f>
        <v>0</v>
      </c>
      <c r="G551" s="686">
        <f t="shared" ref="G551:H551" si="109">G552</f>
        <v>15</v>
      </c>
      <c r="H551" s="686">
        <f t="shared" si="109"/>
        <v>15</v>
      </c>
      <c r="I551" s="659">
        <f t="shared" ref="I551:I564" si="110">(H551/G551)*100</f>
        <v>100</v>
      </c>
    </row>
    <row r="552" spans="1:20" ht="14.25" x14ac:dyDescent="0.2">
      <c r="A552" s="418"/>
      <c r="B552" s="603"/>
      <c r="C552" s="603"/>
      <c r="D552" s="620" t="s">
        <v>917</v>
      </c>
      <c r="E552" s="938" t="s">
        <v>1956</v>
      </c>
      <c r="F552" s="660">
        <v>0</v>
      </c>
      <c r="G552" s="660">
        <v>15</v>
      </c>
      <c r="H552" s="660">
        <v>15</v>
      </c>
      <c r="I552" s="656">
        <f t="shared" si="110"/>
        <v>100</v>
      </c>
    </row>
    <row r="553" spans="1:20" ht="15" x14ac:dyDescent="0.25">
      <c r="A553" s="921">
        <v>1103</v>
      </c>
      <c r="B553" s="2722">
        <v>3121</v>
      </c>
      <c r="C553" s="2722">
        <v>5336</v>
      </c>
      <c r="D553" s="2724"/>
      <c r="E553" s="602" t="s">
        <v>856</v>
      </c>
      <c r="F553" s="675">
        <f>F554+F555+F556+F557+F558+F559+F560</f>
        <v>0</v>
      </c>
      <c r="G553" s="675">
        <f t="shared" ref="G553:H553" si="111">G554+G555+G556+G557+G558+G559+G560</f>
        <v>57866</v>
      </c>
      <c r="H553" s="675">
        <f t="shared" si="111"/>
        <v>57866</v>
      </c>
      <c r="I553" s="669">
        <f t="shared" si="110"/>
        <v>100</v>
      </c>
    </row>
    <row r="554" spans="1:20" ht="14.25" x14ac:dyDescent="0.2">
      <c r="A554" s="921"/>
      <c r="B554" s="2722"/>
      <c r="C554" s="2722"/>
      <c r="D554" s="2725" t="s">
        <v>920</v>
      </c>
      <c r="E554" s="1352" t="s">
        <v>769</v>
      </c>
      <c r="F554" s="660">
        <v>0</v>
      </c>
      <c r="G554" s="660">
        <v>361</v>
      </c>
      <c r="H554" s="660">
        <v>361</v>
      </c>
      <c r="I554" s="656">
        <f t="shared" ref="I554" si="112">(H554/G554)*100</f>
        <v>100</v>
      </c>
    </row>
    <row r="555" spans="1:20" ht="14.25" x14ac:dyDescent="0.2">
      <c r="A555" s="921"/>
      <c r="B555" s="2722"/>
      <c r="C555" s="2722"/>
      <c r="D555" s="2725" t="s">
        <v>902</v>
      </c>
      <c r="E555" s="1352" t="s">
        <v>855</v>
      </c>
      <c r="F555" s="1600">
        <v>0</v>
      </c>
      <c r="G555" s="1600">
        <v>1036</v>
      </c>
      <c r="H555" s="1600">
        <v>1036</v>
      </c>
      <c r="I555" s="367">
        <f t="shared" ref="I555:I557" si="113">(H555/G555)*100</f>
        <v>100</v>
      </c>
    </row>
    <row r="556" spans="1:20" ht="14.25" x14ac:dyDescent="0.2">
      <c r="A556" s="921"/>
      <c r="B556" s="2722"/>
      <c r="C556" s="2722"/>
      <c r="D556" s="2725" t="s">
        <v>1132</v>
      </c>
      <c r="E556" s="2618" t="s">
        <v>1516</v>
      </c>
      <c r="F556" s="1643">
        <v>0</v>
      </c>
      <c r="G556" s="1643">
        <v>33</v>
      </c>
      <c r="H556" s="1643">
        <v>33</v>
      </c>
      <c r="I556" s="982">
        <f t="shared" si="113"/>
        <v>100</v>
      </c>
    </row>
    <row r="557" spans="1:20" ht="14.25" x14ac:dyDescent="0.2">
      <c r="A557" s="921"/>
      <c r="B557" s="2722"/>
      <c r="C557" s="2722"/>
      <c r="D557" s="2725" t="s">
        <v>1896</v>
      </c>
      <c r="E557" s="1637" t="s">
        <v>1951</v>
      </c>
      <c r="F557" s="1643">
        <v>0</v>
      </c>
      <c r="G557" s="1643">
        <v>389</v>
      </c>
      <c r="H557" s="1643">
        <v>389</v>
      </c>
      <c r="I557" s="982">
        <f t="shared" si="113"/>
        <v>100</v>
      </c>
    </row>
    <row r="558" spans="1:20" ht="14.25" x14ac:dyDescent="0.2">
      <c r="A558" s="921"/>
      <c r="B558" s="2427"/>
      <c r="C558" s="2427"/>
      <c r="D558" s="2726" t="s">
        <v>901</v>
      </c>
      <c r="E558" s="436" t="s">
        <v>1637</v>
      </c>
      <c r="F558" s="660">
        <v>0</v>
      </c>
      <c r="G558" s="660">
        <v>49226</v>
      </c>
      <c r="H558" s="660">
        <v>49226</v>
      </c>
      <c r="I558" s="656">
        <f t="shared" si="110"/>
        <v>100</v>
      </c>
    </row>
    <row r="559" spans="1:20" ht="14.25" x14ac:dyDescent="0.2">
      <c r="A559" s="921"/>
      <c r="B559" s="2722"/>
      <c r="C559" s="2722"/>
      <c r="D559" s="2724" t="s">
        <v>1144</v>
      </c>
      <c r="E559" s="692" t="s">
        <v>1515</v>
      </c>
      <c r="F559" s="660">
        <v>0</v>
      </c>
      <c r="G559" s="660">
        <v>1023</v>
      </c>
      <c r="H559" s="660">
        <v>1023</v>
      </c>
      <c r="I559" s="656">
        <f t="shared" si="110"/>
        <v>100</v>
      </c>
    </row>
    <row r="560" spans="1:20" ht="14.25" x14ac:dyDescent="0.2">
      <c r="A560" s="921"/>
      <c r="B560" s="2722"/>
      <c r="C560" s="2722"/>
      <c r="D560" s="2724" t="s">
        <v>1145</v>
      </c>
      <c r="E560" s="692" t="s">
        <v>1515</v>
      </c>
      <c r="F560" s="660">
        <v>0</v>
      </c>
      <c r="G560" s="660">
        <v>5798</v>
      </c>
      <c r="H560" s="660">
        <v>5798</v>
      </c>
      <c r="I560" s="656">
        <f t="shared" si="110"/>
        <v>100</v>
      </c>
    </row>
    <row r="561" spans="1:20" ht="15" x14ac:dyDescent="0.25">
      <c r="A561" s="921">
        <v>1103</v>
      </c>
      <c r="B561" s="2755">
        <v>3141</v>
      </c>
      <c r="C561" s="2722">
        <v>5336</v>
      </c>
      <c r="D561" s="2724"/>
      <c r="E561" s="602" t="s">
        <v>856</v>
      </c>
      <c r="F561" s="678">
        <f>F562</f>
        <v>0</v>
      </c>
      <c r="G561" s="678">
        <f>G562</f>
        <v>5824</v>
      </c>
      <c r="H561" s="678">
        <f>H562</f>
        <v>5824</v>
      </c>
      <c r="I561" s="680">
        <f t="shared" si="110"/>
        <v>100</v>
      </c>
    </row>
    <row r="562" spans="1:20" ht="14.25" x14ac:dyDescent="0.2">
      <c r="A562" s="2757"/>
      <c r="B562" s="2755"/>
      <c r="C562" s="2755"/>
      <c r="D562" s="2726" t="s">
        <v>901</v>
      </c>
      <c r="E562" s="436" t="s">
        <v>1637</v>
      </c>
      <c r="F562" s="660">
        <v>0</v>
      </c>
      <c r="G562" s="660">
        <v>5824</v>
      </c>
      <c r="H562" s="660">
        <v>5824</v>
      </c>
      <c r="I562" s="656">
        <f t="shared" si="110"/>
        <v>100</v>
      </c>
    </row>
    <row r="563" spans="1:20" ht="15" x14ac:dyDescent="0.25">
      <c r="A563" s="418">
        <v>1103</v>
      </c>
      <c r="B563" s="603">
        <v>3299</v>
      </c>
      <c r="C563" s="2427">
        <v>5331</v>
      </c>
      <c r="D563" s="652"/>
      <c r="E563" s="644" t="s">
        <v>481</v>
      </c>
      <c r="F563" s="678">
        <f>F564</f>
        <v>0</v>
      </c>
      <c r="G563" s="678">
        <f t="shared" ref="G563:H563" si="114">G564</f>
        <v>17</v>
      </c>
      <c r="H563" s="678">
        <f t="shared" si="114"/>
        <v>17</v>
      </c>
      <c r="I563" s="680">
        <f t="shared" si="110"/>
        <v>100</v>
      </c>
    </row>
    <row r="564" spans="1:20" ht="14.25" x14ac:dyDescent="0.2">
      <c r="A564" s="418"/>
      <c r="B564" s="603"/>
      <c r="C564" s="603"/>
      <c r="D564" s="620" t="s">
        <v>923</v>
      </c>
      <c r="E564" s="938" t="s">
        <v>653</v>
      </c>
      <c r="F564" s="660">
        <v>0</v>
      </c>
      <c r="G564" s="660">
        <v>17</v>
      </c>
      <c r="H564" s="660">
        <v>17</v>
      </c>
      <c r="I564" s="656">
        <f t="shared" si="110"/>
        <v>100</v>
      </c>
    </row>
    <row r="565" spans="1:20" ht="15" x14ac:dyDescent="0.25">
      <c r="A565" s="921">
        <v>1103</v>
      </c>
      <c r="B565" s="2427">
        <v>5399</v>
      </c>
      <c r="C565" s="2722">
        <v>5336</v>
      </c>
      <c r="D565" s="2724"/>
      <c r="E565" s="602" t="s">
        <v>856</v>
      </c>
      <c r="F565" s="653">
        <f>F566+F567</f>
        <v>0</v>
      </c>
      <c r="G565" s="653">
        <f>G566+G567</f>
        <v>80</v>
      </c>
      <c r="H565" s="653">
        <f>H566+H567</f>
        <v>80</v>
      </c>
      <c r="I565" s="654">
        <v>100</v>
      </c>
    </row>
    <row r="566" spans="1:20" ht="15" thickBot="1" x14ac:dyDescent="0.25">
      <c r="A566" s="921"/>
      <c r="B566" s="2427"/>
      <c r="C566" s="2719"/>
      <c r="D566" s="2726" t="s">
        <v>937</v>
      </c>
      <c r="E566" s="3124" t="s">
        <v>1954</v>
      </c>
      <c r="F566" s="909">
        <v>0</v>
      </c>
      <c r="G566" s="909">
        <v>80</v>
      </c>
      <c r="H566" s="909">
        <v>80</v>
      </c>
      <c r="I566" s="871">
        <f>(H566/G566)*100</f>
        <v>100</v>
      </c>
    </row>
    <row r="567" spans="1:20" ht="30" hidden="1" thickBot="1" x14ac:dyDescent="0.3">
      <c r="A567" s="418"/>
      <c r="B567" s="603"/>
      <c r="C567" s="917"/>
      <c r="D567" s="633" t="s">
        <v>924</v>
      </c>
      <c r="E567" s="1638" t="s">
        <v>925</v>
      </c>
      <c r="F567" s="653"/>
      <c r="G567" s="875"/>
      <c r="H567" s="875"/>
      <c r="I567" s="871" t="e">
        <f>(H567/G567)*100</f>
        <v>#DIV/0!</v>
      </c>
    </row>
    <row r="568" spans="1:20" ht="20.25" customHeight="1" thickTop="1" thickBot="1" x14ac:dyDescent="0.3">
      <c r="A568" s="3233" t="s">
        <v>522</v>
      </c>
      <c r="B568" s="3234"/>
      <c r="C568" s="3234"/>
      <c r="D568" s="3234"/>
      <c r="E568" s="3234"/>
      <c r="F568" s="657">
        <f>F565+F561+F553+F551+F563</f>
        <v>0</v>
      </c>
      <c r="G568" s="657">
        <f t="shared" ref="G568:H568" si="115">G565+G561+G553+G551+G563</f>
        <v>63802</v>
      </c>
      <c r="H568" s="657">
        <f t="shared" si="115"/>
        <v>63802</v>
      </c>
      <c r="I568" s="658">
        <f>(H568/G568)*100</f>
        <v>100</v>
      </c>
    </row>
    <row r="569" spans="1:20" ht="15.75" thickTop="1" x14ac:dyDescent="0.25">
      <c r="A569" s="2744">
        <v>1103</v>
      </c>
      <c r="B569" s="2745">
        <v>3121</v>
      </c>
      <c r="C569" s="2745">
        <v>6356</v>
      </c>
      <c r="D569" s="2746"/>
      <c r="E569" s="1869" t="s">
        <v>950</v>
      </c>
      <c r="F569" s="2266">
        <f>F571+F570</f>
        <v>0</v>
      </c>
      <c r="G569" s="2266">
        <f t="shared" ref="G569:H569" si="116">G571+G570</f>
        <v>55</v>
      </c>
      <c r="H569" s="2266">
        <f t="shared" si="116"/>
        <v>55</v>
      </c>
      <c r="I569" s="2267">
        <f t="shared" ref="I569" si="117">(H569/G569)*100</f>
        <v>100</v>
      </c>
      <c r="R569" s="373"/>
      <c r="S569" s="373"/>
      <c r="T569" s="373"/>
    </row>
    <row r="570" spans="1:20" ht="14.25" x14ac:dyDescent="0.2">
      <c r="A570" s="2744"/>
      <c r="B570" s="2745"/>
      <c r="C570" s="2745"/>
      <c r="D570" s="2746" t="s">
        <v>1899</v>
      </c>
      <c r="E570" s="1646" t="s">
        <v>1907</v>
      </c>
      <c r="F570" s="2269">
        <v>0</v>
      </c>
      <c r="G570" s="2265">
        <v>8</v>
      </c>
      <c r="H570" s="2265">
        <v>8</v>
      </c>
      <c r="I570" s="1543">
        <f>(H570/G570)*100</f>
        <v>100</v>
      </c>
      <c r="R570" s="373"/>
      <c r="S570" s="373"/>
      <c r="T570" s="373"/>
    </row>
    <row r="571" spans="1:20" ht="15" thickBot="1" x14ac:dyDescent="0.25">
      <c r="A571" s="2744"/>
      <c r="B571" s="2745"/>
      <c r="C571" s="2750"/>
      <c r="D571" s="2746" t="s">
        <v>1900</v>
      </c>
      <c r="E571" s="2421" t="s">
        <v>1907</v>
      </c>
      <c r="F571" s="2269">
        <v>0</v>
      </c>
      <c r="G571" s="2265">
        <v>47</v>
      </c>
      <c r="H571" s="2265">
        <v>47</v>
      </c>
      <c r="I571" s="1543">
        <f>(H571/G571)*100</f>
        <v>100</v>
      </c>
    </row>
    <row r="572" spans="1:20" ht="20.25" customHeight="1" thickTop="1" thickBot="1" x14ac:dyDescent="0.3">
      <c r="A572" s="3241" t="s">
        <v>523</v>
      </c>
      <c r="B572" s="3242"/>
      <c r="C572" s="3242"/>
      <c r="D572" s="3242"/>
      <c r="E572" s="3243"/>
      <c r="F572" s="2648">
        <f>F569</f>
        <v>0</v>
      </c>
      <c r="G572" s="2648">
        <f t="shared" ref="G572:H572" si="118">G569</f>
        <v>55</v>
      </c>
      <c r="H572" s="2648">
        <f t="shared" si="118"/>
        <v>55</v>
      </c>
      <c r="I572" s="658">
        <f>(H572/G572)*100</f>
        <v>100</v>
      </c>
      <c r="R572" s="373">
        <f>F568+F572</f>
        <v>0</v>
      </c>
      <c r="S572" s="373">
        <f t="shared" ref="S572:T572" si="119">G568+G572</f>
        <v>63857</v>
      </c>
      <c r="T572" s="373">
        <f t="shared" si="119"/>
        <v>63857</v>
      </c>
    </row>
    <row r="573" spans="1:20" ht="15.75" thickTop="1" x14ac:dyDescent="0.25">
      <c r="A573" s="360"/>
      <c r="B573" s="360"/>
      <c r="C573" s="360"/>
      <c r="D573" s="360"/>
      <c r="E573" s="360"/>
      <c r="F573" s="177"/>
      <c r="G573" s="177"/>
      <c r="H573" s="177"/>
      <c r="I573" s="206"/>
      <c r="R573" s="373"/>
      <c r="S573" s="373"/>
      <c r="T573" s="373"/>
    </row>
    <row r="574" spans="1:20" ht="13.5" thickBot="1" x14ac:dyDescent="0.25">
      <c r="A574" s="419" t="s">
        <v>180</v>
      </c>
      <c r="I574" s="915" t="s">
        <v>92</v>
      </c>
    </row>
    <row r="575" spans="1:20" s="106" customFormat="1" thickTop="1" thickBot="1" x14ac:dyDescent="0.25">
      <c r="A575" s="572" t="s">
        <v>324</v>
      </c>
      <c r="B575" s="639" t="s">
        <v>93</v>
      </c>
      <c r="C575" s="573" t="s">
        <v>94</v>
      </c>
      <c r="D575" s="575" t="s">
        <v>364</v>
      </c>
      <c r="E575" s="575" t="s">
        <v>95</v>
      </c>
      <c r="F575" s="575" t="s">
        <v>328</v>
      </c>
      <c r="G575" s="575" t="s">
        <v>329</v>
      </c>
      <c r="H575" s="575" t="s">
        <v>448</v>
      </c>
      <c r="I575" s="651" t="s">
        <v>449</v>
      </c>
    </row>
    <row r="576" spans="1:20" s="374" customFormat="1" ht="13.5" thickTop="1" thickBot="1" x14ac:dyDescent="0.25">
      <c r="A576" s="511">
        <v>1</v>
      </c>
      <c r="B576" s="512">
        <v>2</v>
      </c>
      <c r="C576" s="512">
        <v>3</v>
      </c>
      <c r="D576" s="512">
        <v>4</v>
      </c>
      <c r="E576" s="512">
        <v>5</v>
      </c>
      <c r="F576" s="499">
        <v>6</v>
      </c>
      <c r="G576" s="499">
        <v>7</v>
      </c>
      <c r="H576" s="500">
        <v>8</v>
      </c>
      <c r="I576" s="577" t="s">
        <v>393</v>
      </c>
    </row>
    <row r="577" spans="1:20" ht="15.75" hidden="1" thickTop="1" x14ac:dyDescent="0.25">
      <c r="A577" s="916">
        <v>1104</v>
      </c>
      <c r="B577" s="640">
        <v>3121</v>
      </c>
      <c r="C577" s="640">
        <v>5331</v>
      </c>
      <c r="D577" s="670"/>
      <c r="E577" s="685" t="s">
        <v>481</v>
      </c>
      <c r="F577" s="686">
        <f>F578+F579</f>
        <v>0</v>
      </c>
      <c r="G577" s="686">
        <f>G578+G579</f>
        <v>0</v>
      </c>
      <c r="H577" s="686">
        <f>H578+H579</f>
        <v>0</v>
      </c>
      <c r="I577" s="659" t="e">
        <f t="shared" ref="I577:I588" si="120">(H577/G577)*100</f>
        <v>#DIV/0!</v>
      </c>
    </row>
    <row r="578" spans="1:20" ht="15" hidden="1" thickTop="1" x14ac:dyDescent="0.2">
      <c r="A578" s="418"/>
      <c r="B578" s="603"/>
      <c r="C578" s="603"/>
      <c r="D578" s="620" t="s">
        <v>905</v>
      </c>
      <c r="E578" s="938" t="s">
        <v>408</v>
      </c>
      <c r="F578" s="660"/>
      <c r="G578" s="660"/>
      <c r="H578" s="660"/>
      <c r="I578" s="656" t="e">
        <f t="shared" si="120"/>
        <v>#DIV/0!</v>
      </c>
    </row>
    <row r="579" spans="1:20" ht="15" hidden="1" thickTop="1" x14ac:dyDescent="0.2">
      <c r="A579" s="418"/>
      <c r="B579" s="603"/>
      <c r="C579" s="603"/>
      <c r="D579" s="505" t="s">
        <v>906</v>
      </c>
      <c r="E579" s="436" t="s">
        <v>38</v>
      </c>
      <c r="F579" s="660"/>
      <c r="G579" s="660"/>
      <c r="H579" s="660"/>
      <c r="I579" s="656" t="e">
        <f t="shared" si="120"/>
        <v>#DIV/0!</v>
      </c>
    </row>
    <row r="580" spans="1:20" ht="15.75" thickTop="1" x14ac:dyDescent="0.25">
      <c r="A580" s="921">
        <v>1104</v>
      </c>
      <c r="B580" s="2722">
        <v>3121</v>
      </c>
      <c r="C580" s="2722">
        <v>5336</v>
      </c>
      <c r="D580" s="2724"/>
      <c r="E580" s="602" t="s">
        <v>856</v>
      </c>
      <c r="F580" s="675">
        <f>F581+F582+F583+F585+F584</f>
        <v>0</v>
      </c>
      <c r="G580" s="675">
        <f t="shared" ref="G580:H580" si="121">G581+G582+G583+G585+G584</f>
        <v>17109</v>
      </c>
      <c r="H580" s="675">
        <f t="shared" si="121"/>
        <v>17109</v>
      </c>
      <c r="I580" s="669">
        <f t="shared" si="120"/>
        <v>100</v>
      </c>
    </row>
    <row r="581" spans="1:20" ht="14.25" x14ac:dyDescent="0.2">
      <c r="A581" s="921"/>
      <c r="B581" s="2722"/>
      <c r="C581" s="2722"/>
      <c r="D581" s="2725" t="s">
        <v>920</v>
      </c>
      <c r="E581" s="1352" t="s">
        <v>769</v>
      </c>
      <c r="F581" s="660">
        <v>0</v>
      </c>
      <c r="G581" s="660">
        <v>23</v>
      </c>
      <c r="H581" s="660">
        <v>23</v>
      </c>
      <c r="I581" s="656">
        <f t="shared" ref="I581" si="122">(H581/G581)*100</f>
        <v>100</v>
      </c>
    </row>
    <row r="582" spans="1:20" ht="14.25" x14ac:dyDescent="0.2">
      <c r="A582" s="921"/>
      <c r="B582" s="2722"/>
      <c r="C582" s="2722"/>
      <c r="D582" s="2725" t="s">
        <v>902</v>
      </c>
      <c r="E582" s="1352" t="s">
        <v>855</v>
      </c>
      <c r="F582" s="1600">
        <v>0</v>
      </c>
      <c r="G582" s="1600">
        <v>338</v>
      </c>
      <c r="H582" s="1600">
        <v>338</v>
      </c>
      <c r="I582" s="367">
        <f t="shared" ref="I582:I584" si="123">(H582/G582)*100</f>
        <v>100</v>
      </c>
    </row>
    <row r="583" spans="1:20" ht="14.25" x14ac:dyDescent="0.2">
      <c r="A583" s="921"/>
      <c r="B583" s="2722"/>
      <c r="C583" s="2722"/>
      <c r="D583" s="2725" t="s">
        <v>1132</v>
      </c>
      <c r="E583" s="2618" t="s">
        <v>1516</v>
      </c>
      <c r="F583" s="1643">
        <v>0</v>
      </c>
      <c r="G583" s="1643">
        <v>5</v>
      </c>
      <c r="H583" s="1643">
        <v>5</v>
      </c>
      <c r="I583" s="982">
        <f t="shared" si="123"/>
        <v>100</v>
      </c>
    </row>
    <row r="584" spans="1:20" ht="14.25" x14ac:dyDescent="0.2">
      <c r="A584" s="921"/>
      <c r="B584" s="2722"/>
      <c r="C584" s="2722"/>
      <c r="D584" s="2725" t="s">
        <v>1896</v>
      </c>
      <c r="E584" s="3102" t="s">
        <v>1951</v>
      </c>
      <c r="F584" s="1643">
        <v>0</v>
      </c>
      <c r="G584" s="1643">
        <v>71</v>
      </c>
      <c r="H584" s="1643">
        <v>71</v>
      </c>
      <c r="I584" s="982">
        <f t="shared" si="123"/>
        <v>100</v>
      </c>
    </row>
    <row r="585" spans="1:20" ht="14.25" x14ac:dyDescent="0.2">
      <c r="A585" s="921"/>
      <c r="B585" s="2427"/>
      <c r="C585" s="2427"/>
      <c r="D585" s="2726" t="s">
        <v>901</v>
      </c>
      <c r="E585" s="436" t="s">
        <v>1637</v>
      </c>
      <c r="F585" s="660">
        <v>0</v>
      </c>
      <c r="G585" s="660">
        <v>16672</v>
      </c>
      <c r="H585" s="660">
        <v>16672</v>
      </c>
      <c r="I585" s="656">
        <f t="shared" si="120"/>
        <v>100</v>
      </c>
    </row>
    <row r="586" spans="1:20" ht="15" x14ac:dyDescent="0.25">
      <c r="A586" s="921">
        <v>1104</v>
      </c>
      <c r="B586" s="2722">
        <v>5399</v>
      </c>
      <c r="C586" s="2722">
        <v>5336</v>
      </c>
      <c r="D586" s="2724"/>
      <c r="E586" s="602" t="s">
        <v>856</v>
      </c>
      <c r="F586" s="675">
        <f>F587</f>
        <v>0</v>
      </c>
      <c r="G586" s="675">
        <f>G587</f>
        <v>23</v>
      </c>
      <c r="H586" s="675">
        <f>H587</f>
        <v>23</v>
      </c>
      <c r="I586" s="680">
        <f t="shared" si="120"/>
        <v>100</v>
      </c>
    </row>
    <row r="587" spans="1:20" ht="15" thickBot="1" x14ac:dyDescent="0.25">
      <c r="A587" s="418"/>
      <c r="B587" s="603"/>
      <c r="C587" s="603"/>
      <c r="D587" s="2726" t="s">
        <v>937</v>
      </c>
      <c r="E587" s="3124" t="s">
        <v>1954</v>
      </c>
      <c r="F587" s="660">
        <v>0</v>
      </c>
      <c r="G587" s="875">
        <v>23</v>
      </c>
      <c r="H587" s="875">
        <v>23</v>
      </c>
      <c r="I587" s="871">
        <f t="shared" si="120"/>
        <v>100</v>
      </c>
    </row>
    <row r="588" spans="1:20" ht="16.5" thickTop="1" thickBot="1" x14ac:dyDescent="0.3">
      <c r="A588" s="3233" t="s">
        <v>522</v>
      </c>
      <c r="B588" s="3234"/>
      <c r="C588" s="3234"/>
      <c r="D588" s="3234"/>
      <c r="E588" s="3234"/>
      <c r="F588" s="657">
        <f>F577</f>
        <v>0</v>
      </c>
      <c r="G588" s="657">
        <f>G577+G580+G586</f>
        <v>17132</v>
      </c>
      <c r="H588" s="657">
        <f>H577+H580+H586</f>
        <v>17132</v>
      </c>
      <c r="I588" s="658">
        <f t="shared" si="120"/>
        <v>100</v>
      </c>
      <c r="R588" s="373">
        <f>F588</f>
        <v>0</v>
      </c>
      <c r="S588" s="373">
        <f>G588</f>
        <v>17132</v>
      </c>
      <c r="T588" s="373">
        <f>H588</f>
        <v>17132</v>
      </c>
    </row>
    <row r="589" spans="1:20" ht="15" customHeight="1" thickTop="1" x14ac:dyDescent="0.25">
      <c r="A589" s="360"/>
      <c r="B589" s="360"/>
      <c r="C589" s="360"/>
      <c r="D589" s="360"/>
      <c r="E589" s="360"/>
      <c r="F589" s="177"/>
      <c r="G589" s="177"/>
      <c r="H589" s="177"/>
      <c r="I589" s="206"/>
      <c r="R589" s="373"/>
      <c r="S589" s="373"/>
      <c r="T589" s="373"/>
    </row>
    <row r="590" spans="1:20" ht="13.5" thickBot="1" x14ac:dyDescent="0.25">
      <c r="A590" s="419" t="s">
        <v>181</v>
      </c>
      <c r="I590" s="915" t="s">
        <v>92</v>
      </c>
    </row>
    <row r="591" spans="1:20" s="106" customFormat="1" thickTop="1" thickBot="1" x14ac:dyDescent="0.25">
      <c r="A591" s="572" t="s">
        <v>324</v>
      </c>
      <c r="B591" s="639" t="s">
        <v>93</v>
      </c>
      <c r="C591" s="573" t="s">
        <v>94</v>
      </c>
      <c r="D591" s="575" t="s">
        <v>364</v>
      </c>
      <c r="E591" s="575" t="s">
        <v>95</v>
      </c>
      <c r="F591" s="575" t="s">
        <v>328</v>
      </c>
      <c r="G591" s="575" t="s">
        <v>329</v>
      </c>
      <c r="H591" s="575" t="s">
        <v>448</v>
      </c>
      <c r="I591" s="651" t="s">
        <v>449</v>
      </c>
    </row>
    <row r="592" spans="1:20" s="374" customFormat="1" ht="13.5" customHeight="1" thickTop="1" thickBot="1" x14ac:dyDescent="0.25">
      <c r="A592" s="511">
        <v>1</v>
      </c>
      <c r="B592" s="512">
        <v>2</v>
      </c>
      <c r="C592" s="512">
        <v>3</v>
      </c>
      <c r="D592" s="512">
        <v>4</v>
      </c>
      <c r="E592" s="512">
        <v>5</v>
      </c>
      <c r="F592" s="499">
        <v>6</v>
      </c>
      <c r="G592" s="499">
        <v>7</v>
      </c>
      <c r="H592" s="500">
        <v>8</v>
      </c>
      <c r="I592" s="577" t="s">
        <v>393</v>
      </c>
    </row>
    <row r="593" spans="1:20" ht="13.5" customHeight="1" thickTop="1" x14ac:dyDescent="0.25">
      <c r="A593" s="916">
        <v>1105</v>
      </c>
      <c r="B593" s="640">
        <v>3121</v>
      </c>
      <c r="C593" s="2737">
        <v>5331</v>
      </c>
      <c r="D593" s="670"/>
      <c r="E593" s="685" t="s">
        <v>481</v>
      </c>
      <c r="F593" s="686">
        <f>F594</f>
        <v>0</v>
      </c>
      <c r="G593" s="686">
        <f t="shared" ref="G593:H593" si="124">G594</f>
        <v>15</v>
      </c>
      <c r="H593" s="686">
        <f t="shared" si="124"/>
        <v>15</v>
      </c>
      <c r="I593" s="659">
        <f t="shared" ref="I593:I605" si="125">(H593/G593)*100</f>
        <v>100</v>
      </c>
    </row>
    <row r="594" spans="1:20" ht="13.5" customHeight="1" x14ac:dyDescent="0.2">
      <c r="A594" s="418"/>
      <c r="B594" s="603"/>
      <c r="C594" s="603"/>
      <c r="D594" s="620" t="s">
        <v>917</v>
      </c>
      <c r="E594" s="938" t="s">
        <v>1956</v>
      </c>
      <c r="F594" s="660">
        <v>0</v>
      </c>
      <c r="G594" s="660">
        <v>15</v>
      </c>
      <c r="H594" s="660">
        <v>15</v>
      </c>
      <c r="I594" s="656">
        <f t="shared" si="125"/>
        <v>100</v>
      </c>
    </row>
    <row r="595" spans="1:20" ht="15" x14ac:dyDescent="0.25">
      <c r="A595" s="921">
        <v>1105</v>
      </c>
      <c r="B595" s="2722">
        <v>3121</v>
      </c>
      <c r="C595" s="2722">
        <v>5336</v>
      </c>
      <c r="D595" s="2724"/>
      <c r="E595" s="602" t="s">
        <v>856</v>
      </c>
      <c r="F595" s="675">
        <f>F596+F597+F598+F600+F599+F601+F602</f>
        <v>0</v>
      </c>
      <c r="G595" s="675">
        <f>G596+G597+G598+G600+G599+G601+G602</f>
        <v>14383</v>
      </c>
      <c r="H595" s="675">
        <f>H596+H597+H598+H600+H599+H601+H602</f>
        <v>14383</v>
      </c>
      <c r="I595" s="669">
        <f t="shared" si="125"/>
        <v>100</v>
      </c>
    </row>
    <row r="596" spans="1:20" ht="14.25" x14ac:dyDescent="0.2">
      <c r="A596" s="921"/>
      <c r="B596" s="2722"/>
      <c r="C596" s="2722"/>
      <c r="D596" s="2725" t="s">
        <v>920</v>
      </c>
      <c r="E596" s="1352" t="s">
        <v>769</v>
      </c>
      <c r="F596" s="660">
        <v>0</v>
      </c>
      <c r="G596" s="660">
        <v>4</v>
      </c>
      <c r="H596" s="660">
        <v>4</v>
      </c>
      <c r="I596" s="656">
        <f t="shared" ref="I596" si="126">(H596/G596)*100</f>
        <v>100</v>
      </c>
    </row>
    <row r="597" spans="1:20" ht="14.25" x14ac:dyDescent="0.2">
      <c r="A597" s="921"/>
      <c r="B597" s="2722"/>
      <c r="C597" s="2722"/>
      <c r="D597" s="2725" t="s">
        <v>902</v>
      </c>
      <c r="E597" s="1352" t="s">
        <v>855</v>
      </c>
      <c r="F597" s="1600">
        <v>0</v>
      </c>
      <c r="G597" s="1600">
        <v>285</v>
      </c>
      <c r="H597" s="1600">
        <v>285</v>
      </c>
      <c r="I597" s="367">
        <f t="shared" ref="I597:I599" si="127">(H597/G597)*100</f>
        <v>100</v>
      </c>
    </row>
    <row r="598" spans="1:20" ht="14.25" x14ac:dyDescent="0.2">
      <c r="A598" s="921"/>
      <c r="B598" s="2722"/>
      <c r="C598" s="2722"/>
      <c r="D598" s="2725" t="s">
        <v>1132</v>
      </c>
      <c r="E598" s="2618" t="s">
        <v>1516</v>
      </c>
      <c r="F598" s="1643">
        <v>0</v>
      </c>
      <c r="G598" s="1643">
        <v>30</v>
      </c>
      <c r="H598" s="1643">
        <v>30</v>
      </c>
      <c r="I598" s="982">
        <f t="shared" si="127"/>
        <v>100</v>
      </c>
    </row>
    <row r="599" spans="1:20" ht="14.25" x14ac:dyDescent="0.2">
      <c r="A599" s="921"/>
      <c r="B599" s="2722"/>
      <c r="C599" s="2722"/>
      <c r="D599" s="2725" t="s">
        <v>1896</v>
      </c>
      <c r="E599" s="3102" t="s">
        <v>1951</v>
      </c>
      <c r="F599" s="1643">
        <v>0</v>
      </c>
      <c r="G599" s="1643">
        <v>63</v>
      </c>
      <c r="H599" s="1643">
        <v>63</v>
      </c>
      <c r="I599" s="982">
        <f t="shared" si="127"/>
        <v>100</v>
      </c>
    </row>
    <row r="600" spans="1:20" ht="13.5" customHeight="1" x14ac:dyDescent="0.2">
      <c r="A600" s="921"/>
      <c r="B600" s="2427"/>
      <c r="C600" s="2427"/>
      <c r="D600" s="2726" t="s">
        <v>901</v>
      </c>
      <c r="E600" s="436" t="s">
        <v>1637</v>
      </c>
      <c r="F600" s="660">
        <v>0</v>
      </c>
      <c r="G600" s="660">
        <v>13540</v>
      </c>
      <c r="H600" s="660">
        <v>13540</v>
      </c>
      <c r="I600" s="656">
        <f t="shared" si="125"/>
        <v>100</v>
      </c>
    </row>
    <row r="601" spans="1:20" ht="13.5" customHeight="1" x14ac:dyDescent="0.2">
      <c r="A601" s="921"/>
      <c r="B601" s="2427"/>
      <c r="C601" s="2427"/>
      <c r="D601" s="2724" t="s">
        <v>1144</v>
      </c>
      <c r="E601" s="692" t="s">
        <v>1515</v>
      </c>
      <c r="F601" s="660">
        <v>0</v>
      </c>
      <c r="G601" s="665">
        <v>69</v>
      </c>
      <c r="H601" s="665">
        <v>69</v>
      </c>
      <c r="I601" s="656">
        <f t="shared" si="125"/>
        <v>100</v>
      </c>
    </row>
    <row r="602" spans="1:20" ht="13.5" customHeight="1" x14ac:dyDescent="0.2">
      <c r="A602" s="921"/>
      <c r="B602" s="2427"/>
      <c r="C602" s="2427"/>
      <c r="D602" s="2724" t="s">
        <v>1145</v>
      </c>
      <c r="E602" s="692" t="s">
        <v>1515</v>
      </c>
      <c r="F602" s="660">
        <v>0</v>
      </c>
      <c r="G602" s="665">
        <v>392</v>
      </c>
      <c r="H602" s="665">
        <v>392</v>
      </c>
      <c r="I602" s="656">
        <f t="shared" si="125"/>
        <v>100</v>
      </c>
    </row>
    <row r="603" spans="1:20" ht="13.5" customHeight="1" x14ac:dyDescent="0.25">
      <c r="A603" s="921">
        <v>1105</v>
      </c>
      <c r="B603" s="2427">
        <v>3299</v>
      </c>
      <c r="C603" s="2427">
        <v>5331</v>
      </c>
      <c r="D603" s="2726"/>
      <c r="E603" s="602" t="s">
        <v>481</v>
      </c>
      <c r="F603" s="675">
        <f>F604</f>
        <v>0</v>
      </c>
      <c r="G603" s="675">
        <f>G604</f>
        <v>28</v>
      </c>
      <c r="H603" s="675">
        <f>H604</f>
        <v>28</v>
      </c>
      <c r="I603" s="669">
        <f t="shared" si="125"/>
        <v>100</v>
      </c>
    </row>
    <row r="604" spans="1:20" s="2718" customFormat="1" ht="13.5" customHeight="1" thickBot="1" x14ac:dyDescent="0.25">
      <c r="A604" s="921"/>
      <c r="B604" s="2427"/>
      <c r="C604" s="2427"/>
      <c r="D604" s="2726" t="s">
        <v>923</v>
      </c>
      <c r="E604" s="949" t="s">
        <v>653</v>
      </c>
      <c r="F604" s="660">
        <v>0</v>
      </c>
      <c r="G604" s="660">
        <v>28</v>
      </c>
      <c r="H604" s="660">
        <v>28</v>
      </c>
      <c r="I604" s="656">
        <f t="shared" si="125"/>
        <v>100</v>
      </c>
    </row>
    <row r="605" spans="1:20" ht="16.5" thickTop="1" thickBot="1" x14ac:dyDescent="0.3">
      <c r="A605" s="3233" t="s">
        <v>522</v>
      </c>
      <c r="B605" s="3234"/>
      <c r="C605" s="3234"/>
      <c r="D605" s="3234"/>
      <c r="E605" s="3234"/>
      <c r="F605" s="657">
        <f>F593+F595+F603</f>
        <v>0</v>
      </c>
      <c r="G605" s="657">
        <f>G593+G595+G603</f>
        <v>14426</v>
      </c>
      <c r="H605" s="657">
        <f>H593+H595+H603</f>
        <v>14426</v>
      </c>
      <c r="I605" s="658">
        <f t="shared" si="125"/>
        <v>100</v>
      </c>
      <c r="R605" s="373">
        <f>F605</f>
        <v>0</v>
      </c>
      <c r="S605" s="373">
        <f>G605</f>
        <v>14426</v>
      </c>
      <c r="T605" s="373">
        <f>H605</f>
        <v>14426</v>
      </c>
    </row>
    <row r="606" spans="1:20" ht="13.5" thickTop="1" x14ac:dyDescent="0.2"/>
    <row r="607" spans="1:20" ht="13.5" thickBot="1" x14ac:dyDescent="0.25">
      <c r="A607" s="419" t="s">
        <v>182</v>
      </c>
      <c r="I607" s="915" t="s">
        <v>92</v>
      </c>
    </row>
    <row r="608" spans="1:20" s="106" customFormat="1" ht="18" customHeight="1" thickTop="1" thickBot="1" x14ac:dyDescent="0.25">
      <c r="A608" s="572" t="s">
        <v>324</v>
      </c>
      <c r="B608" s="639" t="s">
        <v>93</v>
      </c>
      <c r="C608" s="573" t="s">
        <v>94</v>
      </c>
      <c r="D608" s="575" t="s">
        <v>364</v>
      </c>
      <c r="E608" s="575" t="s">
        <v>95</v>
      </c>
      <c r="F608" s="575" t="s">
        <v>328</v>
      </c>
      <c r="G608" s="575" t="s">
        <v>329</v>
      </c>
      <c r="H608" s="575" t="s">
        <v>448</v>
      </c>
      <c r="I608" s="651" t="s">
        <v>449</v>
      </c>
    </row>
    <row r="609" spans="1:9" s="374" customFormat="1" ht="13.5" thickTop="1" thickBot="1" x14ac:dyDescent="0.25">
      <c r="A609" s="511">
        <v>1</v>
      </c>
      <c r="B609" s="512">
        <v>2</v>
      </c>
      <c r="C609" s="512">
        <v>3</v>
      </c>
      <c r="D609" s="512">
        <v>4</v>
      </c>
      <c r="E609" s="512">
        <v>5</v>
      </c>
      <c r="F609" s="499">
        <v>6</v>
      </c>
      <c r="G609" s="499">
        <v>7</v>
      </c>
      <c r="H609" s="500">
        <v>8</v>
      </c>
      <c r="I609" s="577" t="s">
        <v>393</v>
      </c>
    </row>
    <row r="610" spans="1:9" ht="15.75" thickTop="1" x14ac:dyDescent="0.25">
      <c r="A610" s="916">
        <v>1106</v>
      </c>
      <c r="B610" s="640">
        <v>3121</v>
      </c>
      <c r="C610" s="2737">
        <v>5331</v>
      </c>
      <c r="D610" s="670"/>
      <c r="E610" s="685" t="s">
        <v>481</v>
      </c>
      <c r="F610" s="686">
        <f>SUM(F611)</f>
        <v>0</v>
      </c>
      <c r="G610" s="686">
        <f t="shared" ref="G610:H610" si="128">SUM(G611)</f>
        <v>6</v>
      </c>
      <c r="H610" s="686">
        <f t="shared" si="128"/>
        <v>6</v>
      </c>
      <c r="I610" s="659">
        <f t="shared" ref="I610:I629" si="129">(H610/G610)*100</f>
        <v>100</v>
      </c>
    </row>
    <row r="611" spans="1:9" ht="14.25" x14ac:dyDescent="0.2">
      <c r="A611" s="418"/>
      <c r="B611" s="603"/>
      <c r="C611" s="603"/>
      <c r="D611" s="620" t="s">
        <v>917</v>
      </c>
      <c r="E611" s="938" t="s">
        <v>1956</v>
      </c>
      <c r="F611" s="660">
        <v>0</v>
      </c>
      <c r="G611" s="660">
        <v>6</v>
      </c>
      <c r="H611" s="660">
        <v>6</v>
      </c>
      <c r="I611" s="656">
        <f t="shared" si="129"/>
        <v>100</v>
      </c>
    </row>
    <row r="612" spans="1:9" ht="20.25" customHeight="1" x14ac:dyDescent="0.25">
      <c r="A612" s="921">
        <v>1106</v>
      </c>
      <c r="B612" s="2722">
        <v>3121</v>
      </c>
      <c r="C612" s="2722">
        <v>5336</v>
      </c>
      <c r="D612" s="2724"/>
      <c r="E612" s="602" t="s">
        <v>856</v>
      </c>
      <c r="F612" s="675">
        <f>F613+F614+F615+F617+F618+F619+F620+F616</f>
        <v>0</v>
      </c>
      <c r="G612" s="675">
        <f>G613+G614+G615+G617+G618+G619+G620+G616</f>
        <v>36862</v>
      </c>
      <c r="H612" s="675">
        <f>H613+H614+H615+H617+H618+H619+H620+H616</f>
        <v>36862</v>
      </c>
      <c r="I612" s="669">
        <f t="shared" si="129"/>
        <v>100</v>
      </c>
    </row>
    <row r="613" spans="1:9" ht="14.25" customHeight="1" x14ac:dyDescent="0.2">
      <c r="A613" s="921"/>
      <c r="B613" s="2722"/>
      <c r="C613" s="2722"/>
      <c r="D613" s="2725" t="s">
        <v>920</v>
      </c>
      <c r="E613" s="1352" t="s">
        <v>769</v>
      </c>
      <c r="F613" s="660">
        <v>0</v>
      </c>
      <c r="G613" s="660">
        <v>109</v>
      </c>
      <c r="H613" s="660">
        <v>109</v>
      </c>
      <c r="I613" s="656">
        <f t="shared" ref="I613" si="130">(H613/G613)*100</f>
        <v>100</v>
      </c>
    </row>
    <row r="614" spans="1:9" ht="14.25" customHeight="1" x14ac:dyDescent="0.2">
      <c r="A614" s="921"/>
      <c r="B614" s="2722"/>
      <c r="C614" s="2722"/>
      <c r="D614" s="2725" t="s">
        <v>902</v>
      </c>
      <c r="E614" s="1352" t="s">
        <v>855</v>
      </c>
      <c r="F614" s="1600">
        <v>0</v>
      </c>
      <c r="G614" s="1600">
        <v>693</v>
      </c>
      <c r="H614" s="1600">
        <v>693</v>
      </c>
      <c r="I614" s="367">
        <f t="shared" ref="I614:I616" si="131">(H614/G614)*100</f>
        <v>100</v>
      </c>
    </row>
    <row r="615" spans="1:9" ht="14.25" x14ac:dyDescent="0.2">
      <c r="A615" s="921"/>
      <c r="B615" s="2722"/>
      <c r="C615" s="2722"/>
      <c r="D615" s="2725" t="s">
        <v>1132</v>
      </c>
      <c r="E615" s="2618" t="s">
        <v>1516</v>
      </c>
      <c r="F615" s="1643">
        <v>0</v>
      </c>
      <c r="G615" s="1643">
        <v>22</v>
      </c>
      <c r="H615" s="1643">
        <v>22</v>
      </c>
      <c r="I615" s="982">
        <f t="shared" si="131"/>
        <v>100</v>
      </c>
    </row>
    <row r="616" spans="1:9" ht="14.25" x14ac:dyDescent="0.2">
      <c r="A616" s="921"/>
      <c r="B616" s="2722"/>
      <c r="C616" s="2722"/>
      <c r="D616" s="2725" t="s">
        <v>1896</v>
      </c>
      <c r="E616" s="3102" t="s">
        <v>1951</v>
      </c>
      <c r="F616" s="1643">
        <v>0</v>
      </c>
      <c r="G616" s="1643">
        <v>113</v>
      </c>
      <c r="H616" s="1643">
        <v>113</v>
      </c>
      <c r="I616" s="982">
        <f t="shared" si="131"/>
        <v>100</v>
      </c>
    </row>
    <row r="617" spans="1:9" ht="14.25" x14ac:dyDescent="0.2">
      <c r="A617" s="921"/>
      <c r="B617" s="2427"/>
      <c r="C617" s="2427"/>
      <c r="D617" s="2726" t="s">
        <v>901</v>
      </c>
      <c r="E617" s="436" t="s">
        <v>1637</v>
      </c>
      <c r="F617" s="660">
        <v>0</v>
      </c>
      <c r="G617" s="660">
        <v>30070</v>
      </c>
      <c r="H617" s="660">
        <v>30070</v>
      </c>
      <c r="I617" s="656">
        <f t="shared" si="129"/>
        <v>100</v>
      </c>
    </row>
    <row r="618" spans="1:9" ht="14.25" x14ac:dyDescent="0.2">
      <c r="A618" s="921"/>
      <c r="B618" s="2722"/>
      <c r="C618" s="2722"/>
      <c r="D618" s="2726" t="s">
        <v>1142</v>
      </c>
      <c r="E618" s="938" t="s">
        <v>1638</v>
      </c>
      <c r="F618" s="665">
        <v>0</v>
      </c>
      <c r="G618" s="665">
        <v>2249</v>
      </c>
      <c r="H618" s="665">
        <v>2249</v>
      </c>
      <c r="I618" s="656">
        <f t="shared" si="129"/>
        <v>100</v>
      </c>
    </row>
    <row r="619" spans="1:9" ht="14.25" x14ac:dyDescent="0.2">
      <c r="A619" s="921"/>
      <c r="B619" s="2722"/>
      <c r="C619" s="2722"/>
      <c r="D619" s="2724" t="s">
        <v>1144</v>
      </c>
      <c r="E619" s="476" t="s">
        <v>1515</v>
      </c>
      <c r="F619" s="665">
        <v>0</v>
      </c>
      <c r="G619" s="665">
        <v>541</v>
      </c>
      <c r="H619" s="665">
        <v>541</v>
      </c>
      <c r="I619" s="656">
        <f t="shared" si="129"/>
        <v>100</v>
      </c>
    </row>
    <row r="620" spans="1:9" ht="14.25" x14ac:dyDescent="0.2">
      <c r="A620" s="921"/>
      <c r="B620" s="2722"/>
      <c r="C620" s="2722"/>
      <c r="D620" s="2724" t="s">
        <v>1145</v>
      </c>
      <c r="E620" s="476" t="s">
        <v>1515</v>
      </c>
      <c r="F620" s="665">
        <v>0</v>
      </c>
      <c r="G620" s="665">
        <v>3065</v>
      </c>
      <c r="H620" s="665">
        <v>3065</v>
      </c>
      <c r="I620" s="656">
        <f t="shared" si="129"/>
        <v>100</v>
      </c>
    </row>
    <row r="621" spans="1:9" ht="15" x14ac:dyDescent="0.25">
      <c r="A621" s="921">
        <v>1106</v>
      </c>
      <c r="B621" s="2755">
        <v>3128</v>
      </c>
      <c r="C621" s="2722">
        <v>5336</v>
      </c>
      <c r="D621" s="2740"/>
      <c r="E621" s="602" t="s">
        <v>856</v>
      </c>
      <c r="F621" s="675">
        <f>F622</f>
        <v>0</v>
      </c>
      <c r="G621" s="675">
        <f>G622</f>
        <v>2804</v>
      </c>
      <c r="H621" s="675">
        <f>H622</f>
        <v>2804</v>
      </c>
      <c r="I621" s="680">
        <f t="shared" si="129"/>
        <v>100</v>
      </c>
    </row>
    <row r="622" spans="1:9" ht="14.25" x14ac:dyDescent="0.2">
      <c r="A622" s="418"/>
      <c r="B622" s="151"/>
      <c r="C622" s="151"/>
      <c r="D622" s="2726" t="s">
        <v>901</v>
      </c>
      <c r="E622" s="436" t="s">
        <v>1637</v>
      </c>
      <c r="F622" s="665">
        <v>0</v>
      </c>
      <c r="G622" s="870">
        <v>2804</v>
      </c>
      <c r="H622" s="870">
        <v>2804</v>
      </c>
      <c r="I622" s="871">
        <f t="shared" si="129"/>
        <v>100</v>
      </c>
    </row>
    <row r="623" spans="1:9" ht="15" x14ac:dyDescent="0.25">
      <c r="A623" s="921">
        <v>1106</v>
      </c>
      <c r="B623" s="2722">
        <v>3141</v>
      </c>
      <c r="C623" s="2722">
        <v>5336</v>
      </c>
      <c r="D623" s="2740"/>
      <c r="E623" s="602" t="s">
        <v>856</v>
      </c>
      <c r="F623" s="666">
        <f>F624</f>
        <v>0</v>
      </c>
      <c r="G623" s="666">
        <f>G624</f>
        <v>248</v>
      </c>
      <c r="H623" s="666">
        <f>H624</f>
        <v>248</v>
      </c>
      <c r="I623" s="667">
        <f t="shared" si="129"/>
        <v>100</v>
      </c>
    </row>
    <row r="624" spans="1:9" ht="14.25" x14ac:dyDescent="0.2">
      <c r="A624" s="921"/>
      <c r="B624" s="2722"/>
      <c r="C624" s="2722"/>
      <c r="D624" s="2726" t="s">
        <v>901</v>
      </c>
      <c r="E624" s="436" t="s">
        <v>1637</v>
      </c>
      <c r="F624" s="665">
        <v>0</v>
      </c>
      <c r="G624" s="665">
        <v>248</v>
      </c>
      <c r="H624" s="665">
        <v>248</v>
      </c>
      <c r="I624" s="661">
        <f t="shared" si="129"/>
        <v>100</v>
      </c>
    </row>
    <row r="625" spans="1:22" ht="15" x14ac:dyDescent="0.25">
      <c r="A625" s="921">
        <v>1106</v>
      </c>
      <c r="B625" s="2722">
        <v>3143</v>
      </c>
      <c r="C625" s="2722">
        <v>5336</v>
      </c>
      <c r="D625" s="2740"/>
      <c r="E625" s="602" t="s">
        <v>856</v>
      </c>
      <c r="F625" s="675">
        <f>F626</f>
        <v>0</v>
      </c>
      <c r="G625" s="675">
        <f>G626</f>
        <v>233</v>
      </c>
      <c r="H625" s="675">
        <f>H626</f>
        <v>233</v>
      </c>
      <c r="I625" s="669">
        <f t="shared" si="129"/>
        <v>100</v>
      </c>
    </row>
    <row r="626" spans="1:22" ht="15" thickBot="1" x14ac:dyDescent="0.25">
      <c r="A626" s="921"/>
      <c r="B626" s="2722"/>
      <c r="C626" s="2722"/>
      <c r="D626" s="2726" t="s">
        <v>901</v>
      </c>
      <c r="E626" s="436" t="s">
        <v>1637</v>
      </c>
      <c r="F626" s="665">
        <v>0</v>
      </c>
      <c r="G626" s="665">
        <v>233</v>
      </c>
      <c r="H626" s="665">
        <v>233</v>
      </c>
      <c r="I626" s="661">
        <f t="shared" si="129"/>
        <v>100</v>
      </c>
    </row>
    <row r="627" spans="1:22" ht="15.75" hidden="1" thickBot="1" x14ac:dyDescent="0.3">
      <c r="A627" s="418">
        <v>1106</v>
      </c>
      <c r="B627" s="634">
        <v>3299</v>
      </c>
      <c r="C627" s="634">
        <v>5331</v>
      </c>
      <c r="D627" s="505"/>
      <c r="E627" s="644" t="s">
        <v>481</v>
      </c>
      <c r="F627" s="665"/>
      <c r="G627" s="675">
        <f>G628</f>
        <v>0</v>
      </c>
      <c r="H627" s="675">
        <f>H628</f>
        <v>0</v>
      </c>
      <c r="I627" s="667" t="e">
        <f t="shared" si="129"/>
        <v>#DIV/0!</v>
      </c>
    </row>
    <row r="628" spans="1:22" ht="15" hidden="1" thickBot="1" x14ac:dyDescent="0.25">
      <c r="A628" s="418"/>
      <c r="B628" s="634"/>
      <c r="C628" s="634"/>
      <c r="D628" s="908" t="s">
        <v>923</v>
      </c>
      <c r="E628" s="1353" t="s">
        <v>653</v>
      </c>
      <c r="F628" s="880"/>
      <c r="G628" s="432"/>
      <c r="H628" s="311"/>
      <c r="I628" s="816" t="e">
        <f t="shared" ref="I628" si="132">(H628/G628)*100</f>
        <v>#DIV/0!</v>
      </c>
    </row>
    <row r="629" spans="1:22" ht="16.5" thickTop="1" thickBot="1" x14ac:dyDescent="0.3">
      <c r="A629" s="3233" t="s">
        <v>522</v>
      </c>
      <c r="B629" s="3234"/>
      <c r="C629" s="3234"/>
      <c r="D629" s="3234"/>
      <c r="E629" s="3234"/>
      <c r="F629" s="657">
        <f>F625+F623+F621+F612</f>
        <v>0</v>
      </c>
      <c r="G629" s="657">
        <f>G625+G623+G621+G612+G610</f>
        <v>40153</v>
      </c>
      <c r="H629" s="657">
        <f>H625+H623+H621+H612+H610</f>
        <v>40153</v>
      </c>
      <c r="I629" s="658">
        <f t="shared" si="129"/>
        <v>100</v>
      </c>
      <c r="Q629" s="920"/>
      <c r="R629" s="709">
        <f>F629</f>
        <v>0</v>
      </c>
      <c r="S629" s="709">
        <f>G629</f>
        <v>40153</v>
      </c>
      <c r="T629" s="709">
        <f>H629</f>
        <v>40153</v>
      </c>
      <c r="U629" s="920"/>
      <c r="V629" s="920"/>
    </row>
    <row r="630" spans="1:22" ht="14.25" customHeight="1" thickTop="1" x14ac:dyDescent="0.25">
      <c r="A630" s="360"/>
      <c r="B630" s="360"/>
      <c r="C630" s="360"/>
      <c r="D630" s="360"/>
      <c r="E630" s="360"/>
      <c r="F630" s="177"/>
      <c r="G630" s="177"/>
      <c r="H630" s="177"/>
      <c r="I630" s="206"/>
      <c r="Q630" s="920"/>
      <c r="R630" s="709"/>
      <c r="S630" s="709"/>
      <c r="T630" s="709"/>
      <c r="U630" s="920"/>
      <c r="V630" s="920"/>
    </row>
    <row r="631" spans="1:22" ht="13.5" thickBot="1" x14ac:dyDescent="0.25">
      <c r="A631" s="419" t="s">
        <v>183</v>
      </c>
      <c r="I631" s="915" t="s">
        <v>92</v>
      </c>
    </row>
    <row r="632" spans="1:22" s="106" customFormat="1" thickTop="1" thickBot="1" x14ac:dyDescent="0.25">
      <c r="A632" s="572" t="s">
        <v>324</v>
      </c>
      <c r="B632" s="639" t="s">
        <v>93</v>
      </c>
      <c r="C632" s="573" t="s">
        <v>94</v>
      </c>
      <c r="D632" s="575" t="s">
        <v>364</v>
      </c>
      <c r="E632" s="575" t="s">
        <v>95</v>
      </c>
      <c r="F632" s="575" t="s">
        <v>328</v>
      </c>
      <c r="G632" s="575" t="s">
        <v>329</v>
      </c>
      <c r="H632" s="575" t="s">
        <v>448</v>
      </c>
      <c r="I632" s="651" t="s">
        <v>449</v>
      </c>
    </row>
    <row r="633" spans="1:22" ht="15.75" hidden="1" thickTop="1" x14ac:dyDescent="0.25">
      <c r="A633" s="916">
        <v>1108</v>
      </c>
      <c r="B633" s="640">
        <v>3121</v>
      </c>
      <c r="C633" s="640">
        <v>5331</v>
      </c>
      <c r="D633" s="670"/>
      <c r="E633" s="685" t="s">
        <v>481</v>
      </c>
      <c r="F633" s="686">
        <f>F634+F635</f>
        <v>0</v>
      </c>
      <c r="G633" s="686">
        <f>G634+G635</f>
        <v>0</v>
      </c>
      <c r="H633" s="686">
        <f>H634+H635</f>
        <v>0</v>
      </c>
      <c r="I633" s="659" t="e">
        <f t="shared" ref="I633:I644" si="133">(H633/G633)*100</f>
        <v>#DIV/0!</v>
      </c>
    </row>
    <row r="634" spans="1:22" ht="15" hidden="1" thickTop="1" x14ac:dyDescent="0.2">
      <c r="A634" s="418"/>
      <c r="B634" s="603"/>
      <c r="C634" s="603"/>
      <c r="D634" s="620" t="s">
        <v>905</v>
      </c>
      <c r="E634" s="938" t="s">
        <v>408</v>
      </c>
      <c r="F634" s="660"/>
      <c r="G634" s="660"/>
      <c r="H634" s="660"/>
      <c r="I634" s="656" t="e">
        <f t="shared" si="133"/>
        <v>#DIV/0!</v>
      </c>
    </row>
    <row r="635" spans="1:22" ht="15" hidden="1" thickTop="1" x14ac:dyDescent="0.2">
      <c r="A635" s="418"/>
      <c r="B635" s="603"/>
      <c r="C635" s="603"/>
      <c r="D635" s="505" t="s">
        <v>906</v>
      </c>
      <c r="E635" s="436" t="s">
        <v>38</v>
      </c>
      <c r="F635" s="660"/>
      <c r="G635" s="660"/>
      <c r="H635" s="660"/>
      <c r="I635" s="656" t="e">
        <f t="shared" si="133"/>
        <v>#DIV/0!</v>
      </c>
    </row>
    <row r="636" spans="1:22" ht="15.75" thickTop="1" x14ac:dyDescent="0.25">
      <c r="A636" s="921">
        <v>1108</v>
      </c>
      <c r="B636" s="2722">
        <v>3121</v>
      </c>
      <c r="C636" s="2722">
        <v>5336</v>
      </c>
      <c r="D636" s="2724"/>
      <c r="E636" s="602" t="s">
        <v>856</v>
      </c>
      <c r="F636" s="675">
        <f>F637+F638+F640+F641+F642</f>
        <v>0</v>
      </c>
      <c r="G636" s="675">
        <f t="shared" ref="G636:H636" si="134">G637+G638+G640+G641+G642</f>
        <v>32849</v>
      </c>
      <c r="H636" s="675">
        <f t="shared" si="134"/>
        <v>32849</v>
      </c>
      <c r="I636" s="667">
        <f t="shared" si="133"/>
        <v>100</v>
      </c>
    </row>
    <row r="637" spans="1:22" ht="14.25" x14ac:dyDescent="0.2">
      <c r="A637" s="921"/>
      <c r="B637" s="2722"/>
      <c r="C637" s="2722"/>
      <c r="D637" s="2725" t="s">
        <v>920</v>
      </c>
      <c r="E637" s="1352" t="s">
        <v>769</v>
      </c>
      <c r="F637" s="660">
        <v>0</v>
      </c>
      <c r="G637" s="660">
        <v>199</v>
      </c>
      <c r="H637" s="660">
        <v>199</v>
      </c>
      <c r="I637" s="656">
        <f t="shared" ref="I637" si="135">(H637/G637)*100</f>
        <v>100</v>
      </c>
    </row>
    <row r="638" spans="1:22" ht="14.25" x14ac:dyDescent="0.2">
      <c r="A638" s="921"/>
      <c r="B638" s="2722"/>
      <c r="C638" s="2722"/>
      <c r="D638" s="2725" t="s">
        <v>902</v>
      </c>
      <c r="E638" s="1352" t="s">
        <v>855</v>
      </c>
      <c r="F638" s="1600">
        <v>0</v>
      </c>
      <c r="G638" s="1600">
        <v>625</v>
      </c>
      <c r="H638" s="1600">
        <v>625</v>
      </c>
      <c r="I638" s="367">
        <f t="shared" ref="I638:I641" si="136">(H638/G638)*100</f>
        <v>100</v>
      </c>
    </row>
    <row r="639" spans="1:22" ht="14.25" hidden="1" x14ac:dyDescent="0.2">
      <c r="A639" s="921"/>
      <c r="B639" s="2722"/>
      <c r="C639" s="2722"/>
      <c r="D639" s="2725" t="s">
        <v>927</v>
      </c>
      <c r="E639" s="1637" t="s">
        <v>928</v>
      </c>
      <c r="F639" s="1643"/>
      <c r="G639" s="1643"/>
      <c r="H639" s="1643"/>
      <c r="I639" s="982" t="e">
        <f t="shared" si="136"/>
        <v>#DIV/0!</v>
      </c>
    </row>
    <row r="640" spans="1:22" ht="14.25" x14ac:dyDescent="0.2">
      <c r="A640" s="921"/>
      <c r="B640" s="2722"/>
      <c r="C640" s="2722"/>
      <c r="D640" s="2725" t="s">
        <v>1132</v>
      </c>
      <c r="E640" s="2618" t="s">
        <v>1516</v>
      </c>
      <c r="F640" s="1643">
        <v>0</v>
      </c>
      <c r="G640" s="1643">
        <v>81</v>
      </c>
      <c r="H640" s="1643">
        <v>81</v>
      </c>
      <c r="I640" s="982">
        <f t="shared" si="136"/>
        <v>100</v>
      </c>
    </row>
    <row r="641" spans="1:20" ht="14.25" x14ac:dyDescent="0.2">
      <c r="A641" s="921"/>
      <c r="B641" s="2722"/>
      <c r="C641" s="2722"/>
      <c r="D641" s="2725" t="s">
        <v>1896</v>
      </c>
      <c r="E641" s="3102" t="s">
        <v>1951</v>
      </c>
      <c r="F641" s="1643">
        <v>0</v>
      </c>
      <c r="G641" s="1643">
        <v>109</v>
      </c>
      <c r="H641" s="1643">
        <v>109</v>
      </c>
      <c r="I641" s="982">
        <f t="shared" si="136"/>
        <v>100</v>
      </c>
    </row>
    <row r="642" spans="1:20" ht="15" thickBot="1" x14ac:dyDescent="0.25">
      <c r="A642" s="921"/>
      <c r="B642" s="2427"/>
      <c r="C642" s="2427"/>
      <c r="D642" s="2726" t="s">
        <v>901</v>
      </c>
      <c r="E642" s="436" t="s">
        <v>1637</v>
      </c>
      <c r="F642" s="660">
        <v>0</v>
      </c>
      <c r="G642" s="660">
        <v>31835</v>
      </c>
      <c r="H642" s="660">
        <v>31835</v>
      </c>
      <c r="I642" s="656">
        <f t="shared" si="133"/>
        <v>100</v>
      </c>
    </row>
    <row r="643" spans="1:20" ht="15" hidden="1" thickBot="1" x14ac:dyDescent="0.25">
      <c r="A643" s="921"/>
      <c r="B643" s="2722"/>
      <c r="C643" s="2722"/>
      <c r="D643" s="2726" t="s">
        <v>907</v>
      </c>
      <c r="E643" s="938" t="s">
        <v>909</v>
      </c>
      <c r="F643" s="665"/>
      <c r="G643" s="665"/>
      <c r="H643" s="665"/>
      <c r="I643" s="661" t="e">
        <f t="shared" si="133"/>
        <v>#DIV/0!</v>
      </c>
    </row>
    <row r="644" spans="1:20" ht="15" hidden="1" thickBot="1" x14ac:dyDescent="0.25">
      <c r="A644" s="921"/>
      <c r="B644" s="2722"/>
      <c r="C644" s="2722"/>
      <c r="D644" s="2726" t="s">
        <v>908</v>
      </c>
      <c r="E644" s="938" t="s">
        <v>909</v>
      </c>
      <c r="F644" s="665"/>
      <c r="G644" s="665"/>
      <c r="H644" s="665"/>
      <c r="I644" s="661" t="e">
        <f t="shared" si="133"/>
        <v>#DIV/0!</v>
      </c>
    </row>
    <row r="645" spans="1:20" ht="15.75" hidden="1" thickBot="1" x14ac:dyDescent="0.3">
      <c r="A645" s="921">
        <v>1108</v>
      </c>
      <c r="B645" s="2722">
        <v>3299</v>
      </c>
      <c r="C645" s="2722">
        <v>5331</v>
      </c>
      <c r="D645" s="2732"/>
      <c r="E645" s="602" t="s">
        <v>481</v>
      </c>
      <c r="F645" s="666"/>
      <c r="G645" s="666">
        <f>G646</f>
        <v>0</v>
      </c>
      <c r="H645" s="666">
        <f>H646</f>
        <v>0</v>
      </c>
      <c r="I645" s="667" t="e">
        <f>(H645/G645)*100</f>
        <v>#DIV/0!</v>
      </c>
    </row>
    <row r="646" spans="1:20" ht="30" hidden="1" thickBot="1" x14ac:dyDescent="0.3">
      <c r="A646" s="418"/>
      <c r="B646" s="634"/>
      <c r="C646" s="634"/>
      <c r="D646" s="633" t="s">
        <v>1139</v>
      </c>
      <c r="E646" s="2231" t="s">
        <v>1526</v>
      </c>
      <c r="F646" s="666"/>
      <c r="G646" s="870"/>
      <c r="H646" s="870"/>
      <c r="I646" s="874" t="e">
        <f>(H646/G646)*100</f>
        <v>#DIV/0!</v>
      </c>
    </row>
    <row r="647" spans="1:20" ht="16.5" thickTop="1" thickBot="1" x14ac:dyDescent="0.3">
      <c r="A647" s="3233" t="s">
        <v>522</v>
      </c>
      <c r="B647" s="3234"/>
      <c r="C647" s="3234"/>
      <c r="D647" s="3234"/>
      <c r="E647" s="3234"/>
      <c r="F647" s="657">
        <f>F633</f>
        <v>0</v>
      </c>
      <c r="G647" s="657">
        <f>G636+G645+G633</f>
        <v>32849</v>
      </c>
      <c r="H647" s="657">
        <f>H636+H645+H633</f>
        <v>32849</v>
      </c>
      <c r="I647" s="658">
        <f>(H647/G647)*100</f>
        <v>100</v>
      </c>
      <c r="R647" s="373">
        <f>F647</f>
        <v>0</v>
      </c>
      <c r="S647" s="373">
        <f>G647</f>
        <v>32849</v>
      </c>
      <c r="T647" s="373">
        <f>H647</f>
        <v>32849</v>
      </c>
    </row>
    <row r="648" spans="1:20" ht="12" customHeight="1" thickTop="1" x14ac:dyDescent="0.25">
      <c r="A648" s="360"/>
      <c r="B648" s="360"/>
      <c r="C648" s="360"/>
      <c r="D648" s="360"/>
      <c r="E648" s="360"/>
      <c r="F648" s="177"/>
      <c r="G648" s="177"/>
      <c r="H648" s="177"/>
      <c r="I648" s="206"/>
      <c r="R648" s="373"/>
      <c r="S648" s="373"/>
      <c r="T648" s="373"/>
    </row>
    <row r="649" spans="1:20" ht="13.5" thickBot="1" x14ac:dyDescent="0.25">
      <c r="A649" s="419" t="s">
        <v>590</v>
      </c>
      <c r="I649" s="915" t="s">
        <v>92</v>
      </c>
    </row>
    <row r="650" spans="1:20" s="106" customFormat="1" thickTop="1" thickBot="1" x14ac:dyDescent="0.25">
      <c r="A650" s="572" t="s">
        <v>324</v>
      </c>
      <c r="B650" s="639" t="s">
        <v>93</v>
      </c>
      <c r="C650" s="573" t="s">
        <v>94</v>
      </c>
      <c r="D650" s="575" t="s">
        <v>364</v>
      </c>
      <c r="E650" s="575" t="s">
        <v>95</v>
      </c>
      <c r="F650" s="575" t="s">
        <v>328</v>
      </c>
      <c r="G650" s="575" t="s">
        <v>329</v>
      </c>
      <c r="H650" s="575" t="s">
        <v>448</v>
      </c>
      <c r="I650" s="651" t="s">
        <v>449</v>
      </c>
    </row>
    <row r="651" spans="1:20" s="374" customFormat="1" ht="13.5" thickTop="1" thickBot="1" x14ac:dyDescent="0.25">
      <c r="A651" s="511">
        <v>1</v>
      </c>
      <c r="B651" s="512">
        <v>2</v>
      </c>
      <c r="C651" s="512">
        <v>3</v>
      </c>
      <c r="D651" s="512">
        <v>4</v>
      </c>
      <c r="E651" s="512">
        <v>5</v>
      </c>
      <c r="F651" s="499">
        <v>6</v>
      </c>
      <c r="G651" s="499">
        <v>7</v>
      </c>
      <c r="H651" s="500">
        <v>8</v>
      </c>
      <c r="I651" s="577" t="s">
        <v>393</v>
      </c>
    </row>
    <row r="652" spans="1:20" ht="15.75" thickTop="1" x14ac:dyDescent="0.25">
      <c r="A652" s="916">
        <v>1109</v>
      </c>
      <c r="B652" s="640">
        <v>3121</v>
      </c>
      <c r="C652" s="2737">
        <v>5331</v>
      </c>
      <c r="D652" s="670"/>
      <c r="E652" s="685" t="s">
        <v>481</v>
      </c>
      <c r="F652" s="686">
        <f>F653</f>
        <v>0</v>
      </c>
      <c r="G652" s="686">
        <f t="shared" ref="G652:H652" si="137">G653</f>
        <v>15</v>
      </c>
      <c r="H652" s="686">
        <f t="shared" si="137"/>
        <v>15</v>
      </c>
      <c r="I652" s="659">
        <f t="shared" ref="I652:I664" si="138">(H652/G652)*100</f>
        <v>100</v>
      </c>
    </row>
    <row r="653" spans="1:20" ht="14.25" x14ac:dyDescent="0.2">
      <c r="A653" s="418"/>
      <c r="B653" s="603"/>
      <c r="C653" s="603"/>
      <c r="D653" s="620" t="s">
        <v>917</v>
      </c>
      <c r="E653" s="938" t="s">
        <v>1956</v>
      </c>
      <c r="F653" s="660">
        <v>0</v>
      </c>
      <c r="G653" s="660">
        <v>15</v>
      </c>
      <c r="H653" s="660">
        <v>15</v>
      </c>
      <c r="I653" s="656">
        <f t="shared" si="138"/>
        <v>100</v>
      </c>
    </row>
    <row r="654" spans="1:20" ht="15" x14ac:dyDescent="0.25">
      <c r="A654" s="921">
        <v>1109</v>
      </c>
      <c r="B654" s="2722">
        <v>3121</v>
      </c>
      <c r="C654" s="2722">
        <v>5336</v>
      </c>
      <c r="D654" s="2724"/>
      <c r="E654" s="602" t="s">
        <v>856</v>
      </c>
      <c r="F654" s="675">
        <f>F655+F656+F658+F659+F660+F661+F662</f>
        <v>0</v>
      </c>
      <c r="G654" s="675">
        <f t="shared" ref="G654:H654" si="139">G655+G656+G658+G659+G660+G661+G662</f>
        <v>14992</v>
      </c>
      <c r="H654" s="675">
        <f t="shared" si="139"/>
        <v>14992</v>
      </c>
      <c r="I654" s="667">
        <f>(H654/G654)*100</f>
        <v>100</v>
      </c>
    </row>
    <row r="655" spans="1:20" ht="15" customHeight="1" x14ac:dyDescent="0.2">
      <c r="A655" s="921"/>
      <c r="B655" s="2722"/>
      <c r="C655" s="2722"/>
      <c r="D655" s="2725" t="s">
        <v>920</v>
      </c>
      <c r="E655" s="1352" t="s">
        <v>769</v>
      </c>
      <c r="F655" s="660">
        <v>0</v>
      </c>
      <c r="G655" s="660">
        <v>30</v>
      </c>
      <c r="H655" s="660">
        <v>30</v>
      </c>
      <c r="I655" s="656">
        <f t="shared" ref="I655" si="140">(H655/G655)*100</f>
        <v>100</v>
      </c>
    </row>
    <row r="656" spans="1:20" ht="12" customHeight="1" x14ac:dyDescent="0.2">
      <c r="A656" s="921"/>
      <c r="B656" s="2722"/>
      <c r="C656" s="2722"/>
      <c r="D656" s="2725" t="s">
        <v>902</v>
      </c>
      <c r="E656" s="1352" t="s">
        <v>855</v>
      </c>
      <c r="F656" s="1600">
        <v>0</v>
      </c>
      <c r="G656" s="1600">
        <v>291</v>
      </c>
      <c r="H656" s="1600">
        <v>291</v>
      </c>
      <c r="I656" s="367">
        <f t="shared" ref="I656:I657" si="141">(H656/G656)*100</f>
        <v>100</v>
      </c>
    </row>
    <row r="657" spans="1:20" ht="14.25" hidden="1" x14ac:dyDescent="0.2">
      <c r="A657" s="921"/>
      <c r="B657" s="2722"/>
      <c r="C657" s="2722"/>
      <c r="D657" s="2725" t="s">
        <v>927</v>
      </c>
      <c r="E657" s="2618" t="s">
        <v>928</v>
      </c>
      <c r="F657" s="1643"/>
      <c r="G657" s="1643"/>
      <c r="H657" s="1643"/>
      <c r="I657" s="982" t="e">
        <f t="shared" si="141"/>
        <v>#DIV/0!</v>
      </c>
    </row>
    <row r="658" spans="1:20" ht="14.25" x14ac:dyDescent="0.2">
      <c r="A658" s="921"/>
      <c r="B658" s="2427"/>
      <c r="C658" s="2427"/>
      <c r="D658" s="2725" t="s">
        <v>1132</v>
      </c>
      <c r="E658" s="2618" t="s">
        <v>1516</v>
      </c>
      <c r="F658" s="660">
        <v>0</v>
      </c>
      <c r="G658" s="660">
        <v>9</v>
      </c>
      <c r="H658" s="660">
        <v>9</v>
      </c>
      <c r="I658" s="656">
        <f t="shared" si="138"/>
        <v>100</v>
      </c>
    </row>
    <row r="659" spans="1:20" ht="14.25" x14ac:dyDescent="0.2">
      <c r="A659" s="921"/>
      <c r="B659" s="2722"/>
      <c r="C659" s="2722"/>
      <c r="D659" s="2725" t="s">
        <v>1896</v>
      </c>
      <c r="E659" s="3102" t="s">
        <v>1951</v>
      </c>
      <c r="F659" s="665">
        <v>0</v>
      </c>
      <c r="G659" s="665">
        <v>61</v>
      </c>
      <c r="H659" s="665">
        <v>61</v>
      </c>
      <c r="I659" s="656">
        <f t="shared" si="138"/>
        <v>100</v>
      </c>
    </row>
    <row r="660" spans="1:20" ht="14.25" x14ac:dyDescent="0.2">
      <c r="A660" s="921"/>
      <c r="B660" s="2722"/>
      <c r="C660" s="2722"/>
      <c r="D660" s="2726" t="s">
        <v>901</v>
      </c>
      <c r="E660" s="436" t="s">
        <v>1637</v>
      </c>
      <c r="F660" s="665">
        <v>0</v>
      </c>
      <c r="G660" s="665">
        <v>14148</v>
      </c>
      <c r="H660" s="665">
        <v>14148</v>
      </c>
      <c r="I660" s="656">
        <f t="shared" si="138"/>
        <v>100</v>
      </c>
    </row>
    <row r="661" spans="1:20" ht="14.25" x14ac:dyDescent="0.2">
      <c r="A661" s="921"/>
      <c r="B661" s="2722"/>
      <c r="C661" s="2722"/>
      <c r="D661" s="2724" t="s">
        <v>1144</v>
      </c>
      <c r="E661" s="692" t="s">
        <v>1515</v>
      </c>
      <c r="F661" s="665">
        <v>0</v>
      </c>
      <c r="G661" s="665">
        <v>68</v>
      </c>
      <c r="H661" s="665">
        <v>68</v>
      </c>
      <c r="I661" s="656">
        <f t="shared" si="138"/>
        <v>100</v>
      </c>
    </row>
    <row r="662" spans="1:20" ht="15" thickBot="1" x14ac:dyDescent="0.25">
      <c r="A662" s="921"/>
      <c r="B662" s="2722"/>
      <c r="C662" s="2722"/>
      <c r="D662" s="2724" t="s">
        <v>1145</v>
      </c>
      <c r="E662" s="692" t="s">
        <v>1515</v>
      </c>
      <c r="F662" s="665">
        <v>0</v>
      </c>
      <c r="G662" s="665">
        <v>385</v>
      </c>
      <c r="H662" s="665">
        <v>385</v>
      </c>
      <c r="I662" s="656">
        <f t="shared" si="138"/>
        <v>100</v>
      </c>
    </row>
    <row r="663" spans="1:20" ht="15.75" hidden="1" thickBot="1" x14ac:dyDescent="0.3">
      <c r="A663" s="921">
        <v>1109</v>
      </c>
      <c r="B663" s="2755">
        <v>3121</v>
      </c>
      <c r="C663" s="2755">
        <v>5331</v>
      </c>
      <c r="D663" s="2756"/>
      <c r="E663" s="845" t="s">
        <v>481</v>
      </c>
      <c r="F663" s="665"/>
      <c r="G663" s="675">
        <f>G664</f>
        <v>0</v>
      </c>
      <c r="H663" s="675">
        <f>H664</f>
        <v>0</v>
      </c>
      <c r="I663" s="656" t="e">
        <f t="shared" si="138"/>
        <v>#DIV/0!</v>
      </c>
    </row>
    <row r="664" spans="1:20" ht="29.25" hidden="1" thickBot="1" x14ac:dyDescent="0.25">
      <c r="A664" s="418"/>
      <c r="B664" s="151"/>
      <c r="C664" s="151"/>
      <c r="D664" s="2759" t="s">
        <v>1136</v>
      </c>
      <c r="E664" s="2629" t="s">
        <v>1529</v>
      </c>
      <c r="F664" s="665"/>
      <c r="G664" s="870"/>
      <c r="H664" s="870"/>
      <c r="I664" s="871" t="e">
        <f t="shared" si="138"/>
        <v>#DIV/0!</v>
      </c>
    </row>
    <row r="665" spans="1:20" s="941" customFormat="1" ht="16.5" thickTop="1" thickBot="1" x14ac:dyDescent="0.25">
      <c r="A665" s="3251" t="s">
        <v>522</v>
      </c>
      <c r="B665" s="3252"/>
      <c r="C665" s="3252"/>
      <c r="D665" s="3252"/>
      <c r="E665" s="3252"/>
      <c r="F665" s="950">
        <f>F652</f>
        <v>0</v>
      </c>
      <c r="G665" s="950">
        <f>G652+G654+G663</f>
        <v>15007</v>
      </c>
      <c r="H665" s="950">
        <f>H652+H654+H663</f>
        <v>15007</v>
      </c>
      <c r="I665" s="951">
        <f>(H665/G665)*100</f>
        <v>100</v>
      </c>
      <c r="R665" s="952">
        <f>F665</f>
        <v>0</v>
      </c>
      <c r="S665" s="952">
        <f>G665</f>
        <v>15007</v>
      </c>
      <c r="T665" s="952">
        <f>H665</f>
        <v>15007</v>
      </c>
    </row>
    <row r="666" spans="1:20" s="941" customFormat="1" ht="12" customHeight="1" thickTop="1" x14ac:dyDescent="0.2">
      <c r="B666" s="953"/>
      <c r="D666" s="954"/>
      <c r="F666" s="952"/>
      <c r="G666" s="952"/>
      <c r="H666" s="952"/>
      <c r="I666" s="955"/>
    </row>
    <row r="667" spans="1:20" ht="13.5" thickBot="1" x14ac:dyDescent="0.25">
      <c r="A667" s="419" t="s">
        <v>375</v>
      </c>
      <c r="I667" s="915" t="s">
        <v>92</v>
      </c>
    </row>
    <row r="668" spans="1:20" s="106" customFormat="1" thickTop="1" thickBot="1" x14ac:dyDescent="0.25">
      <c r="A668" s="572" t="s">
        <v>324</v>
      </c>
      <c r="B668" s="639" t="s">
        <v>93</v>
      </c>
      <c r="C668" s="573" t="s">
        <v>94</v>
      </c>
      <c r="D668" s="575" t="s">
        <v>364</v>
      </c>
      <c r="E668" s="575" t="s">
        <v>95</v>
      </c>
      <c r="F668" s="575" t="s">
        <v>328</v>
      </c>
      <c r="G668" s="575" t="s">
        <v>329</v>
      </c>
      <c r="H668" s="575" t="s">
        <v>448</v>
      </c>
      <c r="I668" s="651" t="s">
        <v>449</v>
      </c>
    </row>
    <row r="669" spans="1:20" s="374" customFormat="1" ht="13.5" thickTop="1" thickBot="1" x14ac:dyDescent="0.25">
      <c r="A669" s="511">
        <v>1</v>
      </c>
      <c r="B669" s="512">
        <v>2</v>
      </c>
      <c r="C669" s="512">
        <v>3</v>
      </c>
      <c r="D669" s="512">
        <v>4</v>
      </c>
      <c r="E669" s="512">
        <v>5</v>
      </c>
      <c r="F669" s="499">
        <v>6</v>
      </c>
      <c r="G669" s="499">
        <v>7</v>
      </c>
      <c r="H669" s="500">
        <v>8</v>
      </c>
      <c r="I669" s="577" t="s">
        <v>393</v>
      </c>
    </row>
    <row r="670" spans="1:20" ht="15.75" hidden="1" thickTop="1" x14ac:dyDescent="0.25">
      <c r="A670" s="916">
        <v>1110</v>
      </c>
      <c r="B670" s="640">
        <v>3121</v>
      </c>
      <c r="C670" s="640">
        <v>5331</v>
      </c>
      <c r="D670" s="670"/>
      <c r="E670" s="685" t="s">
        <v>481</v>
      </c>
      <c r="F670" s="686">
        <f>SUM(F671:F678)</f>
        <v>0</v>
      </c>
      <c r="G670" s="686">
        <f>G671+G672</f>
        <v>0</v>
      </c>
      <c r="H670" s="686">
        <f>H671+H672</f>
        <v>0</v>
      </c>
      <c r="I670" s="659" t="e">
        <f t="shared" ref="I670:I672" si="142">(H670/G670)*100</f>
        <v>#DIV/0!</v>
      </c>
    </row>
    <row r="671" spans="1:20" ht="15" hidden="1" thickTop="1" x14ac:dyDescent="0.2">
      <c r="A671" s="418"/>
      <c r="B671" s="603"/>
      <c r="C671" s="603"/>
      <c r="D671" s="620" t="s">
        <v>905</v>
      </c>
      <c r="E671" s="938" t="s">
        <v>408</v>
      </c>
      <c r="F671" s="660"/>
      <c r="G671" s="660"/>
      <c r="H671" s="660"/>
      <c r="I671" s="656" t="e">
        <f t="shared" si="142"/>
        <v>#DIV/0!</v>
      </c>
    </row>
    <row r="672" spans="1:20" ht="15" hidden="1" thickTop="1" x14ac:dyDescent="0.2">
      <c r="A672" s="418"/>
      <c r="B672" s="603"/>
      <c r="C672" s="603"/>
      <c r="D672" s="505" t="s">
        <v>906</v>
      </c>
      <c r="E672" s="436" t="s">
        <v>38</v>
      </c>
      <c r="F672" s="660"/>
      <c r="G672" s="660"/>
      <c r="H672" s="660"/>
      <c r="I672" s="656" t="e">
        <f t="shared" si="142"/>
        <v>#DIV/0!</v>
      </c>
    </row>
    <row r="673" spans="1:20" ht="15.75" thickTop="1" x14ac:dyDescent="0.25">
      <c r="A673" s="921">
        <v>1110</v>
      </c>
      <c r="B673" s="2722">
        <v>3121</v>
      </c>
      <c r="C673" s="2722">
        <v>5336</v>
      </c>
      <c r="D673" s="2724"/>
      <c r="E673" s="602" t="s">
        <v>856</v>
      </c>
      <c r="F673" s="675">
        <f>F674+F675+F676+F677+F678+F679+F680</f>
        <v>0</v>
      </c>
      <c r="G673" s="675">
        <f t="shared" ref="G673:H673" si="143">G674+G675+G676+G677+G678+G679+G680</f>
        <v>14124</v>
      </c>
      <c r="H673" s="675">
        <f t="shared" si="143"/>
        <v>14124</v>
      </c>
      <c r="I673" s="667">
        <f>(H673/G673)*100</f>
        <v>100</v>
      </c>
    </row>
    <row r="674" spans="1:20" ht="14.25" x14ac:dyDescent="0.2">
      <c r="A674" s="921"/>
      <c r="B674" s="2722"/>
      <c r="C674" s="2722"/>
      <c r="D674" s="2725" t="s">
        <v>920</v>
      </c>
      <c r="E674" s="1352" t="s">
        <v>769</v>
      </c>
      <c r="F674" s="660">
        <v>0</v>
      </c>
      <c r="G674" s="660">
        <v>19</v>
      </c>
      <c r="H674" s="660">
        <v>19</v>
      </c>
      <c r="I674" s="656">
        <f t="shared" ref="I674" si="144">(H674/G674)*100</f>
        <v>100</v>
      </c>
    </row>
    <row r="675" spans="1:20" ht="14.25" x14ac:dyDescent="0.2">
      <c r="A675" s="921"/>
      <c r="B675" s="2722"/>
      <c r="C675" s="2722"/>
      <c r="D675" s="2725" t="s">
        <v>902</v>
      </c>
      <c r="E675" s="1352" t="s">
        <v>855</v>
      </c>
      <c r="F675" s="1600">
        <v>0</v>
      </c>
      <c r="G675" s="1600">
        <v>281</v>
      </c>
      <c r="H675" s="1600">
        <v>281</v>
      </c>
      <c r="I675" s="367">
        <f t="shared" ref="I675:I682" si="145">(H675/G675)*100</f>
        <v>100</v>
      </c>
    </row>
    <row r="676" spans="1:20" ht="14.25" x14ac:dyDescent="0.2">
      <c r="A676" s="921"/>
      <c r="B676" s="2722"/>
      <c r="C676" s="2722"/>
      <c r="D676" s="2725" t="s">
        <v>1132</v>
      </c>
      <c r="E676" s="2618" t="s">
        <v>1516</v>
      </c>
      <c r="F676" s="1643">
        <v>0</v>
      </c>
      <c r="G676" s="1643">
        <v>3</v>
      </c>
      <c r="H676" s="1643">
        <v>3</v>
      </c>
      <c r="I676" s="982">
        <f t="shared" si="145"/>
        <v>100</v>
      </c>
    </row>
    <row r="677" spans="1:20" ht="14.25" x14ac:dyDescent="0.2">
      <c r="A677" s="921"/>
      <c r="B677" s="2722"/>
      <c r="C677" s="2722"/>
      <c r="D677" s="2725" t="s">
        <v>1896</v>
      </c>
      <c r="E677" s="3102" t="s">
        <v>1951</v>
      </c>
      <c r="F677" s="1643">
        <v>0</v>
      </c>
      <c r="G677" s="1643">
        <v>53</v>
      </c>
      <c r="H677" s="1643">
        <v>53</v>
      </c>
      <c r="I677" s="982">
        <f t="shared" si="145"/>
        <v>100</v>
      </c>
    </row>
    <row r="678" spans="1:20" ht="14.25" x14ac:dyDescent="0.2">
      <c r="A678" s="921"/>
      <c r="B678" s="2427"/>
      <c r="C678" s="2719"/>
      <c r="D678" s="2726" t="s">
        <v>901</v>
      </c>
      <c r="E678" s="436" t="s">
        <v>1637</v>
      </c>
      <c r="F678" s="660">
        <v>0</v>
      </c>
      <c r="G678" s="660">
        <v>13322</v>
      </c>
      <c r="H678" s="660">
        <v>13322</v>
      </c>
      <c r="I678" s="982">
        <f t="shared" si="145"/>
        <v>100</v>
      </c>
    </row>
    <row r="679" spans="1:20" ht="14.25" x14ac:dyDescent="0.2">
      <c r="A679" s="921"/>
      <c r="B679" s="2722"/>
      <c r="C679" s="1350"/>
      <c r="D679" s="2724" t="s">
        <v>1144</v>
      </c>
      <c r="E679" s="692" t="s">
        <v>1515</v>
      </c>
      <c r="F679" s="665">
        <v>0</v>
      </c>
      <c r="G679" s="665">
        <v>67</v>
      </c>
      <c r="H679" s="665">
        <v>67</v>
      </c>
      <c r="I679" s="982">
        <f t="shared" si="145"/>
        <v>100</v>
      </c>
    </row>
    <row r="680" spans="1:20" ht="14.25" x14ac:dyDescent="0.2">
      <c r="A680" s="921"/>
      <c r="B680" s="2722"/>
      <c r="C680" s="1350"/>
      <c r="D680" s="2724" t="s">
        <v>1145</v>
      </c>
      <c r="E680" s="692" t="s">
        <v>1515</v>
      </c>
      <c r="F680" s="665">
        <v>0</v>
      </c>
      <c r="G680" s="665">
        <v>379</v>
      </c>
      <c r="H680" s="665">
        <v>379</v>
      </c>
      <c r="I680" s="982">
        <f t="shared" si="145"/>
        <v>100</v>
      </c>
    </row>
    <row r="681" spans="1:20" ht="15" x14ac:dyDescent="0.25">
      <c r="A681" s="921">
        <v>1110</v>
      </c>
      <c r="B681" s="2722">
        <v>5399</v>
      </c>
      <c r="C681" s="2722">
        <v>5336</v>
      </c>
      <c r="D681" s="2724"/>
      <c r="E681" s="602" t="s">
        <v>856</v>
      </c>
      <c r="F681" s="675">
        <f>F682</f>
        <v>0</v>
      </c>
      <c r="G681" s="675">
        <f t="shared" ref="G681:H681" si="146">G682</f>
        <v>74</v>
      </c>
      <c r="H681" s="675">
        <f t="shared" si="146"/>
        <v>74</v>
      </c>
      <c r="I681" s="667">
        <f>(H681/G681)*100</f>
        <v>100</v>
      </c>
    </row>
    <row r="682" spans="1:20" ht="15" thickBot="1" x14ac:dyDescent="0.25">
      <c r="A682" s="921"/>
      <c r="B682" s="2722"/>
      <c r="C682" s="1350"/>
      <c r="D682" s="2752" t="s">
        <v>937</v>
      </c>
      <c r="E682" s="852" t="s">
        <v>1954</v>
      </c>
      <c r="F682" s="665">
        <v>0</v>
      </c>
      <c r="G682" s="665">
        <v>74</v>
      </c>
      <c r="H682" s="665">
        <v>74</v>
      </c>
      <c r="I682" s="982">
        <f t="shared" si="145"/>
        <v>100</v>
      </c>
    </row>
    <row r="683" spans="1:20" ht="16.5" thickTop="1" thickBot="1" x14ac:dyDescent="0.3">
      <c r="A683" s="3233" t="s">
        <v>522</v>
      </c>
      <c r="B683" s="3234"/>
      <c r="C683" s="3234"/>
      <c r="D683" s="3234"/>
      <c r="E683" s="3234"/>
      <c r="F683" s="657">
        <f>F681+F673</f>
        <v>0</v>
      </c>
      <c r="G683" s="657">
        <f t="shared" ref="G683:H683" si="147">G681+G673</f>
        <v>14198</v>
      </c>
      <c r="H683" s="657">
        <f t="shared" si="147"/>
        <v>14198</v>
      </c>
      <c r="I683" s="658">
        <f>(H683/G683)*100</f>
        <v>100</v>
      </c>
      <c r="K683" s="373" t="e">
        <f>SUM(F683,#REF!,#REF!,#REF!,#REF!,F605,#REF!,#REF!,F546,F516,F490,#REF!,F470,#REF!,F447,F404,F379,F351,F327)</f>
        <v>#REF!</v>
      </c>
      <c r="L683" s="373" t="e">
        <f>SUM(G683,#REF!,#REF!,#REF!,#REF!,G605,#REF!,#REF!,G546,G516,G490,#REF!,G470,#REF!,G447,G404,G379,G351,G327)</f>
        <v>#REF!</v>
      </c>
      <c r="M683" s="373" t="e">
        <f>SUM(H683,#REF!,#REF!,#REF!,#REF!,H605,#REF!,#REF!,H546,H516,H490,#REF!,H470,#REF!,H447,H404,H379,H351,H327)</f>
        <v>#REF!</v>
      </c>
      <c r="R683" s="373">
        <f>F683</f>
        <v>0</v>
      </c>
      <c r="S683" s="373">
        <f>G683</f>
        <v>14198</v>
      </c>
      <c r="T683" s="373">
        <f>H683</f>
        <v>14198</v>
      </c>
    </row>
    <row r="684" spans="1:20" ht="15.75" thickTop="1" x14ac:dyDescent="0.25">
      <c r="A684" s="360"/>
      <c r="B684" s="360"/>
      <c r="C684" s="360"/>
      <c r="D684" s="360"/>
      <c r="E684" s="360"/>
      <c r="F684" s="177"/>
      <c r="G684" s="177"/>
      <c r="H684" s="177"/>
      <c r="I684" s="206"/>
      <c r="K684" s="373"/>
      <c r="L684" s="373"/>
      <c r="M684" s="373"/>
      <c r="R684" s="373"/>
      <c r="S684" s="373"/>
      <c r="T684" s="373"/>
    </row>
    <row r="685" spans="1:20" ht="13.5" thickBot="1" x14ac:dyDescent="0.25">
      <c r="A685" s="419" t="s">
        <v>334</v>
      </c>
      <c r="I685" s="915" t="s">
        <v>92</v>
      </c>
    </row>
    <row r="686" spans="1:20" s="106" customFormat="1" ht="18" customHeight="1" thickTop="1" thickBot="1" x14ac:dyDescent="0.25">
      <c r="A686" s="572" t="s">
        <v>324</v>
      </c>
      <c r="B686" s="639" t="s">
        <v>93</v>
      </c>
      <c r="C686" s="573" t="s">
        <v>94</v>
      </c>
      <c r="D686" s="575" t="s">
        <v>364</v>
      </c>
      <c r="E686" s="575" t="s">
        <v>95</v>
      </c>
      <c r="F686" s="575" t="s">
        <v>328</v>
      </c>
      <c r="G686" s="575" t="s">
        <v>329</v>
      </c>
      <c r="H686" s="575" t="s">
        <v>448</v>
      </c>
      <c r="I686" s="651" t="s">
        <v>449</v>
      </c>
    </row>
    <row r="687" spans="1:20" s="374" customFormat="1" ht="13.5" thickTop="1" thickBot="1" x14ac:dyDescent="0.25">
      <c r="A687" s="511">
        <v>1</v>
      </c>
      <c r="B687" s="512">
        <v>2</v>
      </c>
      <c r="C687" s="512">
        <v>3</v>
      </c>
      <c r="D687" s="512">
        <v>4</v>
      </c>
      <c r="E687" s="512">
        <v>5</v>
      </c>
      <c r="F687" s="499">
        <v>6</v>
      </c>
      <c r="G687" s="499">
        <v>7</v>
      </c>
      <c r="H687" s="500">
        <v>8</v>
      </c>
      <c r="I687" s="577" t="s">
        <v>393</v>
      </c>
    </row>
    <row r="688" spans="1:20" ht="15.75" hidden="1" thickTop="1" x14ac:dyDescent="0.25">
      <c r="A688" s="916">
        <v>1111</v>
      </c>
      <c r="B688" s="640">
        <v>3121</v>
      </c>
      <c r="C688" s="640">
        <v>5331</v>
      </c>
      <c r="D688" s="670"/>
      <c r="E688" s="685" t="s">
        <v>481</v>
      </c>
      <c r="F688" s="686">
        <f>F689+F690</f>
        <v>0</v>
      </c>
      <c r="G688" s="686">
        <f>G689+G690</f>
        <v>0</v>
      </c>
      <c r="H688" s="686">
        <f>H689+H690</f>
        <v>0</v>
      </c>
      <c r="I688" s="659" t="e">
        <f t="shared" ref="I688:I708" si="148">(H688/G688)*100</f>
        <v>#DIV/0!</v>
      </c>
    </row>
    <row r="689" spans="1:9" ht="15" hidden="1" thickTop="1" x14ac:dyDescent="0.2">
      <c r="A689" s="418"/>
      <c r="B689" s="603"/>
      <c r="C689" s="603"/>
      <c r="D689" s="620" t="s">
        <v>905</v>
      </c>
      <c r="E689" s="938" t="s">
        <v>408</v>
      </c>
      <c r="F689" s="660"/>
      <c r="G689" s="660"/>
      <c r="H689" s="660"/>
      <c r="I689" s="656" t="e">
        <f t="shared" si="148"/>
        <v>#DIV/0!</v>
      </c>
    </row>
    <row r="690" spans="1:9" ht="15" hidden="1" thickTop="1" x14ac:dyDescent="0.2">
      <c r="A690" s="418"/>
      <c r="B690" s="603"/>
      <c r="C690" s="603"/>
      <c r="D690" s="505" t="s">
        <v>906</v>
      </c>
      <c r="E690" s="436" t="s">
        <v>38</v>
      </c>
      <c r="F690" s="660"/>
      <c r="G690" s="660"/>
      <c r="H690" s="660"/>
      <c r="I690" s="656" t="e">
        <f t="shared" si="148"/>
        <v>#DIV/0!</v>
      </c>
    </row>
    <row r="691" spans="1:9" ht="15.75" thickTop="1" x14ac:dyDescent="0.25">
      <c r="A691" s="921">
        <v>1111</v>
      </c>
      <c r="B691" s="2722">
        <v>3121</v>
      </c>
      <c r="C691" s="2722">
        <v>5336</v>
      </c>
      <c r="D691" s="2724"/>
      <c r="E691" s="602" t="s">
        <v>856</v>
      </c>
      <c r="F691" s="675">
        <f>F692+F693+F694+F695+F696+F697+F698</f>
        <v>0</v>
      </c>
      <c r="G691" s="675">
        <f t="shared" ref="G691:H691" si="149">G692+G693+G694+G695+G696+G697+G698</f>
        <v>28878</v>
      </c>
      <c r="H691" s="675">
        <f t="shared" si="149"/>
        <v>28878</v>
      </c>
      <c r="I691" s="667">
        <f>(H691/G691)*100</f>
        <v>100</v>
      </c>
    </row>
    <row r="692" spans="1:9" ht="14.25" x14ac:dyDescent="0.2">
      <c r="A692" s="921"/>
      <c r="B692" s="2722"/>
      <c r="C692" s="2722"/>
      <c r="D692" s="2725" t="s">
        <v>920</v>
      </c>
      <c r="E692" s="1352" t="s">
        <v>769</v>
      </c>
      <c r="F692" s="660">
        <v>0</v>
      </c>
      <c r="G692" s="660">
        <v>158</v>
      </c>
      <c r="H692" s="660">
        <v>158</v>
      </c>
      <c r="I692" s="656">
        <f t="shared" ref="I692" si="150">(H692/G692)*100</f>
        <v>100</v>
      </c>
    </row>
    <row r="693" spans="1:9" ht="14.25" x14ac:dyDescent="0.2">
      <c r="A693" s="921"/>
      <c r="B693" s="2722"/>
      <c r="C693" s="2722"/>
      <c r="D693" s="2725" t="s">
        <v>902</v>
      </c>
      <c r="E693" s="1352" t="s">
        <v>855</v>
      </c>
      <c r="F693" s="1600">
        <v>0</v>
      </c>
      <c r="G693" s="1600">
        <v>571</v>
      </c>
      <c r="H693" s="1600">
        <v>571</v>
      </c>
      <c r="I693" s="367">
        <f t="shared" ref="I693:I695" si="151">(H693/G693)*100</f>
        <v>100</v>
      </c>
    </row>
    <row r="694" spans="1:9" ht="14.25" x14ac:dyDescent="0.2">
      <c r="A694" s="921"/>
      <c r="B694" s="2722"/>
      <c r="C694" s="2722"/>
      <c r="D694" s="2725" t="s">
        <v>1132</v>
      </c>
      <c r="E694" s="2618" t="s">
        <v>1516</v>
      </c>
      <c r="F694" s="1643">
        <v>0</v>
      </c>
      <c r="G694" s="1643">
        <v>2</v>
      </c>
      <c r="H694" s="1643">
        <v>2</v>
      </c>
      <c r="I694" s="982">
        <f t="shared" si="151"/>
        <v>100</v>
      </c>
    </row>
    <row r="695" spans="1:9" ht="14.25" x14ac:dyDescent="0.2">
      <c r="A695" s="921"/>
      <c r="B695" s="2722"/>
      <c r="C695" s="2722"/>
      <c r="D695" s="2725" t="s">
        <v>1896</v>
      </c>
      <c r="E695" s="3102" t="s">
        <v>1951</v>
      </c>
      <c r="F695" s="1643">
        <v>0</v>
      </c>
      <c r="G695" s="1643">
        <v>176</v>
      </c>
      <c r="H695" s="1643">
        <v>176</v>
      </c>
      <c r="I695" s="982">
        <f t="shared" si="151"/>
        <v>100</v>
      </c>
    </row>
    <row r="696" spans="1:9" ht="14.25" x14ac:dyDescent="0.2">
      <c r="A696" s="921"/>
      <c r="B696" s="2427"/>
      <c r="C696" s="2719"/>
      <c r="D696" s="2726" t="s">
        <v>901</v>
      </c>
      <c r="E696" s="436" t="s">
        <v>1637</v>
      </c>
      <c r="F696" s="660">
        <v>0</v>
      </c>
      <c r="G696" s="660">
        <v>27232</v>
      </c>
      <c r="H696" s="660">
        <v>27232</v>
      </c>
      <c r="I696" s="656">
        <f t="shared" si="148"/>
        <v>100</v>
      </c>
    </row>
    <row r="697" spans="1:9" ht="14.25" x14ac:dyDescent="0.2">
      <c r="A697" s="921"/>
      <c r="B697" s="2722"/>
      <c r="C697" s="1350"/>
      <c r="D697" s="2724" t="s">
        <v>1144</v>
      </c>
      <c r="E697" s="692" t="s">
        <v>1515</v>
      </c>
      <c r="F697" s="665">
        <v>0</v>
      </c>
      <c r="G697" s="665">
        <v>111</v>
      </c>
      <c r="H697" s="665">
        <v>111</v>
      </c>
      <c r="I697" s="656">
        <f t="shared" si="148"/>
        <v>100</v>
      </c>
    </row>
    <row r="698" spans="1:9" ht="14.25" x14ac:dyDescent="0.2">
      <c r="A698" s="921"/>
      <c r="B698" s="2722"/>
      <c r="C698" s="1350"/>
      <c r="D698" s="2724" t="s">
        <v>1145</v>
      </c>
      <c r="E698" s="692" t="s">
        <v>1515</v>
      </c>
      <c r="F698" s="665">
        <v>0</v>
      </c>
      <c r="G698" s="665">
        <v>628</v>
      </c>
      <c r="H698" s="665">
        <v>628</v>
      </c>
      <c r="I698" s="656">
        <f t="shared" si="148"/>
        <v>100</v>
      </c>
    </row>
    <row r="699" spans="1:9" ht="15" hidden="1" x14ac:dyDescent="0.25">
      <c r="A699" s="921">
        <v>1111</v>
      </c>
      <c r="B699" s="2755">
        <v>3121</v>
      </c>
      <c r="C699" s="2755">
        <v>5331</v>
      </c>
      <c r="D699" s="2756"/>
      <c r="E699" s="845" t="s">
        <v>481</v>
      </c>
      <c r="F699" s="665"/>
      <c r="G699" s="675">
        <f>G700</f>
        <v>0</v>
      </c>
      <c r="H699" s="675">
        <f>H700</f>
        <v>0</v>
      </c>
      <c r="I699" s="680" t="e">
        <f t="shared" si="148"/>
        <v>#DIV/0!</v>
      </c>
    </row>
    <row r="700" spans="1:9" ht="14.25" hidden="1" x14ac:dyDescent="0.2">
      <c r="A700" s="921"/>
      <c r="B700" s="2755"/>
      <c r="C700" s="2755"/>
      <c r="D700" s="2756" t="s">
        <v>1135</v>
      </c>
      <c r="E700" s="2627" t="s">
        <v>1528</v>
      </c>
      <c r="F700" s="665"/>
      <c r="G700" s="665"/>
      <c r="H700" s="665"/>
      <c r="I700" s="656" t="e">
        <f t="shared" si="148"/>
        <v>#DIV/0!</v>
      </c>
    </row>
    <row r="701" spans="1:9" ht="15" x14ac:dyDescent="0.25">
      <c r="A701" s="921">
        <v>1111</v>
      </c>
      <c r="B701" s="2722">
        <v>3141</v>
      </c>
      <c r="C701" s="1350">
        <v>5336</v>
      </c>
      <c r="D701" s="2724"/>
      <c r="E701" s="602" t="s">
        <v>856</v>
      </c>
      <c r="F701" s="675">
        <f>F702</f>
        <v>0</v>
      </c>
      <c r="G701" s="675">
        <f>G702</f>
        <v>1530</v>
      </c>
      <c r="H701" s="675">
        <f>H702</f>
        <v>1530</v>
      </c>
      <c r="I701" s="680">
        <f t="shared" si="148"/>
        <v>100</v>
      </c>
    </row>
    <row r="702" spans="1:9" ht="14.25" x14ac:dyDescent="0.2">
      <c r="A702" s="921"/>
      <c r="B702" s="2722"/>
      <c r="C702" s="1350"/>
      <c r="D702" s="2726" t="s">
        <v>901</v>
      </c>
      <c r="E702" s="436" t="s">
        <v>1637</v>
      </c>
      <c r="F702" s="665">
        <v>0</v>
      </c>
      <c r="G702" s="665">
        <v>1530</v>
      </c>
      <c r="H702" s="665">
        <v>1530</v>
      </c>
      <c r="I702" s="656">
        <f t="shared" si="148"/>
        <v>100</v>
      </c>
    </row>
    <row r="703" spans="1:9" ht="15" x14ac:dyDescent="0.25">
      <c r="A703" s="418">
        <v>1111</v>
      </c>
      <c r="B703" s="603">
        <v>3299</v>
      </c>
      <c r="C703" s="2427">
        <v>5331</v>
      </c>
      <c r="D703" s="652"/>
      <c r="E703" s="644" t="s">
        <v>481</v>
      </c>
      <c r="F703" s="675">
        <f>F704</f>
        <v>0</v>
      </c>
      <c r="G703" s="675">
        <f t="shared" ref="G703:H703" si="152">G704</f>
        <v>28</v>
      </c>
      <c r="H703" s="675">
        <f t="shared" si="152"/>
        <v>28</v>
      </c>
      <c r="I703" s="680">
        <f t="shared" si="148"/>
        <v>100</v>
      </c>
    </row>
    <row r="704" spans="1:9" ht="14.25" x14ac:dyDescent="0.2">
      <c r="A704" s="418"/>
      <c r="B704" s="603"/>
      <c r="C704" s="603"/>
      <c r="D704" s="620" t="s">
        <v>923</v>
      </c>
      <c r="E704" s="938" t="s">
        <v>653</v>
      </c>
      <c r="F704" s="665">
        <v>0</v>
      </c>
      <c r="G704" s="665">
        <v>28</v>
      </c>
      <c r="H704" s="665">
        <v>28</v>
      </c>
      <c r="I704" s="656">
        <f t="shared" si="148"/>
        <v>100</v>
      </c>
    </row>
    <row r="705" spans="1:20" ht="15" x14ac:dyDescent="0.25">
      <c r="A705" s="921">
        <v>1111</v>
      </c>
      <c r="B705" s="2722">
        <v>5399</v>
      </c>
      <c r="C705" s="1350">
        <v>5336</v>
      </c>
      <c r="D705" s="2724"/>
      <c r="E705" s="602" t="s">
        <v>856</v>
      </c>
      <c r="F705" s="675">
        <f>F706</f>
        <v>0</v>
      </c>
      <c r="G705" s="675">
        <f>G706</f>
        <v>75</v>
      </c>
      <c r="H705" s="675">
        <f>H706</f>
        <v>75</v>
      </c>
      <c r="I705" s="669">
        <f t="shared" si="148"/>
        <v>100</v>
      </c>
    </row>
    <row r="706" spans="1:20" ht="15" thickBot="1" x14ac:dyDescent="0.25">
      <c r="A706" s="921"/>
      <c r="B706" s="2722"/>
      <c r="C706" s="1350"/>
      <c r="D706" s="2725" t="s">
        <v>937</v>
      </c>
      <c r="E706" s="3124" t="s">
        <v>1954</v>
      </c>
      <c r="F706" s="665">
        <v>0</v>
      </c>
      <c r="G706" s="870">
        <v>75</v>
      </c>
      <c r="H706" s="870">
        <v>75</v>
      </c>
      <c r="I706" s="874">
        <f t="shared" si="148"/>
        <v>100</v>
      </c>
    </row>
    <row r="707" spans="1:20" ht="15.75" hidden="1" thickBot="1" x14ac:dyDescent="0.3">
      <c r="A707" s="921">
        <v>1111</v>
      </c>
      <c r="B707" s="2722">
        <v>3792</v>
      </c>
      <c r="C707" s="1350">
        <v>5331</v>
      </c>
      <c r="D707" s="2726"/>
      <c r="E707" s="602" t="s">
        <v>481</v>
      </c>
      <c r="F707" s="665"/>
      <c r="G707" s="675">
        <f>G708</f>
        <v>0</v>
      </c>
      <c r="H707" s="675">
        <f>H708</f>
        <v>0</v>
      </c>
      <c r="I707" s="669" t="e">
        <f t="shared" si="148"/>
        <v>#DIV/0!</v>
      </c>
    </row>
    <row r="708" spans="1:20" ht="15" hidden="1" thickBot="1" x14ac:dyDescent="0.25">
      <c r="A708" s="921"/>
      <c r="B708" s="2722"/>
      <c r="C708" s="1350"/>
      <c r="D708" s="2752" t="s">
        <v>974</v>
      </c>
      <c r="E708" s="852" t="s">
        <v>1530</v>
      </c>
      <c r="F708" s="665"/>
      <c r="G708" s="665"/>
      <c r="H708" s="665"/>
      <c r="I708" s="661" t="e">
        <f t="shared" si="148"/>
        <v>#DIV/0!</v>
      </c>
    </row>
    <row r="709" spans="1:20" ht="16.5" thickTop="1" thickBot="1" x14ac:dyDescent="0.3">
      <c r="A709" s="3233" t="s">
        <v>522</v>
      </c>
      <c r="B709" s="3234"/>
      <c r="C709" s="3234"/>
      <c r="D709" s="3234"/>
      <c r="E709" s="3234"/>
      <c r="F709" s="657">
        <f>F705+F701+F691+F703</f>
        <v>0</v>
      </c>
      <c r="G709" s="657">
        <f>G705+G701+G691+G703</f>
        <v>30511</v>
      </c>
      <c r="H709" s="657">
        <f>H705+H701+H691+H703</f>
        <v>30511</v>
      </c>
      <c r="I709" s="658">
        <f>(H709/G709)*100</f>
        <v>100</v>
      </c>
      <c r="R709" s="373">
        <f>F709</f>
        <v>0</v>
      </c>
      <c r="S709" s="373">
        <f>G709</f>
        <v>30511</v>
      </c>
      <c r="T709" s="373">
        <f>H709</f>
        <v>30511</v>
      </c>
    </row>
    <row r="710" spans="1:20" ht="15.75" thickTop="1" x14ac:dyDescent="0.25">
      <c r="A710" s="360"/>
      <c r="B710" s="360"/>
      <c r="C710" s="360"/>
      <c r="D710" s="360"/>
      <c r="E710" s="360"/>
      <c r="F710" s="177"/>
      <c r="G710" s="177"/>
      <c r="H710" s="177"/>
      <c r="I710" s="206"/>
      <c r="R710" s="373"/>
      <c r="S710" s="373"/>
      <c r="T710" s="373"/>
    </row>
    <row r="711" spans="1:20" ht="15" x14ac:dyDescent="0.25">
      <c r="A711" s="360"/>
      <c r="B711" s="360"/>
      <c r="C711" s="360"/>
      <c r="D711" s="360"/>
      <c r="E711" s="360"/>
      <c r="F711" s="177"/>
      <c r="G711" s="177"/>
      <c r="H711" s="177"/>
      <c r="I711" s="206"/>
      <c r="R711" s="373"/>
      <c r="S711" s="373"/>
      <c r="T711" s="373"/>
    </row>
    <row r="712" spans="1:20" ht="13.5" thickBot="1" x14ac:dyDescent="0.25">
      <c r="A712" s="419" t="s">
        <v>703</v>
      </c>
      <c r="I712" s="915" t="s">
        <v>92</v>
      </c>
    </row>
    <row r="713" spans="1:20" s="106" customFormat="1" thickTop="1" thickBot="1" x14ac:dyDescent="0.25">
      <c r="A713" s="572" t="s">
        <v>324</v>
      </c>
      <c r="B713" s="639" t="s">
        <v>93</v>
      </c>
      <c r="C713" s="573" t="s">
        <v>94</v>
      </c>
      <c r="D713" s="575" t="s">
        <v>364</v>
      </c>
      <c r="E713" s="575" t="s">
        <v>95</v>
      </c>
      <c r="F713" s="575" t="s">
        <v>328</v>
      </c>
      <c r="G713" s="575" t="s">
        <v>329</v>
      </c>
      <c r="H713" s="575" t="s">
        <v>448</v>
      </c>
      <c r="I713" s="651" t="s">
        <v>449</v>
      </c>
    </row>
    <row r="714" spans="1:20" s="374" customFormat="1" ht="13.5" thickTop="1" thickBot="1" x14ac:dyDescent="0.25">
      <c r="A714" s="511">
        <v>1</v>
      </c>
      <c r="B714" s="512">
        <v>2</v>
      </c>
      <c r="C714" s="512">
        <v>3</v>
      </c>
      <c r="D714" s="512">
        <v>4</v>
      </c>
      <c r="E714" s="512">
        <v>5</v>
      </c>
      <c r="F714" s="499">
        <v>6</v>
      </c>
      <c r="G714" s="499">
        <v>7</v>
      </c>
      <c r="H714" s="500">
        <v>8</v>
      </c>
      <c r="I714" s="577" t="s">
        <v>393</v>
      </c>
    </row>
    <row r="715" spans="1:20" ht="15.75" hidden="1" thickTop="1" x14ac:dyDescent="0.25">
      <c r="A715" s="916">
        <v>1112</v>
      </c>
      <c r="B715" s="640">
        <v>3121</v>
      </c>
      <c r="C715" s="640">
        <v>5331</v>
      </c>
      <c r="D715" s="670"/>
      <c r="E715" s="685" t="s">
        <v>481</v>
      </c>
      <c r="F715" s="686">
        <f>F716+F717</f>
        <v>0</v>
      </c>
      <c r="G715" s="686">
        <f>G716+G717</f>
        <v>0</v>
      </c>
      <c r="H715" s="686">
        <f>H716+H717</f>
        <v>0</v>
      </c>
      <c r="I715" s="659" t="e">
        <f>(H715/G715)*100</f>
        <v>#DIV/0!</v>
      </c>
    </row>
    <row r="716" spans="1:20" ht="15" hidden="1" thickTop="1" x14ac:dyDescent="0.2">
      <c r="A716" s="418"/>
      <c r="B716" s="603"/>
      <c r="C716" s="603"/>
      <c r="D716" s="620" t="s">
        <v>905</v>
      </c>
      <c r="E716" s="938" t="s">
        <v>408</v>
      </c>
      <c r="F716" s="660"/>
      <c r="G716" s="660"/>
      <c r="H716" s="660"/>
      <c r="I716" s="656" t="e">
        <f>(H716/G716)*100</f>
        <v>#DIV/0!</v>
      </c>
    </row>
    <row r="717" spans="1:20" ht="15" hidden="1" thickTop="1" x14ac:dyDescent="0.2">
      <c r="A717" s="418"/>
      <c r="B717" s="603"/>
      <c r="C717" s="603"/>
      <c r="D717" s="505" t="s">
        <v>906</v>
      </c>
      <c r="E717" s="436" t="s">
        <v>38</v>
      </c>
      <c r="F717" s="660"/>
      <c r="G717" s="660"/>
      <c r="H717" s="660"/>
      <c r="I717" s="656">
        <v>100</v>
      </c>
    </row>
    <row r="718" spans="1:20" ht="16.5" customHeight="1" thickTop="1" x14ac:dyDescent="0.25">
      <c r="A718" s="921">
        <v>1112</v>
      </c>
      <c r="B718" s="2722">
        <v>3121</v>
      </c>
      <c r="C718" s="2722">
        <v>5336</v>
      </c>
      <c r="D718" s="2726"/>
      <c r="E718" s="602" t="s">
        <v>856</v>
      </c>
      <c r="F718" s="675">
        <f>F719+F720+F721+F722+F723</f>
        <v>0</v>
      </c>
      <c r="G718" s="675">
        <f t="shared" ref="G718:H718" si="153">G719+G720+G721+G722+G723</f>
        <v>16554</v>
      </c>
      <c r="H718" s="675">
        <f t="shared" si="153"/>
        <v>16554</v>
      </c>
      <c r="I718" s="669">
        <f>(H718/G718)*100</f>
        <v>100</v>
      </c>
    </row>
    <row r="719" spans="1:20" ht="14.25" x14ac:dyDescent="0.2">
      <c r="A719" s="921"/>
      <c r="B719" s="2722"/>
      <c r="C719" s="2722"/>
      <c r="D719" s="2725" t="s">
        <v>920</v>
      </c>
      <c r="E719" s="1352" t="s">
        <v>769</v>
      </c>
      <c r="F719" s="660">
        <v>0</v>
      </c>
      <c r="G719" s="660">
        <v>8</v>
      </c>
      <c r="H719" s="660">
        <v>8</v>
      </c>
      <c r="I719" s="367">
        <f t="shared" ref="I719:I722" si="154">(H719/G719)*100</f>
        <v>100</v>
      </c>
    </row>
    <row r="720" spans="1:20" ht="14.25" x14ac:dyDescent="0.2">
      <c r="A720" s="921"/>
      <c r="B720" s="2722"/>
      <c r="C720" s="2722"/>
      <c r="D720" s="2725" t="s">
        <v>902</v>
      </c>
      <c r="E720" s="1352" t="s">
        <v>855</v>
      </c>
      <c r="F720" s="1600">
        <v>0</v>
      </c>
      <c r="G720" s="1600">
        <v>337</v>
      </c>
      <c r="H720" s="1600">
        <v>337</v>
      </c>
      <c r="I720" s="367">
        <f t="shared" si="154"/>
        <v>100</v>
      </c>
    </row>
    <row r="721" spans="1:20" ht="14.25" x14ac:dyDescent="0.2">
      <c r="A721" s="921"/>
      <c r="B721" s="2722"/>
      <c r="C721" s="2722"/>
      <c r="D721" s="2725" t="s">
        <v>1132</v>
      </c>
      <c r="E721" s="2618" t="s">
        <v>1516</v>
      </c>
      <c r="F721" s="1643">
        <v>0</v>
      </c>
      <c r="G721" s="1643">
        <v>7</v>
      </c>
      <c r="H721" s="1643">
        <v>7</v>
      </c>
      <c r="I721" s="982">
        <f t="shared" si="154"/>
        <v>100</v>
      </c>
    </row>
    <row r="722" spans="1:20" ht="14.25" x14ac:dyDescent="0.2">
      <c r="A722" s="921"/>
      <c r="B722" s="2722"/>
      <c r="C722" s="2722"/>
      <c r="D722" s="2725" t="s">
        <v>1896</v>
      </c>
      <c r="E722" s="3102" t="s">
        <v>1951</v>
      </c>
      <c r="F722" s="1643">
        <v>0</v>
      </c>
      <c r="G722" s="1643">
        <v>107</v>
      </c>
      <c r="H722" s="1643">
        <v>107</v>
      </c>
      <c r="I722" s="982">
        <f t="shared" si="154"/>
        <v>100</v>
      </c>
    </row>
    <row r="723" spans="1:20" ht="14.25" x14ac:dyDescent="0.2">
      <c r="A723" s="921"/>
      <c r="B723" s="2427"/>
      <c r="C723" s="2719"/>
      <c r="D723" s="2726" t="s">
        <v>901</v>
      </c>
      <c r="E723" s="436" t="s">
        <v>1637</v>
      </c>
      <c r="F723" s="660">
        <v>0</v>
      </c>
      <c r="G723" s="660">
        <v>16095</v>
      </c>
      <c r="H723" s="660">
        <v>16095</v>
      </c>
      <c r="I723" s="661">
        <f t="shared" ref="I723:I730" si="155">(H723/G723)*100</f>
        <v>100</v>
      </c>
    </row>
    <row r="724" spans="1:20" ht="15" hidden="1" x14ac:dyDescent="0.25">
      <c r="A724" s="921">
        <v>1112</v>
      </c>
      <c r="B724" s="2755">
        <v>3121</v>
      </c>
      <c r="C724" s="2755">
        <v>5331</v>
      </c>
      <c r="D724" s="2756"/>
      <c r="E724" s="845" t="s">
        <v>481</v>
      </c>
      <c r="F724" s="665"/>
      <c r="G724" s="675">
        <f>G725</f>
        <v>0</v>
      </c>
      <c r="H724" s="675">
        <f>H725</f>
        <v>0</v>
      </c>
      <c r="I724" s="669" t="e">
        <f t="shared" si="155"/>
        <v>#DIV/0!</v>
      </c>
    </row>
    <row r="725" spans="1:20" ht="14.25" hidden="1" x14ac:dyDescent="0.2">
      <c r="A725" s="921"/>
      <c r="B725" s="2755"/>
      <c r="C725" s="2755"/>
      <c r="D725" s="2756" t="s">
        <v>1135</v>
      </c>
      <c r="E725" s="2627" t="s">
        <v>1528</v>
      </c>
      <c r="F725" s="665"/>
      <c r="G725" s="665"/>
      <c r="H725" s="665"/>
      <c r="I725" s="367" t="e">
        <f t="shared" si="155"/>
        <v>#DIV/0!</v>
      </c>
    </row>
    <row r="726" spans="1:20" ht="15" x14ac:dyDescent="0.25">
      <c r="A726" s="921">
        <v>1112</v>
      </c>
      <c r="B726" s="2722">
        <v>3141</v>
      </c>
      <c r="C726" s="1350">
        <v>5336</v>
      </c>
      <c r="D726" s="2724"/>
      <c r="E726" s="602" t="s">
        <v>856</v>
      </c>
      <c r="F726" s="675">
        <f>F727</f>
        <v>0</v>
      </c>
      <c r="G726" s="675">
        <f>G727</f>
        <v>1025</v>
      </c>
      <c r="H726" s="675">
        <f>H727</f>
        <v>1025</v>
      </c>
      <c r="I726" s="669">
        <f t="shared" si="155"/>
        <v>100</v>
      </c>
    </row>
    <row r="727" spans="1:20" ht="15" thickBot="1" x14ac:dyDescent="0.25">
      <c r="A727" s="921"/>
      <c r="B727" s="2722"/>
      <c r="C727" s="1350"/>
      <c r="D727" s="2726" t="s">
        <v>901</v>
      </c>
      <c r="E727" s="436" t="s">
        <v>1637</v>
      </c>
      <c r="F727" s="665">
        <v>0</v>
      </c>
      <c r="G727" s="665">
        <v>1025</v>
      </c>
      <c r="H727" s="665">
        <v>1025</v>
      </c>
      <c r="I727" s="661">
        <f t="shared" si="155"/>
        <v>100</v>
      </c>
    </row>
    <row r="728" spans="1:20" ht="15.75" hidden="1" thickBot="1" x14ac:dyDescent="0.3">
      <c r="A728" s="418">
        <v>1112</v>
      </c>
      <c r="B728" s="634">
        <v>3299</v>
      </c>
      <c r="C728" s="918">
        <v>5331</v>
      </c>
      <c r="D728" s="505"/>
      <c r="E728" s="602" t="s">
        <v>481</v>
      </c>
      <c r="F728" s="665"/>
      <c r="G728" s="675">
        <f>G729</f>
        <v>0</v>
      </c>
      <c r="H728" s="675">
        <f>H729</f>
        <v>0</v>
      </c>
      <c r="I728" s="669" t="e">
        <f t="shared" si="155"/>
        <v>#DIV/0!</v>
      </c>
    </row>
    <row r="729" spans="1:20" ht="29.25" hidden="1" thickBot="1" x14ac:dyDescent="0.25">
      <c r="A729" s="418"/>
      <c r="B729" s="634"/>
      <c r="C729" s="918"/>
      <c r="D729" s="633" t="s">
        <v>924</v>
      </c>
      <c r="E729" s="1638" t="s">
        <v>925</v>
      </c>
      <c r="F729" s="660"/>
      <c r="G729" s="875"/>
      <c r="H729" s="875"/>
      <c r="I729" s="871">
        <v>100</v>
      </c>
    </row>
    <row r="730" spans="1:20" ht="16.5" thickTop="1" thickBot="1" x14ac:dyDescent="0.3">
      <c r="A730" s="3233" t="s">
        <v>522</v>
      </c>
      <c r="B730" s="3234"/>
      <c r="C730" s="3234"/>
      <c r="D730" s="3234"/>
      <c r="E730" s="3234"/>
      <c r="F730" s="657">
        <f>F726+F718</f>
        <v>0</v>
      </c>
      <c r="G730" s="657">
        <f t="shared" ref="G730:H730" si="156">G726+G718</f>
        <v>17579</v>
      </c>
      <c r="H730" s="657">
        <f t="shared" si="156"/>
        <v>17579</v>
      </c>
      <c r="I730" s="658">
        <f t="shared" si="155"/>
        <v>100</v>
      </c>
      <c r="R730" s="373">
        <f>F730</f>
        <v>0</v>
      </c>
      <c r="S730" s="373">
        <f>G730</f>
        <v>17579</v>
      </c>
      <c r="T730" s="373">
        <f>H730</f>
        <v>17579</v>
      </c>
    </row>
    <row r="731" spans="1:20" ht="15.75" thickTop="1" x14ac:dyDescent="0.25">
      <c r="A731" s="360"/>
      <c r="B731" s="360"/>
      <c r="C731" s="360"/>
      <c r="D731" s="360"/>
      <c r="E731" s="360"/>
      <c r="F731" s="177"/>
      <c r="G731" s="177"/>
      <c r="H731" s="177"/>
      <c r="I731" s="206"/>
      <c r="R731" s="373"/>
      <c r="S731" s="373"/>
      <c r="T731" s="373"/>
    </row>
    <row r="732" spans="1:20" ht="15" x14ac:dyDescent="0.25">
      <c r="A732" s="360"/>
      <c r="B732" s="360"/>
      <c r="C732" s="360"/>
      <c r="D732" s="360"/>
      <c r="E732" s="360"/>
      <c r="F732" s="177"/>
      <c r="G732" s="177"/>
      <c r="H732" s="177"/>
      <c r="I732" s="206"/>
      <c r="R732" s="373"/>
      <c r="S732" s="373"/>
      <c r="T732" s="373"/>
    </row>
    <row r="733" spans="1:20" ht="15" x14ac:dyDescent="0.25">
      <c r="A733" s="360"/>
      <c r="B733" s="360"/>
      <c r="C733" s="360"/>
      <c r="D733" s="360"/>
      <c r="E733" s="360"/>
      <c r="F733" s="177"/>
      <c r="G733" s="177"/>
      <c r="H733" s="177"/>
      <c r="I733" s="206"/>
      <c r="R733" s="373"/>
      <c r="S733" s="373"/>
      <c r="T733" s="373"/>
    </row>
    <row r="734" spans="1:20" ht="13.5" thickBot="1" x14ac:dyDescent="0.25">
      <c r="A734" s="419" t="s">
        <v>520</v>
      </c>
      <c r="I734" s="915" t="s">
        <v>92</v>
      </c>
    </row>
    <row r="735" spans="1:20" s="106" customFormat="1" thickTop="1" thickBot="1" x14ac:dyDescent="0.25">
      <c r="A735" s="572" t="s">
        <v>324</v>
      </c>
      <c r="B735" s="639" t="s">
        <v>93</v>
      </c>
      <c r="C735" s="573" t="s">
        <v>94</v>
      </c>
      <c r="D735" s="575" t="s">
        <v>364</v>
      </c>
      <c r="E735" s="575" t="s">
        <v>95</v>
      </c>
      <c r="F735" s="575" t="s">
        <v>328</v>
      </c>
      <c r="G735" s="575" t="s">
        <v>329</v>
      </c>
      <c r="H735" s="575" t="s">
        <v>448</v>
      </c>
      <c r="I735" s="651" t="s">
        <v>449</v>
      </c>
    </row>
    <row r="736" spans="1:20" s="374" customFormat="1" ht="13.5" thickTop="1" thickBot="1" x14ac:dyDescent="0.25">
      <c r="A736" s="511">
        <v>1</v>
      </c>
      <c r="B736" s="512">
        <v>2</v>
      </c>
      <c r="C736" s="512">
        <v>3</v>
      </c>
      <c r="D736" s="512">
        <v>4</v>
      </c>
      <c r="E736" s="512">
        <v>5</v>
      </c>
      <c r="F736" s="499">
        <v>6</v>
      </c>
      <c r="G736" s="499">
        <v>7</v>
      </c>
      <c r="H736" s="500">
        <v>8</v>
      </c>
      <c r="I736" s="577" t="s">
        <v>393</v>
      </c>
    </row>
    <row r="737" spans="1:9" ht="20.25" hidden="1" customHeight="1" thickTop="1" x14ac:dyDescent="0.25">
      <c r="A737" s="916">
        <v>1113</v>
      </c>
      <c r="B737" s="640">
        <v>3121</v>
      </c>
      <c r="C737" s="640">
        <v>5331</v>
      </c>
      <c r="D737" s="670"/>
      <c r="E737" s="685" t="s">
        <v>481</v>
      </c>
      <c r="F737" s="686">
        <f>SUM(F738:F739)</f>
        <v>0</v>
      </c>
      <c r="G737" s="686">
        <f>SUM(G738:G739)</f>
        <v>0</v>
      </c>
      <c r="H737" s="686">
        <f>SUM(H738:H739)</f>
        <v>0</v>
      </c>
      <c r="I737" s="659" t="e">
        <f t="shared" ref="I737:I756" si="157">(H737/G737)*100</f>
        <v>#DIV/0!</v>
      </c>
    </row>
    <row r="738" spans="1:9" ht="15" hidden="1" thickTop="1" x14ac:dyDescent="0.2">
      <c r="A738" s="418"/>
      <c r="B738" s="603"/>
      <c r="C738" s="603"/>
      <c r="D738" s="620" t="s">
        <v>905</v>
      </c>
      <c r="E738" s="938" t="s">
        <v>408</v>
      </c>
      <c r="F738" s="660"/>
      <c r="G738" s="660"/>
      <c r="H738" s="660"/>
      <c r="I738" s="656" t="e">
        <f t="shared" si="157"/>
        <v>#DIV/0!</v>
      </c>
    </row>
    <row r="739" spans="1:9" ht="15" hidden="1" thickTop="1" x14ac:dyDescent="0.2">
      <c r="A739" s="418"/>
      <c r="B739" s="603"/>
      <c r="C739" s="603"/>
      <c r="D739" s="505" t="s">
        <v>906</v>
      </c>
      <c r="E739" s="436" t="s">
        <v>38</v>
      </c>
      <c r="F739" s="660"/>
      <c r="G739" s="660"/>
      <c r="H739" s="660"/>
      <c r="I739" s="656" t="e">
        <f t="shared" si="157"/>
        <v>#DIV/0!</v>
      </c>
    </row>
    <row r="740" spans="1:9" ht="15.75" thickTop="1" x14ac:dyDescent="0.25">
      <c r="A740" s="921">
        <v>1113</v>
      </c>
      <c r="B740" s="2722">
        <v>3121</v>
      </c>
      <c r="C740" s="2722">
        <v>5336</v>
      </c>
      <c r="D740" s="2726"/>
      <c r="E740" s="602" t="s">
        <v>856</v>
      </c>
      <c r="F740" s="675">
        <f>F741+F742+F743+F744+F745+F747+F748+F749</f>
        <v>0</v>
      </c>
      <c r="G740" s="675">
        <f t="shared" ref="G740:H740" si="158">G741+G742+G743+G744+G745+G747+G748+G749</f>
        <v>20036</v>
      </c>
      <c r="H740" s="675">
        <f t="shared" si="158"/>
        <v>20036</v>
      </c>
      <c r="I740" s="680">
        <f t="shared" si="157"/>
        <v>100</v>
      </c>
    </row>
    <row r="741" spans="1:9" ht="14.25" x14ac:dyDescent="0.2">
      <c r="A741" s="921"/>
      <c r="B741" s="2722"/>
      <c r="C741" s="2722"/>
      <c r="D741" s="2725" t="s">
        <v>920</v>
      </c>
      <c r="E741" s="1352" t="s">
        <v>769</v>
      </c>
      <c r="F741" s="660">
        <v>0</v>
      </c>
      <c r="G741" s="660">
        <v>8</v>
      </c>
      <c r="H741" s="665">
        <v>8</v>
      </c>
      <c r="I741" s="656">
        <f t="shared" ref="I741" si="159">(H741/G741)*100</f>
        <v>100</v>
      </c>
    </row>
    <row r="742" spans="1:9" ht="14.25" x14ac:dyDescent="0.2">
      <c r="A742" s="921"/>
      <c r="B742" s="2722"/>
      <c r="C742" s="2722"/>
      <c r="D742" s="2725" t="s">
        <v>902</v>
      </c>
      <c r="E742" s="1352" t="s">
        <v>855</v>
      </c>
      <c r="F742" s="1600">
        <v>0</v>
      </c>
      <c r="G742" s="1600">
        <v>404</v>
      </c>
      <c r="H742" s="1600">
        <v>404</v>
      </c>
      <c r="I742" s="367">
        <f t="shared" ref="I742:I744" si="160">(H742/G742)*100</f>
        <v>100</v>
      </c>
    </row>
    <row r="743" spans="1:9" ht="14.25" x14ac:dyDescent="0.2">
      <c r="A743" s="921"/>
      <c r="B743" s="2722"/>
      <c r="C743" s="2722"/>
      <c r="D743" s="2725" t="s">
        <v>1132</v>
      </c>
      <c r="E743" s="2618" t="s">
        <v>1516</v>
      </c>
      <c r="F743" s="1643">
        <v>0</v>
      </c>
      <c r="G743" s="1643">
        <v>34</v>
      </c>
      <c r="H743" s="1643">
        <v>34</v>
      </c>
      <c r="I743" s="982">
        <f t="shared" si="160"/>
        <v>100</v>
      </c>
    </row>
    <row r="744" spans="1:9" ht="14.25" x14ac:dyDescent="0.2">
      <c r="A744" s="921"/>
      <c r="B744" s="2722"/>
      <c r="C744" s="2722"/>
      <c r="D744" s="2725" t="s">
        <v>1896</v>
      </c>
      <c r="E744" s="3102" t="s">
        <v>1951</v>
      </c>
      <c r="F744" s="1643">
        <v>0</v>
      </c>
      <c r="G744" s="1643">
        <v>81</v>
      </c>
      <c r="H744" s="1643">
        <v>81</v>
      </c>
      <c r="I744" s="982">
        <f t="shared" si="160"/>
        <v>100</v>
      </c>
    </row>
    <row r="745" spans="1:9" ht="14.25" x14ac:dyDescent="0.2">
      <c r="A745" s="921"/>
      <c r="B745" s="2427"/>
      <c r="C745" s="2427"/>
      <c r="D745" s="2726" t="s">
        <v>901</v>
      </c>
      <c r="E745" s="436" t="s">
        <v>1637</v>
      </c>
      <c r="F745" s="660">
        <v>0</v>
      </c>
      <c r="G745" s="660">
        <v>17431</v>
      </c>
      <c r="H745" s="665">
        <v>17431</v>
      </c>
      <c r="I745" s="656">
        <f t="shared" si="157"/>
        <v>100</v>
      </c>
    </row>
    <row r="746" spans="1:9" ht="14.25" hidden="1" x14ac:dyDescent="0.2">
      <c r="A746" s="921"/>
      <c r="B746" s="2427"/>
      <c r="C746" s="2427"/>
      <c r="D746" s="2726" t="s">
        <v>907</v>
      </c>
      <c r="E746" s="938" t="s">
        <v>909</v>
      </c>
      <c r="F746" s="660"/>
      <c r="G746" s="660"/>
      <c r="H746" s="665"/>
      <c r="I746" s="656" t="e">
        <f t="shared" si="157"/>
        <v>#DIV/0!</v>
      </c>
    </row>
    <row r="747" spans="1:9" ht="14.25" x14ac:dyDescent="0.2">
      <c r="A747" s="921"/>
      <c r="B747" s="2427"/>
      <c r="C747" s="2427"/>
      <c r="D747" s="2726" t="s">
        <v>1142</v>
      </c>
      <c r="E747" s="938" t="s">
        <v>1638</v>
      </c>
      <c r="F747" s="660">
        <v>0</v>
      </c>
      <c r="G747" s="660">
        <v>1609</v>
      </c>
      <c r="H747" s="665">
        <v>1609</v>
      </c>
      <c r="I747" s="656">
        <f t="shared" si="157"/>
        <v>100</v>
      </c>
    </row>
    <row r="748" spans="1:9" ht="14.25" x14ac:dyDescent="0.2">
      <c r="A748" s="921"/>
      <c r="B748" s="2427"/>
      <c r="C748" s="2427"/>
      <c r="D748" s="2724" t="s">
        <v>1144</v>
      </c>
      <c r="E748" s="476" t="s">
        <v>1515</v>
      </c>
      <c r="F748" s="660">
        <v>0</v>
      </c>
      <c r="G748" s="660">
        <v>70</v>
      </c>
      <c r="H748" s="665">
        <v>70</v>
      </c>
      <c r="I748" s="656">
        <f t="shared" si="157"/>
        <v>100</v>
      </c>
    </row>
    <row r="749" spans="1:9" ht="14.25" x14ac:dyDescent="0.2">
      <c r="A749" s="921"/>
      <c r="B749" s="2427"/>
      <c r="C749" s="2427"/>
      <c r="D749" s="2724" t="s">
        <v>1145</v>
      </c>
      <c r="E749" s="476" t="s">
        <v>1515</v>
      </c>
      <c r="F749" s="660">
        <v>0</v>
      </c>
      <c r="G749" s="660">
        <v>399</v>
      </c>
      <c r="H749" s="665">
        <v>399</v>
      </c>
      <c r="I749" s="656">
        <f t="shared" si="157"/>
        <v>100</v>
      </c>
    </row>
    <row r="750" spans="1:9" ht="15" x14ac:dyDescent="0.25">
      <c r="A750" s="921">
        <v>1113</v>
      </c>
      <c r="B750" s="2427">
        <v>3128</v>
      </c>
      <c r="C750" s="2427">
        <v>5336</v>
      </c>
      <c r="D750" s="2726"/>
      <c r="E750" s="602" t="s">
        <v>856</v>
      </c>
      <c r="F750" s="675">
        <f>F751</f>
        <v>0</v>
      </c>
      <c r="G750" s="675">
        <f t="shared" ref="G750:H750" si="161">G751</f>
        <v>1484</v>
      </c>
      <c r="H750" s="675">
        <f t="shared" si="161"/>
        <v>1484</v>
      </c>
      <c r="I750" s="680">
        <f t="shared" si="157"/>
        <v>100</v>
      </c>
    </row>
    <row r="751" spans="1:9" ht="14.25" x14ac:dyDescent="0.2">
      <c r="A751" s="921"/>
      <c r="B751" s="2427"/>
      <c r="C751" s="2427"/>
      <c r="D751" s="2726" t="s">
        <v>901</v>
      </c>
      <c r="E751" s="692" t="s">
        <v>1637</v>
      </c>
      <c r="F751" s="660">
        <v>0</v>
      </c>
      <c r="G751" s="660">
        <v>1484</v>
      </c>
      <c r="H751" s="665">
        <v>1484</v>
      </c>
      <c r="I751" s="656">
        <f t="shared" si="157"/>
        <v>100</v>
      </c>
    </row>
    <row r="752" spans="1:9" ht="15" x14ac:dyDescent="0.25">
      <c r="A752" s="921">
        <v>1113</v>
      </c>
      <c r="B752" s="2427">
        <v>3141</v>
      </c>
      <c r="C752" s="2427">
        <v>5336</v>
      </c>
      <c r="D752" s="2726"/>
      <c r="E752" s="602" t="s">
        <v>856</v>
      </c>
      <c r="F752" s="678">
        <f>F753</f>
        <v>0</v>
      </c>
      <c r="G752" s="678">
        <f>G753</f>
        <v>294</v>
      </c>
      <c r="H752" s="678">
        <f>H753</f>
        <v>294</v>
      </c>
      <c r="I752" s="680">
        <f t="shared" si="157"/>
        <v>100</v>
      </c>
    </row>
    <row r="753" spans="1:20" ht="15" thickBot="1" x14ac:dyDescent="0.25">
      <c r="A753" s="921"/>
      <c r="B753" s="2427"/>
      <c r="C753" s="2427"/>
      <c r="D753" s="2726" t="s">
        <v>901</v>
      </c>
      <c r="E753" s="692" t="s">
        <v>1637</v>
      </c>
      <c r="F753" s="660">
        <v>0</v>
      </c>
      <c r="G753" s="660">
        <v>294</v>
      </c>
      <c r="H753" s="665">
        <v>294</v>
      </c>
      <c r="I753" s="656">
        <f t="shared" si="157"/>
        <v>100</v>
      </c>
    </row>
    <row r="754" spans="1:20" ht="15.75" hidden="1" thickBot="1" x14ac:dyDescent="0.3">
      <c r="A754" s="921">
        <v>1113</v>
      </c>
      <c r="B754" s="2427">
        <v>3293</v>
      </c>
      <c r="C754" s="2427">
        <v>5336</v>
      </c>
      <c r="D754" s="2726"/>
      <c r="E754" s="602" t="s">
        <v>856</v>
      </c>
      <c r="F754" s="678"/>
      <c r="G754" s="678">
        <f>G755</f>
        <v>0</v>
      </c>
      <c r="H754" s="678">
        <f>H755</f>
        <v>0</v>
      </c>
      <c r="I754" s="680" t="e">
        <f t="shared" si="157"/>
        <v>#DIV/0!</v>
      </c>
    </row>
    <row r="755" spans="1:20" ht="15" hidden="1" thickBot="1" x14ac:dyDescent="0.25">
      <c r="A755" s="921"/>
      <c r="B755" s="2427"/>
      <c r="C755" s="2427"/>
      <c r="D755" s="2726" t="s">
        <v>913</v>
      </c>
      <c r="E755" s="692" t="s">
        <v>768</v>
      </c>
      <c r="F755" s="660"/>
      <c r="G755" s="660"/>
      <c r="H755" s="665"/>
      <c r="I755" s="656" t="e">
        <f t="shared" si="157"/>
        <v>#DIV/0!</v>
      </c>
    </row>
    <row r="756" spans="1:20" ht="18" customHeight="1" thickTop="1" thickBot="1" x14ac:dyDescent="0.3">
      <c r="A756" s="3246" t="s">
        <v>522</v>
      </c>
      <c r="B756" s="3247"/>
      <c r="C756" s="3247"/>
      <c r="D756" s="3247"/>
      <c r="E756" s="3248"/>
      <c r="F756" s="657">
        <f>F752+F750+F740</f>
        <v>0</v>
      </c>
      <c r="G756" s="657">
        <f t="shared" ref="G756:H756" si="162">G752+G750+G740</f>
        <v>21814</v>
      </c>
      <c r="H756" s="657">
        <f t="shared" si="162"/>
        <v>21814</v>
      </c>
      <c r="I756" s="658">
        <f t="shared" si="157"/>
        <v>100</v>
      </c>
      <c r="R756" s="373">
        <f>F756</f>
        <v>0</v>
      </c>
      <c r="S756" s="373">
        <f>G756</f>
        <v>21814</v>
      </c>
      <c r="T756" s="373">
        <f>H756</f>
        <v>21814</v>
      </c>
    </row>
    <row r="757" spans="1:20" ht="18" customHeight="1" thickTop="1" x14ac:dyDescent="0.25">
      <c r="A757" s="360"/>
      <c r="B757" s="360"/>
      <c r="C757" s="360"/>
      <c r="D757" s="360"/>
      <c r="E757" s="360"/>
      <c r="F757" s="177"/>
      <c r="G757" s="177"/>
      <c r="H757" s="177"/>
      <c r="I757" s="206"/>
      <c r="R757" s="373"/>
      <c r="S757" s="373"/>
      <c r="T757" s="373"/>
    </row>
    <row r="758" spans="1:20" ht="18" customHeight="1" x14ac:dyDescent="0.25">
      <c r="A758" s="360"/>
      <c r="B758" s="360"/>
      <c r="C758" s="360"/>
      <c r="D758" s="360"/>
      <c r="E758" s="360"/>
      <c r="F758" s="177"/>
      <c r="G758" s="177"/>
      <c r="H758" s="177"/>
      <c r="I758" s="206"/>
      <c r="R758" s="373"/>
      <c r="S758" s="373"/>
      <c r="T758" s="373"/>
    </row>
    <row r="759" spans="1:20" ht="20.25" customHeight="1" x14ac:dyDescent="0.2"/>
    <row r="760" spans="1:20" ht="13.5" thickBot="1" x14ac:dyDescent="0.25">
      <c r="A760" s="419" t="s">
        <v>521</v>
      </c>
      <c r="I760" s="915" t="s">
        <v>92</v>
      </c>
    </row>
    <row r="761" spans="1:20" s="106" customFormat="1" thickTop="1" thickBot="1" x14ac:dyDescent="0.25">
      <c r="A761" s="572" t="s">
        <v>324</v>
      </c>
      <c r="B761" s="639" t="s">
        <v>93</v>
      </c>
      <c r="C761" s="573" t="s">
        <v>94</v>
      </c>
      <c r="D761" s="575" t="s">
        <v>364</v>
      </c>
      <c r="E761" s="575" t="s">
        <v>95</v>
      </c>
      <c r="F761" s="575" t="s">
        <v>328</v>
      </c>
      <c r="G761" s="575" t="s">
        <v>329</v>
      </c>
      <c r="H761" s="575" t="s">
        <v>448</v>
      </c>
      <c r="I761" s="651" t="s">
        <v>449</v>
      </c>
    </row>
    <row r="762" spans="1:20" s="374" customFormat="1" ht="13.5" thickTop="1" thickBot="1" x14ac:dyDescent="0.25">
      <c r="A762" s="511">
        <v>1</v>
      </c>
      <c r="B762" s="512">
        <v>2</v>
      </c>
      <c r="C762" s="512">
        <v>3</v>
      </c>
      <c r="D762" s="512">
        <v>4</v>
      </c>
      <c r="E762" s="512">
        <v>5</v>
      </c>
      <c r="F762" s="499">
        <v>6</v>
      </c>
      <c r="G762" s="499">
        <v>7</v>
      </c>
      <c r="H762" s="500">
        <v>8</v>
      </c>
      <c r="I762" s="577" t="s">
        <v>393</v>
      </c>
    </row>
    <row r="763" spans="1:20" ht="15.75" thickTop="1" x14ac:dyDescent="0.25">
      <c r="A763" s="916">
        <v>1120</v>
      </c>
      <c r="B763" s="640">
        <v>3122</v>
      </c>
      <c r="C763" s="2737">
        <v>5331</v>
      </c>
      <c r="D763" s="670"/>
      <c r="E763" s="685" t="s">
        <v>481</v>
      </c>
      <c r="F763" s="686">
        <f>F764</f>
        <v>0</v>
      </c>
      <c r="G763" s="686">
        <f t="shared" ref="G763:H763" si="163">G764</f>
        <v>204</v>
      </c>
      <c r="H763" s="686">
        <f t="shared" si="163"/>
        <v>204</v>
      </c>
      <c r="I763" s="659">
        <f t="shared" ref="I763:I776" si="164">(H763/G763)*100</f>
        <v>100</v>
      </c>
    </row>
    <row r="764" spans="1:20" ht="14.25" x14ac:dyDescent="0.2">
      <c r="A764" s="418"/>
      <c r="B764" s="603"/>
      <c r="C764" s="917"/>
      <c r="D764" s="505" t="s">
        <v>1891</v>
      </c>
      <c r="E764" s="692" t="s">
        <v>1952</v>
      </c>
      <c r="F764" s="660">
        <v>0</v>
      </c>
      <c r="G764" s="660">
        <v>204</v>
      </c>
      <c r="H764" s="660">
        <v>204</v>
      </c>
      <c r="I764" s="656">
        <f t="shared" si="164"/>
        <v>100</v>
      </c>
    </row>
    <row r="765" spans="1:20" ht="15" x14ac:dyDescent="0.25">
      <c r="A765" s="921">
        <v>1120</v>
      </c>
      <c r="B765" s="2427">
        <v>3122</v>
      </c>
      <c r="C765" s="2427">
        <v>5336</v>
      </c>
      <c r="D765" s="2726"/>
      <c r="E765" s="602" t="s">
        <v>856</v>
      </c>
      <c r="F765" s="678">
        <f>F766+F767+F768+F769</f>
        <v>0</v>
      </c>
      <c r="G765" s="678">
        <f t="shared" ref="G765:H765" si="165">G766+G767+G768+G769</f>
        <v>17850</v>
      </c>
      <c r="H765" s="678">
        <f t="shared" si="165"/>
        <v>17850</v>
      </c>
      <c r="I765" s="680">
        <f t="shared" si="164"/>
        <v>100</v>
      </c>
    </row>
    <row r="766" spans="1:20" ht="14.25" x14ac:dyDescent="0.2">
      <c r="A766" s="921"/>
      <c r="B766" s="2722"/>
      <c r="C766" s="2722"/>
      <c r="D766" s="2725" t="s">
        <v>920</v>
      </c>
      <c r="E766" s="1352" t="s">
        <v>769</v>
      </c>
      <c r="F766" s="665">
        <v>0</v>
      </c>
      <c r="G766" s="665">
        <v>71</v>
      </c>
      <c r="H766" s="665">
        <v>71</v>
      </c>
      <c r="I766" s="656">
        <f t="shared" ref="I766" si="166">(H766/G766)*100</f>
        <v>100</v>
      </c>
    </row>
    <row r="767" spans="1:20" ht="14.25" x14ac:dyDescent="0.2">
      <c r="A767" s="921"/>
      <c r="B767" s="2722"/>
      <c r="C767" s="2722"/>
      <c r="D767" s="2725" t="s">
        <v>902</v>
      </c>
      <c r="E767" s="1352" t="s">
        <v>855</v>
      </c>
      <c r="F767" s="1600">
        <v>0</v>
      </c>
      <c r="G767" s="1600">
        <v>477</v>
      </c>
      <c r="H767" s="1600">
        <v>477</v>
      </c>
      <c r="I767" s="367">
        <f t="shared" ref="I767:I768" si="167">(H767/G767)*100</f>
        <v>100</v>
      </c>
    </row>
    <row r="768" spans="1:20" ht="14.25" x14ac:dyDescent="0.2">
      <c r="A768" s="921"/>
      <c r="B768" s="2722"/>
      <c r="C768" s="2722"/>
      <c r="D768" s="2725" t="s">
        <v>1896</v>
      </c>
      <c r="E768" s="1637" t="s">
        <v>1951</v>
      </c>
      <c r="F768" s="1643">
        <v>0</v>
      </c>
      <c r="G768" s="1643">
        <v>139</v>
      </c>
      <c r="H768" s="1643">
        <v>139</v>
      </c>
      <c r="I768" s="982">
        <f t="shared" si="167"/>
        <v>100</v>
      </c>
    </row>
    <row r="769" spans="1:20" ht="14.25" x14ac:dyDescent="0.2">
      <c r="A769" s="921"/>
      <c r="B769" s="2722"/>
      <c r="C769" s="1350"/>
      <c r="D769" s="2726" t="s">
        <v>901</v>
      </c>
      <c r="E769" s="436" t="s">
        <v>1637</v>
      </c>
      <c r="F769" s="665">
        <v>0</v>
      </c>
      <c r="G769" s="665">
        <v>17163</v>
      </c>
      <c r="H769" s="665">
        <v>17163</v>
      </c>
      <c r="I769" s="661">
        <f t="shared" si="164"/>
        <v>100</v>
      </c>
    </row>
    <row r="770" spans="1:20" ht="15" hidden="1" x14ac:dyDescent="0.25">
      <c r="A770" s="921">
        <v>1120</v>
      </c>
      <c r="B770" s="2427">
        <v>3122</v>
      </c>
      <c r="C770" s="2427">
        <v>5331</v>
      </c>
      <c r="D770" s="2726"/>
      <c r="E770" s="845" t="s">
        <v>481</v>
      </c>
      <c r="F770" s="660"/>
      <c r="G770" s="678">
        <f>G771</f>
        <v>0</v>
      </c>
      <c r="H770" s="678">
        <f>H771</f>
        <v>0</v>
      </c>
      <c r="I770" s="680" t="e">
        <f t="shared" si="164"/>
        <v>#DIV/0!</v>
      </c>
    </row>
    <row r="771" spans="1:20" ht="28.5" hidden="1" x14ac:dyDescent="0.2">
      <c r="A771" s="921"/>
      <c r="B771" s="2722"/>
      <c r="C771" s="1350"/>
      <c r="D771" s="2723" t="s">
        <v>1134</v>
      </c>
      <c r="E771" s="2623" t="s">
        <v>1527</v>
      </c>
      <c r="F771" s="660"/>
      <c r="G771" s="875"/>
      <c r="H771" s="875"/>
      <c r="I771" s="871" t="e">
        <f t="shared" si="164"/>
        <v>#DIV/0!</v>
      </c>
    </row>
    <row r="772" spans="1:20" ht="15" x14ac:dyDescent="0.25">
      <c r="A772" s="921">
        <v>1120</v>
      </c>
      <c r="B772" s="2427">
        <v>3141</v>
      </c>
      <c r="C772" s="2427">
        <v>5336</v>
      </c>
      <c r="D772" s="2726"/>
      <c r="E772" s="644" t="s">
        <v>856</v>
      </c>
      <c r="F772" s="678">
        <f>F773</f>
        <v>0</v>
      </c>
      <c r="G772" s="678">
        <f>G773</f>
        <v>266</v>
      </c>
      <c r="H772" s="678">
        <f>H773</f>
        <v>266</v>
      </c>
      <c r="I772" s="680">
        <f t="shared" si="164"/>
        <v>100</v>
      </c>
    </row>
    <row r="773" spans="1:20" ht="14.25" x14ac:dyDescent="0.2">
      <c r="A773" s="921"/>
      <c r="B773" s="2722"/>
      <c r="C773" s="1350"/>
      <c r="D773" s="2726" t="s">
        <v>901</v>
      </c>
      <c r="E773" s="436" t="s">
        <v>1637</v>
      </c>
      <c r="F773" s="665">
        <v>0</v>
      </c>
      <c r="G773" s="665">
        <v>266</v>
      </c>
      <c r="H773" s="665">
        <v>266</v>
      </c>
      <c r="I773" s="661">
        <f t="shared" si="164"/>
        <v>100</v>
      </c>
    </row>
    <row r="774" spans="1:20" ht="15" x14ac:dyDescent="0.25">
      <c r="A774" s="921">
        <v>1120</v>
      </c>
      <c r="B774" s="2427">
        <v>3150</v>
      </c>
      <c r="C774" s="2427">
        <v>5336</v>
      </c>
      <c r="D774" s="2726"/>
      <c r="E774" s="602" t="s">
        <v>856</v>
      </c>
      <c r="F774" s="678">
        <f>F775</f>
        <v>0</v>
      </c>
      <c r="G774" s="678">
        <f>G775</f>
        <v>5648</v>
      </c>
      <c r="H774" s="678">
        <f>H775</f>
        <v>5648</v>
      </c>
      <c r="I774" s="680">
        <f t="shared" si="164"/>
        <v>100</v>
      </c>
    </row>
    <row r="775" spans="1:20" ht="15" thickBot="1" x14ac:dyDescent="0.25">
      <c r="A775" s="921"/>
      <c r="B775" s="2722"/>
      <c r="C775" s="1350"/>
      <c r="D775" s="2726" t="s">
        <v>901</v>
      </c>
      <c r="E775" s="436" t="s">
        <v>1637</v>
      </c>
      <c r="F775" s="665">
        <v>0</v>
      </c>
      <c r="G775" s="665">
        <v>5648</v>
      </c>
      <c r="H775" s="665">
        <v>5648</v>
      </c>
      <c r="I775" s="661">
        <f t="shared" si="164"/>
        <v>100</v>
      </c>
    </row>
    <row r="776" spans="1:20" ht="16.5" thickTop="1" thickBot="1" x14ac:dyDescent="0.3">
      <c r="A776" s="3233" t="s">
        <v>522</v>
      </c>
      <c r="B776" s="3234"/>
      <c r="C776" s="3234"/>
      <c r="D776" s="3234"/>
      <c r="E776" s="3234"/>
      <c r="F776" s="657">
        <f>F774+F772+F765+F763</f>
        <v>0</v>
      </c>
      <c r="G776" s="657">
        <f t="shared" ref="G776:H776" si="168">G774+G772+G765+G763</f>
        <v>23968</v>
      </c>
      <c r="H776" s="657">
        <f t="shared" si="168"/>
        <v>23968</v>
      </c>
      <c r="I776" s="658">
        <f t="shared" si="164"/>
        <v>100</v>
      </c>
      <c r="R776" s="373">
        <f>F776</f>
        <v>0</v>
      </c>
      <c r="S776" s="373">
        <f>G776</f>
        <v>23968</v>
      </c>
      <c r="T776" s="373">
        <f>H776</f>
        <v>23968</v>
      </c>
    </row>
    <row r="777" spans="1:20" ht="13.5" thickTop="1" x14ac:dyDescent="0.2"/>
    <row r="780" spans="1:20" ht="13.5" thickBot="1" x14ac:dyDescent="0.25">
      <c r="A780" s="419" t="s">
        <v>1980</v>
      </c>
      <c r="I780" s="915" t="s">
        <v>92</v>
      </c>
    </row>
    <row r="781" spans="1:20" s="106" customFormat="1" thickTop="1" thickBot="1" x14ac:dyDescent="0.25">
      <c r="A781" s="572" t="s">
        <v>324</v>
      </c>
      <c r="B781" s="639" t="s">
        <v>93</v>
      </c>
      <c r="C781" s="573" t="s">
        <v>94</v>
      </c>
      <c r="D781" s="575" t="s">
        <v>364</v>
      </c>
      <c r="E781" s="575" t="s">
        <v>95</v>
      </c>
      <c r="F781" s="575" t="s">
        <v>328</v>
      </c>
      <c r="G781" s="575" t="s">
        <v>329</v>
      </c>
      <c r="H781" s="575" t="s">
        <v>448</v>
      </c>
      <c r="I781" s="651" t="s">
        <v>449</v>
      </c>
    </row>
    <row r="782" spans="1:20" s="374" customFormat="1" ht="13.5" thickTop="1" thickBot="1" x14ac:dyDescent="0.25">
      <c r="A782" s="511">
        <v>1</v>
      </c>
      <c r="B782" s="512">
        <v>2</v>
      </c>
      <c r="C782" s="512">
        <v>3</v>
      </c>
      <c r="D782" s="512">
        <v>4</v>
      </c>
      <c r="E782" s="512">
        <v>5</v>
      </c>
      <c r="F782" s="499">
        <v>6</v>
      </c>
      <c r="G782" s="499">
        <v>7</v>
      </c>
      <c r="H782" s="500">
        <v>8</v>
      </c>
      <c r="I782" s="577" t="s">
        <v>393</v>
      </c>
    </row>
    <row r="783" spans="1:20" ht="15.75" thickTop="1" x14ac:dyDescent="0.25">
      <c r="A783" s="916">
        <v>1121</v>
      </c>
      <c r="B783" s="640">
        <v>3122</v>
      </c>
      <c r="C783" s="2737">
        <v>5331</v>
      </c>
      <c r="D783" s="670"/>
      <c r="E783" s="685" t="s">
        <v>481</v>
      </c>
      <c r="F783" s="686">
        <f>F784+F785</f>
        <v>0</v>
      </c>
      <c r="G783" s="686">
        <f t="shared" ref="G783:H783" si="169">G784+G785</f>
        <v>223</v>
      </c>
      <c r="H783" s="686">
        <f t="shared" si="169"/>
        <v>223</v>
      </c>
      <c r="I783" s="659">
        <f t="shared" ref="I783:I794" si="170">(H783/G783)*100</f>
        <v>100</v>
      </c>
    </row>
    <row r="784" spans="1:20" ht="14.25" x14ac:dyDescent="0.2">
      <c r="A784" s="418"/>
      <c r="B784" s="603"/>
      <c r="C784" s="603"/>
      <c r="D784" s="505" t="s">
        <v>917</v>
      </c>
      <c r="E784" s="436" t="s">
        <v>1956</v>
      </c>
      <c r="F784" s="660">
        <v>0</v>
      </c>
      <c r="G784" s="660">
        <v>15</v>
      </c>
      <c r="H784" s="660">
        <v>15</v>
      </c>
      <c r="I784" s="656">
        <f t="shared" si="170"/>
        <v>100</v>
      </c>
    </row>
    <row r="785" spans="1:20" ht="14.25" x14ac:dyDescent="0.2">
      <c r="A785" s="418"/>
      <c r="B785" s="603"/>
      <c r="C785" s="603"/>
      <c r="D785" s="505" t="s">
        <v>1891</v>
      </c>
      <c r="E785" s="692" t="s">
        <v>1952</v>
      </c>
      <c r="F785" s="880">
        <v>0</v>
      </c>
      <c r="G785" s="432">
        <v>208</v>
      </c>
      <c r="H785" s="311">
        <v>208</v>
      </c>
      <c r="I785" s="816">
        <f t="shared" si="170"/>
        <v>100</v>
      </c>
    </row>
    <row r="786" spans="1:20" ht="15" x14ac:dyDescent="0.25">
      <c r="A786" s="921">
        <v>1121</v>
      </c>
      <c r="B786" s="2427">
        <v>3122</v>
      </c>
      <c r="C786" s="2427">
        <v>5336</v>
      </c>
      <c r="D786" s="2726"/>
      <c r="E786" s="602" t="s">
        <v>856</v>
      </c>
      <c r="F786" s="678">
        <f>F787+F788+F789+F790</f>
        <v>0</v>
      </c>
      <c r="G786" s="678">
        <f t="shared" ref="G786:H786" si="171">G787+G788+G789+G790</f>
        <v>21383</v>
      </c>
      <c r="H786" s="678">
        <f t="shared" si="171"/>
        <v>21383</v>
      </c>
      <c r="I786" s="680">
        <f t="shared" si="170"/>
        <v>100</v>
      </c>
    </row>
    <row r="787" spans="1:20" ht="14.25" x14ac:dyDescent="0.2">
      <c r="A787" s="921"/>
      <c r="B787" s="2427"/>
      <c r="C787" s="2427"/>
      <c r="D787" s="2725" t="s">
        <v>920</v>
      </c>
      <c r="E787" s="1352" t="s">
        <v>769</v>
      </c>
      <c r="F787" s="660">
        <v>0</v>
      </c>
      <c r="G787" s="660">
        <v>15</v>
      </c>
      <c r="H787" s="660">
        <v>15</v>
      </c>
      <c r="I787" s="656">
        <f t="shared" ref="I787" si="172">(H787/G787)*100</f>
        <v>100</v>
      </c>
    </row>
    <row r="788" spans="1:20" ht="14.25" x14ac:dyDescent="0.2">
      <c r="A788" s="921"/>
      <c r="B788" s="2427"/>
      <c r="C788" s="2427"/>
      <c r="D788" s="2725" t="s">
        <v>902</v>
      </c>
      <c r="E788" s="1352" t="s">
        <v>855</v>
      </c>
      <c r="F788" s="1600">
        <v>0</v>
      </c>
      <c r="G788" s="1600">
        <v>390</v>
      </c>
      <c r="H788" s="1600">
        <v>390</v>
      </c>
      <c r="I788" s="367">
        <f t="shared" ref="I788:I789" si="173">(H788/G788)*100</f>
        <v>100</v>
      </c>
    </row>
    <row r="789" spans="1:20" ht="14.25" x14ac:dyDescent="0.2">
      <c r="A789" s="921"/>
      <c r="B789" s="2427"/>
      <c r="C789" s="2427"/>
      <c r="D789" s="2725" t="s">
        <v>1896</v>
      </c>
      <c r="E789" s="1637" t="s">
        <v>1951</v>
      </c>
      <c r="F789" s="1643">
        <v>0</v>
      </c>
      <c r="G789" s="1643">
        <v>82</v>
      </c>
      <c r="H789" s="1643">
        <v>82</v>
      </c>
      <c r="I789" s="982">
        <f t="shared" si="173"/>
        <v>100</v>
      </c>
    </row>
    <row r="790" spans="1:20" ht="14.25" x14ac:dyDescent="0.2">
      <c r="A790" s="921"/>
      <c r="B790" s="2427"/>
      <c r="C790" s="2427"/>
      <c r="D790" s="2726" t="s">
        <v>901</v>
      </c>
      <c r="E790" s="436" t="s">
        <v>1637</v>
      </c>
      <c r="F790" s="660">
        <v>0</v>
      </c>
      <c r="G790" s="660">
        <v>20896</v>
      </c>
      <c r="H790" s="660">
        <v>20896</v>
      </c>
      <c r="I790" s="656">
        <f t="shared" si="170"/>
        <v>100</v>
      </c>
    </row>
    <row r="791" spans="1:20" ht="15" x14ac:dyDescent="0.25">
      <c r="A791" s="921">
        <v>1121</v>
      </c>
      <c r="B791" s="2427">
        <v>3127</v>
      </c>
      <c r="C791" s="2427">
        <v>5336</v>
      </c>
      <c r="D791" s="2726"/>
      <c r="E791" s="602" t="s">
        <v>856</v>
      </c>
      <c r="F791" s="678">
        <f>F792+F793</f>
        <v>0</v>
      </c>
      <c r="G791" s="678">
        <f>G792+G793</f>
        <v>556</v>
      </c>
      <c r="H791" s="678">
        <f>H792+H793</f>
        <v>556</v>
      </c>
      <c r="I791" s="680">
        <f t="shared" si="170"/>
        <v>100</v>
      </c>
    </row>
    <row r="792" spans="1:20" ht="14.25" x14ac:dyDescent="0.2">
      <c r="A792" s="921"/>
      <c r="B792" s="2722"/>
      <c r="C792" s="1350"/>
      <c r="D792" s="2724" t="s">
        <v>1144</v>
      </c>
      <c r="E792" s="2623" t="s">
        <v>1515</v>
      </c>
      <c r="F792" s="660">
        <v>0</v>
      </c>
      <c r="G792" s="875">
        <v>83</v>
      </c>
      <c r="H792" s="875">
        <v>83</v>
      </c>
      <c r="I792" s="871">
        <f t="shared" si="170"/>
        <v>100</v>
      </c>
    </row>
    <row r="793" spans="1:20" ht="15" thickBot="1" x14ac:dyDescent="0.25">
      <c r="A793" s="921"/>
      <c r="B793" s="2722"/>
      <c r="C793" s="1350"/>
      <c r="D793" s="2724" t="s">
        <v>1145</v>
      </c>
      <c r="E793" s="2627" t="s">
        <v>1515</v>
      </c>
      <c r="F793" s="660">
        <v>0</v>
      </c>
      <c r="G793" s="660">
        <v>473</v>
      </c>
      <c r="H793" s="660">
        <v>473</v>
      </c>
      <c r="I793" s="656">
        <f t="shared" si="170"/>
        <v>100</v>
      </c>
    </row>
    <row r="794" spans="1:20" ht="16.5" thickTop="1" thickBot="1" x14ac:dyDescent="0.3">
      <c r="A794" s="3233" t="s">
        <v>522</v>
      </c>
      <c r="B794" s="3234"/>
      <c r="C794" s="3234"/>
      <c r="D794" s="3234"/>
      <c r="E794" s="3234"/>
      <c r="F794" s="657">
        <f>SUM(F783)</f>
        <v>0</v>
      </c>
      <c r="G794" s="657">
        <f>G783+G786+G791</f>
        <v>22162</v>
      </c>
      <c r="H794" s="657">
        <f>H783+H786+H791</f>
        <v>22162</v>
      </c>
      <c r="I794" s="658">
        <f t="shared" si="170"/>
        <v>100</v>
      </c>
      <c r="R794" s="373">
        <f>F794</f>
        <v>0</v>
      </c>
      <c r="S794" s="373">
        <f>G794</f>
        <v>22162</v>
      </c>
      <c r="T794" s="373">
        <f>H794</f>
        <v>22162</v>
      </c>
    </row>
    <row r="795" spans="1:20" ht="13.5" thickTop="1" x14ac:dyDescent="0.2"/>
    <row r="809" spans="1:9" ht="13.5" thickBot="1" x14ac:dyDescent="0.25">
      <c r="A809" s="419" t="s">
        <v>861</v>
      </c>
      <c r="I809" s="915" t="s">
        <v>92</v>
      </c>
    </row>
    <row r="810" spans="1:9" s="106" customFormat="1" thickTop="1" thickBot="1" x14ac:dyDescent="0.25">
      <c r="A810" s="572" t="s">
        <v>324</v>
      </c>
      <c r="B810" s="639" t="s">
        <v>93</v>
      </c>
      <c r="C810" s="573" t="s">
        <v>94</v>
      </c>
      <c r="D810" s="575" t="s">
        <v>364</v>
      </c>
      <c r="E810" s="575" t="s">
        <v>95</v>
      </c>
      <c r="F810" s="575" t="s">
        <v>328</v>
      </c>
      <c r="G810" s="575" t="s">
        <v>329</v>
      </c>
      <c r="H810" s="575" t="s">
        <v>448</v>
      </c>
      <c r="I810" s="651" t="s">
        <v>449</v>
      </c>
    </row>
    <row r="811" spans="1:9" s="374" customFormat="1" ht="14.25" customHeight="1" thickTop="1" thickBot="1" x14ac:dyDescent="0.25">
      <c r="A811" s="511">
        <v>1</v>
      </c>
      <c r="B811" s="512">
        <v>2</v>
      </c>
      <c r="C811" s="512">
        <v>3</v>
      </c>
      <c r="D811" s="512">
        <v>4</v>
      </c>
      <c r="E811" s="512">
        <v>5</v>
      </c>
      <c r="F811" s="499">
        <v>6</v>
      </c>
      <c r="G811" s="499">
        <v>7</v>
      </c>
      <c r="H811" s="500">
        <v>8</v>
      </c>
      <c r="I811" s="577" t="s">
        <v>393</v>
      </c>
    </row>
    <row r="812" spans="1:9" ht="15.75" thickTop="1" x14ac:dyDescent="0.25">
      <c r="A812" s="921">
        <v>1122</v>
      </c>
      <c r="B812" s="2427">
        <v>3122</v>
      </c>
      <c r="C812" s="2427">
        <v>5336</v>
      </c>
      <c r="D812" s="2726"/>
      <c r="E812" s="602" t="s">
        <v>856</v>
      </c>
      <c r="F812" s="678">
        <f>F813</f>
        <v>0</v>
      </c>
      <c r="G812" s="678">
        <f>G813</f>
        <v>9844</v>
      </c>
      <c r="H812" s="678">
        <f>H813</f>
        <v>9844</v>
      </c>
      <c r="I812" s="680">
        <f t="shared" ref="I812:I828" si="174">(H812/G812)*100</f>
        <v>100</v>
      </c>
    </row>
    <row r="813" spans="1:9" ht="14.25" x14ac:dyDescent="0.2">
      <c r="A813" s="921"/>
      <c r="B813" s="2427"/>
      <c r="C813" s="2427"/>
      <c r="D813" s="2726" t="s">
        <v>901</v>
      </c>
      <c r="E813" s="436" t="s">
        <v>1637</v>
      </c>
      <c r="F813" s="660">
        <v>0</v>
      </c>
      <c r="G813" s="660">
        <v>9844</v>
      </c>
      <c r="H813" s="660">
        <v>9844</v>
      </c>
      <c r="I813" s="656">
        <f t="shared" si="174"/>
        <v>100</v>
      </c>
    </row>
    <row r="814" spans="1:9" ht="15" x14ac:dyDescent="0.25">
      <c r="A814" s="921">
        <v>1122</v>
      </c>
      <c r="B814" s="2722">
        <v>3123</v>
      </c>
      <c r="C814" s="2722">
        <v>5336</v>
      </c>
      <c r="D814" s="2760"/>
      <c r="E814" s="602" t="s">
        <v>856</v>
      </c>
      <c r="F814" s="675">
        <f>F815</f>
        <v>0</v>
      </c>
      <c r="G814" s="675">
        <f>G815</f>
        <v>13632</v>
      </c>
      <c r="H814" s="675">
        <f>H815</f>
        <v>13632</v>
      </c>
      <c r="I814" s="680">
        <f t="shared" si="174"/>
        <v>100</v>
      </c>
    </row>
    <row r="815" spans="1:9" ht="14.25" x14ac:dyDescent="0.2">
      <c r="A815" s="921"/>
      <c r="B815" s="2722"/>
      <c r="C815" s="2722"/>
      <c r="D815" s="2726" t="s">
        <v>901</v>
      </c>
      <c r="E815" s="436" t="s">
        <v>1637</v>
      </c>
      <c r="F815" s="665">
        <v>0</v>
      </c>
      <c r="G815" s="665">
        <v>13632</v>
      </c>
      <c r="H815" s="665">
        <v>13632</v>
      </c>
      <c r="I815" s="661">
        <f t="shared" ref="I815" si="175">(H815/G815)*100</f>
        <v>100</v>
      </c>
    </row>
    <row r="816" spans="1:9" ht="15" x14ac:dyDescent="0.25">
      <c r="A816" s="921">
        <v>1122</v>
      </c>
      <c r="B816" s="2722">
        <v>3127</v>
      </c>
      <c r="C816" s="2722">
        <v>5331</v>
      </c>
      <c r="D816" s="2724"/>
      <c r="E816" s="602" t="s">
        <v>481</v>
      </c>
      <c r="F816" s="675">
        <f>F817</f>
        <v>0</v>
      </c>
      <c r="G816" s="675">
        <f t="shared" ref="G816:H816" si="176">G817</f>
        <v>170</v>
      </c>
      <c r="H816" s="675">
        <f t="shared" si="176"/>
        <v>170</v>
      </c>
      <c r="I816" s="669">
        <f t="shared" si="174"/>
        <v>100</v>
      </c>
    </row>
    <row r="817" spans="1:20" ht="14.25" x14ac:dyDescent="0.2">
      <c r="A817" s="921"/>
      <c r="B817" s="2722"/>
      <c r="C817" s="2722"/>
      <c r="D817" s="2726" t="s">
        <v>1891</v>
      </c>
      <c r="E817" s="692" t="s">
        <v>1952</v>
      </c>
      <c r="F817" s="668">
        <v>0</v>
      </c>
      <c r="G817" s="668">
        <v>170</v>
      </c>
      <c r="H817" s="668">
        <v>170</v>
      </c>
      <c r="I817" s="367">
        <f t="shared" si="174"/>
        <v>100</v>
      </c>
    </row>
    <row r="818" spans="1:20" ht="15" x14ac:dyDescent="0.25">
      <c r="A818" s="921">
        <v>1122</v>
      </c>
      <c r="B818" s="2722">
        <v>3127</v>
      </c>
      <c r="C818" s="2722">
        <v>5336</v>
      </c>
      <c r="D818" s="2732"/>
      <c r="E818" s="602" t="s">
        <v>856</v>
      </c>
      <c r="F818" s="666">
        <f>F819+F820+F821+F822</f>
        <v>0</v>
      </c>
      <c r="G818" s="666">
        <f>G819+G820+G821+G822</f>
        <v>1128</v>
      </c>
      <c r="H818" s="666">
        <f>H819+H820+H821+H822</f>
        <v>1128</v>
      </c>
      <c r="I818" s="667">
        <f t="shared" si="174"/>
        <v>100</v>
      </c>
    </row>
    <row r="819" spans="1:20" ht="14.25" hidden="1" x14ac:dyDescent="0.2">
      <c r="A819" s="921"/>
      <c r="B819" s="2722"/>
      <c r="C819" s="2722"/>
      <c r="D819" s="2725" t="s">
        <v>920</v>
      </c>
      <c r="E819" s="1352" t="s">
        <v>769</v>
      </c>
      <c r="F819" s="665"/>
      <c r="G819" s="665"/>
      <c r="H819" s="665"/>
      <c r="I819" s="661" t="e">
        <f t="shared" si="174"/>
        <v>#DIV/0!</v>
      </c>
    </row>
    <row r="820" spans="1:20" ht="14.25" x14ac:dyDescent="0.2">
      <c r="A820" s="921"/>
      <c r="B820" s="2722"/>
      <c r="C820" s="2722"/>
      <c r="D820" s="2726" t="s">
        <v>912</v>
      </c>
      <c r="E820" s="436" t="s">
        <v>817</v>
      </c>
      <c r="F820" s="665">
        <v>0</v>
      </c>
      <c r="G820" s="665">
        <v>359</v>
      </c>
      <c r="H820" s="665">
        <v>359</v>
      </c>
      <c r="I820" s="661">
        <f t="shared" si="174"/>
        <v>100</v>
      </c>
    </row>
    <row r="821" spans="1:20" ht="14.25" x14ac:dyDescent="0.2">
      <c r="A821" s="921"/>
      <c r="B821" s="2722"/>
      <c r="C821" s="2722"/>
      <c r="D821" s="2725" t="s">
        <v>902</v>
      </c>
      <c r="E821" s="1352" t="s">
        <v>855</v>
      </c>
      <c r="F821" s="665">
        <v>0</v>
      </c>
      <c r="G821" s="665">
        <v>515</v>
      </c>
      <c r="H821" s="665">
        <v>515</v>
      </c>
      <c r="I821" s="661">
        <f t="shared" si="174"/>
        <v>100</v>
      </c>
    </row>
    <row r="822" spans="1:20" ht="14.25" x14ac:dyDescent="0.2">
      <c r="A822" s="921"/>
      <c r="B822" s="2722"/>
      <c r="C822" s="2722"/>
      <c r="D822" s="2725" t="s">
        <v>1896</v>
      </c>
      <c r="E822" s="1637" t="s">
        <v>1951</v>
      </c>
      <c r="F822" s="665">
        <v>0</v>
      </c>
      <c r="G822" s="870">
        <v>254</v>
      </c>
      <c r="H822" s="870">
        <v>254</v>
      </c>
      <c r="I822" s="874">
        <f t="shared" si="174"/>
        <v>100</v>
      </c>
    </row>
    <row r="823" spans="1:20" ht="15" hidden="1" x14ac:dyDescent="0.25">
      <c r="A823" s="2754">
        <v>1122</v>
      </c>
      <c r="B823" s="2755">
        <v>3127</v>
      </c>
      <c r="C823" s="2755">
        <v>5331</v>
      </c>
      <c r="D823" s="2756"/>
      <c r="E823" s="845" t="s">
        <v>481</v>
      </c>
      <c r="F823" s="665"/>
      <c r="G823" s="872">
        <f>G824</f>
        <v>0</v>
      </c>
      <c r="H823" s="872">
        <f>H824</f>
        <v>0</v>
      </c>
      <c r="I823" s="873" t="e">
        <f t="shared" si="174"/>
        <v>#DIV/0!</v>
      </c>
    </row>
    <row r="824" spans="1:20" ht="28.5" hidden="1" x14ac:dyDescent="0.2">
      <c r="A824" s="2754"/>
      <c r="B824" s="2755"/>
      <c r="C824" s="2761"/>
      <c r="D824" s="2756" t="s">
        <v>1134</v>
      </c>
      <c r="E824" s="2623" t="s">
        <v>1527</v>
      </c>
      <c r="F824" s="665"/>
      <c r="G824" s="870"/>
      <c r="H824" s="870"/>
      <c r="I824" s="874" t="e">
        <f t="shared" si="174"/>
        <v>#DIV/0!</v>
      </c>
    </row>
    <row r="825" spans="1:20" ht="15" x14ac:dyDescent="0.25">
      <c r="A825" s="921">
        <v>1122</v>
      </c>
      <c r="B825" s="2722">
        <v>3141</v>
      </c>
      <c r="C825" s="2722">
        <v>5336</v>
      </c>
      <c r="D825" s="2724"/>
      <c r="E825" s="602" t="s">
        <v>856</v>
      </c>
      <c r="F825" s="675">
        <f>F826</f>
        <v>0</v>
      </c>
      <c r="G825" s="675">
        <f>G826</f>
        <v>1905</v>
      </c>
      <c r="H825" s="675">
        <f>H826</f>
        <v>1905</v>
      </c>
      <c r="I825" s="669">
        <f t="shared" si="174"/>
        <v>100</v>
      </c>
    </row>
    <row r="826" spans="1:20" ht="14.25" x14ac:dyDescent="0.2">
      <c r="A826" s="921"/>
      <c r="B826" s="2722"/>
      <c r="C826" s="2722"/>
      <c r="D826" s="2726" t="s">
        <v>901</v>
      </c>
      <c r="E826" s="436" t="s">
        <v>1637</v>
      </c>
      <c r="F826" s="665">
        <v>0</v>
      </c>
      <c r="G826" s="665">
        <v>1905</v>
      </c>
      <c r="H826" s="665">
        <v>1905</v>
      </c>
      <c r="I826" s="661">
        <f t="shared" si="174"/>
        <v>100</v>
      </c>
    </row>
    <row r="827" spans="1:20" ht="15" x14ac:dyDescent="0.25">
      <c r="A827" s="921">
        <v>1122</v>
      </c>
      <c r="B827" s="2722">
        <v>3147</v>
      </c>
      <c r="C827" s="2722">
        <v>5336</v>
      </c>
      <c r="D827" s="2726"/>
      <c r="E827" s="602" t="s">
        <v>856</v>
      </c>
      <c r="F827" s="675">
        <f>F828</f>
        <v>0</v>
      </c>
      <c r="G827" s="675">
        <f>G828</f>
        <v>1823</v>
      </c>
      <c r="H827" s="675">
        <f>H828</f>
        <v>1823</v>
      </c>
      <c r="I827" s="669">
        <f t="shared" si="174"/>
        <v>100</v>
      </c>
    </row>
    <row r="828" spans="1:20" ht="18" customHeight="1" x14ac:dyDescent="0.2">
      <c r="A828" s="921"/>
      <c r="B828" s="2722"/>
      <c r="C828" s="1350"/>
      <c r="D828" s="2726" t="s">
        <v>901</v>
      </c>
      <c r="E828" s="436" t="s">
        <v>1637</v>
      </c>
      <c r="F828" s="665">
        <v>0</v>
      </c>
      <c r="G828" s="665">
        <v>1823</v>
      </c>
      <c r="H828" s="665">
        <v>1823</v>
      </c>
      <c r="I828" s="661">
        <f t="shared" si="174"/>
        <v>100</v>
      </c>
    </row>
    <row r="829" spans="1:20" ht="18" customHeight="1" x14ac:dyDescent="0.25">
      <c r="A829" s="921">
        <v>1122</v>
      </c>
      <c r="B829" s="2722">
        <v>3299</v>
      </c>
      <c r="C829" s="2722">
        <v>5331</v>
      </c>
      <c r="D829" s="2724"/>
      <c r="E829" s="602" t="s">
        <v>481</v>
      </c>
      <c r="F829" s="675">
        <f>F830</f>
        <v>0</v>
      </c>
      <c r="G829" s="675">
        <f t="shared" ref="G829" si="177">G830</f>
        <v>64</v>
      </c>
      <c r="H829" s="675">
        <f t="shared" ref="H829" si="178">H830</f>
        <v>64</v>
      </c>
      <c r="I829" s="669">
        <f t="shared" ref="I829:I830" si="179">(H829/G829)*100</f>
        <v>100</v>
      </c>
    </row>
    <row r="830" spans="1:20" ht="18" customHeight="1" thickBot="1" x14ac:dyDescent="0.25">
      <c r="A830" s="921"/>
      <c r="B830" s="2722"/>
      <c r="C830" s="2722"/>
      <c r="D830" s="2726" t="s">
        <v>1891</v>
      </c>
      <c r="E830" s="692" t="s">
        <v>1952</v>
      </c>
      <c r="F830" s="668">
        <v>0</v>
      </c>
      <c r="G830" s="668">
        <v>64</v>
      </c>
      <c r="H830" s="668">
        <v>64</v>
      </c>
      <c r="I830" s="367">
        <f t="shared" si="179"/>
        <v>100</v>
      </c>
    </row>
    <row r="831" spans="1:20" ht="16.5" thickTop="1" thickBot="1" x14ac:dyDescent="0.3">
      <c r="A831" s="3233" t="s">
        <v>522</v>
      </c>
      <c r="B831" s="3234"/>
      <c r="C831" s="3234"/>
      <c r="D831" s="3234"/>
      <c r="E831" s="3234"/>
      <c r="F831" s="657">
        <f>F816</f>
        <v>0</v>
      </c>
      <c r="G831" s="657">
        <f>G812+G814+G816+G818+G825+G827+G823+G829</f>
        <v>28566</v>
      </c>
      <c r="H831" s="657">
        <f>H812+H814+H816+H818+H825+H827+H823+H829</f>
        <v>28566</v>
      </c>
      <c r="I831" s="658">
        <f>(H831/G831)*100</f>
        <v>100</v>
      </c>
      <c r="R831" s="373">
        <f>F831</f>
        <v>0</v>
      </c>
      <c r="S831" s="373">
        <f>G831</f>
        <v>28566</v>
      </c>
      <c r="T831" s="373">
        <f>H831</f>
        <v>28566</v>
      </c>
    </row>
    <row r="832" spans="1:20" ht="15.75" thickTop="1" x14ac:dyDescent="0.25">
      <c r="A832" s="360"/>
      <c r="B832" s="360"/>
      <c r="C832" s="360"/>
      <c r="D832" s="360"/>
      <c r="E832" s="360"/>
      <c r="F832" s="177"/>
      <c r="G832" s="177"/>
      <c r="H832" s="177"/>
      <c r="I832" s="206"/>
      <c r="R832" s="373"/>
      <c r="S832" s="373"/>
      <c r="T832" s="373"/>
    </row>
    <row r="833" spans="1:20" ht="15" x14ac:dyDescent="0.25">
      <c r="A833" s="360"/>
      <c r="B833" s="360"/>
      <c r="C833" s="360"/>
      <c r="D833" s="360"/>
      <c r="E833" s="360"/>
      <c r="F833" s="177"/>
      <c r="G833" s="177"/>
      <c r="H833" s="177"/>
      <c r="I833" s="206"/>
      <c r="R833" s="373"/>
      <c r="S833" s="373"/>
      <c r="T833" s="373"/>
    </row>
    <row r="834" spans="1:20" ht="13.5" thickBot="1" x14ac:dyDescent="0.25">
      <c r="A834" s="1427" t="s">
        <v>185</v>
      </c>
      <c r="B834" s="2239"/>
      <c r="C834" s="1391"/>
      <c r="D834" s="1492"/>
      <c r="E834" s="1391"/>
      <c r="F834" s="1396"/>
      <c r="G834" s="1396"/>
      <c r="H834" s="1396"/>
      <c r="I834" s="2240" t="s">
        <v>92</v>
      </c>
    </row>
    <row r="835" spans="1:20" s="106" customFormat="1" ht="20.25" customHeight="1" thickTop="1" thickBot="1" x14ac:dyDescent="0.25">
      <c r="A835" s="2241" t="s">
        <v>324</v>
      </c>
      <c r="B835" s="2242" t="s">
        <v>93</v>
      </c>
      <c r="C835" s="2243" t="s">
        <v>94</v>
      </c>
      <c r="D835" s="2244" t="s">
        <v>364</v>
      </c>
      <c r="E835" s="2244" t="s">
        <v>95</v>
      </c>
      <c r="F835" s="2244" t="s">
        <v>328</v>
      </c>
      <c r="G835" s="2244" t="s">
        <v>329</v>
      </c>
      <c r="H835" s="2244" t="s">
        <v>448</v>
      </c>
      <c r="I835" s="2245" t="s">
        <v>449</v>
      </c>
    </row>
    <row r="836" spans="1:20" s="374" customFormat="1" ht="13.5" thickTop="1" thickBot="1" x14ac:dyDescent="0.25">
      <c r="A836" s="1444">
        <v>1</v>
      </c>
      <c r="B836" s="2247">
        <v>2</v>
      </c>
      <c r="C836" s="2247">
        <v>3</v>
      </c>
      <c r="D836" s="2247">
        <v>4</v>
      </c>
      <c r="E836" s="2247">
        <v>5</v>
      </c>
      <c r="F836" s="2248">
        <v>6</v>
      </c>
      <c r="G836" s="2248">
        <v>7</v>
      </c>
      <c r="H836" s="2249">
        <v>8</v>
      </c>
      <c r="I836" s="2250" t="s">
        <v>393</v>
      </c>
    </row>
    <row r="837" spans="1:20" ht="15.75" thickTop="1" x14ac:dyDescent="0.25">
      <c r="A837" s="2744">
        <v>1123</v>
      </c>
      <c r="B837" s="2745">
        <v>3122</v>
      </c>
      <c r="C837" s="2745">
        <v>5336</v>
      </c>
      <c r="D837" s="2746"/>
      <c r="E837" s="2253" t="s">
        <v>856</v>
      </c>
      <c r="F837" s="2266">
        <f>F838</f>
        <v>0</v>
      </c>
      <c r="G837" s="2266">
        <f>G838</f>
        <v>11474</v>
      </c>
      <c r="H837" s="2266">
        <f>H838</f>
        <v>11474</v>
      </c>
      <c r="I837" s="2267">
        <f t="shared" ref="I837:I855" si="180">(H837/G837)*100</f>
        <v>100</v>
      </c>
    </row>
    <row r="838" spans="1:20" ht="14.25" x14ac:dyDescent="0.2">
      <c r="A838" s="2744"/>
      <c r="B838" s="2747"/>
      <c r="C838" s="2747"/>
      <c r="D838" s="2746" t="s">
        <v>901</v>
      </c>
      <c r="E838" s="2257" t="s">
        <v>1637</v>
      </c>
      <c r="F838" s="2259">
        <v>0</v>
      </c>
      <c r="G838" s="2259">
        <v>11474</v>
      </c>
      <c r="H838" s="2259">
        <v>11474</v>
      </c>
      <c r="I838" s="2260">
        <f t="shared" si="180"/>
        <v>100</v>
      </c>
    </row>
    <row r="839" spans="1:20" ht="15" x14ac:dyDescent="0.25">
      <c r="A839" s="2744">
        <v>1123</v>
      </c>
      <c r="B839" s="2745">
        <v>3123</v>
      </c>
      <c r="C839" s="2745">
        <v>5336</v>
      </c>
      <c r="D839" s="2746"/>
      <c r="E839" s="2253" t="s">
        <v>856</v>
      </c>
      <c r="F839" s="2266">
        <f>F840</f>
        <v>0</v>
      </c>
      <c r="G839" s="2266">
        <f>G840</f>
        <v>10324</v>
      </c>
      <c r="H839" s="2266">
        <f>H840</f>
        <v>10324</v>
      </c>
      <c r="I839" s="2267">
        <f>(H839/G839)*100</f>
        <v>100</v>
      </c>
    </row>
    <row r="840" spans="1:20" ht="14.25" x14ac:dyDescent="0.2">
      <c r="A840" s="2744"/>
      <c r="B840" s="2745"/>
      <c r="C840" s="2750"/>
      <c r="D840" s="2746" t="s">
        <v>901</v>
      </c>
      <c r="E840" s="2257" t="s">
        <v>1637</v>
      </c>
      <c r="F840" s="2269">
        <v>0</v>
      </c>
      <c r="G840" s="2269">
        <v>10324</v>
      </c>
      <c r="H840" s="2269">
        <v>10324</v>
      </c>
      <c r="I840" s="2270">
        <f t="shared" si="180"/>
        <v>100</v>
      </c>
    </row>
    <row r="841" spans="1:20" ht="15" hidden="1" x14ac:dyDescent="0.25">
      <c r="A841" s="2744">
        <v>1123</v>
      </c>
      <c r="B841" s="2745">
        <v>3124</v>
      </c>
      <c r="C841" s="2745">
        <v>5336</v>
      </c>
      <c r="D841" s="2746"/>
      <c r="E841" s="2253" t="s">
        <v>856</v>
      </c>
      <c r="F841" s="2269"/>
      <c r="G841" s="2266">
        <f>G842</f>
        <v>0</v>
      </c>
      <c r="H841" s="2266">
        <f>H842</f>
        <v>0</v>
      </c>
      <c r="I841" s="2267" t="e">
        <f t="shared" si="180"/>
        <v>#DIV/0!</v>
      </c>
    </row>
    <row r="842" spans="1:20" ht="14.25" hidden="1" x14ac:dyDescent="0.2">
      <c r="A842" s="2744"/>
      <c r="B842" s="2745"/>
      <c r="C842" s="2750"/>
      <c r="D842" s="2746" t="s">
        <v>901</v>
      </c>
      <c r="E842" s="2257" t="s">
        <v>1637</v>
      </c>
      <c r="F842" s="2269"/>
      <c r="G842" s="2269"/>
      <c r="H842" s="2269"/>
      <c r="I842" s="2270" t="e">
        <f t="shared" si="180"/>
        <v>#DIV/0!</v>
      </c>
    </row>
    <row r="843" spans="1:20" ht="15" x14ac:dyDescent="0.25">
      <c r="A843" s="2744">
        <v>1123</v>
      </c>
      <c r="B843" s="2745">
        <v>3127</v>
      </c>
      <c r="C843" s="2745">
        <v>5331</v>
      </c>
      <c r="D843" s="2762"/>
      <c r="E843" s="2253" t="s">
        <v>481</v>
      </c>
      <c r="F843" s="2268">
        <f>F844</f>
        <v>0</v>
      </c>
      <c r="G843" s="2268">
        <f t="shared" ref="G843:H843" si="181">G844</f>
        <v>39</v>
      </c>
      <c r="H843" s="2268">
        <f t="shared" si="181"/>
        <v>39</v>
      </c>
      <c r="I843" s="2275">
        <f t="shared" si="180"/>
        <v>100</v>
      </c>
    </row>
    <row r="844" spans="1:20" ht="14.25" x14ac:dyDescent="0.2">
      <c r="A844" s="2744"/>
      <c r="B844" s="2745"/>
      <c r="C844" s="2745"/>
      <c r="D844" s="2726" t="s">
        <v>1891</v>
      </c>
      <c r="E844" s="692" t="s">
        <v>1952</v>
      </c>
      <c r="F844" s="2269">
        <v>0</v>
      </c>
      <c r="G844" s="2269">
        <v>39</v>
      </c>
      <c r="H844" s="2269">
        <v>39</v>
      </c>
      <c r="I844" s="2270">
        <f t="shared" si="180"/>
        <v>100</v>
      </c>
    </row>
    <row r="845" spans="1:20" ht="15" x14ac:dyDescent="0.25">
      <c r="A845" s="2744">
        <v>1123</v>
      </c>
      <c r="B845" s="2745">
        <v>3127</v>
      </c>
      <c r="C845" s="2745">
        <v>5336</v>
      </c>
      <c r="D845" s="2746"/>
      <c r="E845" s="2253" t="s">
        <v>856</v>
      </c>
      <c r="F845" s="2266">
        <f>F846+F847+F848+F849+F850+F851</f>
        <v>0</v>
      </c>
      <c r="G845" s="2266">
        <f t="shared" ref="G845:H845" si="182">G846+G847+G848+G849+G850+G851</f>
        <v>2042</v>
      </c>
      <c r="H845" s="2266">
        <f t="shared" si="182"/>
        <v>2042</v>
      </c>
      <c r="I845" s="2267">
        <f t="shared" si="180"/>
        <v>100</v>
      </c>
    </row>
    <row r="846" spans="1:20" ht="14.25" x14ac:dyDescent="0.2">
      <c r="A846" s="2744"/>
      <c r="B846" s="2745"/>
      <c r="C846" s="2745"/>
      <c r="D846" s="2746" t="s">
        <v>920</v>
      </c>
      <c r="E846" s="2271" t="s">
        <v>769</v>
      </c>
      <c r="F846" s="2269">
        <v>0</v>
      </c>
      <c r="G846" s="2265">
        <v>8</v>
      </c>
      <c r="H846" s="2265">
        <v>8</v>
      </c>
      <c r="I846" s="1543">
        <f t="shared" si="180"/>
        <v>100</v>
      </c>
    </row>
    <row r="847" spans="1:20" ht="14.25" x14ac:dyDescent="0.2">
      <c r="A847" s="2744"/>
      <c r="B847" s="2745"/>
      <c r="C847" s="2745"/>
      <c r="D847" s="2746" t="s">
        <v>912</v>
      </c>
      <c r="E847" s="2257" t="s">
        <v>817</v>
      </c>
      <c r="F847" s="2269">
        <v>0</v>
      </c>
      <c r="G847" s="2265">
        <v>654</v>
      </c>
      <c r="H847" s="2265">
        <v>654</v>
      </c>
      <c r="I847" s="1543">
        <f t="shared" si="180"/>
        <v>100</v>
      </c>
    </row>
    <row r="848" spans="1:20" ht="14.25" x14ac:dyDescent="0.2">
      <c r="A848" s="2744"/>
      <c r="B848" s="2745"/>
      <c r="C848" s="2745"/>
      <c r="D848" s="2746" t="s">
        <v>902</v>
      </c>
      <c r="E848" s="2271" t="s">
        <v>855</v>
      </c>
      <c r="F848" s="2269">
        <v>0</v>
      </c>
      <c r="G848" s="2265">
        <v>557</v>
      </c>
      <c r="H848" s="2265">
        <v>557</v>
      </c>
      <c r="I848" s="1543">
        <f t="shared" si="180"/>
        <v>100</v>
      </c>
    </row>
    <row r="849" spans="1:20" ht="14.25" x14ac:dyDescent="0.2">
      <c r="A849" s="2744"/>
      <c r="B849" s="2745"/>
      <c r="C849" s="2745"/>
      <c r="D849" s="2746" t="s">
        <v>1896</v>
      </c>
      <c r="E849" s="2272" t="s">
        <v>1951</v>
      </c>
      <c r="F849" s="2269">
        <v>0</v>
      </c>
      <c r="G849" s="2265">
        <v>263</v>
      </c>
      <c r="H849" s="2265">
        <v>263</v>
      </c>
      <c r="I849" s="1543">
        <f t="shared" si="180"/>
        <v>100</v>
      </c>
    </row>
    <row r="850" spans="1:20" ht="14.25" x14ac:dyDescent="0.2">
      <c r="A850" s="2744"/>
      <c r="B850" s="2745"/>
      <c r="C850" s="2745"/>
      <c r="D850" s="2724" t="s">
        <v>1144</v>
      </c>
      <c r="E850" s="3106" t="s">
        <v>1515</v>
      </c>
      <c r="F850" s="2269">
        <v>0</v>
      </c>
      <c r="G850" s="2265">
        <v>84</v>
      </c>
      <c r="H850" s="2265">
        <v>84</v>
      </c>
      <c r="I850" s="1543">
        <f t="shared" si="180"/>
        <v>100</v>
      </c>
    </row>
    <row r="851" spans="1:20" ht="14.25" x14ac:dyDescent="0.2">
      <c r="A851" s="2744"/>
      <c r="B851" s="2745"/>
      <c r="C851" s="2745"/>
      <c r="D851" s="2724" t="s">
        <v>1145</v>
      </c>
      <c r="E851" s="3106" t="s">
        <v>1515</v>
      </c>
      <c r="F851" s="2269">
        <v>0</v>
      </c>
      <c r="G851" s="2265">
        <v>476</v>
      </c>
      <c r="H851" s="2265">
        <v>476</v>
      </c>
      <c r="I851" s="1543">
        <f t="shared" si="180"/>
        <v>100</v>
      </c>
    </row>
    <row r="852" spans="1:20" ht="15" x14ac:dyDescent="0.25">
      <c r="A852" s="2744">
        <v>1123</v>
      </c>
      <c r="B852" s="2745">
        <v>3141</v>
      </c>
      <c r="C852" s="2745">
        <v>5336</v>
      </c>
      <c r="D852" s="2746"/>
      <c r="E852" s="2253" t="s">
        <v>856</v>
      </c>
      <c r="F852" s="2266">
        <f>F853</f>
        <v>0</v>
      </c>
      <c r="G852" s="2266">
        <f>G853</f>
        <v>1923</v>
      </c>
      <c r="H852" s="2266">
        <f>H853</f>
        <v>1923</v>
      </c>
      <c r="I852" s="2267">
        <f t="shared" si="180"/>
        <v>100</v>
      </c>
    </row>
    <row r="853" spans="1:20" ht="14.25" x14ac:dyDescent="0.2">
      <c r="A853" s="2744"/>
      <c r="B853" s="2745"/>
      <c r="C853" s="2750"/>
      <c r="D853" s="2746" t="s">
        <v>901</v>
      </c>
      <c r="E853" s="2257" t="s">
        <v>1637</v>
      </c>
      <c r="F853" s="2269">
        <v>0</v>
      </c>
      <c r="G853" s="2269">
        <v>1923</v>
      </c>
      <c r="H853" s="2269">
        <v>1923</v>
      </c>
      <c r="I853" s="2270">
        <f t="shared" si="180"/>
        <v>100</v>
      </c>
    </row>
    <row r="854" spans="1:20" ht="15" x14ac:dyDescent="0.25">
      <c r="A854" s="2744">
        <v>1123</v>
      </c>
      <c r="B854" s="2745">
        <v>3147</v>
      </c>
      <c r="C854" s="2745">
        <v>5336</v>
      </c>
      <c r="D854" s="2746"/>
      <c r="E854" s="2253" t="s">
        <v>856</v>
      </c>
      <c r="F854" s="2266">
        <f>F855</f>
        <v>0</v>
      </c>
      <c r="G854" s="2266">
        <f>G855</f>
        <v>2551</v>
      </c>
      <c r="H854" s="2266">
        <f t="shared" ref="H854" si="183">H855</f>
        <v>2551</v>
      </c>
      <c r="I854" s="2267">
        <f t="shared" si="180"/>
        <v>100</v>
      </c>
    </row>
    <row r="855" spans="1:20" ht="14.25" x14ac:dyDescent="0.2">
      <c r="A855" s="2744"/>
      <c r="B855" s="2745"/>
      <c r="C855" s="2750"/>
      <c r="D855" s="2746" t="s">
        <v>901</v>
      </c>
      <c r="E855" s="2257" t="s">
        <v>1637</v>
      </c>
      <c r="F855" s="2269">
        <v>0</v>
      </c>
      <c r="G855" s="2269">
        <v>2551</v>
      </c>
      <c r="H855" s="2269">
        <v>2551</v>
      </c>
      <c r="I855" s="2270">
        <f t="shared" si="180"/>
        <v>100</v>
      </c>
    </row>
    <row r="856" spans="1:20" ht="15" x14ac:dyDescent="0.25">
      <c r="A856" s="2744">
        <v>1123</v>
      </c>
      <c r="B856" s="2745">
        <v>3299</v>
      </c>
      <c r="C856" s="2745">
        <v>5331</v>
      </c>
      <c r="D856" s="2762"/>
      <c r="E856" s="2253" t="s">
        <v>481</v>
      </c>
      <c r="F856" s="2268">
        <f>F857</f>
        <v>0</v>
      </c>
      <c r="G856" s="2268">
        <f t="shared" ref="G856" si="184">G857</f>
        <v>30</v>
      </c>
      <c r="H856" s="2268">
        <f t="shared" ref="H856" si="185">H857</f>
        <v>30</v>
      </c>
      <c r="I856" s="2275">
        <f t="shared" ref="I856:I857" si="186">(H856/G856)*100</f>
        <v>100</v>
      </c>
    </row>
    <row r="857" spans="1:20" ht="15" thickBot="1" x14ac:dyDescent="0.25">
      <c r="A857" s="2744"/>
      <c r="B857" s="2745"/>
      <c r="C857" s="2745"/>
      <c r="D857" s="2726" t="s">
        <v>1891</v>
      </c>
      <c r="E857" s="692" t="s">
        <v>1952</v>
      </c>
      <c r="F857" s="2269">
        <v>0</v>
      </c>
      <c r="G857" s="2269">
        <v>30</v>
      </c>
      <c r="H857" s="2269">
        <v>30</v>
      </c>
      <c r="I857" s="2270">
        <f t="shared" si="186"/>
        <v>100</v>
      </c>
    </row>
    <row r="858" spans="1:20" ht="16.5" thickTop="1" thickBot="1" x14ac:dyDescent="0.3">
      <c r="A858" s="3233" t="s">
        <v>522</v>
      </c>
      <c r="B858" s="3234"/>
      <c r="C858" s="3234"/>
      <c r="D858" s="3234"/>
      <c r="E858" s="3234"/>
      <c r="F858" s="657">
        <f>F843</f>
        <v>0</v>
      </c>
      <c r="G858" s="657">
        <f>G837+G839+G841+G843+G845+G852+G854+G856</f>
        <v>28383</v>
      </c>
      <c r="H858" s="657">
        <f>H837+H839+H841+H843+H845+H852+H854+H856</f>
        <v>28383</v>
      </c>
      <c r="I858" s="658">
        <f>(H858/G858)*100</f>
        <v>100</v>
      </c>
    </row>
    <row r="859" spans="1:20" ht="15.75" thickTop="1" x14ac:dyDescent="0.25">
      <c r="A859" s="2744">
        <v>1123</v>
      </c>
      <c r="B859" s="2745">
        <v>3127</v>
      </c>
      <c r="C859" s="2745">
        <v>6356</v>
      </c>
      <c r="D859" s="2746"/>
      <c r="E859" s="2253" t="s">
        <v>950</v>
      </c>
      <c r="F859" s="2266">
        <f>F860</f>
        <v>0</v>
      </c>
      <c r="G859" s="2266">
        <f>G860</f>
        <v>1643</v>
      </c>
      <c r="H859" s="2266">
        <f>H860</f>
        <v>1643</v>
      </c>
      <c r="I859" s="2267">
        <f t="shared" ref="I859" si="187">(H859/G859)*100</f>
        <v>100</v>
      </c>
    </row>
    <row r="860" spans="1:20" ht="14.25" x14ac:dyDescent="0.2">
      <c r="A860" s="2744"/>
      <c r="B860" s="2745"/>
      <c r="C860" s="2750"/>
      <c r="D860" s="2746" t="s">
        <v>1898</v>
      </c>
      <c r="E860" s="2264" t="s">
        <v>1906</v>
      </c>
      <c r="F860" s="2269">
        <v>0</v>
      </c>
      <c r="G860" s="2265">
        <v>1643</v>
      </c>
      <c r="H860" s="2265">
        <v>1643</v>
      </c>
      <c r="I860" s="1543">
        <f>(H860/G860)*100</f>
        <v>100</v>
      </c>
    </row>
    <row r="861" spans="1:20" ht="15" x14ac:dyDescent="0.25">
      <c r="A861" s="2744">
        <v>1123</v>
      </c>
      <c r="B861" s="2745">
        <v>3127</v>
      </c>
      <c r="C861" s="2745">
        <v>6351</v>
      </c>
      <c r="D861" s="2746"/>
      <c r="E861" s="1512"/>
      <c r="F861" s="2254">
        <f>F862</f>
        <v>0</v>
      </c>
      <c r="G861" s="2266">
        <f t="shared" ref="G861:H861" si="188">G862</f>
        <v>1850</v>
      </c>
      <c r="H861" s="2266">
        <f t="shared" si="188"/>
        <v>1850</v>
      </c>
      <c r="I861" s="2267">
        <f t="shared" ref="I861:I862" si="189">(H861/G861)*100</f>
        <v>100</v>
      </c>
    </row>
    <row r="862" spans="1:20" ht="29.25" thickBot="1" x14ac:dyDescent="0.25">
      <c r="A862" s="2744"/>
      <c r="B862" s="2745"/>
      <c r="C862" s="2750"/>
      <c r="D862" s="3129" t="s">
        <v>951</v>
      </c>
      <c r="E862" s="3128" t="s">
        <v>1957</v>
      </c>
      <c r="F862" s="3130">
        <v>0</v>
      </c>
      <c r="G862" s="2273">
        <v>1850</v>
      </c>
      <c r="H862" s="2273">
        <v>1850</v>
      </c>
      <c r="I862" s="2274">
        <f t="shared" si="189"/>
        <v>100</v>
      </c>
    </row>
    <row r="863" spans="1:20" ht="16.5" thickTop="1" thickBot="1" x14ac:dyDescent="0.3">
      <c r="A863" s="3241" t="s">
        <v>523</v>
      </c>
      <c r="B863" s="3242"/>
      <c r="C863" s="3242"/>
      <c r="D863" s="3242"/>
      <c r="E863" s="3243"/>
      <c r="F863" s="2648">
        <f>F859+F861</f>
        <v>0</v>
      </c>
      <c r="G863" s="2648">
        <f t="shared" ref="G863:H863" si="190">G859+G861</f>
        <v>3493</v>
      </c>
      <c r="H863" s="2648">
        <f t="shared" si="190"/>
        <v>3493</v>
      </c>
      <c r="I863" s="658">
        <f>(H863/G863)*100</f>
        <v>100</v>
      </c>
      <c r="R863" s="373">
        <f>F858</f>
        <v>0</v>
      </c>
      <c r="S863" s="373">
        <f>G858+G863</f>
        <v>31876</v>
      </c>
      <c r="T863" s="373">
        <f>H858+H863</f>
        <v>31876</v>
      </c>
    </row>
    <row r="864" spans="1:20" ht="13.5" thickTop="1" x14ac:dyDescent="0.2"/>
    <row r="867" spans="1:9" ht="13.5" thickBot="1" x14ac:dyDescent="0.25">
      <c r="A867" s="419" t="s">
        <v>705</v>
      </c>
      <c r="I867" s="915" t="s">
        <v>92</v>
      </c>
    </row>
    <row r="868" spans="1:9" s="106" customFormat="1" thickTop="1" thickBot="1" x14ac:dyDescent="0.25">
      <c r="A868" s="572" t="s">
        <v>324</v>
      </c>
      <c r="B868" s="639" t="s">
        <v>93</v>
      </c>
      <c r="C868" s="573" t="s">
        <v>94</v>
      </c>
      <c r="D868" s="575" t="s">
        <v>364</v>
      </c>
      <c r="E868" s="575" t="s">
        <v>95</v>
      </c>
      <c r="F868" s="575" t="s">
        <v>328</v>
      </c>
      <c r="G868" s="575" t="s">
        <v>329</v>
      </c>
      <c r="H868" s="575" t="s">
        <v>448</v>
      </c>
      <c r="I868" s="651" t="s">
        <v>449</v>
      </c>
    </row>
    <row r="869" spans="1:9" s="374" customFormat="1" ht="13.5" thickTop="1" thickBot="1" x14ac:dyDescent="0.25">
      <c r="A869" s="511">
        <v>1</v>
      </c>
      <c r="B869" s="512">
        <v>2</v>
      </c>
      <c r="C869" s="512">
        <v>3</v>
      </c>
      <c r="D869" s="512">
        <v>4</v>
      </c>
      <c r="E869" s="512">
        <v>5</v>
      </c>
      <c r="F869" s="499">
        <v>6</v>
      </c>
      <c r="G869" s="499">
        <v>7</v>
      </c>
      <c r="H869" s="500">
        <v>8</v>
      </c>
      <c r="I869" s="577" t="s">
        <v>393</v>
      </c>
    </row>
    <row r="870" spans="1:9" ht="15.75" hidden="1" thickTop="1" x14ac:dyDescent="0.25">
      <c r="A870" s="916">
        <v>1125</v>
      </c>
      <c r="B870" s="640">
        <v>3122</v>
      </c>
      <c r="C870" s="640">
        <v>5331</v>
      </c>
      <c r="D870" s="670"/>
      <c r="E870" s="685" t="s">
        <v>481</v>
      </c>
      <c r="F870" s="686">
        <f>F871+F872</f>
        <v>0</v>
      </c>
      <c r="G870" s="686">
        <f>G871+G872</f>
        <v>0</v>
      </c>
      <c r="H870" s="686">
        <f>H871+H872</f>
        <v>0</v>
      </c>
      <c r="I870" s="659" t="e">
        <f t="shared" ref="I870:I885" si="191">(H870/G870)*100</f>
        <v>#DIV/0!</v>
      </c>
    </row>
    <row r="871" spans="1:9" ht="15" hidden="1" thickTop="1" x14ac:dyDescent="0.2">
      <c r="A871" s="418"/>
      <c r="B871" s="603"/>
      <c r="C871" s="603"/>
      <c r="D871" s="620" t="s">
        <v>905</v>
      </c>
      <c r="E871" s="938" t="s">
        <v>408</v>
      </c>
      <c r="F871" s="660"/>
      <c r="G871" s="660"/>
      <c r="H871" s="660"/>
      <c r="I871" s="656" t="e">
        <f t="shared" si="191"/>
        <v>#DIV/0!</v>
      </c>
    </row>
    <row r="872" spans="1:9" ht="14.25" hidden="1" customHeight="1" x14ac:dyDescent="0.2">
      <c r="A872" s="418"/>
      <c r="B872" s="603"/>
      <c r="C872" s="603"/>
      <c r="D872" s="505" t="s">
        <v>906</v>
      </c>
      <c r="E872" s="436" t="s">
        <v>38</v>
      </c>
      <c r="F872" s="660"/>
      <c r="G872" s="660"/>
      <c r="H872" s="660"/>
      <c r="I872" s="656" t="e">
        <f t="shared" si="191"/>
        <v>#DIV/0!</v>
      </c>
    </row>
    <row r="873" spans="1:9" ht="15.75" thickTop="1" x14ac:dyDescent="0.25">
      <c r="A873" s="921">
        <v>1125</v>
      </c>
      <c r="B873" s="2427">
        <v>3122</v>
      </c>
      <c r="C873" s="2427">
        <v>5336</v>
      </c>
      <c r="D873" s="2725"/>
      <c r="E873" s="602" t="s">
        <v>856</v>
      </c>
      <c r="F873" s="678">
        <f>F874+F875+F876+F877+F878+F879+F880</f>
        <v>0</v>
      </c>
      <c r="G873" s="678">
        <f>G874+G875+G876+G877+G878+G879+G880</f>
        <v>16085</v>
      </c>
      <c r="H873" s="678">
        <f>H874+H875+H876+H877+H878+H879+H880</f>
        <v>16085</v>
      </c>
      <c r="I873" s="680">
        <f t="shared" si="191"/>
        <v>100</v>
      </c>
    </row>
    <row r="874" spans="1:9" ht="14.25" customHeight="1" x14ac:dyDescent="0.2">
      <c r="A874" s="921"/>
      <c r="B874" s="2427"/>
      <c r="C874" s="2427"/>
      <c r="D874" s="2725" t="s">
        <v>920</v>
      </c>
      <c r="E874" s="1352" t="s">
        <v>769</v>
      </c>
      <c r="F874" s="668">
        <v>0</v>
      </c>
      <c r="G874" s="668">
        <v>11</v>
      </c>
      <c r="H874" s="668">
        <v>11</v>
      </c>
      <c r="I874" s="656">
        <f t="shared" si="191"/>
        <v>100</v>
      </c>
    </row>
    <row r="875" spans="1:9" ht="14.25" x14ac:dyDescent="0.2">
      <c r="A875" s="921"/>
      <c r="B875" s="2427"/>
      <c r="C875" s="2427"/>
      <c r="D875" s="2725" t="s">
        <v>902</v>
      </c>
      <c r="E875" s="1352" t="s">
        <v>855</v>
      </c>
      <c r="F875" s="1600">
        <v>0</v>
      </c>
      <c r="G875" s="1600">
        <v>336</v>
      </c>
      <c r="H875" s="1600">
        <v>336</v>
      </c>
      <c r="I875" s="367">
        <f t="shared" ref="I875:I877" si="192">(H875/G875)*100</f>
        <v>100</v>
      </c>
    </row>
    <row r="876" spans="1:9" ht="14.25" x14ac:dyDescent="0.2">
      <c r="A876" s="921"/>
      <c r="B876" s="2427"/>
      <c r="C876" s="2427"/>
      <c r="D876" s="2725" t="s">
        <v>1896</v>
      </c>
      <c r="E876" s="1352" t="s">
        <v>1951</v>
      </c>
      <c r="F876" s="1600">
        <v>0</v>
      </c>
      <c r="G876" s="1600">
        <v>116</v>
      </c>
      <c r="H876" s="1600">
        <v>116</v>
      </c>
      <c r="I876" s="367">
        <f t="shared" si="192"/>
        <v>100</v>
      </c>
    </row>
    <row r="877" spans="1:9" ht="28.5" hidden="1" x14ac:dyDescent="0.2">
      <c r="A877" s="921"/>
      <c r="B877" s="2427"/>
      <c r="C877" s="2427"/>
      <c r="D877" s="2725" t="s">
        <v>903</v>
      </c>
      <c r="E877" s="1637" t="s">
        <v>904</v>
      </c>
      <c r="F877" s="1643"/>
      <c r="G877" s="1643"/>
      <c r="H877" s="1643"/>
      <c r="I877" s="982" t="e">
        <f t="shared" si="192"/>
        <v>#DIV/0!</v>
      </c>
    </row>
    <row r="878" spans="1:9" ht="14.25" x14ac:dyDescent="0.2">
      <c r="A878" s="921"/>
      <c r="B878" s="2427"/>
      <c r="C878" s="2427"/>
      <c r="D878" s="2726" t="s">
        <v>901</v>
      </c>
      <c r="E878" s="436" t="s">
        <v>1637</v>
      </c>
      <c r="F878" s="660">
        <v>0</v>
      </c>
      <c r="G878" s="660">
        <v>15248</v>
      </c>
      <c r="H878" s="660">
        <v>15248</v>
      </c>
      <c r="I878" s="656">
        <f t="shared" si="191"/>
        <v>100</v>
      </c>
    </row>
    <row r="879" spans="1:9" ht="14.25" x14ac:dyDescent="0.2">
      <c r="A879" s="921"/>
      <c r="B879" s="2722"/>
      <c r="C879" s="2722"/>
      <c r="D879" s="2724" t="s">
        <v>1144</v>
      </c>
      <c r="E879" s="938" t="s">
        <v>1515</v>
      </c>
      <c r="F879" s="665">
        <v>0</v>
      </c>
      <c r="G879" s="665">
        <v>56</v>
      </c>
      <c r="H879" s="665">
        <v>56</v>
      </c>
      <c r="I879" s="656">
        <f t="shared" si="191"/>
        <v>100</v>
      </c>
    </row>
    <row r="880" spans="1:9" ht="14.25" x14ac:dyDescent="0.2">
      <c r="A880" s="921"/>
      <c r="B880" s="2722"/>
      <c r="C880" s="2722"/>
      <c r="D880" s="2724" t="s">
        <v>1145</v>
      </c>
      <c r="E880" s="938" t="s">
        <v>1515</v>
      </c>
      <c r="F880" s="665">
        <v>0</v>
      </c>
      <c r="G880" s="665">
        <v>318</v>
      </c>
      <c r="H880" s="665">
        <v>318</v>
      </c>
      <c r="I880" s="656">
        <f t="shared" si="191"/>
        <v>100</v>
      </c>
    </row>
    <row r="881" spans="1:20" ht="15" x14ac:dyDescent="0.25">
      <c r="A881" s="921">
        <v>1125</v>
      </c>
      <c r="B881" s="2722">
        <v>3141</v>
      </c>
      <c r="C881" s="1350">
        <v>5336</v>
      </c>
      <c r="D881" s="2740"/>
      <c r="E881" s="602" t="s">
        <v>856</v>
      </c>
      <c r="F881" s="666">
        <f>F882</f>
        <v>0</v>
      </c>
      <c r="G881" s="666">
        <f>G882</f>
        <v>1279</v>
      </c>
      <c r="H881" s="666">
        <f>H882</f>
        <v>1279</v>
      </c>
      <c r="I881" s="667">
        <f t="shared" si="191"/>
        <v>100</v>
      </c>
    </row>
    <row r="882" spans="1:20" ht="14.25" x14ac:dyDescent="0.2">
      <c r="A882" s="921"/>
      <c r="B882" s="2722"/>
      <c r="C882" s="1350"/>
      <c r="D882" s="2726" t="s">
        <v>901</v>
      </c>
      <c r="E882" s="436" t="s">
        <v>1637</v>
      </c>
      <c r="F882" s="665">
        <v>0</v>
      </c>
      <c r="G882" s="665">
        <v>1279</v>
      </c>
      <c r="H882" s="665">
        <v>1279</v>
      </c>
      <c r="I882" s="661">
        <f t="shared" si="191"/>
        <v>100</v>
      </c>
    </row>
    <row r="883" spans="1:20" ht="15" x14ac:dyDescent="0.25">
      <c r="A883" s="921">
        <v>1125</v>
      </c>
      <c r="B883" s="2722">
        <v>3147</v>
      </c>
      <c r="C883" s="1350">
        <v>5336</v>
      </c>
      <c r="D883" s="2726"/>
      <c r="E883" s="602" t="s">
        <v>856</v>
      </c>
      <c r="F883" s="675">
        <f>F884</f>
        <v>0</v>
      </c>
      <c r="G883" s="675">
        <f>G884</f>
        <v>2114</v>
      </c>
      <c r="H883" s="675">
        <f>H884</f>
        <v>2114</v>
      </c>
      <c r="I883" s="669">
        <f t="shared" si="191"/>
        <v>100</v>
      </c>
    </row>
    <row r="884" spans="1:20" ht="15" thickBot="1" x14ac:dyDescent="0.25">
      <c r="A884" s="921"/>
      <c r="B884" s="2722"/>
      <c r="C884" s="1350"/>
      <c r="D884" s="2726" t="s">
        <v>901</v>
      </c>
      <c r="E884" s="436" t="s">
        <v>1637</v>
      </c>
      <c r="F884" s="665">
        <v>0</v>
      </c>
      <c r="G884" s="665">
        <v>2114</v>
      </c>
      <c r="H884" s="665">
        <v>2114</v>
      </c>
      <c r="I884" s="661">
        <f t="shared" si="191"/>
        <v>100</v>
      </c>
    </row>
    <row r="885" spans="1:20" ht="16.5" thickTop="1" thickBot="1" x14ac:dyDescent="0.3">
      <c r="A885" s="3233" t="s">
        <v>522</v>
      </c>
      <c r="B885" s="3234"/>
      <c r="C885" s="3234"/>
      <c r="D885" s="3234"/>
      <c r="E885" s="3234"/>
      <c r="F885" s="657">
        <f>F870</f>
        <v>0</v>
      </c>
      <c r="G885" s="657">
        <f>G870+G873+G881+G883</f>
        <v>19478</v>
      </c>
      <c r="H885" s="657">
        <f>H870+H873+H881+H883</f>
        <v>19478</v>
      </c>
      <c r="I885" s="658">
        <f t="shared" si="191"/>
        <v>100</v>
      </c>
      <c r="R885" s="373">
        <f>F885</f>
        <v>0</v>
      </c>
      <c r="S885" s="373">
        <f>G885</f>
        <v>19478</v>
      </c>
      <c r="T885" s="373">
        <f>H885</f>
        <v>19478</v>
      </c>
    </row>
    <row r="886" spans="1:20" ht="13.5" thickTop="1" x14ac:dyDescent="0.2"/>
    <row r="900" spans="1:16" ht="13.5" thickBot="1" x14ac:dyDescent="0.25">
      <c r="A900" s="419" t="s">
        <v>568</v>
      </c>
      <c r="I900" s="915" t="s">
        <v>92</v>
      </c>
    </row>
    <row r="901" spans="1:16" s="106" customFormat="1" thickTop="1" thickBot="1" x14ac:dyDescent="0.25">
      <c r="A901" s="572" t="s">
        <v>324</v>
      </c>
      <c r="B901" s="639" t="s">
        <v>93</v>
      </c>
      <c r="C901" s="573" t="s">
        <v>94</v>
      </c>
      <c r="D901" s="575" t="s">
        <v>364</v>
      </c>
      <c r="E901" s="575" t="s">
        <v>95</v>
      </c>
      <c r="F901" s="575" t="s">
        <v>328</v>
      </c>
      <c r="G901" s="575" t="s">
        <v>329</v>
      </c>
      <c r="H901" s="575" t="s">
        <v>448</v>
      </c>
      <c r="I901" s="651" t="s">
        <v>449</v>
      </c>
    </row>
    <row r="902" spans="1:16" s="374" customFormat="1" ht="13.5" thickTop="1" thickBot="1" x14ac:dyDescent="0.25">
      <c r="A902" s="511">
        <v>1</v>
      </c>
      <c r="B902" s="512">
        <v>2</v>
      </c>
      <c r="C902" s="512">
        <v>3</v>
      </c>
      <c r="D902" s="512">
        <v>4</v>
      </c>
      <c r="E902" s="512">
        <v>5</v>
      </c>
      <c r="F902" s="499">
        <v>6</v>
      </c>
      <c r="G902" s="499">
        <v>7</v>
      </c>
      <c r="H902" s="500">
        <v>8</v>
      </c>
      <c r="I902" s="577" t="s">
        <v>393</v>
      </c>
    </row>
    <row r="903" spans="1:16" ht="15.75" thickTop="1" x14ac:dyDescent="0.25">
      <c r="A903" s="921">
        <v>1126</v>
      </c>
      <c r="B903" s="2427">
        <v>3122</v>
      </c>
      <c r="C903" s="2427">
        <v>5336</v>
      </c>
      <c r="D903" s="2765"/>
      <c r="E903" s="602" t="s">
        <v>856</v>
      </c>
      <c r="F903" s="678">
        <f>F905+F904</f>
        <v>0</v>
      </c>
      <c r="G903" s="678">
        <f t="shared" ref="G903:H903" si="193">G905+G904</f>
        <v>10933</v>
      </c>
      <c r="H903" s="678">
        <f t="shared" si="193"/>
        <v>10933</v>
      </c>
      <c r="I903" s="680">
        <f t="shared" ref="I903:I920" si="194">(H903/G903)*100</f>
        <v>100</v>
      </c>
    </row>
    <row r="904" spans="1:16" ht="14.25" x14ac:dyDescent="0.2">
      <c r="A904" s="921"/>
      <c r="B904" s="2722"/>
      <c r="C904" s="2722"/>
      <c r="D904" s="2725" t="s">
        <v>920</v>
      </c>
      <c r="E904" s="1352" t="s">
        <v>769</v>
      </c>
      <c r="F904" s="665">
        <v>0</v>
      </c>
      <c r="G904" s="665">
        <v>4</v>
      </c>
      <c r="H904" s="665">
        <v>4</v>
      </c>
      <c r="I904" s="656">
        <f t="shared" si="194"/>
        <v>100</v>
      </c>
    </row>
    <row r="905" spans="1:16" ht="14.25" x14ac:dyDescent="0.2">
      <c r="A905" s="921"/>
      <c r="B905" s="2722"/>
      <c r="C905" s="2722"/>
      <c r="D905" s="2726" t="s">
        <v>901</v>
      </c>
      <c r="E905" s="436" t="s">
        <v>1637</v>
      </c>
      <c r="F905" s="665">
        <v>0</v>
      </c>
      <c r="G905" s="665">
        <v>10929</v>
      </c>
      <c r="H905" s="665">
        <v>10929</v>
      </c>
      <c r="I905" s="656">
        <f t="shared" si="194"/>
        <v>100</v>
      </c>
    </row>
    <row r="906" spans="1:16" ht="15" x14ac:dyDescent="0.25">
      <c r="A906" s="921">
        <v>1126</v>
      </c>
      <c r="B906" s="2722">
        <v>3123</v>
      </c>
      <c r="C906" s="2722">
        <v>5336</v>
      </c>
      <c r="D906" s="2763"/>
      <c r="E906" s="602" t="s">
        <v>856</v>
      </c>
      <c r="F906" s="675">
        <f>F907</f>
        <v>0</v>
      </c>
      <c r="G906" s="675">
        <f>G907</f>
        <v>11559</v>
      </c>
      <c r="H906" s="675">
        <f>H907</f>
        <v>11559</v>
      </c>
      <c r="I906" s="669">
        <f t="shared" si="194"/>
        <v>100</v>
      </c>
    </row>
    <row r="907" spans="1:16" ht="15.75" customHeight="1" x14ac:dyDescent="0.2">
      <c r="A907" s="921"/>
      <c r="B907" s="2722"/>
      <c r="C907" s="2722"/>
      <c r="D907" s="2726" t="s">
        <v>901</v>
      </c>
      <c r="E907" s="436" t="s">
        <v>1637</v>
      </c>
      <c r="F907" s="665">
        <v>0</v>
      </c>
      <c r="G907" s="665">
        <v>11559</v>
      </c>
      <c r="H907" s="665">
        <v>11559</v>
      </c>
      <c r="I907" s="661">
        <f t="shared" si="194"/>
        <v>100</v>
      </c>
    </row>
    <row r="908" spans="1:16" ht="15.75" customHeight="1" x14ac:dyDescent="0.25">
      <c r="A908" s="921">
        <v>1126</v>
      </c>
      <c r="B908" s="2722">
        <v>3127</v>
      </c>
      <c r="C908" s="2722">
        <v>5331</v>
      </c>
      <c r="D908" s="2724"/>
      <c r="E908" s="602" t="s">
        <v>481</v>
      </c>
      <c r="F908" s="675">
        <f>F909</f>
        <v>0</v>
      </c>
      <c r="G908" s="675">
        <f t="shared" ref="G908:H908" si="195">G909</f>
        <v>383</v>
      </c>
      <c r="H908" s="675">
        <f t="shared" si="195"/>
        <v>383</v>
      </c>
      <c r="I908" s="669">
        <f t="shared" si="194"/>
        <v>100</v>
      </c>
    </row>
    <row r="909" spans="1:16" ht="15.75" customHeight="1" x14ac:dyDescent="0.2">
      <c r="A909" s="921"/>
      <c r="B909" s="2722"/>
      <c r="C909" s="2722"/>
      <c r="D909" s="2726" t="s">
        <v>1891</v>
      </c>
      <c r="E909" s="692" t="s">
        <v>1952</v>
      </c>
      <c r="F909" s="665">
        <v>0</v>
      </c>
      <c r="G909" s="665">
        <v>383</v>
      </c>
      <c r="H909" s="665">
        <v>383</v>
      </c>
      <c r="I909" s="661">
        <f t="shared" ref="I909" si="196">(H909/G909)*100</f>
        <v>100</v>
      </c>
    </row>
    <row r="910" spans="1:16" ht="15" x14ac:dyDescent="0.25">
      <c r="A910" s="921">
        <v>1126</v>
      </c>
      <c r="B910" s="2722">
        <v>3127</v>
      </c>
      <c r="C910" s="2722">
        <v>5336</v>
      </c>
      <c r="D910" s="2763"/>
      <c r="E910" s="602" t="s">
        <v>856</v>
      </c>
      <c r="F910" s="666">
        <f>F911+F912+F913+F914+F915+F916+F917</f>
        <v>0</v>
      </c>
      <c r="G910" s="666">
        <f t="shared" ref="G910:H910" si="197">G911+G912+G913+G914+G915+G916+G917</f>
        <v>1873</v>
      </c>
      <c r="H910" s="666">
        <f t="shared" si="197"/>
        <v>1873</v>
      </c>
      <c r="I910" s="667">
        <f t="shared" si="194"/>
        <v>100</v>
      </c>
    </row>
    <row r="911" spans="1:16" ht="42.75" x14ac:dyDescent="0.2">
      <c r="A911" s="921"/>
      <c r="B911" s="2722"/>
      <c r="C911" s="2722"/>
      <c r="D911" s="2764" t="s">
        <v>934</v>
      </c>
      <c r="E911" s="2224" t="s">
        <v>704</v>
      </c>
      <c r="F911" s="978">
        <v>0</v>
      </c>
      <c r="G911" s="978">
        <v>77</v>
      </c>
      <c r="H911" s="978">
        <v>77</v>
      </c>
      <c r="I911" s="982">
        <f t="shared" si="194"/>
        <v>100</v>
      </c>
      <c r="J911" s="941"/>
      <c r="K911" s="941"/>
      <c r="L911" s="941"/>
      <c r="M911" s="941"/>
      <c r="N911" s="941"/>
      <c r="O911" s="941"/>
      <c r="P911" s="941"/>
    </row>
    <row r="912" spans="1:16" ht="14.25" hidden="1" x14ac:dyDescent="0.2">
      <c r="A912" s="921"/>
      <c r="B912" s="2722"/>
      <c r="C912" s="2722"/>
      <c r="D912" s="2725" t="s">
        <v>920</v>
      </c>
      <c r="E912" s="1352" t="s">
        <v>769</v>
      </c>
      <c r="F912" s="668"/>
      <c r="G912" s="668"/>
      <c r="H912" s="668"/>
      <c r="I912" s="367" t="e">
        <f t="shared" si="194"/>
        <v>#DIV/0!</v>
      </c>
    </row>
    <row r="913" spans="1:20" ht="14.25" x14ac:dyDescent="0.2">
      <c r="A913" s="921"/>
      <c r="B913" s="2722"/>
      <c r="C913" s="2722"/>
      <c r="D913" s="2726" t="s">
        <v>912</v>
      </c>
      <c r="E913" s="436" t="s">
        <v>817</v>
      </c>
      <c r="F913" s="668">
        <v>0</v>
      </c>
      <c r="G913" s="668">
        <v>626</v>
      </c>
      <c r="H913" s="668">
        <v>626</v>
      </c>
      <c r="I913" s="367">
        <f t="shared" si="194"/>
        <v>100</v>
      </c>
    </row>
    <row r="914" spans="1:20" ht="14.25" x14ac:dyDescent="0.2">
      <c r="A914" s="921"/>
      <c r="B914" s="2722"/>
      <c r="C914" s="2722"/>
      <c r="D914" s="2725" t="s">
        <v>902</v>
      </c>
      <c r="E914" s="1352" t="s">
        <v>855</v>
      </c>
      <c r="F914" s="668">
        <v>0</v>
      </c>
      <c r="G914" s="668">
        <v>451</v>
      </c>
      <c r="H914" s="668">
        <v>451</v>
      </c>
      <c r="I914" s="367">
        <f t="shared" si="194"/>
        <v>100</v>
      </c>
    </row>
    <row r="915" spans="1:20" ht="14.25" x14ac:dyDescent="0.2">
      <c r="A915" s="921"/>
      <c r="B915" s="2722"/>
      <c r="C915" s="2722"/>
      <c r="D915" s="2725" t="s">
        <v>1896</v>
      </c>
      <c r="E915" s="2211" t="s">
        <v>1951</v>
      </c>
      <c r="F915" s="978">
        <v>0</v>
      </c>
      <c r="G915" s="978">
        <v>133</v>
      </c>
      <c r="H915" s="978">
        <v>133</v>
      </c>
      <c r="I915" s="982">
        <f t="shared" si="194"/>
        <v>100</v>
      </c>
    </row>
    <row r="916" spans="1:20" ht="14.25" x14ac:dyDescent="0.2">
      <c r="A916" s="921"/>
      <c r="B916" s="2722"/>
      <c r="C916" s="2722"/>
      <c r="D916" s="2724" t="s">
        <v>1144</v>
      </c>
      <c r="E916" s="3105" t="s">
        <v>1515</v>
      </c>
      <c r="F916" s="978">
        <v>0</v>
      </c>
      <c r="G916" s="978">
        <v>88</v>
      </c>
      <c r="H916" s="978">
        <v>88</v>
      </c>
      <c r="I916" s="982">
        <f t="shared" si="194"/>
        <v>100</v>
      </c>
    </row>
    <row r="917" spans="1:20" ht="14.25" x14ac:dyDescent="0.2">
      <c r="A917" s="921"/>
      <c r="B917" s="2722"/>
      <c r="C917" s="2722"/>
      <c r="D917" s="2724" t="s">
        <v>1145</v>
      </c>
      <c r="E917" s="3105" t="s">
        <v>1515</v>
      </c>
      <c r="F917" s="978">
        <v>0</v>
      </c>
      <c r="G917" s="978">
        <v>498</v>
      </c>
      <c r="H917" s="978">
        <v>498</v>
      </c>
      <c r="I917" s="982">
        <f t="shared" si="194"/>
        <v>100</v>
      </c>
    </row>
    <row r="918" spans="1:20" ht="15" x14ac:dyDescent="0.25">
      <c r="A918" s="921">
        <v>1126</v>
      </c>
      <c r="B918" s="2722">
        <v>3299</v>
      </c>
      <c r="C918" s="2722">
        <v>5331</v>
      </c>
      <c r="D918" s="2763"/>
      <c r="E918" s="845" t="s">
        <v>481</v>
      </c>
      <c r="F918" s="666">
        <f>F919</f>
        <v>0</v>
      </c>
      <c r="G918" s="666">
        <f>G919</f>
        <v>172</v>
      </c>
      <c r="H918" s="666">
        <f>H919</f>
        <v>172</v>
      </c>
      <c r="I918" s="667">
        <f t="shared" si="194"/>
        <v>100</v>
      </c>
    </row>
    <row r="919" spans="1:20" ht="15" thickBot="1" x14ac:dyDescent="0.25">
      <c r="A919" s="921"/>
      <c r="B919" s="2722"/>
      <c r="C919" s="1350"/>
      <c r="D919" s="2723" t="s">
        <v>1891</v>
      </c>
      <c r="E919" s="2623" t="s">
        <v>1952</v>
      </c>
      <c r="F919" s="665">
        <v>0</v>
      </c>
      <c r="G919" s="870">
        <v>172</v>
      </c>
      <c r="H919" s="870">
        <v>172</v>
      </c>
      <c r="I919" s="982">
        <f t="shared" si="194"/>
        <v>100</v>
      </c>
    </row>
    <row r="920" spans="1:20" ht="16.5" thickTop="1" thickBot="1" x14ac:dyDescent="0.3">
      <c r="A920" s="3233" t="s">
        <v>522</v>
      </c>
      <c r="B920" s="3234"/>
      <c r="C920" s="3234"/>
      <c r="D920" s="3234"/>
      <c r="E920" s="3234"/>
      <c r="F920" s="657">
        <f>F910+F906+F903+F908+F918</f>
        <v>0</v>
      </c>
      <c r="G920" s="657">
        <f>G910+G906+G903+G908+G918</f>
        <v>24920</v>
      </c>
      <c r="H920" s="657">
        <f>H910+H906+H903+H908+H918</f>
        <v>24920</v>
      </c>
      <c r="I920" s="658">
        <f t="shared" si="194"/>
        <v>100</v>
      </c>
      <c r="R920" s="373">
        <f>F920</f>
        <v>0</v>
      </c>
      <c r="S920" s="373">
        <f>G920</f>
        <v>24920</v>
      </c>
      <c r="T920" s="373">
        <f>H920</f>
        <v>24920</v>
      </c>
    </row>
    <row r="921" spans="1:20" ht="15.75" thickTop="1" x14ac:dyDescent="0.25">
      <c r="A921" s="360"/>
      <c r="B921" s="360"/>
      <c r="C921" s="360"/>
      <c r="D921" s="360"/>
      <c r="E921" s="360"/>
      <c r="F921" s="177"/>
      <c r="G921" s="177"/>
      <c r="H921" s="177"/>
      <c r="I921" s="206"/>
      <c r="R921" s="373"/>
      <c r="S921" s="373"/>
      <c r="T921" s="373"/>
    </row>
    <row r="922" spans="1:20" ht="15" x14ac:dyDescent="0.25">
      <c r="A922" s="360"/>
      <c r="B922" s="360"/>
      <c r="C922" s="360"/>
      <c r="D922" s="360"/>
      <c r="E922" s="360"/>
      <c r="F922" s="177"/>
      <c r="G922" s="177"/>
      <c r="H922" s="177"/>
      <c r="I922" s="206"/>
      <c r="R922" s="373"/>
      <c r="S922" s="373"/>
      <c r="T922" s="373"/>
    </row>
    <row r="923" spans="1:20" ht="13.5" thickBot="1" x14ac:dyDescent="0.25">
      <c r="A923" s="419" t="s">
        <v>141</v>
      </c>
      <c r="I923" s="915" t="s">
        <v>92</v>
      </c>
    </row>
    <row r="924" spans="1:20" s="106" customFormat="1" thickTop="1" thickBot="1" x14ac:dyDescent="0.25">
      <c r="A924" s="572" t="s">
        <v>324</v>
      </c>
      <c r="B924" s="639" t="s">
        <v>93</v>
      </c>
      <c r="C924" s="573" t="s">
        <v>94</v>
      </c>
      <c r="D924" s="575" t="s">
        <v>364</v>
      </c>
      <c r="E924" s="575" t="s">
        <v>95</v>
      </c>
      <c r="F924" s="575" t="s">
        <v>328</v>
      </c>
      <c r="G924" s="575" t="s">
        <v>329</v>
      </c>
      <c r="H924" s="575" t="s">
        <v>448</v>
      </c>
      <c r="I924" s="651" t="s">
        <v>449</v>
      </c>
    </row>
    <row r="925" spans="1:20" s="374" customFormat="1" ht="13.5" thickTop="1" thickBot="1" x14ac:dyDescent="0.25">
      <c r="A925" s="511">
        <v>1</v>
      </c>
      <c r="B925" s="512">
        <v>2</v>
      </c>
      <c r="C925" s="512">
        <v>3</v>
      </c>
      <c r="D925" s="512">
        <v>4</v>
      </c>
      <c r="E925" s="512">
        <v>5</v>
      </c>
      <c r="F925" s="499">
        <v>6</v>
      </c>
      <c r="G925" s="499">
        <v>7</v>
      </c>
      <c r="H925" s="500">
        <v>8</v>
      </c>
      <c r="I925" s="577" t="s">
        <v>393</v>
      </c>
    </row>
    <row r="926" spans="1:20" ht="15.75" thickTop="1" x14ac:dyDescent="0.25">
      <c r="A926" s="921">
        <v>1127</v>
      </c>
      <c r="B926" s="2722">
        <v>3122</v>
      </c>
      <c r="C926" s="2722">
        <v>5336</v>
      </c>
      <c r="D926" s="2763"/>
      <c r="E926" s="602" t="s">
        <v>856</v>
      </c>
      <c r="F926" s="675">
        <f>F927+F928+F929</f>
        <v>0</v>
      </c>
      <c r="G926" s="675">
        <f>G927+G928+G929</f>
        <v>6885</v>
      </c>
      <c r="H926" s="675">
        <f>H927+H928+H929</f>
        <v>6885</v>
      </c>
      <c r="I926" s="680">
        <v>100</v>
      </c>
    </row>
    <row r="927" spans="1:20" ht="14.25" x14ac:dyDescent="0.2">
      <c r="A927" s="921"/>
      <c r="B927" s="2722"/>
      <c r="C927" s="1350"/>
      <c r="D927" s="2726" t="s">
        <v>901</v>
      </c>
      <c r="E927" s="436" t="s">
        <v>1637</v>
      </c>
      <c r="F927" s="665">
        <v>0</v>
      </c>
      <c r="G927" s="665">
        <v>6885</v>
      </c>
      <c r="H927" s="665">
        <v>6885</v>
      </c>
      <c r="I927" s="661">
        <f>(H927/G927)*100</f>
        <v>100</v>
      </c>
    </row>
    <row r="928" spans="1:20" s="374" customFormat="1" ht="14.25" hidden="1" x14ac:dyDescent="0.2">
      <c r="A928" s="921"/>
      <c r="B928" s="2427"/>
      <c r="C928" s="2427"/>
      <c r="D928" s="2766" t="s">
        <v>939</v>
      </c>
      <c r="E928" s="926" t="s">
        <v>572</v>
      </c>
      <c r="F928" s="665"/>
      <c r="G928" s="665"/>
      <c r="H928" s="665"/>
      <c r="I928" s="661" t="e">
        <f>(H928/G928)*100</f>
        <v>#DIV/0!</v>
      </c>
    </row>
    <row r="929" spans="1:9" s="374" customFormat="1" ht="14.25" hidden="1" x14ac:dyDescent="0.2">
      <c r="A929" s="690"/>
      <c r="B929" s="691"/>
      <c r="C929" s="691"/>
      <c r="D929" s="2766" t="s">
        <v>940</v>
      </c>
      <c r="E929" s="926" t="s">
        <v>572</v>
      </c>
      <c r="F929" s="665"/>
      <c r="G929" s="665"/>
      <c r="H929" s="665"/>
      <c r="I929" s="661" t="e">
        <f>(H929/G929)*100</f>
        <v>#DIV/0!</v>
      </c>
    </row>
    <row r="930" spans="1:9" ht="15" x14ac:dyDescent="0.25">
      <c r="A930" s="921">
        <v>1127</v>
      </c>
      <c r="B930" s="2722">
        <v>3123</v>
      </c>
      <c r="C930" s="1350">
        <v>5336</v>
      </c>
      <c r="D930" s="2725"/>
      <c r="E930" s="602" t="s">
        <v>856</v>
      </c>
      <c r="F930" s="675">
        <f>F931</f>
        <v>0</v>
      </c>
      <c r="G930" s="675">
        <f>G931</f>
        <v>16656</v>
      </c>
      <c r="H930" s="675">
        <f>H931</f>
        <v>16656</v>
      </c>
      <c r="I930" s="669">
        <f t="shared" ref="I930:I948" si="198">(H930/G930)*100</f>
        <v>100</v>
      </c>
    </row>
    <row r="931" spans="1:9" ht="14.25" x14ac:dyDescent="0.2">
      <c r="A931" s="921"/>
      <c r="B931" s="2722"/>
      <c r="C931" s="1350"/>
      <c r="D931" s="2726" t="s">
        <v>901</v>
      </c>
      <c r="E931" s="436" t="s">
        <v>1637</v>
      </c>
      <c r="F931" s="665">
        <v>0</v>
      </c>
      <c r="G931" s="665">
        <v>16656</v>
      </c>
      <c r="H931" s="665">
        <v>16656</v>
      </c>
      <c r="I931" s="661">
        <f t="shared" si="198"/>
        <v>100</v>
      </c>
    </row>
    <row r="932" spans="1:9" ht="15" x14ac:dyDescent="0.25">
      <c r="A932" s="921">
        <v>1127</v>
      </c>
      <c r="B932" s="2722">
        <v>3124</v>
      </c>
      <c r="C932" s="1350">
        <v>5336</v>
      </c>
      <c r="D932" s="2726"/>
      <c r="E932" s="602" t="s">
        <v>856</v>
      </c>
      <c r="F932" s="675">
        <f>F933</f>
        <v>0</v>
      </c>
      <c r="G932" s="675">
        <f>G933</f>
        <v>1416</v>
      </c>
      <c r="H932" s="675">
        <f>H933</f>
        <v>1416</v>
      </c>
      <c r="I932" s="669">
        <f t="shared" si="198"/>
        <v>100</v>
      </c>
    </row>
    <row r="933" spans="1:9" ht="14.25" x14ac:dyDescent="0.2">
      <c r="A933" s="921"/>
      <c r="B933" s="2722"/>
      <c r="C933" s="1350"/>
      <c r="D933" s="2726" t="s">
        <v>901</v>
      </c>
      <c r="E933" s="436" t="s">
        <v>1637</v>
      </c>
      <c r="F933" s="665">
        <v>0</v>
      </c>
      <c r="G933" s="665">
        <v>1416</v>
      </c>
      <c r="H933" s="665">
        <v>1416</v>
      </c>
      <c r="I933" s="661">
        <f t="shared" si="198"/>
        <v>100</v>
      </c>
    </row>
    <row r="934" spans="1:9" ht="15" x14ac:dyDescent="0.25">
      <c r="A934" s="921">
        <v>1127</v>
      </c>
      <c r="B934" s="2722">
        <v>3127</v>
      </c>
      <c r="C934" s="2722">
        <v>5331</v>
      </c>
      <c r="D934" s="2732"/>
      <c r="E934" s="602" t="s">
        <v>481</v>
      </c>
      <c r="F934" s="675">
        <f>F935</f>
        <v>0</v>
      </c>
      <c r="G934" s="675">
        <f t="shared" ref="G934:H934" si="199">G935</f>
        <v>106</v>
      </c>
      <c r="H934" s="675">
        <f t="shared" si="199"/>
        <v>106</v>
      </c>
      <c r="I934" s="669">
        <f t="shared" si="198"/>
        <v>100</v>
      </c>
    </row>
    <row r="935" spans="1:9" ht="14.25" x14ac:dyDescent="0.2">
      <c r="A935" s="921"/>
      <c r="B935" s="2722"/>
      <c r="C935" s="2722"/>
      <c r="D935" s="2726" t="s">
        <v>1891</v>
      </c>
      <c r="E935" s="436" t="s">
        <v>1952</v>
      </c>
      <c r="F935" s="665">
        <v>0</v>
      </c>
      <c r="G935" s="665">
        <v>106</v>
      </c>
      <c r="H935" s="665">
        <v>106</v>
      </c>
      <c r="I935" s="661">
        <f t="shared" si="198"/>
        <v>100</v>
      </c>
    </row>
    <row r="936" spans="1:9" ht="15" x14ac:dyDescent="0.25">
      <c r="A936" s="921">
        <v>1127</v>
      </c>
      <c r="B936" s="2722">
        <v>3127</v>
      </c>
      <c r="C936" s="1350">
        <v>5336</v>
      </c>
      <c r="D936" s="2726"/>
      <c r="E936" s="602" t="s">
        <v>856</v>
      </c>
      <c r="F936" s="675">
        <f>F937+F939+F940+F941+F942+F938</f>
        <v>0</v>
      </c>
      <c r="G936" s="675">
        <f t="shared" ref="G936:H936" si="200">G937+G939+G940+G941+G942+G938</f>
        <v>9181</v>
      </c>
      <c r="H936" s="675">
        <f t="shared" si="200"/>
        <v>9181</v>
      </c>
      <c r="I936" s="669">
        <f t="shared" si="198"/>
        <v>100</v>
      </c>
    </row>
    <row r="937" spans="1:9" ht="14.25" x14ac:dyDescent="0.2">
      <c r="A937" s="921"/>
      <c r="B937" s="2722"/>
      <c r="C937" s="1350"/>
      <c r="D937" s="2726" t="s">
        <v>912</v>
      </c>
      <c r="E937" s="436" t="s">
        <v>817</v>
      </c>
      <c r="F937" s="665">
        <v>0</v>
      </c>
      <c r="G937" s="665">
        <v>617</v>
      </c>
      <c r="H937" s="665">
        <v>617</v>
      </c>
      <c r="I937" s="661">
        <f t="shared" si="198"/>
        <v>100</v>
      </c>
    </row>
    <row r="938" spans="1:9" ht="14.25" x14ac:dyDescent="0.2">
      <c r="A938" s="921"/>
      <c r="B938" s="2722"/>
      <c r="C938" s="1350"/>
      <c r="D938" s="2726" t="s">
        <v>1896</v>
      </c>
      <c r="E938" s="436" t="s">
        <v>1951</v>
      </c>
      <c r="F938" s="665">
        <v>0</v>
      </c>
      <c r="G938" s="665">
        <v>256</v>
      </c>
      <c r="H938" s="665">
        <v>256</v>
      </c>
      <c r="I938" s="661">
        <f t="shared" si="198"/>
        <v>100</v>
      </c>
    </row>
    <row r="939" spans="1:9" ht="14.25" x14ac:dyDescent="0.2">
      <c r="A939" s="921"/>
      <c r="B939" s="2722"/>
      <c r="C939" s="1350"/>
      <c r="D939" s="2725" t="s">
        <v>902</v>
      </c>
      <c r="E939" s="1352" t="s">
        <v>855</v>
      </c>
      <c r="F939" s="665">
        <v>0</v>
      </c>
      <c r="G939" s="665">
        <v>674</v>
      </c>
      <c r="H939" s="665">
        <v>674</v>
      </c>
      <c r="I939" s="661">
        <f t="shared" si="198"/>
        <v>100</v>
      </c>
    </row>
    <row r="940" spans="1:9" ht="28.5" hidden="1" x14ac:dyDescent="0.2">
      <c r="A940" s="921"/>
      <c r="B940" s="2722"/>
      <c r="C940" s="1350"/>
      <c r="D940" s="2725" t="s">
        <v>903</v>
      </c>
      <c r="E940" s="2892" t="s">
        <v>904</v>
      </c>
      <c r="F940" s="665"/>
      <c r="G940" s="870"/>
      <c r="H940" s="870"/>
      <c r="I940" s="874" t="e">
        <f t="shared" si="198"/>
        <v>#DIV/0!</v>
      </c>
    </row>
    <row r="941" spans="1:9" ht="14.25" x14ac:dyDescent="0.2">
      <c r="A941" s="921"/>
      <c r="B941" s="2722"/>
      <c r="C941" s="1350"/>
      <c r="D941" s="2726" t="s">
        <v>1144</v>
      </c>
      <c r="E941" s="938" t="s">
        <v>1515</v>
      </c>
      <c r="F941" s="665">
        <v>0</v>
      </c>
      <c r="G941" s="665">
        <v>1145</v>
      </c>
      <c r="H941" s="665">
        <v>1145</v>
      </c>
      <c r="I941" s="661">
        <f t="shared" si="198"/>
        <v>100</v>
      </c>
    </row>
    <row r="942" spans="1:9" ht="14.25" x14ac:dyDescent="0.2">
      <c r="A942" s="921"/>
      <c r="B942" s="2722"/>
      <c r="C942" s="1350"/>
      <c r="D942" s="2726" t="s">
        <v>1145</v>
      </c>
      <c r="E942" s="938" t="s">
        <v>1515</v>
      </c>
      <c r="F942" s="665">
        <v>0</v>
      </c>
      <c r="G942" s="665">
        <v>6489</v>
      </c>
      <c r="H942" s="665">
        <v>6489</v>
      </c>
      <c r="I942" s="661">
        <f t="shared" si="198"/>
        <v>100</v>
      </c>
    </row>
    <row r="943" spans="1:9" ht="15" hidden="1" x14ac:dyDescent="0.25">
      <c r="A943" s="2754">
        <v>1127</v>
      </c>
      <c r="B943" s="2755">
        <v>3127</v>
      </c>
      <c r="C943" s="2755">
        <v>5331</v>
      </c>
      <c r="D943" s="2756"/>
      <c r="E943" s="845" t="s">
        <v>481</v>
      </c>
      <c r="F943" s="665"/>
      <c r="G943" s="675">
        <f>G944</f>
        <v>0</v>
      </c>
      <c r="H943" s="675">
        <f>H944</f>
        <v>0</v>
      </c>
      <c r="I943" s="669" t="e">
        <f t="shared" si="198"/>
        <v>#DIV/0!</v>
      </c>
    </row>
    <row r="944" spans="1:9" ht="28.5" hidden="1" x14ac:dyDescent="0.2">
      <c r="A944" s="2754"/>
      <c r="B944" s="2755"/>
      <c r="C944" s="2761"/>
      <c r="D944" s="2768" t="s">
        <v>1134</v>
      </c>
      <c r="E944" s="2623" t="s">
        <v>1527</v>
      </c>
      <c r="F944" s="665"/>
      <c r="G944" s="870"/>
      <c r="H944" s="870"/>
      <c r="I944" s="874" t="e">
        <f t="shared" si="198"/>
        <v>#DIV/0!</v>
      </c>
    </row>
    <row r="945" spans="1:20" ht="15" x14ac:dyDescent="0.25">
      <c r="A945" s="921">
        <v>1127</v>
      </c>
      <c r="B945" s="2722">
        <v>3141</v>
      </c>
      <c r="C945" s="1350">
        <v>5336</v>
      </c>
      <c r="D945" s="2724"/>
      <c r="E945" s="602" t="s">
        <v>856</v>
      </c>
      <c r="F945" s="675">
        <f>F946</f>
        <v>0</v>
      </c>
      <c r="G945" s="675">
        <f>G946</f>
        <v>2425</v>
      </c>
      <c r="H945" s="675">
        <f>H946</f>
        <v>2425</v>
      </c>
      <c r="I945" s="667">
        <f t="shared" si="198"/>
        <v>100</v>
      </c>
    </row>
    <row r="946" spans="1:20" ht="14.25" x14ac:dyDescent="0.2">
      <c r="A946" s="921"/>
      <c r="B946" s="2722"/>
      <c r="C946" s="1350"/>
      <c r="D946" s="2726" t="s">
        <v>901</v>
      </c>
      <c r="E946" s="436" t="s">
        <v>1637</v>
      </c>
      <c r="F946" s="665">
        <v>0</v>
      </c>
      <c r="G946" s="665">
        <v>2425</v>
      </c>
      <c r="H946" s="665">
        <v>2425</v>
      </c>
      <c r="I946" s="661">
        <f t="shared" si="198"/>
        <v>100</v>
      </c>
    </row>
    <row r="947" spans="1:20" ht="15" x14ac:dyDescent="0.25">
      <c r="A947" s="921">
        <v>1127</v>
      </c>
      <c r="B947" s="2722">
        <v>3147</v>
      </c>
      <c r="C947" s="2722">
        <v>5336</v>
      </c>
      <c r="D947" s="2724"/>
      <c r="E947" s="602" t="s">
        <v>856</v>
      </c>
      <c r="F947" s="675">
        <f>F948</f>
        <v>0</v>
      </c>
      <c r="G947" s="675">
        <f>G948</f>
        <v>4191</v>
      </c>
      <c r="H947" s="675">
        <f>H948</f>
        <v>4191</v>
      </c>
      <c r="I947" s="967">
        <f t="shared" si="198"/>
        <v>100</v>
      </c>
    </row>
    <row r="948" spans="1:20" ht="14.25" customHeight="1" x14ac:dyDescent="0.2">
      <c r="A948" s="921"/>
      <c r="B948" s="2722"/>
      <c r="C948" s="1350"/>
      <c r="D948" s="2724" t="s">
        <v>901</v>
      </c>
      <c r="E948" s="692" t="s">
        <v>1637</v>
      </c>
      <c r="F948" s="665">
        <v>0</v>
      </c>
      <c r="G948" s="665">
        <v>4191</v>
      </c>
      <c r="H948" s="665">
        <v>4191</v>
      </c>
      <c r="I948" s="966">
        <f t="shared" si="198"/>
        <v>100</v>
      </c>
    </row>
    <row r="949" spans="1:20" ht="14.25" customHeight="1" x14ac:dyDescent="0.25">
      <c r="A949" s="921">
        <v>1127</v>
      </c>
      <c r="B949" s="2722">
        <v>3299</v>
      </c>
      <c r="C949" s="2722">
        <v>5331</v>
      </c>
      <c r="D949" s="2732"/>
      <c r="E949" s="602" t="s">
        <v>481</v>
      </c>
      <c r="F949" s="675">
        <f>F950</f>
        <v>0</v>
      </c>
      <c r="G949" s="675">
        <f t="shared" ref="G949" si="201">G950</f>
        <v>74</v>
      </c>
      <c r="H949" s="675">
        <f t="shared" ref="H949" si="202">H950</f>
        <v>74</v>
      </c>
      <c r="I949" s="669">
        <f t="shared" ref="I949:I950" si="203">(H949/G949)*100</f>
        <v>100</v>
      </c>
    </row>
    <row r="950" spans="1:20" ht="14.25" customHeight="1" thickBot="1" x14ac:dyDescent="0.25">
      <c r="A950" s="921"/>
      <c r="B950" s="2722"/>
      <c r="C950" s="2722"/>
      <c r="D950" s="2726" t="s">
        <v>1891</v>
      </c>
      <c r="E950" s="436" t="s">
        <v>1952</v>
      </c>
      <c r="F950" s="665">
        <v>0</v>
      </c>
      <c r="G950" s="665">
        <v>74</v>
      </c>
      <c r="H950" s="665">
        <v>74</v>
      </c>
      <c r="I950" s="661">
        <f t="shared" si="203"/>
        <v>100</v>
      </c>
    </row>
    <row r="951" spans="1:20" ht="16.5" thickTop="1" thickBot="1" x14ac:dyDescent="0.3">
      <c r="A951" s="3233" t="s">
        <v>522</v>
      </c>
      <c r="B951" s="3234"/>
      <c r="C951" s="3234"/>
      <c r="D951" s="3234"/>
      <c r="E951" s="3234"/>
      <c r="F951" s="657">
        <f>F934</f>
        <v>0</v>
      </c>
      <c r="G951" s="657">
        <f>G947+G945+G936+G934+G932+G930+G926+G943+G949</f>
        <v>40934</v>
      </c>
      <c r="H951" s="657">
        <f>H947+H945+H936+H934+H932+H930+H926+H943+H949</f>
        <v>40934</v>
      </c>
      <c r="I951" s="710">
        <f>(H951/G951)*100</f>
        <v>100</v>
      </c>
      <c r="R951" s="373">
        <f>F951</f>
        <v>0</v>
      </c>
      <c r="S951" s="373">
        <f>G951</f>
        <v>40934</v>
      </c>
      <c r="T951" s="373">
        <f>H951</f>
        <v>40934</v>
      </c>
    </row>
    <row r="952" spans="1:20" ht="15.75" thickTop="1" x14ac:dyDescent="0.25">
      <c r="A952" s="360"/>
      <c r="B952" s="360"/>
      <c r="C952" s="360"/>
      <c r="D952" s="360"/>
      <c r="E952" s="360"/>
      <c r="F952" s="179"/>
      <c r="G952" s="179"/>
      <c r="H952" s="179"/>
      <c r="I952" s="210"/>
      <c r="R952" s="373"/>
      <c r="S952" s="373"/>
      <c r="T952" s="373"/>
    </row>
    <row r="953" spans="1:20" ht="15" x14ac:dyDescent="0.25">
      <c r="A953" s="360"/>
      <c r="B953" s="360"/>
      <c r="C953" s="360"/>
      <c r="D953" s="360"/>
      <c r="E953" s="360"/>
      <c r="F953" s="179"/>
      <c r="G953" s="179"/>
      <c r="H953" s="179"/>
      <c r="I953" s="210"/>
      <c r="R953" s="373"/>
      <c r="S953" s="373"/>
      <c r="T953" s="373"/>
    </row>
    <row r="954" spans="1:20" ht="13.5" thickBot="1" x14ac:dyDescent="0.25">
      <c r="A954" s="419" t="s">
        <v>571</v>
      </c>
      <c r="I954" s="915" t="s">
        <v>92</v>
      </c>
    </row>
    <row r="955" spans="1:20" s="106" customFormat="1" thickTop="1" thickBot="1" x14ac:dyDescent="0.25">
      <c r="A955" s="572" t="s">
        <v>324</v>
      </c>
      <c r="B955" s="639" t="s">
        <v>93</v>
      </c>
      <c r="C955" s="573" t="s">
        <v>94</v>
      </c>
      <c r="D955" s="575" t="s">
        <v>364</v>
      </c>
      <c r="E955" s="575" t="s">
        <v>95</v>
      </c>
      <c r="F955" s="575" t="s">
        <v>328</v>
      </c>
      <c r="G955" s="575" t="s">
        <v>329</v>
      </c>
      <c r="H955" s="575" t="s">
        <v>448</v>
      </c>
      <c r="I955" s="651" t="s">
        <v>449</v>
      </c>
    </row>
    <row r="956" spans="1:20" s="374" customFormat="1" ht="13.5" thickTop="1" thickBot="1" x14ac:dyDescent="0.25">
      <c r="A956" s="511">
        <v>1</v>
      </c>
      <c r="B956" s="512">
        <v>2</v>
      </c>
      <c r="C956" s="512">
        <v>3</v>
      </c>
      <c r="D956" s="512">
        <v>4</v>
      </c>
      <c r="E956" s="512">
        <v>5</v>
      </c>
      <c r="F956" s="499">
        <v>6</v>
      </c>
      <c r="G956" s="499">
        <v>7</v>
      </c>
      <c r="H956" s="500">
        <v>8</v>
      </c>
      <c r="I956" s="577" t="s">
        <v>393</v>
      </c>
    </row>
    <row r="957" spans="1:20" ht="15.75" thickTop="1" x14ac:dyDescent="0.25">
      <c r="A957" s="921">
        <v>1128</v>
      </c>
      <c r="B957" s="2427">
        <v>3122</v>
      </c>
      <c r="C957" s="2427">
        <v>5336</v>
      </c>
      <c r="D957" s="2763"/>
      <c r="E957" s="602" t="s">
        <v>856</v>
      </c>
      <c r="F957" s="678">
        <f>F959+F958</f>
        <v>0</v>
      </c>
      <c r="G957" s="678">
        <f t="shared" ref="G957:H957" si="204">G959+G958</f>
        <v>17952</v>
      </c>
      <c r="H957" s="678">
        <f t="shared" si="204"/>
        <v>17952</v>
      </c>
      <c r="I957" s="680">
        <f t="shared" ref="I957:I979" si="205">(H957/G957)*100</f>
        <v>100</v>
      </c>
    </row>
    <row r="958" spans="1:20" ht="14.25" x14ac:dyDescent="0.2">
      <c r="A958" s="921"/>
      <c r="B958" s="2427"/>
      <c r="C958" s="2427"/>
      <c r="D958" s="2725" t="s">
        <v>920</v>
      </c>
      <c r="E958" s="1352" t="s">
        <v>769</v>
      </c>
      <c r="F958" s="660">
        <v>0</v>
      </c>
      <c r="G958" s="660">
        <v>15</v>
      </c>
      <c r="H958" s="660">
        <v>15</v>
      </c>
      <c r="I958" s="656">
        <f t="shared" si="205"/>
        <v>100</v>
      </c>
    </row>
    <row r="959" spans="1:20" ht="14.25" x14ac:dyDescent="0.2">
      <c r="A959" s="921"/>
      <c r="B959" s="2427"/>
      <c r="C959" s="2427"/>
      <c r="D959" s="2726" t="s">
        <v>901</v>
      </c>
      <c r="E959" s="436" t="s">
        <v>1637</v>
      </c>
      <c r="F959" s="660">
        <v>0</v>
      </c>
      <c r="G959" s="660">
        <v>17937</v>
      </c>
      <c r="H959" s="660">
        <v>17937</v>
      </c>
      <c r="I959" s="656">
        <f t="shared" si="205"/>
        <v>100</v>
      </c>
    </row>
    <row r="960" spans="1:20" ht="15" x14ac:dyDescent="0.25">
      <c r="A960" s="921">
        <v>1128</v>
      </c>
      <c r="B960" s="2722">
        <v>3123</v>
      </c>
      <c r="C960" s="2722">
        <v>5336</v>
      </c>
      <c r="D960" s="2763"/>
      <c r="E960" s="602" t="s">
        <v>856</v>
      </c>
      <c r="F960" s="675">
        <f>F961</f>
        <v>0</v>
      </c>
      <c r="G960" s="675">
        <f>G961</f>
        <v>14842</v>
      </c>
      <c r="H960" s="675">
        <f>H961</f>
        <v>14842</v>
      </c>
      <c r="I960" s="669">
        <f t="shared" si="205"/>
        <v>100</v>
      </c>
    </row>
    <row r="961" spans="1:9" ht="14.25" x14ac:dyDescent="0.2">
      <c r="A961" s="921"/>
      <c r="B961" s="2722"/>
      <c r="C961" s="2722"/>
      <c r="D961" s="2726" t="s">
        <v>901</v>
      </c>
      <c r="E961" s="436" t="s">
        <v>1637</v>
      </c>
      <c r="F961" s="665">
        <v>0</v>
      </c>
      <c r="G961" s="665">
        <v>14842</v>
      </c>
      <c r="H961" s="665">
        <v>14842</v>
      </c>
      <c r="I961" s="661">
        <f t="shared" si="205"/>
        <v>100</v>
      </c>
    </row>
    <row r="962" spans="1:9" ht="15" x14ac:dyDescent="0.25">
      <c r="A962" s="921">
        <v>1128</v>
      </c>
      <c r="B962" s="2722">
        <v>3127</v>
      </c>
      <c r="C962" s="2722">
        <v>5331</v>
      </c>
      <c r="D962" s="2732"/>
      <c r="E962" s="602" t="s">
        <v>481</v>
      </c>
      <c r="F962" s="675">
        <f>F963</f>
        <v>0</v>
      </c>
      <c r="G962" s="675">
        <f t="shared" ref="G962:H962" si="206">G963</f>
        <v>415</v>
      </c>
      <c r="H962" s="675">
        <f t="shared" si="206"/>
        <v>415</v>
      </c>
      <c r="I962" s="669">
        <f t="shared" si="205"/>
        <v>100</v>
      </c>
    </row>
    <row r="963" spans="1:9" ht="14.25" x14ac:dyDescent="0.2">
      <c r="A963" s="921"/>
      <c r="B963" s="2722"/>
      <c r="C963" s="2722"/>
      <c r="D963" s="2726" t="s">
        <v>1891</v>
      </c>
      <c r="E963" s="692" t="s">
        <v>1952</v>
      </c>
      <c r="F963" s="665">
        <v>0</v>
      </c>
      <c r="G963" s="665">
        <v>415</v>
      </c>
      <c r="H963" s="665">
        <v>415</v>
      </c>
      <c r="I963" s="661">
        <f t="shared" si="205"/>
        <v>100</v>
      </c>
    </row>
    <row r="964" spans="1:9" ht="15" x14ac:dyDescent="0.25">
      <c r="A964" s="921">
        <v>1128</v>
      </c>
      <c r="B964" s="2722">
        <v>3127</v>
      </c>
      <c r="C964" s="2722">
        <v>5336</v>
      </c>
      <c r="D964" s="2763"/>
      <c r="E964" s="602" t="s">
        <v>856</v>
      </c>
      <c r="F964" s="675">
        <f>F965+F966+F967+F968+F969+F970</f>
        <v>0</v>
      </c>
      <c r="G964" s="675">
        <f t="shared" ref="G964:H964" si="207">G965+G966+G967+G968+G969+G970</f>
        <v>2479</v>
      </c>
      <c r="H964" s="675">
        <f t="shared" si="207"/>
        <v>2479</v>
      </c>
      <c r="I964" s="669">
        <f t="shared" si="205"/>
        <v>100</v>
      </c>
    </row>
    <row r="965" spans="1:9" ht="14.25" hidden="1" x14ac:dyDescent="0.2">
      <c r="A965" s="921"/>
      <c r="B965" s="2722"/>
      <c r="C965" s="2722"/>
      <c r="D965" s="2725" t="s">
        <v>920</v>
      </c>
      <c r="E965" s="1352" t="s">
        <v>769</v>
      </c>
      <c r="F965" s="665"/>
      <c r="G965" s="665"/>
      <c r="H965" s="665"/>
      <c r="I965" s="661" t="e">
        <f t="shared" si="205"/>
        <v>#DIV/0!</v>
      </c>
    </row>
    <row r="966" spans="1:9" ht="14.25" x14ac:dyDescent="0.2">
      <c r="A966" s="921"/>
      <c r="B966" s="2722"/>
      <c r="C966" s="2722"/>
      <c r="D966" s="2726" t="s">
        <v>912</v>
      </c>
      <c r="E966" s="436" t="s">
        <v>817</v>
      </c>
      <c r="F966" s="665">
        <v>0</v>
      </c>
      <c r="G966" s="665">
        <v>751</v>
      </c>
      <c r="H966" s="665">
        <v>751</v>
      </c>
      <c r="I966" s="661">
        <f t="shared" si="205"/>
        <v>100</v>
      </c>
    </row>
    <row r="967" spans="1:9" ht="14.25" x14ac:dyDescent="0.2">
      <c r="A967" s="921"/>
      <c r="B967" s="2722"/>
      <c r="C967" s="2722"/>
      <c r="D967" s="2725" t="s">
        <v>902</v>
      </c>
      <c r="E967" s="1352" t="s">
        <v>855</v>
      </c>
      <c r="F967" s="665">
        <v>0</v>
      </c>
      <c r="G967" s="665">
        <v>677</v>
      </c>
      <c r="H967" s="665">
        <v>677</v>
      </c>
      <c r="I967" s="661">
        <f t="shared" si="205"/>
        <v>100</v>
      </c>
    </row>
    <row r="968" spans="1:9" ht="14.25" x14ac:dyDescent="0.2">
      <c r="A968" s="921"/>
      <c r="B968" s="2722"/>
      <c r="C968" s="2722"/>
      <c r="D968" s="2725" t="s">
        <v>1896</v>
      </c>
      <c r="E968" s="2212" t="s">
        <v>1951</v>
      </c>
      <c r="F968" s="665">
        <v>0</v>
      </c>
      <c r="G968" s="870">
        <v>245</v>
      </c>
      <c r="H968" s="870">
        <v>245</v>
      </c>
      <c r="I968" s="874">
        <f t="shared" si="205"/>
        <v>100</v>
      </c>
    </row>
    <row r="969" spans="1:9" ht="14.25" x14ac:dyDescent="0.2">
      <c r="A969" s="921"/>
      <c r="B969" s="2722"/>
      <c r="C969" s="2722"/>
      <c r="D969" s="2726" t="s">
        <v>1144</v>
      </c>
      <c r="E969" s="938" t="s">
        <v>1515</v>
      </c>
      <c r="F969" s="665">
        <v>0</v>
      </c>
      <c r="G969" s="870">
        <v>121</v>
      </c>
      <c r="H969" s="870">
        <v>121</v>
      </c>
      <c r="I969" s="874">
        <f t="shared" si="205"/>
        <v>100</v>
      </c>
    </row>
    <row r="970" spans="1:9" ht="14.25" x14ac:dyDescent="0.2">
      <c r="A970" s="921"/>
      <c r="B970" s="2722"/>
      <c r="C970" s="2722"/>
      <c r="D970" s="2726" t="s">
        <v>1145</v>
      </c>
      <c r="E970" s="938" t="s">
        <v>1515</v>
      </c>
      <c r="F970" s="665">
        <v>0</v>
      </c>
      <c r="G970" s="870">
        <v>685</v>
      </c>
      <c r="H970" s="870">
        <v>685</v>
      </c>
      <c r="I970" s="874">
        <f t="shared" si="205"/>
        <v>100</v>
      </c>
    </row>
    <row r="971" spans="1:9" ht="15" hidden="1" x14ac:dyDescent="0.25">
      <c r="A971" s="2754">
        <v>1128</v>
      </c>
      <c r="B971" s="2755">
        <v>3127</v>
      </c>
      <c r="C971" s="2755">
        <v>5331</v>
      </c>
      <c r="D971" s="2756"/>
      <c r="E971" s="845" t="s">
        <v>481</v>
      </c>
      <c r="F971" s="665"/>
      <c r="G971" s="675">
        <f>G972</f>
        <v>0</v>
      </c>
      <c r="H971" s="675">
        <f>H972</f>
        <v>0</v>
      </c>
      <c r="I971" s="669" t="e">
        <f t="shared" si="205"/>
        <v>#DIV/0!</v>
      </c>
    </row>
    <row r="972" spans="1:9" ht="28.5" hidden="1" x14ac:dyDescent="0.2">
      <c r="A972" s="2754"/>
      <c r="B972" s="2755"/>
      <c r="C972" s="2761"/>
      <c r="D972" s="2768" t="s">
        <v>1134</v>
      </c>
      <c r="E972" s="2623" t="s">
        <v>1527</v>
      </c>
      <c r="F972" s="665"/>
      <c r="G972" s="870"/>
      <c r="H972" s="870"/>
      <c r="I972" s="874" t="e">
        <f t="shared" si="205"/>
        <v>#DIV/0!</v>
      </c>
    </row>
    <row r="973" spans="1:9" ht="15" x14ac:dyDescent="0.25">
      <c r="A973" s="921">
        <v>1128</v>
      </c>
      <c r="B973" s="2722">
        <v>3147</v>
      </c>
      <c r="C973" s="2722">
        <v>5336</v>
      </c>
      <c r="D973" s="2726"/>
      <c r="E973" s="602" t="s">
        <v>856</v>
      </c>
      <c r="F973" s="675">
        <f>F974</f>
        <v>0</v>
      </c>
      <c r="G973" s="675">
        <f>G974</f>
        <v>3928</v>
      </c>
      <c r="H973" s="675">
        <f>H974</f>
        <v>3928</v>
      </c>
      <c r="I973" s="669">
        <f t="shared" si="205"/>
        <v>100</v>
      </c>
    </row>
    <row r="974" spans="1:9" ht="14.25" x14ac:dyDescent="0.2">
      <c r="A974" s="921"/>
      <c r="B974" s="2722"/>
      <c r="C974" s="1350"/>
      <c r="D974" s="2726" t="s">
        <v>901</v>
      </c>
      <c r="E974" s="436" t="s">
        <v>1637</v>
      </c>
      <c r="F974" s="665">
        <v>0</v>
      </c>
      <c r="G974" s="665">
        <v>3928</v>
      </c>
      <c r="H974" s="665">
        <v>3928</v>
      </c>
      <c r="I974" s="661">
        <f t="shared" si="205"/>
        <v>100</v>
      </c>
    </row>
    <row r="975" spans="1:9" ht="15" x14ac:dyDescent="0.25">
      <c r="A975" s="921">
        <v>1128</v>
      </c>
      <c r="B975" s="2722">
        <v>3293</v>
      </c>
      <c r="C975" s="2722">
        <v>5336</v>
      </c>
      <c r="D975" s="2726"/>
      <c r="E975" s="602" t="s">
        <v>856</v>
      </c>
      <c r="F975" s="675">
        <f>F976</f>
        <v>0</v>
      </c>
      <c r="G975" s="675">
        <f>G976</f>
        <v>10</v>
      </c>
      <c r="H975" s="675">
        <f>H976</f>
        <v>10</v>
      </c>
      <c r="I975" s="669">
        <f t="shared" si="205"/>
        <v>100</v>
      </c>
    </row>
    <row r="976" spans="1:9" ht="14.25" x14ac:dyDescent="0.2">
      <c r="A976" s="921"/>
      <c r="B976" s="2722"/>
      <c r="C976" s="1350"/>
      <c r="D976" s="2741" t="s">
        <v>913</v>
      </c>
      <c r="E976" s="868" t="s">
        <v>768</v>
      </c>
      <c r="F976" s="665">
        <v>0</v>
      </c>
      <c r="G976" s="665">
        <v>10</v>
      </c>
      <c r="H976" s="665">
        <v>10</v>
      </c>
      <c r="I976" s="661">
        <f t="shared" si="205"/>
        <v>100</v>
      </c>
    </row>
    <row r="977" spans="1:20" ht="15" x14ac:dyDescent="0.25">
      <c r="A977" s="921">
        <v>1128</v>
      </c>
      <c r="B977" s="2722">
        <v>3299</v>
      </c>
      <c r="C977" s="2722">
        <v>5331</v>
      </c>
      <c r="D977" s="2726"/>
      <c r="E977" s="602" t="s">
        <v>481</v>
      </c>
      <c r="F977" s="675">
        <f>F978</f>
        <v>0</v>
      </c>
      <c r="G977" s="675">
        <f>G978</f>
        <v>175</v>
      </c>
      <c r="H977" s="675">
        <f>H978</f>
        <v>175</v>
      </c>
      <c r="I977" s="669">
        <f t="shared" ref="I977:I978" si="208">(H977/G977)*100</f>
        <v>100</v>
      </c>
    </row>
    <row r="978" spans="1:20" ht="15" thickBot="1" x14ac:dyDescent="0.25">
      <c r="A978" s="921"/>
      <c r="B978" s="2722"/>
      <c r="C978" s="1350"/>
      <c r="D978" s="2726" t="s">
        <v>1891</v>
      </c>
      <c r="E978" s="868" t="s">
        <v>1952</v>
      </c>
      <c r="F978" s="665">
        <v>0</v>
      </c>
      <c r="G978" s="665">
        <v>175</v>
      </c>
      <c r="H978" s="665">
        <v>175</v>
      </c>
      <c r="I978" s="661">
        <f t="shared" si="208"/>
        <v>100</v>
      </c>
    </row>
    <row r="979" spans="1:20" ht="16.5" thickTop="1" thickBot="1" x14ac:dyDescent="0.3">
      <c r="A979" s="3233" t="s">
        <v>522</v>
      </c>
      <c r="B979" s="3234"/>
      <c r="C979" s="3234"/>
      <c r="D979" s="3234"/>
      <c r="E979" s="3234"/>
      <c r="F979" s="657">
        <f>F975+F973+F964+F962+F960+F957+F971</f>
        <v>0</v>
      </c>
      <c r="G979" s="657">
        <f>G975+G973+G964+G962+G960+G957+G971+G977</f>
        <v>39801</v>
      </c>
      <c r="H979" s="657">
        <f>H975+H973+H964+H962+H960+H957+H971+H977</f>
        <v>39801</v>
      </c>
      <c r="I979" s="658">
        <f t="shared" si="205"/>
        <v>100</v>
      </c>
      <c r="R979" s="373">
        <f>F979</f>
        <v>0</v>
      </c>
      <c r="S979" s="373">
        <f>G979</f>
        <v>39801</v>
      </c>
      <c r="T979" s="373">
        <f>H979</f>
        <v>39801</v>
      </c>
    </row>
    <row r="980" spans="1:20" ht="13.5" thickTop="1" x14ac:dyDescent="0.2"/>
    <row r="982" spans="1:20" ht="13.5" thickBot="1" x14ac:dyDescent="0.25">
      <c r="A982" s="1427" t="s">
        <v>224</v>
      </c>
      <c r="B982" s="2239"/>
      <c r="C982" s="1391"/>
      <c r="D982" s="1492"/>
      <c r="E982" s="1391"/>
      <c r="F982" s="1396"/>
      <c r="G982" s="1396"/>
      <c r="H982" s="1396"/>
      <c r="I982" s="2240" t="s">
        <v>92</v>
      </c>
    </row>
    <row r="983" spans="1:20" s="106" customFormat="1" thickTop="1" thickBot="1" x14ac:dyDescent="0.25">
      <c r="A983" s="2241" t="s">
        <v>324</v>
      </c>
      <c r="B983" s="2242" t="s">
        <v>93</v>
      </c>
      <c r="C983" s="2243" t="s">
        <v>94</v>
      </c>
      <c r="D983" s="2244" t="s">
        <v>364</v>
      </c>
      <c r="E983" s="2244" t="s">
        <v>95</v>
      </c>
      <c r="F983" s="2244" t="s">
        <v>328</v>
      </c>
      <c r="G983" s="2244" t="s">
        <v>329</v>
      </c>
      <c r="H983" s="2244" t="s">
        <v>448</v>
      </c>
      <c r="I983" s="2245" t="s">
        <v>449</v>
      </c>
    </row>
    <row r="984" spans="1:20" s="374" customFormat="1" ht="13.5" thickTop="1" thickBot="1" x14ac:dyDescent="0.25">
      <c r="A984" s="1444">
        <v>1</v>
      </c>
      <c r="B984" s="2247">
        <v>2</v>
      </c>
      <c r="C984" s="2247">
        <v>3</v>
      </c>
      <c r="D984" s="2247">
        <v>4</v>
      </c>
      <c r="E984" s="2247">
        <v>5</v>
      </c>
      <c r="F984" s="2248">
        <v>6</v>
      </c>
      <c r="G984" s="2248">
        <v>7</v>
      </c>
      <c r="H984" s="2249">
        <v>8</v>
      </c>
      <c r="I984" s="2250" t="s">
        <v>393</v>
      </c>
    </row>
    <row r="985" spans="1:20" ht="15.75" thickTop="1" x14ac:dyDescent="0.25">
      <c r="A985" s="2276">
        <v>1129</v>
      </c>
      <c r="B985" s="2277">
        <v>3122</v>
      </c>
      <c r="C985" s="3136">
        <v>5331</v>
      </c>
      <c r="D985" s="2278"/>
      <c r="E985" s="2279" t="s">
        <v>481</v>
      </c>
      <c r="F985" s="2280">
        <f>F986</f>
        <v>0</v>
      </c>
      <c r="G985" s="2280">
        <f t="shared" ref="G985:H985" si="209">G986</f>
        <v>165</v>
      </c>
      <c r="H985" s="2280">
        <f t="shared" si="209"/>
        <v>165</v>
      </c>
      <c r="I985" s="2281">
        <f t="shared" ref="I985:I1000" si="210">(H985/G985)*100</f>
        <v>100</v>
      </c>
    </row>
    <row r="986" spans="1:20" ht="14.25" x14ac:dyDescent="0.2">
      <c r="A986" s="1410"/>
      <c r="B986" s="2256"/>
      <c r="C986" s="2256"/>
      <c r="D986" s="2252" t="s">
        <v>1891</v>
      </c>
      <c r="E986" s="2282" t="s">
        <v>1952</v>
      </c>
      <c r="F986" s="2259">
        <v>0</v>
      </c>
      <c r="G986" s="2269">
        <v>165</v>
      </c>
      <c r="H986" s="2269">
        <v>165</v>
      </c>
      <c r="I986" s="2260">
        <f t="shared" si="210"/>
        <v>100</v>
      </c>
    </row>
    <row r="987" spans="1:20" ht="15" x14ac:dyDescent="0.25">
      <c r="A987" s="2744">
        <v>1129</v>
      </c>
      <c r="B987" s="2747">
        <v>3122</v>
      </c>
      <c r="C987" s="2747">
        <v>5336</v>
      </c>
      <c r="D987" s="2769"/>
      <c r="E987" s="2253" t="s">
        <v>856</v>
      </c>
      <c r="F987" s="2266">
        <f>F988+F990+F992+F991+F989+F993+F994</f>
        <v>0</v>
      </c>
      <c r="G987" s="2266">
        <f t="shared" ref="G987:H987" si="211">G988+G990+G992+G991+G989+G993+G994</f>
        <v>10446</v>
      </c>
      <c r="H987" s="2266">
        <f t="shared" si="211"/>
        <v>10446</v>
      </c>
      <c r="I987" s="2255">
        <f t="shared" si="210"/>
        <v>100</v>
      </c>
    </row>
    <row r="988" spans="1:20" ht="14.25" x14ac:dyDescent="0.2">
      <c r="A988" s="2744"/>
      <c r="B988" s="2747"/>
      <c r="C988" s="2747"/>
      <c r="D988" s="2746" t="s">
        <v>920</v>
      </c>
      <c r="E988" s="2257" t="s">
        <v>769</v>
      </c>
      <c r="F988" s="2284">
        <v>0</v>
      </c>
      <c r="G988" s="2284">
        <v>8</v>
      </c>
      <c r="H988" s="2284">
        <v>8</v>
      </c>
      <c r="I988" s="2285">
        <f t="shared" si="210"/>
        <v>100</v>
      </c>
    </row>
    <row r="989" spans="1:20" ht="14.25" x14ac:dyDescent="0.2">
      <c r="A989" s="2744"/>
      <c r="B989" s="2747"/>
      <c r="C989" s="2747"/>
      <c r="D989" s="2746" t="s">
        <v>912</v>
      </c>
      <c r="E989" s="2257" t="s">
        <v>817</v>
      </c>
      <c r="F989" s="2286">
        <v>0</v>
      </c>
      <c r="G989" s="2286">
        <v>110</v>
      </c>
      <c r="H989" s="2286">
        <v>110</v>
      </c>
      <c r="I989" s="2285">
        <f t="shared" si="210"/>
        <v>100</v>
      </c>
    </row>
    <row r="990" spans="1:20" ht="14.25" x14ac:dyDescent="0.2">
      <c r="A990" s="2744"/>
      <c r="B990" s="2747"/>
      <c r="C990" s="2747"/>
      <c r="D990" s="2746" t="s">
        <v>902</v>
      </c>
      <c r="E990" s="2271" t="s">
        <v>855</v>
      </c>
      <c r="F990" s="2287">
        <v>0</v>
      </c>
      <c r="G990" s="2287">
        <v>213</v>
      </c>
      <c r="H990" s="2287">
        <v>213</v>
      </c>
      <c r="I990" s="1543">
        <f t="shared" ref="I990:I991" si="212">(H990/G990)*100</f>
        <v>100</v>
      </c>
    </row>
    <row r="991" spans="1:20" ht="14.25" x14ac:dyDescent="0.2">
      <c r="A991" s="2744"/>
      <c r="B991" s="2747"/>
      <c r="C991" s="2747"/>
      <c r="D991" s="2746" t="s">
        <v>1896</v>
      </c>
      <c r="E991" s="2272" t="s">
        <v>1951</v>
      </c>
      <c r="F991" s="2288">
        <v>0</v>
      </c>
      <c r="G991" s="2288">
        <v>62</v>
      </c>
      <c r="H991" s="2288">
        <v>62</v>
      </c>
      <c r="I991" s="2274">
        <f t="shared" si="212"/>
        <v>100</v>
      </c>
    </row>
    <row r="992" spans="1:20" ht="14.25" x14ac:dyDescent="0.2">
      <c r="A992" s="2744"/>
      <c r="B992" s="2747"/>
      <c r="C992" s="2747"/>
      <c r="D992" s="2746" t="s">
        <v>901</v>
      </c>
      <c r="E992" s="2257" t="s">
        <v>1637</v>
      </c>
      <c r="F992" s="2269">
        <v>0</v>
      </c>
      <c r="G992" s="2269">
        <v>9734</v>
      </c>
      <c r="H992" s="2259">
        <v>9734</v>
      </c>
      <c r="I992" s="2260">
        <f t="shared" si="210"/>
        <v>100</v>
      </c>
    </row>
    <row r="993" spans="1:20" ht="14.25" x14ac:dyDescent="0.2">
      <c r="A993" s="2744"/>
      <c r="B993" s="2745"/>
      <c r="C993" s="2745"/>
      <c r="D993" s="2726" t="s">
        <v>1144</v>
      </c>
      <c r="E993" s="938" t="s">
        <v>1515</v>
      </c>
      <c r="F993" s="2269">
        <v>0</v>
      </c>
      <c r="G993" s="2269">
        <v>48</v>
      </c>
      <c r="H993" s="2269">
        <v>48</v>
      </c>
      <c r="I993" s="2260">
        <f t="shared" si="210"/>
        <v>100</v>
      </c>
    </row>
    <row r="994" spans="1:20" ht="14.25" x14ac:dyDescent="0.2">
      <c r="A994" s="2744"/>
      <c r="B994" s="2745"/>
      <c r="C994" s="2745"/>
      <c r="D994" s="2726" t="s">
        <v>1145</v>
      </c>
      <c r="E994" s="938" t="s">
        <v>1515</v>
      </c>
      <c r="F994" s="2269">
        <v>0</v>
      </c>
      <c r="G994" s="2269">
        <v>271</v>
      </c>
      <c r="H994" s="2269">
        <v>271</v>
      </c>
      <c r="I994" s="2260">
        <f t="shared" si="210"/>
        <v>100</v>
      </c>
    </row>
    <row r="995" spans="1:20" ht="15" x14ac:dyDescent="0.25">
      <c r="A995" s="2754">
        <v>1129</v>
      </c>
      <c r="B995" s="2755">
        <v>3127</v>
      </c>
      <c r="C995" s="2745">
        <v>5336</v>
      </c>
      <c r="D995" s="2762"/>
      <c r="E995" s="2253" t="s">
        <v>856</v>
      </c>
      <c r="F995" s="2266">
        <f>F996</f>
        <v>0</v>
      </c>
      <c r="G995" s="2266">
        <f>G996</f>
        <v>372</v>
      </c>
      <c r="H995" s="2266">
        <f>H996</f>
        <v>372</v>
      </c>
      <c r="I995" s="2255">
        <f t="shared" si="210"/>
        <v>100</v>
      </c>
    </row>
    <row r="996" spans="1:20" ht="14.25" x14ac:dyDescent="0.2">
      <c r="A996" s="2754"/>
      <c r="B996" s="2755"/>
      <c r="C996" s="2761"/>
      <c r="D996" s="2746" t="s">
        <v>912</v>
      </c>
      <c r="E996" s="2257" t="s">
        <v>817</v>
      </c>
      <c r="F996" s="2269">
        <v>0</v>
      </c>
      <c r="G996" s="2770">
        <v>372</v>
      </c>
      <c r="H996" s="2770">
        <v>372</v>
      </c>
      <c r="I996" s="2771">
        <f t="shared" si="210"/>
        <v>100</v>
      </c>
    </row>
    <row r="997" spans="1:20" ht="15" x14ac:dyDescent="0.25">
      <c r="A997" s="2744">
        <v>1129</v>
      </c>
      <c r="B997" s="2745">
        <v>3141</v>
      </c>
      <c r="C997" s="2745">
        <v>5336</v>
      </c>
      <c r="D997" s="2762"/>
      <c r="E997" s="2253" t="s">
        <v>856</v>
      </c>
      <c r="F997" s="2268">
        <f>F998</f>
        <v>0</v>
      </c>
      <c r="G997" s="2268">
        <f>G998</f>
        <v>65</v>
      </c>
      <c r="H997" s="2268">
        <f>H998</f>
        <v>65</v>
      </c>
      <c r="I997" s="2275">
        <f t="shared" si="210"/>
        <v>100</v>
      </c>
    </row>
    <row r="998" spans="1:20" ht="14.25" x14ac:dyDescent="0.2">
      <c r="A998" s="2744"/>
      <c r="B998" s="2745"/>
      <c r="C998" s="2750"/>
      <c r="D998" s="2746" t="s">
        <v>901</v>
      </c>
      <c r="E998" s="2257" t="s">
        <v>1637</v>
      </c>
      <c r="F998" s="2269">
        <v>0</v>
      </c>
      <c r="G998" s="2269">
        <v>65</v>
      </c>
      <c r="H998" s="2269">
        <v>65</v>
      </c>
      <c r="I998" s="2270">
        <f t="shared" si="210"/>
        <v>100</v>
      </c>
    </row>
    <row r="999" spans="1:20" ht="15" x14ac:dyDescent="0.25">
      <c r="A999" s="2744">
        <v>1129</v>
      </c>
      <c r="B999" s="2745">
        <v>3293</v>
      </c>
      <c r="C999" s="2745">
        <v>5336</v>
      </c>
      <c r="D999" s="2762"/>
      <c r="E999" s="2253" t="s">
        <v>856</v>
      </c>
      <c r="F999" s="2268">
        <f>F1000</f>
        <v>0</v>
      </c>
      <c r="G999" s="2268">
        <f t="shared" ref="G999:H999" si="213">G1000</f>
        <v>6</v>
      </c>
      <c r="H999" s="2268">
        <f t="shared" si="213"/>
        <v>6</v>
      </c>
      <c r="I999" s="2275">
        <f t="shared" si="210"/>
        <v>100</v>
      </c>
    </row>
    <row r="1000" spans="1:20" ht="15" thickBot="1" x14ac:dyDescent="0.25">
      <c r="A1000" s="2744"/>
      <c r="B1000" s="2745"/>
      <c r="C1000" s="2750"/>
      <c r="D1000" s="2746" t="s">
        <v>913</v>
      </c>
      <c r="E1000" s="2257" t="s">
        <v>768</v>
      </c>
      <c r="F1000" s="2269">
        <v>0</v>
      </c>
      <c r="G1000" s="2269">
        <v>6</v>
      </c>
      <c r="H1000" s="2269">
        <v>6</v>
      </c>
      <c r="I1000" s="2270">
        <f t="shared" si="210"/>
        <v>100</v>
      </c>
    </row>
    <row r="1001" spans="1:20" ht="16.5" thickTop="1" thickBot="1" x14ac:dyDescent="0.3">
      <c r="A1001" s="3244" t="s">
        <v>522</v>
      </c>
      <c r="B1001" s="3245"/>
      <c r="C1001" s="3245"/>
      <c r="D1001" s="3245"/>
      <c r="E1001" s="3245"/>
      <c r="F1001" s="2289">
        <f>F999+F997+F995+F987</f>
        <v>0</v>
      </c>
      <c r="G1001" s="2289">
        <f>G999+G997+G995+G987+G985</f>
        <v>11054</v>
      </c>
      <c r="H1001" s="2289">
        <f>H999+H997+H995+H987+H985</f>
        <v>11054</v>
      </c>
      <c r="I1001" s="2290">
        <f>(H1001/G1001)*100</f>
        <v>100</v>
      </c>
      <c r="R1001" s="373">
        <f>F1001</f>
        <v>0</v>
      </c>
      <c r="S1001" s="373">
        <f>G1001</f>
        <v>11054</v>
      </c>
      <c r="T1001" s="373">
        <f>H1001</f>
        <v>11054</v>
      </c>
    </row>
    <row r="1002" spans="1:20" ht="13.5" thickTop="1" x14ac:dyDescent="0.2"/>
    <row r="1003" spans="1:20" ht="13.5" thickBot="1" x14ac:dyDescent="0.25">
      <c r="A1003" s="419" t="s">
        <v>1981</v>
      </c>
      <c r="I1003" s="915" t="s">
        <v>92</v>
      </c>
    </row>
    <row r="1004" spans="1:20" s="106" customFormat="1" thickTop="1" thickBot="1" x14ac:dyDescent="0.25">
      <c r="A1004" s="572" t="s">
        <v>324</v>
      </c>
      <c r="B1004" s="639" t="s">
        <v>93</v>
      </c>
      <c r="C1004" s="573" t="s">
        <v>94</v>
      </c>
      <c r="D1004" s="575" t="s">
        <v>364</v>
      </c>
      <c r="E1004" s="575" t="s">
        <v>95</v>
      </c>
      <c r="F1004" s="575" t="s">
        <v>328</v>
      </c>
      <c r="G1004" s="575" t="s">
        <v>329</v>
      </c>
      <c r="H1004" s="575" t="s">
        <v>448</v>
      </c>
      <c r="I1004" s="651" t="s">
        <v>449</v>
      </c>
    </row>
    <row r="1005" spans="1:20" s="374" customFormat="1" ht="13.5" thickTop="1" thickBot="1" x14ac:dyDescent="0.25">
      <c r="A1005" s="511">
        <v>1</v>
      </c>
      <c r="B1005" s="512">
        <v>2</v>
      </c>
      <c r="C1005" s="512">
        <v>3</v>
      </c>
      <c r="D1005" s="512">
        <v>4</v>
      </c>
      <c r="E1005" s="512">
        <v>5</v>
      </c>
      <c r="F1005" s="499">
        <v>6</v>
      </c>
      <c r="G1005" s="499">
        <v>7</v>
      </c>
      <c r="H1005" s="500">
        <v>8</v>
      </c>
      <c r="I1005" s="577" t="s">
        <v>393</v>
      </c>
    </row>
    <row r="1006" spans="1:20" ht="15.75" thickTop="1" x14ac:dyDescent="0.25">
      <c r="A1006" s="916">
        <v>1130</v>
      </c>
      <c r="B1006" s="640">
        <v>3122</v>
      </c>
      <c r="C1006" s="2737">
        <v>5331</v>
      </c>
      <c r="D1006" s="670"/>
      <c r="E1006" s="685" t="s">
        <v>481</v>
      </c>
      <c r="F1006" s="686">
        <f>F1007</f>
        <v>0</v>
      </c>
      <c r="G1006" s="686">
        <f t="shared" ref="G1006:H1006" si="214">G1007</f>
        <v>123</v>
      </c>
      <c r="H1006" s="686">
        <f t="shared" si="214"/>
        <v>123</v>
      </c>
      <c r="I1006" s="659">
        <f t="shared" ref="I1006:I1017" si="215">(H1006/G1006)*100</f>
        <v>100</v>
      </c>
    </row>
    <row r="1007" spans="1:20" ht="14.25" x14ac:dyDescent="0.2">
      <c r="A1007" s="418"/>
      <c r="B1007" s="603"/>
      <c r="C1007" s="603"/>
      <c r="D1007" s="505" t="s">
        <v>1891</v>
      </c>
      <c r="E1007" s="692" t="s">
        <v>1952</v>
      </c>
      <c r="F1007" s="660">
        <v>0</v>
      </c>
      <c r="G1007" s="660">
        <v>123</v>
      </c>
      <c r="H1007" s="660">
        <v>123</v>
      </c>
      <c r="I1007" s="656">
        <f t="shared" si="215"/>
        <v>100</v>
      </c>
    </row>
    <row r="1008" spans="1:20" ht="15" x14ac:dyDescent="0.25">
      <c r="A1008" s="921">
        <v>1130</v>
      </c>
      <c r="B1008" s="2427">
        <v>3122</v>
      </c>
      <c r="C1008" s="2427">
        <v>5336</v>
      </c>
      <c r="D1008" s="2763"/>
      <c r="E1008" s="602" t="s">
        <v>856</v>
      </c>
      <c r="F1008" s="653">
        <f>F1009+F1010+F1011+F1012+F1013+F1014+F1015</f>
        <v>0</v>
      </c>
      <c r="G1008" s="653">
        <f t="shared" ref="G1008:H1008" si="216">G1009+G1010+G1011+G1012+G1013+G1014+G1015</f>
        <v>18677</v>
      </c>
      <c r="H1008" s="653">
        <f t="shared" si="216"/>
        <v>18677</v>
      </c>
      <c r="I1008" s="654">
        <f t="shared" si="215"/>
        <v>100</v>
      </c>
      <c r="J1008" s="419"/>
      <c r="K1008" s="419"/>
      <c r="L1008" s="419"/>
      <c r="M1008" s="419"/>
      <c r="N1008" s="419"/>
      <c r="O1008" s="419"/>
      <c r="P1008" s="419"/>
    </row>
    <row r="1009" spans="1:20" ht="14.25" x14ac:dyDescent="0.2">
      <c r="A1009" s="921"/>
      <c r="B1009" s="2427"/>
      <c r="C1009" s="2427"/>
      <c r="D1009" s="2725" t="s">
        <v>920</v>
      </c>
      <c r="E1009" s="1092" t="s">
        <v>769</v>
      </c>
      <c r="F1009" s="668">
        <v>0</v>
      </c>
      <c r="G1009" s="668">
        <v>23</v>
      </c>
      <c r="H1009" s="668">
        <v>23</v>
      </c>
      <c r="I1009" s="656">
        <f t="shared" si="215"/>
        <v>100</v>
      </c>
      <c r="J1009" s="419"/>
      <c r="K1009" s="419"/>
      <c r="L1009" s="419"/>
      <c r="M1009" s="419"/>
      <c r="N1009" s="419"/>
      <c r="O1009" s="419"/>
      <c r="P1009" s="419"/>
    </row>
    <row r="1010" spans="1:20" ht="14.25" hidden="1" x14ac:dyDescent="0.2">
      <c r="A1010" s="921"/>
      <c r="B1010" s="2427"/>
      <c r="C1010" s="2427"/>
      <c r="D1010" s="2726" t="s">
        <v>912</v>
      </c>
      <c r="E1010" s="436" t="s">
        <v>817</v>
      </c>
      <c r="F1010" s="668"/>
      <c r="G1010" s="668"/>
      <c r="H1010" s="668"/>
      <c r="I1010" s="656" t="e">
        <f t="shared" si="215"/>
        <v>#DIV/0!</v>
      </c>
      <c r="J1010" s="419"/>
      <c r="K1010" s="419"/>
      <c r="L1010" s="419"/>
      <c r="M1010" s="419"/>
      <c r="N1010" s="419"/>
      <c r="O1010" s="419"/>
      <c r="P1010" s="419"/>
    </row>
    <row r="1011" spans="1:20" ht="14.25" x14ac:dyDescent="0.2">
      <c r="A1011" s="921"/>
      <c r="B1011" s="2427"/>
      <c r="C1011" s="2427"/>
      <c r="D1011" s="2725" t="s">
        <v>902</v>
      </c>
      <c r="E1011" s="1352" t="s">
        <v>855</v>
      </c>
      <c r="F1011" s="1600">
        <v>0</v>
      </c>
      <c r="G1011" s="1600">
        <v>387</v>
      </c>
      <c r="H1011" s="1600">
        <v>387</v>
      </c>
      <c r="I1011" s="367">
        <f t="shared" ref="I1011:I1012" si="217">(H1011/G1011)*100</f>
        <v>100</v>
      </c>
      <c r="J1011" s="419"/>
      <c r="K1011" s="419"/>
      <c r="L1011" s="419"/>
      <c r="M1011" s="419"/>
      <c r="N1011" s="419"/>
      <c r="O1011" s="419"/>
      <c r="P1011" s="419"/>
    </row>
    <row r="1012" spans="1:20" ht="14.25" x14ac:dyDescent="0.2">
      <c r="A1012" s="921"/>
      <c r="B1012" s="2427"/>
      <c r="C1012" s="2427"/>
      <c r="D1012" s="2725" t="s">
        <v>1896</v>
      </c>
      <c r="E1012" s="2212" t="s">
        <v>1951</v>
      </c>
      <c r="F1012" s="1643">
        <v>0</v>
      </c>
      <c r="G1012" s="1643">
        <v>98</v>
      </c>
      <c r="H1012" s="1643">
        <v>98</v>
      </c>
      <c r="I1012" s="982">
        <f t="shared" si="217"/>
        <v>100</v>
      </c>
      <c r="J1012" s="419"/>
      <c r="K1012" s="419"/>
      <c r="L1012" s="419"/>
      <c r="M1012" s="419"/>
      <c r="N1012" s="419"/>
      <c r="O1012" s="419"/>
      <c r="P1012" s="419"/>
    </row>
    <row r="1013" spans="1:20" ht="14.25" x14ac:dyDescent="0.2">
      <c r="A1013" s="921"/>
      <c r="B1013" s="2427"/>
      <c r="C1013" s="2719"/>
      <c r="D1013" s="2726" t="s">
        <v>901</v>
      </c>
      <c r="E1013" s="436" t="s">
        <v>1637</v>
      </c>
      <c r="F1013" s="660">
        <v>0</v>
      </c>
      <c r="G1013" s="660">
        <v>17655</v>
      </c>
      <c r="H1013" s="660">
        <v>17655</v>
      </c>
      <c r="I1013" s="656">
        <f t="shared" si="215"/>
        <v>100</v>
      </c>
    </row>
    <row r="1014" spans="1:20" ht="14.25" x14ac:dyDescent="0.2">
      <c r="A1014" s="921"/>
      <c r="B1014" s="2722"/>
      <c r="C1014" s="1350"/>
      <c r="D1014" s="2726" t="s">
        <v>1144</v>
      </c>
      <c r="E1014" s="938" t="s">
        <v>1515</v>
      </c>
      <c r="F1014" s="665">
        <v>0</v>
      </c>
      <c r="G1014" s="665">
        <v>77</v>
      </c>
      <c r="H1014" s="665">
        <v>77</v>
      </c>
      <c r="I1014" s="661">
        <f t="shared" si="215"/>
        <v>100</v>
      </c>
    </row>
    <row r="1015" spans="1:20" ht="15" thickBot="1" x14ac:dyDescent="0.25">
      <c r="A1015" s="921"/>
      <c r="B1015" s="2722"/>
      <c r="C1015" s="1350"/>
      <c r="D1015" s="2726" t="s">
        <v>1145</v>
      </c>
      <c r="E1015" s="938" t="s">
        <v>1515</v>
      </c>
      <c r="F1015" s="665">
        <v>0</v>
      </c>
      <c r="G1015" s="665">
        <v>437</v>
      </c>
      <c r="H1015" s="665">
        <v>437</v>
      </c>
      <c r="I1015" s="661">
        <f t="shared" si="215"/>
        <v>100</v>
      </c>
    </row>
    <row r="1016" spans="1:20" ht="15.75" hidden="1" thickBot="1" x14ac:dyDescent="0.3">
      <c r="A1016" s="2754">
        <v>1130</v>
      </c>
      <c r="B1016" s="2755">
        <v>3122</v>
      </c>
      <c r="C1016" s="2755">
        <v>5331</v>
      </c>
      <c r="D1016" s="2756"/>
      <c r="E1016" s="845" t="s">
        <v>481</v>
      </c>
      <c r="F1016" s="666"/>
      <c r="G1016" s="666">
        <f>G1017</f>
        <v>0</v>
      </c>
      <c r="H1016" s="666">
        <f>H1017</f>
        <v>0</v>
      </c>
      <c r="I1016" s="667" t="e">
        <f t="shared" si="215"/>
        <v>#DIV/0!</v>
      </c>
    </row>
    <row r="1017" spans="1:20" ht="29.25" hidden="1" thickBot="1" x14ac:dyDescent="0.25">
      <c r="A1017" s="2754"/>
      <c r="B1017" s="2755"/>
      <c r="C1017" s="2761"/>
      <c r="D1017" s="2768" t="s">
        <v>1134</v>
      </c>
      <c r="E1017" s="2623" t="s">
        <v>1527</v>
      </c>
      <c r="F1017" s="665"/>
      <c r="G1017" s="870"/>
      <c r="H1017" s="870"/>
      <c r="I1017" s="874" t="e">
        <f t="shared" si="215"/>
        <v>#DIV/0!</v>
      </c>
    </row>
    <row r="1018" spans="1:20" ht="15.75" hidden="1" thickBot="1" x14ac:dyDescent="0.3">
      <c r="A1018" s="2754">
        <v>1130</v>
      </c>
      <c r="B1018" s="2755">
        <v>3792</v>
      </c>
      <c r="C1018" s="2755">
        <v>5331</v>
      </c>
      <c r="D1018" s="2756"/>
      <c r="E1018" s="845" t="s">
        <v>481</v>
      </c>
      <c r="F1018" s="666"/>
      <c r="G1018" s="666">
        <f>G1019</f>
        <v>0</v>
      </c>
      <c r="H1018" s="666">
        <f>H1019</f>
        <v>0</v>
      </c>
      <c r="I1018" s="667" t="e">
        <f t="shared" ref="I1018:I1019" si="218">(H1018/G1018)*100</f>
        <v>#DIV/0!</v>
      </c>
    </row>
    <row r="1019" spans="1:20" ht="15" hidden="1" thickBot="1" x14ac:dyDescent="0.25">
      <c r="A1019" s="2754"/>
      <c r="B1019" s="2755"/>
      <c r="C1019" s="2761"/>
      <c r="D1019" s="2752" t="s">
        <v>974</v>
      </c>
      <c r="E1019" s="852" t="s">
        <v>1530</v>
      </c>
      <c r="F1019" s="665"/>
      <c r="G1019" s="870"/>
      <c r="H1019" s="870"/>
      <c r="I1019" s="874" t="e">
        <f t="shared" si="218"/>
        <v>#DIV/0!</v>
      </c>
    </row>
    <row r="1020" spans="1:20" ht="16.5" thickTop="1" thickBot="1" x14ac:dyDescent="0.3">
      <c r="A1020" s="3233" t="s">
        <v>522</v>
      </c>
      <c r="B1020" s="3234"/>
      <c r="C1020" s="3234"/>
      <c r="D1020" s="3234"/>
      <c r="E1020" s="3234"/>
      <c r="F1020" s="657">
        <f>SUM(F1016,F1006)</f>
        <v>0</v>
      </c>
      <c r="G1020" s="657">
        <f>G1006+G1008+G1016+G1018</f>
        <v>18800</v>
      </c>
      <c r="H1020" s="657">
        <f>H1006+H1008+H1016+H1018</f>
        <v>18800</v>
      </c>
      <c r="I1020" s="658">
        <f>(H1020/G1020)*100</f>
        <v>100</v>
      </c>
      <c r="R1020" s="373">
        <f>F1020</f>
        <v>0</v>
      </c>
      <c r="S1020" s="373">
        <f>G1020</f>
        <v>18800</v>
      </c>
      <c r="T1020" s="373">
        <f>H1020</f>
        <v>18800</v>
      </c>
    </row>
    <row r="1021" spans="1:20" ht="13.5" thickTop="1" x14ac:dyDescent="0.2"/>
    <row r="1022" spans="1:20" ht="13.5" thickBot="1" x14ac:dyDescent="0.25">
      <c r="A1022" s="419" t="s">
        <v>569</v>
      </c>
      <c r="I1022" s="915" t="s">
        <v>92</v>
      </c>
    </row>
    <row r="1023" spans="1:20" s="106" customFormat="1" thickTop="1" thickBot="1" x14ac:dyDescent="0.25">
      <c r="A1023" s="572" t="s">
        <v>324</v>
      </c>
      <c r="B1023" s="639" t="s">
        <v>93</v>
      </c>
      <c r="C1023" s="573" t="s">
        <v>94</v>
      </c>
      <c r="D1023" s="575" t="s">
        <v>364</v>
      </c>
      <c r="E1023" s="575" t="s">
        <v>95</v>
      </c>
      <c r="F1023" s="575" t="s">
        <v>328</v>
      </c>
      <c r="G1023" s="575" t="s">
        <v>329</v>
      </c>
      <c r="H1023" s="575" t="s">
        <v>448</v>
      </c>
      <c r="I1023" s="651" t="s">
        <v>449</v>
      </c>
    </row>
    <row r="1024" spans="1:20" s="374" customFormat="1" ht="13.5" thickTop="1" thickBot="1" x14ac:dyDescent="0.25">
      <c r="A1024" s="511">
        <v>1</v>
      </c>
      <c r="B1024" s="512">
        <v>2</v>
      </c>
      <c r="C1024" s="512">
        <v>3</v>
      </c>
      <c r="D1024" s="512">
        <v>4</v>
      </c>
      <c r="E1024" s="512">
        <v>5</v>
      </c>
      <c r="F1024" s="499">
        <v>6</v>
      </c>
      <c r="G1024" s="499">
        <v>7</v>
      </c>
      <c r="H1024" s="500">
        <v>8</v>
      </c>
      <c r="I1024" s="577" t="s">
        <v>393</v>
      </c>
    </row>
    <row r="1025" spans="1:9" ht="15.75" thickTop="1" x14ac:dyDescent="0.25">
      <c r="A1025" s="2736">
        <v>1131</v>
      </c>
      <c r="B1025" s="2737">
        <v>3122</v>
      </c>
      <c r="C1025" s="2737">
        <v>5336</v>
      </c>
      <c r="D1025" s="2738"/>
      <c r="E1025" s="602" t="s">
        <v>856</v>
      </c>
      <c r="F1025" s="686">
        <f>F1026+F1027+F1028</f>
        <v>0</v>
      </c>
      <c r="G1025" s="686">
        <f>G1026+G1027+G1028</f>
        <v>8107</v>
      </c>
      <c r="H1025" s="686">
        <f>H1026+H1027+H1028</f>
        <v>8107</v>
      </c>
      <c r="I1025" s="659">
        <f t="shared" ref="I1025:I1046" si="219">(H1025/G1025)*100</f>
        <v>100</v>
      </c>
    </row>
    <row r="1026" spans="1:9" ht="14.25" x14ac:dyDescent="0.2">
      <c r="A1026" s="921"/>
      <c r="B1026" s="2427"/>
      <c r="C1026" s="2719"/>
      <c r="D1026" s="2726" t="s">
        <v>901</v>
      </c>
      <c r="E1026" s="436" t="s">
        <v>1637</v>
      </c>
      <c r="F1026" s="660">
        <v>0</v>
      </c>
      <c r="G1026" s="660">
        <v>7453</v>
      </c>
      <c r="H1026" s="660">
        <v>7453</v>
      </c>
      <c r="I1026" s="656">
        <f t="shared" si="219"/>
        <v>100</v>
      </c>
    </row>
    <row r="1027" spans="1:9" ht="14.25" x14ac:dyDescent="0.2">
      <c r="A1027" s="2739"/>
      <c r="B1027" s="2427"/>
      <c r="C1027" s="1350"/>
      <c r="D1027" s="2726" t="s">
        <v>1144</v>
      </c>
      <c r="E1027" s="938" t="s">
        <v>1515</v>
      </c>
      <c r="F1027" s="665">
        <v>0</v>
      </c>
      <c r="G1027" s="665">
        <v>98</v>
      </c>
      <c r="H1027" s="665">
        <v>98</v>
      </c>
      <c r="I1027" s="656">
        <f t="shared" si="219"/>
        <v>100</v>
      </c>
    </row>
    <row r="1028" spans="1:9" ht="14.25" x14ac:dyDescent="0.2">
      <c r="A1028" s="2739"/>
      <c r="B1028" s="2427"/>
      <c r="C1028" s="1350"/>
      <c r="D1028" s="2726" t="s">
        <v>1145</v>
      </c>
      <c r="E1028" s="938" t="s">
        <v>1515</v>
      </c>
      <c r="F1028" s="665">
        <v>0</v>
      </c>
      <c r="G1028" s="665">
        <v>556</v>
      </c>
      <c r="H1028" s="665">
        <v>556</v>
      </c>
      <c r="I1028" s="656">
        <f t="shared" si="219"/>
        <v>100</v>
      </c>
    </row>
    <row r="1029" spans="1:9" ht="15" x14ac:dyDescent="0.25">
      <c r="A1029" s="2739">
        <v>1131</v>
      </c>
      <c r="B1029" s="2427">
        <v>3123</v>
      </c>
      <c r="C1029" s="2722">
        <v>5336</v>
      </c>
      <c r="D1029" s="2763"/>
      <c r="E1029" s="602" t="s">
        <v>856</v>
      </c>
      <c r="F1029" s="675">
        <f>F1030</f>
        <v>0</v>
      </c>
      <c r="G1029" s="675">
        <f>G1030</f>
        <v>16836</v>
      </c>
      <c r="H1029" s="675">
        <f>H1030</f>
        <v>16836</v>
      </c>
      <c r="I1029" s="669">
        <f t="shared" si="219"/>
        <v>100</v>
      </c>
    </row>
    <row r="1030" spans="1:9" ht="14.25" x14ac:dyDescent="0.2">
      <c r="A1030" s="921"/>
      <c r="B1030" s="2722"/>
      <c r="C1030" s="1350"/>
      <c r="D1030" s="2724" t="s">
        <v>901</v>
      </c>
      <c r="E1030" s="692" t="s">
        <v>1637</v>
      </c>
      <c r="F1030" s="665">
        <v>0</v>
      </c>
      <c r="G1030" s="665">
        <v>16836</v>
      </c>
      <c r="H1030" s="665">
        <v>16836</v>
      </c>
      <c r="I1030" s="661">
        <f t="shared" si="219"/>
        <v>100</v>
      </c>
    </row>
    <row r="1031" spans="1:9" ht="15" hidden="1" x14ac:dyDescent="0.25">
      <c r="A1031" s="921">
        <v>1131</v>
      </c>
      <c r="B1031" s="2722">
        <v>3127</v>
      </c>
      <c r="C1031" s="2722">
        <v>5331</v>
      </c>
      <c r="D1031" s="2732"/>
      <c r="E1031" s="602" t="s">
        <v>481</v>
      </c>
      <c r="F1031" s="675">
        <f>F1032+F1033</f>
        <v>0</v>
      </c>
      <c r="G1031" s="675">
        <f t="shared" ref="G1031:H1031" si="220">G1032+G1033</f>
        <v>0</v>
      </c>
      <c r="H1031" s="675">
        <f t="shared" si="220"/>
        <v>0</v>
      </c>
      <c r="I1031" s="669" t="e">
        <f t="shared" si="219"/>
        <v>#DIV/0!</v>
      </c>
    </row>
    <row r="1032" spans="1:9" ht="14.25" hidden="1" x14ac:dyDescent="0.2">
      <c r="A1032" s="921"/>
      <c r="B1032" s="2722"/>
      <c r="C1032" s="1350"/>
      <c r="D1032" s="2742" t="s">
        <v>905</v>
      </c>
      <c r="E1032" s="938" t="s">
        <v>408</v>
      </c>
      <c r="F1032" s="665"/>
      <c r="G1032" s="665"/>
      <c r="H1032" s="665"/>
      <c r="I1032" s="661" t="e">
        <f t="shared" si="219"/>
        <v>#DIV/0!</v>
      </c>
    </row>
    <row r="1033" spans="1:9" ht="14.25" hidden="1" x14ac:dyDescent="0.2">
      <c r="A1033" s="921"/>
      <c r="B1033" s="2722"/>
      <c r="C1033" s="1350"/>
      <c r="D1033" s="2726" t="s">
        <v>906</v>
      </c>
      <c r="E1033" s="436" t="s">
        <v>38</v>
      </c>
      <c r="F1033" s="665"/>
      <c r="G1033" s="665"/>
      <c r="H1033" s="665"/>
      <c r="I1033" s="661" t="e">
        <f t="shared" si="219"/>
        <v>#DIV/0!</v>
      </c>
    </row>
    <row r="1034" spans="1:9" ht="15" x14ac:dyDescent="0.25">
      <c r="A1034" s="921">
        <v>1131</v>
      </c>
      <c r="B1034" s="2722">
        <v>3127</v>
      </c>
      <c r="C1034" s="2722">
        <v>5336</v>
      </c>
      <c r="D1034" s="2763"/>
      <c r="E1034" s="602" t="s">
        <v>856</v>
      </c>
      <c r="F1034" s="675">
        <f>F1036+F1037+F1038+F1039+F1035</f>
        <v>0</v>
      </c>
      <c r="G1034" s="675">
        <f>G1036+G1037+G1038+G1039+G1035</f>
        <v>776</v>
      </c>
      <c r="H1034" s="675">
        <f>H1036+H1037+H1038+H1039+H1035</f>
        <v>776</v>
      </c>
      <c r="I1034" s="669">
        <f t="shared" si="219"/>
        <v>100</v>
      </c>
    </row>
    <row r="1035" spans="1:9" ht="14.25" customHeight="1" x14ac:dyDescent="0.2">
      <c r="A1035" s="921"/>
      <c r="B1035" s="2722"/>
      <c r="C1035" s="2722"/>
      <c r="D1035" s="2763" t="s">
        <v>912</v>
      </c>
      <c r="E1035" s="1642" t="s">
        <v>817</v>
      </c>
      <c r="F1035" s="665">
        <v>0</v>
      </c>
      <c r="G1035" s="668">
        <v>57</v>
      </c>
      <c r="H1035" s="668">
        <v>57</v>
      </c>
      <c r="I1035" s="367">
        <f t="shared" si="219"/>
        <v>100</v>
      </c>
    </row>
    <row r="1036" spans="1:9" ht="14.25" customHeight="1" x14ac:dyDescent="0.2">
      <c r="A1036" s="921"/>
      <c r="B1036" s="2722"/>
      <c r="C1036" s="1350"/>
      <c r="D1036" s="2725" t="s">
        <v>902</v>
      </c>
      <c r="E1036" s="1352" t="s">
        <v>855</v>
      </c>
      <c r="F1036" s="665">
        <v>0</v>
      </c>
      <c r="G1036" s="665">
        <v>506</v>
      </c>
      <c r="H1036" s="665">
        <v>506</v>
      </c>
      <c r="I1036" s="661">
        <f t="shared" si="219"/>
        <v>100</v>
      </c>
    </row>
    <row r="1037" spans="1:9" ht="14.25" x14ac:dyDescent="0.2">
      <c r="A1037" s="921"/>
      <c r="B1037" s="2722"/>
      <c r="C1037" s="1350"/>
      <c r="D1037" s="2725" t="s">
        <v>1896</v>
      </c>
      <c r="E1037" s="2213" t="s">
        <v>1951</v>
      </c>
      <c r="F1037" s="665">
        <v>0</v>
      </c>
      <c r="G1037" s="870">
        <v>213</v>
      </c>
      <c r="H1037" s="870">
        <v>213</v>
      </c>
      <c r="I1037" s="874">
        <f t="shared" si="219"/>
        <v>100</v>
      </c>
    </row>
    <row r="1038" spans="1:9" ht="14.25" hidden="1" x14ac:dyDescent="0.2">
      <c r="A1038" s="921"/>
      <c r="B1038" s="2722"/>
      <c r="C1038" s="1350"/>
      <c r="D1038" s="2726" t="s">
        <v>907</v>
      </c>
      <c r="E1038" s="938" t="s">
        <v>909</v>
      </c>
      <c r="F1038" s="665"/>
      <c r="G1038" s="870"/>
      <c r="H1038" s="870"/>
      <c r="I1038" s="661" t="e">
        <f t="shared" si="219"/>
        <v>#DIV/0!</v>
      </c>
    </row>
    <row r="1039" spans="1:9" ht="14.25" hidden="1" x14ac:dyDescent="0.2">
      <c r="A1039" s="921"/>
      <c r="B1039" s="2722"/>
      <c r="C1039" s="1350"/>
      <c r="D1039" s="2726" t="s">
        <v>908</v>
      </c>
      <c r="E1039" s="938" t="s">
        <v>909</v>
      </c>
      <c r="F1039" s="665"/>
      <c r="G1039" s="665"/>
      <c r="H1039" s="665"/>
      <c r="I1039" s="661" t="e">
        <f t="shared" si="219"/>
        <v>#DIV/0!</v>
      </c>
    </row>
    <row r="1040" spans="1:9" ht="15" x14ac:dyDescent="0.25">
      <c r="A1040" s="921">
        <v>1131</v>
      </c>
      <c r="B1040" s="2722">
        <v>3141</v>
      </c>
      <c r="C1040" s="2722">
        <v>5336</v>
      </c>
      <c r="D1040" s="2763"/>
      <c r="E1040" s="602" t="s">
        <v>856</v>
      </c>
      <c r="F1040" s="675">
        <f>F1041</f>
        <v>0</v>
      </c>
      <c r="G1040" s="675">
        <f>G1041</f>
        <v>782</v>
      </c>
      <c r="H1040" s="675">
        <f>H1041</f>
        <v>782</v>
      </c>
      <c r="I1040" s="669">
        <f t="shared" si="219"/>
        <v>100</v>
      </c>
    </row>
    <row r="1041" spans="1:20" ht="14.25" x14ac:dyDescent="0.2">
      <c r="A1041" s="921"/>
      <c r="B1041" s="2722"/>
      <c r="C1041" s="1350"/>
      <c r="D1041" s="2724" t="s">
        <v>901</v>
      </c>
      <c r="E1041" s="692" t="s">
        <v>1637</v>
      </c>
      <c r="F1041" s="665">
        <v>0</v>
      </c>
      <c r="G1041" s="665">
        <v>782</v>
      </c>
      <c r="H1041" s="665">
        <v>782</v>
      </c>
      <c r="I1041" s="661">
        <f t="shared" si="219"/>
        <v>100</v>
      </c>
    </row>
    <row r="1042" spans="1:20" ht="15" x14ac:dyDescent="0.25">
      <c r="A1042" s="921">
        <v>1131</v>
      </c>
      <c r="B1042" s="2722">
        <v>3293</v>
      </c>
      <c r="C1042" s="2722">
        <v>5336</v>
      </c>
      <c r="D1042" s="2763"/>
      <c r="E1042" s="602" t="s">
        <v>856</v>
      </c>
      <c r="F1042" s="675">
        <f>F1043</f>
        <v>0</v>
      </c>
      <c r="G1042" s="675">
        <f>G1043</f>
        <v>29</v>
      </c>
      <c r="H1042" s="675">
        <f>H1043</f>
        <v>29</v>
      </c>
      <c r="I1042" s="669">
        <f t="shared" si="219"/>
        <v>100</v>
      </c>
    </row>
    <row r="1043" spans="1:20" ht="15" thickBot="1" x14ac:dyDescent="0.25">
      <c r="A1043" s="921"/>
      <c r="B1043" s="2722"/>
      <c r="C1043" s="1350"/>
      <c r="D1043" s="2741" t="s">
        <v>913</v>
      </c>
      <c r="E1043" s="868" t="s">
        <v>768</v>
      </c>
      <c r="F1043" s="665">
        <v>0</v>
      </c>
      <c r="G1043" s="665">
        <v>29</v>
      </c>
      <c r="H1043" s="665">
        <v>29</v>
      </c>
      <c r="I1043" s="661">
        <f t="shared" si="219"/>
        <v>100</v>
      </c>
    </row>
    <row r="1044" spans="1:20" ht="15.75" hidden="1" thickBot="1" x14ac:dyDescent="0.3">
      <c r="A1044" s="421">
        <v>1131</v>
      </c>
      <c r="B1044" s="603">
        <v>3792</v>
      </c>
      <c r="C1044" s="634">
        <v>5331</v>
      </c>
      <c r="D1044" s="684"/>
      <c r="E1044" s="602" t="s">
        <v>481</v>
      </c>
      <c r="F1044" s="666"/>
      <c r="G1044" s="666">
        <f>G1045</f>
        <v>0</v>
      </c>
      <c r="H1044" s="666">
        <f>H1045</f>
        <v>0</v>
      </c>
      <c r="I1044" s="667" t="e">
        <f t="shared" si="219"/>
        <v>#DIV/0!</v>
      </c>
    </row>
    <row r="1045" spans="1:20" ht="15" hidden="1" thickBot="1" x14ac:dyDescent="0.25">
      <c r="A1045" s="421"/>
      <c r="B1045" s="603"/>
      <c r="C1045" s="918"/>
      <c r="D1045" s="633" t="s">
        <v>917</v>
      </c>
      <c r="E1045" s="2214" t="s">
        <v>835</v>
      </c>
      <c r="F1045" s="665"/>
      <c r="G1045" s="870"/>
      <c r="H1045" s="870"/>
      <c r="I1045" s="874" t="e">
        <f t="shared" si="219"/>
        <v>#DIV/0!</v>
      </c>
    </row>
    <row r="1046" spans="1:20" ht="16.5" thickTop="1" thickBot="1" x14ac:dyDescent="0.3">
      <c r="A1046" s="3233" t="s">
        <v>522</v>
      </c>
      <c r="B1046" s="3234"/>
      <c r="C1046" s="3234"/>
      <c r="D1046" s="3234"/>
      <c r="E1046" s="3234"/>
      <c r="F1046" s="657">
        <f>F1031</f>
        <v>0</v>
      </c>
      <c r="G1046" s="657">
        <f>G1044+G1042+G1040+G1034+G1031+G1029+G1025</f>
        <v>26530</v>
      </c>
      <c r="H1046" s="657">
        <f>H1044+H1042+H1040+H1034+H1031+H1029+H1025</f>
        <v>26530</v>
      </c>
      <c r="I1046" s="658">
        <f t="shared" si="219"/>
        <v>100</v>
      </c>
      <c r="R1046" s="373">
        <f>F1046</f>
        <v>0</v>
      </c>
      <c r="S1046" s="373">
        <f>G1046</f>
        <v>26530</v>
      </c>
      <c r="T1046" s="373">
        <f>H1046</f>
        <v>26530</v>
      </c>
    </row>
    <row r="1047" spans="1:20" ht="15.75" thickTop="1" x14ac:dyDescent="0.25">
      <c r="A1047" s="360"/>
      <c r="B1047" s="360"/>
      <c r="C1047" s="360"/>
      <c r="D1047" s="360"/>
      <c r="E1047" s="360"/>
      <c r="F1047" s="177"/>
      <c r="G1047" s="177"/>
      <c r="H1047" s="177"/>
      <c r="I1047" s="206"/>
      <c r="R1047" s="373"/>
      <c r="S1047" s="373"/>
      <c r="T1047" s="373"/>
    </row>
    <row r="1048" spans="1:20" ht="15.75" customHeight="1" thickBot="1" x14ac:dyDescent="0.25">
      <c r="A1048" s="419" t="s">
        <v>25</v>
      </c>
      <c r="I1048" s="915" t="s">
        <v>92</v>
      </c>
    </row>
    <row r="1049" spans="1:20" s="106" customFormat="1" ht="15.75" customHeight="1" thickTop="1" thickBot="1" x14ac:dyDescent="0.25">
      <c r="A1049" s="572" t="s">
        <v>324</v>
      </c>
      <c r="B1049" s="639" t="s">
        <v>93</v>
      </c>
      <c r="C1049" s="573" t="s">
        <v>94</v>
      </c>
      <c r="D1049" s="575" t="s">
        <v>364</v>
      </c>
      <c r="E1049" s="575" t="s">
        <v>95</v>
      </c>
      <c r="F1049" s="575" t="s">
        <v>328</v>
      </c>
      <c r="G1049" s="575" t="s">
        <v>329</v>
      </c>
      <c r="H1049" s="575" t="s">
        <v>448</v>
      </c>
      <c r="I1049" s="651" t="s">
        <v>449</v>
      </c>
    </row>
    <row r="1050" spans="1:20" s="374" customFormat="1" ht="14.25" customHeight="1" thickTop="1" thickBot="1" x14ac:dyDescent="0.25">
      <c r="A1050" s="511">
        <v>1</v>
      </c>
      <c r="B1050" s="512">
        <v>2</v>
      </c>
      <c r="C1050" s="512">
        <v>3</v>
      </c>
      <c r="D1050" s="512">
        <v>4</v>
      </c>
      <c r="E1050" s="512">
        <v>5</v>
      </c>
      <c r="F1050" s="499">
        <v>6</v>
      </c>
      <c r="G1050" s="499">
        <v>7</v>
      </c>
      <c r="H1050" s="500">
        <v>8</v>
      </c>
      <c r="I1050" s="577" t="s">
        <v>393</v>
      </c>
    </row>
    <row r="1051" spans="1:20" s="374" customFormat="1" ht="14.25" customHeight="1" thickTop="1" x14ac:dyDescent="0.25">
      <c r="A1051" s="916">
        <v>1132</v>
      </c>
      <c r="B1051" s="640">
        <v>3122</v>
      </c>
      <c r="C1051" s="2737">
        <v>5331</v>
      </c>
      <c r="D1051" s="670"/>
      <c r="E1051" s="685" t="s">
        <v>481</v>
      </c>
      <c r="F1051" s="686">
        <f>F1052</f>
        <v>0</v>
      </c>
      <c r="G1051" s="686">
        <f t="shared" ref="G1051" si="221">G1052</f>
        <v>14</v>
      </c>
      <c r="H1051" s="686">
        <f t="shared" ref="H1051" si="222">H1052</f>
        <v>11</v>
      </c>
      <c r="I1051" s="659">
        <f t="shared" ref="I1051:I1052" si="223">(H1051/G1051)*100</f>
        <v>78.571428571428569</v>
      </c>
    </row>
    <row r="1052" spans="1:20" s="374" customFormat="1" ht="14.25" customHeight="1" x14ac:dyDescent="0.2">
      <c r="A1052" s="418"/>
      <c r="B1052" s="603"/>
      <c r="C1052" s="603"/>
      <c r="D1052" s="505" t="s">
        <v>917</v>
      </c>
      <c r="E1052" s="692" t="s">
        <v>1956</v>
      </c>
      <c r="F1052" s="660">
        <v>0</v>
      </c>
      <c r="G1052" s="660">
        <v>14</v>
      </c>
      <c r="H1052" s="660">
        <v>11</v>
      </c>
      <c r="I1052" s="656">
        <f t="shared" si="223"/>
        <v>78.571428571428569</v>
      </c>
    </row>
    <row r="1053" spans="1:20" ht="15" x14ac:dyDescent="0.25">
      <c r="A1053" s="921">
        <v>1132</v>
      </c>
      <c r="B1053" s="2722">
        <v>3122</v>
      </c>
      <c r="C1053" s="2722">
        <v>5336</v>
      </c>
      <c r="D1053" s="2765"/>
      <c r="E1053" s="602" t="s">
        <v>856</v>
      </c>
      <c r="F1053" s="675">
        <f>F1055+F1057+F1062+F1059+F1060+F1054+F1061+F1063+F1064</f>
        <v>0</v>
      </c>
      <c r="G1053" s="675">
        <f>G1055+G1057+G1062+G1059+G1060+G1054+G1061+G1063+G1064</f>
        <v>19946</v>
      </c>
      <c r="H1053" s="675">
        <f>H1055+H1057+H1062+H1059+H1060+H1054+H1061+H1063+H1064</f>
        <v>19946</v>
      </c>
      <c r="I1053" s="680">
        <f t="shared" ref="I1053:I1072" si="224">(H1053/G1053)*100</f>
        <v>100</v>
      </c>
    </row>
    <row r="1054" spans="1:20" ht="28.5" x14ac:dyDescent="0.2">
      <c r="A1054" s="921"/>
      <c r="B1054" s="2722"/>
      <c r="C1054" s="2722"/>
      <c r="D1054" s="2439" t="s">
        <v>1893</v>
      </c>
      <c r="E1054" s="3102" t="s">
        <v>1958</v>
      </c>
      <c r="F1054" s="894">
        <v>0</v>
      </c>
      <c r="G1054" s="893">
        <v>1302</v>
      </c>
      <c r="H1054" s="893">
        <v>1302</v>
      </c>
      <c r="I1054" s="903">
        <f t="shared" si="224"/>
        <v>100</v>
      </c>
    </row>
    <row r="1055" spans="1:20" ht="14.25" customHeight="1" x14ac:dyDescent="0.2">
      <c r="A1055" s="921"/>
      <c r="B1055" s="2722"/>
      <c r="C1055" s="2722"/>
      <c r="D1055" s="2726" t="s">
        <v>932</v>
      </c>
      <c r="E1055" s="3235" t="s">
        <v>862</v>
      </c>
      <c r="F1055" s="309">
        <v>0</v>
      </c>
      <c r="G1055" s="311">
        <v>32</v>
      </c>
      <c r="H1055" s="311">
        <v>32</v>
      </c>
      <c r="I1055" s="816">
        <f t="shared" si="224"/>
        <v>100</v>
      </c>
    </row>
    <row r="1056" spans="1:20" ht="15" x14ac:dyDescent="0.25">
      <c r="A1056" s="921"/>
      <c r="B1056" s="2722"/>
      <c r="C1056" s="2722"/>
      <c r="D1056" s="2726"/>
      <c r="E1056" s="3235"/>
      <c r="F1056" s="309"/>
      <c r="G1056" s="310"/>
      <c r="H1056" s="310"/>
      <c r="I1056" s="815"/>
    </row>
    <row r="1057" spans="1:9" ht="14.25" customHeight="1" x14ac:dyDescent="0.2">
      <c r="A1057" s="921"/>
      <c r="B1057" s="2722"/>
      <c r="C1057" s="2722"/>
      <c r="D1057" s="2726" t="s">
        <v>933</v>
      </c>
      <c r="E1057" s="3235" t="s">
        <v>863</v>
      </c>
      <c r="F1057" s="309">
        <v>0</v>
      </c>
      <c r="G1057" s="311">
        <v>24</v>
      </c>
      <c r="H1057" s="311">
        <v>24</v>
      </c>
      <c r="I1057" s="816">
        <f t="shared" ref="I1057:I1061" si="225">(H1057/G1057)*100</f>
        <v>100</v>
      </c>
    </row>
    <row r="1058" spans="1:9" ht="15" x14ac:dyDescent="0.25">
      <c r="A1058" s="921"/>
      <c r="B1058" s="2722"/>
      <c r="C1058" s="2722"/>
      <c r="D1058" s="2726"/>
      <c r="E1058" s="3235"/>
      <c r="F1058" s="309"/>
      <c r="G1058" s="310"/>
      <c r="H1058" s="310"/>
      <c r="I1058" s="816"/>
    </row>
    <row r="1059" spans="1:9" ht="14.25" x14ac:dyDescent="0.2">
      <c r="A1059" s="921"/>
      <c r="B1059" s="2722"/>
      <c r="C1059" s="2722"/>
      <c r="D1059" s="2725" t="s">
        <v>920</v>
      </c>
      <c r="E1059" s="1352" t="s">
        <v>769</v>
      </c>
      <c r="F1059" s="309">
        <v>0</v>
      </c>
      <c r="G1059" s="311">
        <v>26</v>
      </c>
      <c r="H1059" s="311">
        <v>26</v>
      </c>
      <c r="I1059" s="816">
        <f t="shared" si="225"/>
        <v>100</v>
      </c>
    </row>
    <row r="1060" spans="1:9" ht="14.25" x14ac:dyDescent="0.2">
      <c r="A1060" s="921"/>
      <c r="B1060" s="2722"/>
      <c r="C1060" s="2722"/>
      <c r="D1060" s="2725" t="s">
        <v>902</v>
      </c>
      <c r="E1060" s="1352" t="s">
        <v>855</v>
      </c>
      <c r="F1060" s="309">
        <v>0</v>
      </c>
      <c r="G1060" s="311">
        <v>465</v>
      </c>
      <c r="H1060" s="311">
        <v>465</v>
      </c>
      <c r="I1060" s="816">
        <f t="shared" si="225"/>
        <v>100</v>
      </c>
    </row>
    <row r="1061" spans="1:9" ht="14.25" x14ac:dyDescent="0.2">
      <c r="A1061" s="921"/>
      <c r="B1061" s="2722"/>
      <c r="C1061" s="2722"/>
      <c r="D1061" s="2725" t="s">
        <v>1896</v>
      </c>
      <c r="E1061" s="1352" t="s">
        <v>1951</v>
      </c>
      <c r="F1061" s="311">
        <v>0</v>
      </c>
      <c r="G1061" s="3107">
        <v>236</v>
      </c>
      <c r="H1061" s="3107">
        <v>236</v>
      </c>
      <c r="I1061" s="816">
        <f t="shared" si="225"/>
        <v>100</v>
      </c>
    </row>
    <row r="1062" spans="1:9" ht="14.25" x14ac:dyDescent="0.2">
      <c r="A1062" s="921"/>
      <c r="B1062" s="2722"/>
      <c r="C1062" s="2722"/>
      <c r="D1062" s="2726" t="s">
        <v>901</v>
      </c>
      <c r="E1062" s="436" t="s">
        <v>1637</v>
      </c>
      <c r="F1062" s="665">
        <v>0</v>
      </c>
      <c r="G1062" s="665">
        <v>17399</v>
      </c>
      <c r="H1062" s="665">
        <v>17399</v>
      </c>
      <c r="I1062" s="656">
        <f t="shared" si="224"/>
        <v>100</v>
      </c>
    </row>
    <row r="1063" spans="1:9" ht="14.25" x14ac:dyDescent="0.2">
      <c r="A1063" s="921"/>
      <c r="B1063" s="2722"/>
      <c r="C1063" s="2722"/>
      <c r="D1063" s="2726" t="s">
        <v>1144</v>
      </c>
      <c r="E1063" s="938" t="s">
        <v>1515</v>
      </c>
      <c r="F1063" s="665">
        <v>0</v>
      </c>
      <c r="G1063" s="665">
        <v>69</v>
      </c>
      <c r="H1063" s="665">
        <v>69</v>
      </c>
      <c r="I1063" s="656">
        <f t="shared" si="224"/>
        <v>100</v>
      </c>
    </row>
    <row r="1064" spans="1:9" ht="14.25" x14ac:dyDescent="0.2">
      <c r="A1064" s="921"/>
      <c r="B1064" s="2722"/>
      <c r="C1064" s="2722"/>
      <c r="D1064" s="2726" t="s">
        <v>1145</v>
      </c>
      <c r="E1064" s="938" t="s">
        <v>1515</v>
      </c>
      <c r="F1064" s="665">
        <v>0</v>
      </c>
      <c r="G1064" s="665">
        <v>393</v>
      </c>
      <c r="H1064" s="665">
        <v>393</v>
      </c>
      <c r="I1064" s="656">
        <f t="shared" si="224"/>
        <v>100</v>
      </c>
    </row>
    <row r="1065" spans="1:9" ht="15" hidden="1" x14ac:dyDescent="0.25">
      <c r="A1065" s="921">
        <v>1132</v>
      </c>
      <c r="B1065" s="2722">
        <v>3127</v>
      </c>
      <c r="C1065" s="2722">
        <v>5331</v>
      </c>
      <c r="D1065" s="2732"/>
      <c r="E1065" s="602" t="s">
        <v>481</v>
      </c>
      <c r="F1065" s="675">
        <f>F1066+F1067</f>
        <v>0</v>
      </c>
      <c r="G1065" s="675">
        <f>G1066+G1067</f>
        <v>0</v>
      </c>
      <c r="H1065" s="675">
        <f>H1066+H1067</f>
        <v>0</v>
      </c>
      <c r="I1065" s="680" t="e">
        <f t="shared" si="224"/>
        <v>#DIV/0!</v>
      </c>
    </row>
    <row r="1066" spans="1:9" ht="14.25" hidden="1" x14ac:dyDescent="0.2">
      <c r="A1066" s="921"/>
      <c r="B1066" s="2722"/>
      <c r="C1066" s="2722"/>
      <c r="D1066" s="2729" t="s">
        <v>905</v>
      </c>
      <c r="E1066" s="938" t="s">
        <v>408</v>
      </c>
      <c r="F1066" s="665"/>
      <c r="G1066" s="665"/>
      <c r="H1066" s="665"/>
      <c r="I1066" s="656" t="e">
        <f t="shared" si="224"/>
        <v>#DIV/0!</v>
      </c>
    </row>
    <row r="1067" spans="1:9" ht="14.25" hidden="1" x14ac:dyDescent="0.2">
      <c r="A1067" s="921"/>
      <c r="B1067" s="2722"/>
      <c r="C1067" s="2722"/>
      <c r="D1067" s="2726" t="s">
        <v>906</v>
      </c>
      <c r="E1067" s="436" t="s">
        <v>38</v>
      </c>
      <c r="F1067" s="665"/>
      <c r="G1067" s="665"/>
      <c r="H1067" s="665"/>
      <c r="I1067" s="656" t="e">
        <f t="shared" si="224"/>
        <v>#DIV/0!</v>
      </c>
    </row>
    <row r="1068" spans="1:9" ht="15" hidden="1" x14ac:dyDescent="0.25">
      <c r="A1068" s="921">
        <v>1132</v>
      </c>
      <c r="B1068" s="2722">
        <v>3127</v>
      </c>
      <c r="C1068" s="2722">
        <v>5336</v>
      </c>
      <c r="D1068" s="2732"/>
      <c r="E1068" s="602" t="s">
        <v>856</v>
      </c>
      <c r="F1068" s="666"/>
      <c r="G1068" s="666"/>
      <c r="H1068" s="666"/>
      <c r="I1068" s="667" t="e">
        <f t="shared" si="224"/>
        <v>#DIV/0!</v>
      </c>
    </row>
    <row r="1069" spans="1:9" ht="15" hidden="1" x14ac:dyDescent="0.25">
      <c r="A1069" s="921"/>
      <c r="B1069" s="2722"/>
      <c r="C1069" s="2722"/>
      <c r="D1069" s="2725" t="s">
        <v>902</v>
      </c>
      <c r="E1069" s="1352" t="s">
        <v>855</v>
      </c>
      <c r="F1069" s="666"/>
      <c r="G1069" s="668"/>
      <c r="H1069" s="668"/>
      <c r="I1069" s="367" t="e">
        <f t="shared" si="224"/>
        <v>#DIV/0!</v>
      </c>
    </row>
    <row r="1070" spans="1:9" ht="28.5" hidden="1" x14ac:dyDescent="0.25">
      <c r="A1070" s="921"/>
      <c r="B1070" s="2722"/>
      <c r="C1070" s="2722"/>
      <c r="D1070" s="2725" t="s">
        <v>903</v>
      </c>
      <c r="E1070" s="2213" t="s">
        <v>904</v>
      </c>
      <c r="F1070" s="666"/>
      <c r="G1070" s="978"/>
      <c r="H1070" s="978"/>
      <c r="I1070" s="982" t="e">
        <f t="shared" si="224"/>
        <v>#DIV/0!</v>
      </c>
    </row>
    <row r="1071" spans="1:9" ht="15" x14ac:dyDescent="0.25">
      <c r="A1071" s="921">
        <v>1132</v>
      </c>
      <c r="B1071" s="2722">
        <v>3141</v>
      </c>
      <c r="C1071" s="2722">
        <v>5336</v>
      </c>
      <c r="D1071" s="2726"/>
      <c r="E1071" s="602" t="s">
        <v>856</v>
      </c>
      <c r="F1071" s="675">
        <f>F1072</f>
        <v>0</v>
      </c>
      <c r="G1071" s="675">
        <f>G1072</f>
        <v>1922</v>
      </c>
      <c r="H1071" s="675">
        <f>H1072</f>
        <v>1922</v>
      </c>
      <c r="I1071" s="669">
        <f t="shared" si="224"/>
        <v>100</v>
      </c>
    </row>
    <row r="1072" spans="1:9" ht="14.25" x14ac:dyDescent="0.2">
      <c r="A1072" s="921"/>
      <c r="B1072" s="2722"/>
      <c r="C1072" s="1350"/>
      <c r="D1072" s="2726" t="s">
        <v>901</v>
      </c>
      <c r="E1072" s="436" t="s">
        <v>1637</v>
      </c>
      <c r="F1072" s="665">
        <v>0</v>
      </c>
      <c r="G1072" s="665">
        <v>1922</v>
      </c>
      <c r="H1072" s="665">
        <v>1922</v>
      </c>
      <c r="I1072" s="661">
        <f t="shared" si="224"/>
        <v>100</v>
      </c>
    </row>
    <row r="1073" spans="1:20" ht="15" x14ac:dyDescent="0.25">
      <c r="A1073" s="921">
        <v>1132</v>
      </c>
      <c r="B1073" s="2722">
        <v>3147</v>
      </c>
      <c r="C1073" s="1350">
        <v>5336</v>
      </c>
      <c r="D1073" s="2726"/>
      <c r="E1073" s="602" t="s">
        <v>856</v>
      </c>
      <c r="F1073" s="675">
        <f>F1074</f>
        <v>0</v>
      </c>
      <c r="G1073" s="675">
        <f>G1074</f>
        <v>6344</v>
      </c>
      <c r="H1073" s="675">
        <f>H1074</f>
        <v>6344</v>
      </c>
      <c r="I1073" s="669">
        <v>100</v>
      </c>
    </row>
    <row r="1074" spans="1:20" ht="15" thickBot="1" x14ac:dyDescent="0.25">
      <c r="A1074" s="921"/>
      <c r="B1074" s="2722"/>
      <c r="C1074" s="1350"/>
      <c r="D1074" s="2726" t="s">
        <v>901</v>
      </c>
      <c r="E1074" s="2434" t="s">
        <v>1637</v>
      </c>
      <c r="F1074" s="665">
        <v>0</v>
      </c>
      <c r="G1074" s="665">
        <v>6344</v>
      </c>
      <c r="H1074" s="665">
        <v>6344</v>
      </c>
      <c r="I1074" s="661">
        <v>100</v>
      </c>
    </row>
    <row r="1075" spans="1:20" ht="15" hidden="1" customHeight="1" x14ac:dyDescent="0.25">
      <c r="A1075" s="921">
        <v>1132</v>
      </c>
      <c r="B1075" s="2722">
        <v>3299</v>
      </c>
      <c r="C1075" s="1350">
        <v>5331</v>
      </c>
      <c r="D1075" s="2724"/>
      <c r="E1075" s="602" t="s">
        <v>481</v>
      </c>
      <c r="F1075" s="665"/>
      <c r="G1075" s="675">
        <f>G1076</f>
        <v>0</v>
      </c>
      <c r="H1075" s="675">
        <f>H1076</f>
        <v>0</v>
      </c>
      <c r="I1075" s="669">
        <v>100</v>
      </c>
    </row>
    <row r="1076" spans="1:20" ht="29.25" hidden="1" thickBot="1" x14ac:dyDescent="0.25">
      <c r="A1076" s="921"/>
      <c r="B1076" s="2722"/>
      <c r="C1076" s="1350"/>
      <c r="D1076" s="2741" t="s">
        <v>924</v>
      </c>
      <c r="E1076" s="2214" t="s">
        <v>925</v>
      </c>
      <c r="F1076" s="665"/>
      <c r="G1076" s="870"/>
      <c r="H1076" s="870"/>
      <c r="I1076" s="874">
        <v>100</v>
      </c>
    </row>
    <row r="1077" spans="1:20" ht="15.75" hidden="1" thickBot="1" x14ac:dyDescent="0.3">
      <c r="A1077" s="921">
        <v>1132</v>
      </c>
      <c r="B1077" s="2427">
        <v>3792</v>
      </c>
      <c r="C1077" s="2719">
        <v>5331</v>
      </c>
      <c r="D1077" s="2724"/>
      <c r="E1077" s="602" t="s">
        <v>481</v>
      </c>
      <c r="F1077" s="653"/>
      <c r="G1077" s="653">
        <f>G1078</f>
        <v>0</v>
      </c>
      <c r="H1077" s="653">
        <f>H1078</f>
        <v>0</v>
      </c>
      <c r="I1077" s="654">
        <v>100</v>
      </c>
    </row>
    <row r="1078" spans="1:20" ht="15.75" hidden="1" thickBot="1" x14ac:dyDescent="0.3">
      <c r="A1078" s="921"/>
      <c r="B1078" s="2427"/>
      <c r="C1078" s="2719"/>
      <c r="D1078" s="2725" t="s">
        <v>976</v>
      </c>
      <c r="E1078" s="1351" t="s">
        <v>1531</v>
      </c>
      <c r="F1078" s="653"/>
      <c r="G1078" s="351"/>
      <c r="H1078" s="351"/>
      <c r="I1078" s="661">
        <v>100</v>
      </c>
    </row>
    <row r="1079" spans="1:20" ht="18" customHeight="1" thickTop="1" thickBot="1" x14ac:dyDescent="0.3">
      <c r="A1079" s="3233" t="s">
        <v>522</v>
      </c>
      <c r="B1079" s="3234"/>
      <c r="C1079" s="3234"/>
      <c r="D1079" s="3234"/>
      <c r="E1079" s="3234"/>
      <c r="F1079" s="657">
        <f>F1065</f>
        <v>0</v>
      </c>
      <c r="G1079" s="657">
        <f>G1053+G1071+G1073+G1077+G1051</f>
        <v>28226</v>
      </c>
      <c r="H1079" s="657">
        <f>H1053+H1071+H1073+H1077+H1051</f>
        <v>28223</v>
      </c>
      <c r="I1079" s="658">
        <f t="shared" ref="I1079:I1088" si="226">(H1079/G1079)*100</f>
        <v>99.989371501452567</v>
      </c>
    </row>
    <row r="1080" spans="1:20" s="920" customFormat="1" ht="18" customHeight="1" thickTop="1" x14ac:dyDescent="0.25">
      <c r="A1080" s="360"/>
      <c r="B1080" s="360"/>
      <c r="C1080" s="360"/>
      <c r="D1080" s="360"/>
      <c r="E1080" s="360"/>
      <c r="F1080" s="177"/>
      <c r="G1080" s="177"/>
      <c r="H1080" s="177"/>
      <c r="I1080" s="206"/>
    </row>
    <row r="1081" spans="1:20" ht="15.75" customHeight="1" thickBot="1" x14ac:dyDescent="0.25">
      <c r="A1081" s="419" t="s">
        <v>25</v>
      </c>
      <c r="I1081" s="915" t="s">
        <v>92</v>
      </c>
    </row>
    <row r="1082" spans="1:20" s="106" customFormat="1" ht="15.75" customHeight="1" thickTop="1" thickBot="1" x14ac:dyDescent="0.25">
      <c r="A1082" s="572" t="s">
        <v>324</v>
      </c>
      <c r="B1082" s="639" t="s">
        <v>93</v>
      </c>
      <c r="C1082" s="573" t="s">
        <v>94</v>
      </c>
      <c r="D1082" s="575" t="s">
        <v>364</v>
      </c>
      <c r="E1082" s="575" t="s">
        <v>95</v>
      </c>
      <c r="F1082" s="575" t="s">
        <v>328</v>
      </c>
      <c r="G1082" s="575" t="s">
        <v>329</v>
      </c>
      <c r="H1082" s="575" t="s">
        <v>448</v>
      </c>
      <c r="I1082" s="651" t="s">
        <v>449</v>
      </c>
    </row>
    <row r="1083" spans="1:20" s="374" customFormat="1" ht="14.25" customHeight="1" thickTop="1" thickBot="1" x14ac:dyDescent="0.25">
      <c r="A1083" s="511">
        <v>1</v>
      </c>
      <c r="B1083" s="512">
        <v>2</v>
      </c>
      <c r="C1083" s="512">
        <v>3</v>
      </c>
      <c r="D1083" s="512">
        <v>4</v>
      </c>
      <c r="E1083" s="512">
        <v>5</v>
      </c>
      <c r="F1083" s="499">
        <v>6</v>
      </c>
      <c r="G1083" s="499">
        <v>7</v>
      </c>
      <c r="H1083" s="500">
        <v>8</v>
      </c>
      <c r="I1083" s="577" t="s">
        <v>393</v>
      </c>
    </row>
    <row r="1084" spans="1:20" ht="15.75" thickTop="1" x14ac:dyDescent="0.25">
      <c r="A1084" s="921">
        <v>1132</v>
      </c>
      <c r="B1084" s="2722">
        <v>3127</v>
      </c>
      <c r="C1084" s="2722">
        <v>6356</v>
      </c>
      <c r="D1084" s="2765"/>
      <c r="E1084" s="602" t="s">
        <v>950</v>
      </c>
      <c r="F1084" s="675">
        <f>F1085</f>
        <v>0</v>
      </c>
      <c r="G1084" s="675">
        <f>G1085</f>
        <v>1502</v>
      </c>
      <c r="H1084" s="675">
        <f>H1085</f>
        <v>1502</v>
      </c>
      <c r="I1084" s="367">
        <f t="shared" si="226"/>
        <v>100</v>
      </c>
      <c r="R1084" s="373"/>
      <c r="S1084" s="373"/>
      <c r="T1084" s="373"/>
    </row>
    <row r="1085" spans="1:20" ht="14.25" x14ac:dyDescent="0.2">
      <c r="A1085" s="921"/>
      <c r="B1085" s="2722"/>
      <c r="C1085" s="2722"/>
      <c r="D1085" s="2772" t="s">
        <v>1898</v>
      </c>
      <c r="E1085" s="2631" t="s">
        <v>1906</v>
      </c>
      <c r="F1085" s="665">
        <v>0</v>
      </c>
      <c r="G1085" s="668">
        <v>1502</v>
      </c>
      <c r="H1085" s="668">
        <v>1502</v>
      </c>
      <c r="I1085" s="367">
        <f t="shared" si="226"/>
        <v>100</v>
      </c>
      <c r="R1085" s="373"/>
      <c r="S1085" s="373"/>
      <c r="T1085" s="373"/>
    </row>
    <row r="1086" spans="1:20" ht="15" x14ac:dyDescent="0.25">
      <c r="A1086" s="921">
        <v>1132</v>
      </c>
      <c r="B1086" s="2722">
        <v>3127</v>
      </c>
      <c r="C1086" s="2722">
        <v>6351</v>
      </c>
      <c r="D1086" s="2765"/>
      <c r="E1086" s="602"/>
      <c r="F1086" s="675">
        <f>F1087</f>
        <v>0</v>
      </c>
      <c r="G1086" s="675">
        <f>G1087</f>
        <v>1840</v>
      </c>
      <c r="H1086" s="675">
        <f>H1087</f>
        <v>1840</v>
      </c>
      <c r="I1086" s="367">
        <f t="shared" si="226"/>
        <v>100</v>
      </c>
      <c r="R1086" s="373"/>
      <c r="S1086" s="373"/>
      <c r="T1086" s="373"/>
    </row>
    <row r="1087" spans="1:20" ht="29.25" thickBot="1" x14ac:dyDescent="0.25">
      <c r="A1087" s="921"/>
      <c r="B1087" s="2722"/>
      <c r="C1087" s="2722"/>
      <c r="D1087" s="3132" t="s">
        <v>951</v>
      </c>
      <c r="E1087" s="3131" t="s">
        <v>1957</v>
      </c>
      <c r="F1087" s="870">
        <v>0</v>
      </c>
      <c r="G1087" s="978">
        <v>1840</v>
      </c>
      <c r="H1087" s="978">
        <v>1840</v>
      </c>
      <c r="I1087" s="982">
        <f t="shared" si="226"/>
        <v>100</v>
      </c>
      <c r="R1087" s="373"/>
      <c r="S1087" s="373"/>
      <c r="T1087" s="373"/>
    </row>
    <row r="1088" spans="1:20" ht="18" customHeight="1" thickTop="1" thickBot="1" x14ac:dyDescent="0.3">
      <c r="A1088" s="3241" t="s">
        <v>523</v>
      </c>
      <c r="B1088" s="3242"/>
      <c r="C1088" s="3242"/>
      <c r="D1088" s="3242"/>
      <c r="E1088" s="3243"/>
      <c r="F1088" s="2648">
        <f>F1084+F1086</f>
        <v>0</v>
      </c>
      <c r="G1088" s="2648">
        <f t="shared" ref="G1088:H1088" si="227">G1084+G1086</f>
        <v>3342</v>
      </c>
      <c r="H1088" s="2648">
        <f t="shared" si="227"/>
        <v>3342</v>
      </c>
      <c r="I1088" s="658">
        <f t="shared" si="226"/>
        <v>100</v>
      </c>
      <c r="R1088" s="373">
        <f>F1079+F1088</f>
        <v>0</v>
      </c>
      <c r="S1088" s="373">
        <f t="shared" ref="S1088:T1088" si="228">G1079+G1088</f>
        <v>31568</v>
      </c>
      <c r="T1088" s="373">
        <f t="shared" si="228"/>
        <v>31565</v>
      </c>
    </row>
    <row r="1089" spans="1:20" ht="15.75" thickTop="1" x14ac:dyDescent="0.25">
      <c r="A1089" s="360"/>
      <c r="B1089" s="360"/>
      <c r="C1089" s="360"/>
      <c r="D1089" s="360"/>
      <c r="E1089" s="360"/>
      <c r="F1089" s="177"/>
      <c r="G1089" s="177"/>
      <c r="H1089" s="177"/>
      <c r="I1089" s="206"/>
      <c r="R1089" s="373"/>
      <c r="S1089" s="373"/>
      <c r="T1089" s="373"/>
    </row>
    <row r="1090" spans="1:20" ht="15" x14ac:dyDescent="0.25">
      <c r="A1090" s="360"/>
      <c r="B1090" s="360"/>
      <c r="C1090" s="360"/>
      <c r="D1090" s="360"/>
      <c r="E1090" s="360"/>
      <c r="F1090" s="177"/>
      <c r="G1090" s="177"/>
      <c r="H1090" s="177"/>
      <c r="I1090" s="206"/>
      <c r="R1090" s="373"/>
      <c r="S1090" s="373"/>
      <c r="T1090" s="373"/>
    </row>
    <row r="1091" spans="1:20" ht="13.5" thickBot="1" x14ac:dyDescent="0.25">
      <c r="A1091" s="419" t="s">
        <v>123</v>
      </c>
      <c r="I1091" s="915" t="s">
        <v>92</v>
      </c>
    </row>
    <row r="1092" spans="1:20" s="106" customFormat="1" thickTop="1" thickBot="1" x14ac:dyDescent="0.25">
      <c r="A1092" s="572" t="s">
        <v>324</v>
      </c>
      <c r="B1092" s="639" t="s">
        <v>93</v>
      </c>
      <c r="C1092" s="573" t="s">
        <v>94</v>
      </c>
      <c r="D1092" s="575" t="s">
        <v>364</v>
      </c>
      <c r="E1092" s="575" t="s">
        <v>95</v>
      </c>
      <c r="F1092" s="575" t="s">
        <v>328</v>
      </c>
      <c r="G1092" s="575" t="s">
        <v>329</v>
      </c>
      <c r="H1092" s="575" t="s">
        <v>448</v>
      </c>
      <c r="I1092" s="651" t="s">
        <v>449</v>
      </c>
    </row>
    <row r="1093" spans="1:20" s="374" customFormat="1" ht="13.5" thickTop="1" thickBot="1" x14ac:dyDescent="0.25">
      <c r="A1093" s="511">
        <v>1</v>
      </c>
      <c r="B1093" s="512">
        <v>2</v>
      </c>
      <c r="C1093" s="512">
        <v>3</v>
      </c>
      <c r="D1093" s="512">
        <v>4</v>
      </c>
      <c r="E1093" s="512">
        <v>5</v>
      </c>
      <c r="F1093" s="499">
        <v>6</v>
      </c>
      <c r="G1093" s="499">
        <v>7</v>
      </c>
      <c r="H1093" s="500">
        <v>8</v>
      </c>
      <c r="I1093" s="577" t="s">
        <v>393</v>
      </c>
    </row>
    <row r="1094" spans="1:20" s="374" customFormat="1" ht="15.75" thickTop="1" x14ac:dyDescent="0.25">
      <c r="A1094" s="916">
        <v>1133</v>
      </c>
      <c r="B1094" s="640">
        <v>3121</v>
      </c>
      <c r="C1094" s="2737">
        <v>5331</v>
      </c>
      <c r="D1094" s="670"/>
      <c r="E1094" s="685" t="s">
        <v>481</v>
      </c>
      <c r="F1094" s="686">
        <f>F1095</f>
        <v>0</v>
      </c>
      <c r="G1094" s="686">
        <f t="shared" ref="G1094" si="229">G1095</f>
        <v>68</v>
      </c>
      <c r="H1094" s="686">
        <f t="shared" ref="H1094" si="230">H1095</f>
        <v>68</v>
      </c>
      <c r="I1094" s="659">
        <f t="shared" ref="I1094:I1095" si="231">(H1094/G1094)*100</f>
        <v>100</v>
      </c>
    </row>
    <row r="1095" spans="1:20" s="374" customFormat="1" ht="14.25" x14ac:dyDescent="0.2">
      <c r="A1095" s="418"/>
      <c r="B1095" s="603"/>
      <c r="C1095" s="603"/>
      <c r="D1095" s="505" t="s">
        <v>917</v>
      </c>
      <c r="E1095" s="692" t="s">
        <v>1956</v>
      </c>
      <c r="F1095" s="660">
        <v>0</v>
      </c>
      <c r="G1095" s="660">
        <v>68</v>
      </c>
      <c r="H1095" s="660">
        <v>68</v>
      </c>
      <c r="I1095" s="656">
        <f t="shared" si="231"/>
        <v>100</v>
      </c>
    </row>
    <row r="1096" spans="1:20" ht="14.25" customHeight="1" x14ac:dyDescent="0.25">
      <c r="A1096" s="921">
        <v>1133</v>
      </c>
      <c r="B1096" s="2427">
        <v>3121</v>
      </c>
      <c r="C1096" s="2427">
        <v>5336</v>
      </c>
      <c r="D1096" s="2726"/>
      <c r="E1096" s="602" t="s">
        <v>856</v>
      </c>
      <c r="F1096" s="678">
        <f>F1097+F1098</f>
        <v>0</v>
      </c>
      <c r="G1096" s="678">
        <f t="shared" ref="G1096:H1096" si="232">G1097+G1098</f>
        <v>13457</v>
      </c>
      <c r="H1096" s="678">
        <f t="shared" si="232"/>
        <v>13457</v>
      </c>
      <c r="I1096" s="680">
        <f t="shared" ref="I1096:I1119" si="233">(H1096/G1096)*100</f>
        <v>100</v>
      </c>
    </row>
    <row r="1097" spans="1:20" ht="14.25" customHeight="1" x14ac:dyDescent="0.2">
      <c r="A1097" s="921"/>
      <c r="B1097" s="2427"/>
      <c r="C1097" s="2427"/>
      <c r="D1097" s="2726" t="s">
        <v>1132</v>
      </c>
      <c r="E1097" s="436" t="s">
        <v>1516</v>
      </c>
      <c r="F1097" s="660">
        <v>0</v>
      </c>
      <c r="G1097" s="660">
        <v>12</v>
      </c>
      <c r="H1097" s="660">
        <v>12</v>
      </c>
      <c r="I1097" s="656">
        <f t="shared" si="233"/>
        <v>100</v>
      </c>
    </row>
    <row r="1098" spans="1:20" ht="14.25" x14ac:dyDescent="0.2">
      <c r="A1098" s="921"/>
      <c r="B1098" s="2427"/>
      <c r="C1098" s="2427"/>
      <c r="D1098" s="2726" t="s">
        <v>901</v>
      </c>
      <c r="E1098" s="436" t="s">
        <v>1637</v>
      </c>
      <c r="F1098" s="660">
        <v>0</v>
      </c>
      <c r="G1098" s="660">
        <v>13445</v>
      </c>
      <c r="H1098" s="660">
        <v>13445</v>
      </c>
      <c r="I1098" s="656">
        <f t="shared" si="233"/>
        <v>100</v>
      </c>
    </row>
    <row r="1099" spans="1:20" ht="15" hidden="1" x14ac:dyDescent="0.25">
      <c r="A1099" s="921">
        <v>1133</v>
      </c>
      <c r="B1099" s="2722">
        <v>3121</v>
      </c>
      <c r="C1099" s="2722">
        <v>5331</v>
      </c>
      <c r="D1099" s="2726"/>
      <c r="E1099" s="602" t="s">
        <v>481</v>
      </c>
      <c r="F1099" s="665"/>
      <c r="G1099" s="675">
        <f>G1100</f>
        <v>0</v>
      </c>
      <c r="H1099" s="675">
        <f>H1100</f>
        <v>0</v>
      </c>
      <c r="I1099" s="669" t="e">
        <f t="shared" si="233"/>
        <v>#DIV/0!</v>
      </c>
    </row>
    <row r="1100" spans="1:20" ht="14.25" hidden="1" x14ac:dyDescent="0.2">
      <c r="A1100" s="921"/>
      <c r="B1100" s="2722"/>
      <c r="C1100" s="2722"/>
      <c r="D1100" s="2726" t="s">
        <v>917</v>
      </c>
      <c r="E1100" s="949" t="s">
        <v>1534</v>
      </c>
      <c r="F1100" s="665"/>
      <c r="G1100" s="665"/>
      <c r="H1100" s="665"/>
      <c r="I1100" s="656" t="e">
        <f t="shared" si="233"/>
        <v>#DIV/0!</v>
      </c>
    </row>
    <row r="1101" spans="1:20" ht="15" x14ac:dyDescent="0.25">
      <c r="A1101" s="921">
        <v>1133</v>
      </c>
      <c r="B1101" s="2722">
        <v>3122</v>
      </c>
      <c r="C1101" s="2722">
        <v>5336</v>
      </c>
      <c r="D1101" s="2765"/>
      <c r="E1101" s="602" t="s">
        <v>856</v>
      </c>
      <c r="F1101" s="665"/>
      <c r="G1101" s="675">
        <f>G1102+G1105+G1106+G1107</f>
        <v>24840</v>
      </c>
      <c r="H1101" s="675">
        <f>H1102+H1105+H1106+H1107</f>
        <v>24840</v>
      </c>
      <c r="I1101" s="669">
        <f t="shared" si="233"/>
        <v>100</v>
      </c>
    </row>
    <row r="1102" spans="1:20" ht="14.25" x14ac:dyDescent="0.2">
      <c r="A1102" s="921"/>
      <c r="B1102" s="2722"/>
      <c r="C1102" s="2722"/>
      <c r="D1102" s="3238" t="s">
        <v>934</v>
      </c>
      <c r="E1102" s="3236" t="s">
        <v>704</v>
      </c>
      <c r="F1102" s="665">
        <v>0</v>
      </c>
      <c r="G1102" s="665">
        <v>118</v>
      </c>
      <c r="H1102" s="665">
        <v>118</v>
      </c>
      <c r="I1102" s="661">
        <f t="shared" ref="I1102" si="234">(H1102/G1102)*100</f>
        <v>100</v>
      </c>
    </row>
    <row r="1103" spans="1:20" ht="14.25" x14ac:dyDescent="0.2">
      <c r="A1103" s="921"/>
      <c r="B1103" s="2722"/>
      <c r="C1103" s="2722"/>
      <c r="D1103" s="3239"/>
      <c r="E1103" s="3237"/>
      <c r="F1103" s="665"/>
      <c r="G1103" s="665"/>
      <c r="H1103" s="665"/>
      <c r="I1103" s="661"/>
    </row>
    <row r="1104" spans="1:20" ht="14.25" x14ac:dyDescent="0.2">
      <c r="A1104" s="921"/>
      <c r="B1104" s="2722"/>
      <c r="C1104" s="2722"/>
      <c r="D1104" s="3239"/>
      <c r="E1104" s="3237"/>
      <c r="F1104" s="665"/>
      <c r="G1104" s="665"/>
      <c r="H1104" s="665"/>
      <c r="I1104" s="661"/>
    </row>
    <row r="1105" spans="1:20" ht="14.25" x14ac:dyDescent="0.2">
      <c r="A1105" s="921"/>
      <c r="B1105" s="2722"/>
      <c r="C1105" s="1350"/>
      <c r="D1105" s="2726" t="s">
        <v>901</v>
      </c>
      <c r="E1105" s="436" t="s">
        <v>1637</v>
      </c>
      <c r="F1105" s="665">
        <v>0</v>
      </c>
      <c r="G1105" s="665">
        <v>24722</v>
      </c>
      <c r="H1105" s="665">
        <v>24722</v>
      </c>
      <c r="I1105" s="661">
        <f t="shared" si="233"/>
        <v>100</v>
      </c>
    </row>
    <row r="1106" spans="1:20" ht="14.25" hidden="1" x14ac:dyDescent="0.2">
      <c r="A1106" s="921"/>
      <c r="B1106" s="2722"/>
      <c r="C1106" s="1350"/>
      <c r="D1106" s="2766" t="s">
        <v>939</v>
      </c>
      <c r="E1106" s="1601" t="s">
        <v>572</v>
      </c>
      <c r="F1106" s="1602"/>
      <c r="G1106" s="1602"/>
      <c r="H1106" s="1602"/>
      <c r="I1106" s="1603" t="e">
        <f>(H1106/G1106)*100</f>
        <v>#DIV/0!</v>
      </c>
    </row>
    <row r="1107" spans="1:20" ht="14.25" hidden="1" x14ac:dyDescent="0.2">
      <c r="A1107" s="921"/>
      <c r="B1107" s="2722"/>
      <c r="C1107" s="1350"/>
      <c r="D1107" s="2766" t="s">
        <v>940</v>
      </c>
      <c r="E1107" s="1601" t="s">
        <v>572</v>
      </c>
      <c r="F1107" s="1602"/>
      <c r="G1107" s="1602"/>
      <c r="H1107" s="1602"/>
      <c r="I1107" s="1603" t="e">
        <f>(H1107/G1107)*100</f>
        <v>#DIV/0!</v>
      </c>
    </row>
    <row r="1108" spans="1:20" ht="15" hidden="1" x14ac:dyDescent="0.25">
      <c r="A1108" s="921">
        <v>1133</v>
      </c>
      <c r="B1108" s="2722">
        <v>3127</v>
      </c>
      <c r="C1108" s="1350">
        <v>5331</v>
      </c>
      <c r="D1108" s="2726"/>
      <c r="E1108" s="602" t="s">
        <v>481</v>
      </c>
      <c r="F1108" s="666">
        <f>F1109+F1110</f>
        <v>0</v>
      </c>
      <c r="G1108" s="666">
        <f t="shared" ref="G1108:H1108" si="235">G1109+G1110</f>
        <v>0</v>
      </c>
      <c r="H1108" s="666">
        <f t="shared" si="235"/>
        <v>0</v>
      </c>
      <c r="I1108" s="667" t="e">
        <f t="shared" ref="I1108:I1116" si="236">(H1108/G1108)*100</f>
        <v>#DIV/0!</v>
      </c>
    </row>
    <row r="1109" spans="1:20" ht="14.25" hidden="1" x14ac:dyDescent="0.2">
      <c r="A1109" s="921"/>
      <c r="B1109" s="2722"/>
      <c r="C1109" s="1350"/>
      <c r="D1109" s="2742" t="s">
        <v>905</v>
      </c>
      <c r="E1109" s="938" t="s">
        <v>408</v>
      </c>
      <c r="F1109" s="1602"/>
      <c r="G1109" s="1602"/>
      <c r="H1109" s="1602"/>
      <c r="I1109" s="1603" t="e">
        <f t="shared" si="236"/>
        <v>#DIV/0!</v>
      </c>
    </row>
    <row r="1110" spans="1:20" ht="14.25" hidden="1" x14ac:dyDescent="0.2">
      <c r="A1110" s="921"/>
      <c r="B1110" s="2722"/>
      <c r="C1110" s="1350"/>
      <c r="D1110" s="2726" t="s">
        <v>906</v>
      </c>
      <c r="E1110" s="436" t="s">
        <v>38</v>
      </c>
      <c r="F1110" s="1602"/>
      <c r="G1110" s="1602"/>
      <c r="H1110" s="1602"/>
      <c r="I1110" s="1603" t="e">
        <f t="shared" si="236"/>
        <v>#DIV/0!</v>
      </c>
    </row>
    <row r="1111" spans="1:20" ht="15" x14ac:dyDescent="0.25">
      <c r="A1111" s="921">
        <v>1133</v>
      </c>
      <c r="B1111" s="2722">
        <v>3127</v>
      </c>
      <c r="C1111" s="1350">
        <v>5336</v>
      </c>
      <c r="D1111" s="2726"/>
      <c r="E1111" s="602" t="s">
        <v>856</v>
      </c>
      <c r="F1111" s="666">
        <f>F1112+F1113+F1114+F1115+F1116</f>
        <v>0</v>
      </c>
      <c r="G1111" s="666">
        <f>G1112+G1113+G1114+G1115+G1116</f>
        <v>1960</v>
      </c>
      <c r="H1111" s="666">
        <f>H1112+H1113+H1114+H1115+H1116</f>
        <v>1960</v>
      </c>
      <c r="I1111" s="667">
        <f t="shared" si="236"/>
        <v>100</v>
      </c>
    </row>
    <row r="1112" spans="1:20" ht="14.25" x14ac:dyDescent="0.2">
      <c r="A1112" s="921"/>
      <c r="B1112" s="2722"/>
      <c r="C1112" s="1350"/>
      <c r="D1112" s="2725" t="s">
        <v>920</v>
      </c>
      <c r="E1112" s="1352" t="s">
        <v>769</v>
      </c>
      <c r="F1112" s="1602">
        <v>0</v>
      </c>
      <c r="G1112" s="1602">
        <v>11</v>
      </c>
      <c r="H1112" s="1602">
        <v>11</v>
      </c>
      <c r="I1112" s="1603">
        <f t="shared" si="236"/>
        <v>100</v>
      </c>
    </row>
    <row r="1113" spans="1:20" ht="14.25" x14ac:dyDescent="0.2">
      <c r="A1113" s="921"/>
      <c r="B1113" s="2722"/>
      <c r="C1113" s="1350"/>
      <c r="D1113" s="2725" t="s">
        <v>902</v>
      </c>
      <c r="E1113" s="1352" t="s">
        <v>855</v>
      </c>
      <c r="F1113" s="1602">
        <v>0</v>
      </c>
      <c r="G1113" s="1602">
        <v>744</v>
      </c>
      <c r="H1113" s="1602">
        <v>744</v>
      </c>
      <c r="I1113" s="1603">
        <f t="shared" si="236"/>
        <v>100</v>
      </c>
    </row>
    <row r="1114" spans="1:20" ht="14.25" x14ac:dyDescent="0.2">
      <c r="A1114" s="921"/>
      <c r="B1114" s="2722"/>
      <c r="C1114" s="1350"/>
      <c r="D1114" s="2725" t="s">
        <v>1896</v>
      </c>
      <c r="E1114" s="2213" t="s">
        <v>1951</v>
      </c>
      <c r="F1114" s="1602">
        <v>0</v>
      </c>
      <c r="G1114" s="870">
        <v>155</v>
      </c>
      <c r="H1114" s="870">
        <v>155</v>
      </c>
      <c r="I1114" s="874">
        <f t="shared" si="236"/>
        <v>100</v>
      </c>
    </row>
    <row r="1115" spans="1:20" ht="14.25" x14ac:dyDescent="0.2">
      <c r="A1115" s="921"/>
      <c r="B1115" s="2722"/>
      <c r="C1115" s="1350"/>
      <c r="D1115" s="2726" t="s">
        <v>1144</v>
      </c>
      <c r="E1115" s="938" t="s">
        <v>1515</v>
      </c>
      <c r="F1115" s="1602">
        <v>0</v>
      </c>
      <c r="G1115" s="870">
        <v>157</v>
      </c>
      <c r="H1115" s="870">
        <v>157</v>
      </c>
      <c r="I1115" s="874">
        <f t="shared" si="236"/>
        <v>100</v>
      </c>
    </row>
    <row r="1116" spans="1:20" ht="14.25" x14ac:dyDescent="0.2">
      <c r="A1116" s="921"/>
      <c r="B1116" s="2722"/>
      <c r="C1116" s="1350"/>
      <c r="D1116" s="2726" t="s">
        <v>1145</v>
      </c>
      <c r="E1116" s="938" t="s">
        <v>1515</v>
      </c>
      <c r="F1116" s="1602">
        <v>0</v>
      </c>
      <c r="G1116" s="870">
        <v>893</v>
      </c>
      <c r="H1116" s="870">
        <v>893</v>
      </c>
      <c r="I1116" s="874">
        <f t="shared" si="236"/>
        <v>100</v>
      </c>
    </row>
    <row r="1117" spans="1:20" ht="15" x14ac:dyDescent="0.25">
      <c r="A1117" s="921">
        <v>1133</v>
      </c>
      <c r="B1117" s="2722">
        <v>3141</v>
      </c>
      <c r="C1117" s="1350">
        <v>5336</v>
      </c>
      <c r="D1117" s="2726"/>
      <c r="E1117" s="602" t="s">
        <v>856</v>
      </c>
      <c r="F1117" s="675">
        <f>F1118</f>
        <v>0</v>
      </c>
      <c r="G1117" s="675">
        <f>G1118</f>
        <v>413</v>
      </c>
      <c r="H1117" s="675">
        <f>H1118</f>
        <v>413</v>
      </c>
      <c r="I1117" s="669">
        <f t="shared" si="233"/>
        <v>100</v>
      </c>
    </row>
    <row r="1118" spans="1:20" ht="15" thickBot="1" x14ac:dyDescent="0.25">
      <c r="A1118" s="921"/>
      <c r="B1118" s="2722"/>
      <c r="C1118" s="1350"/>
      <c r="D1118" s="2726" t="s">
        <v>901</v>
      </c>
      <c r="E1118" s="436" t="s">
        <v>1637</v>
      </c>
      <c r="F1118" s="665">
        <v>0</v>
      </c>
      <c r="G1118" s="665">
        <v>413</v>
      </c>
      <c r="H1118" s="665">
        <v>413</v>
      </c>
      <c r="I1118" s="661">
        <f t="shared" si="233"/>
        <v>100</v>
      </c>
    </row>
    <row r="1119" spans="1:20" ht="16.5" thickTop="1" thickBot="1" x14ac:dyDescent="0.3">
      <c r="A1119" s="3233" t="s">
        <v>522</v>
      </c>
      <c r="B1119" s="3234"/>
      <c r="C1119" s="3234"/>
      <c r="D1119" s="3234"/>
      <c r="E1119" s="3234"/>
      <c r="F1119" s="657">
        <f>F1108</f>
        <v>0</v>
      </c>
      <c r="G1119" s="657">
        <f>G1117+G1111+G1108+G1101+G1096+G1099+G1094</f>
        <v>40738</v>
      </c>
      <c r="H1119" s="657">
        <f>H1117+H1111+H1108+H1101+H1096+H1099+H1094</f>
        <v>40738</v>
      </c>
      <c r="I1119" s="658">
        <f t="shared" si="233"/>
        <v>100</v>
      </c>
      <c r="R1119" s="373">
        <f>F1119</f>
        <v>0</v>
      </c>
      <c r="S1119" s="373">
        <f>G1119</f>
        <v>40738</v>
      </c>
      <c r="T1119" s="373">
        <f>H1119</f>
        <v>40738</v>
      </c>
    </row>
    <row r="1120" spans="1:20" ht="15.75" thickTop="1" x14ac:dyDescent="0.25">
      <c r="A1120" s="360"/>
      <c r="B1120" s="360"/>
      <c r="C1120" s="360"/>
      <c r="D1120" s="360"/>
      <c r="E1120" s="360"/>
      <c r="F1120" s="177"/>
      <c r="G1120" s="177"/>
      <c r="H1120" s="177"/>
      <c r="I1120" s="206"/>
      <c r="R1120" s="373"/>
      <c r="S1120" s="373"/>
      <c r="T1120" s="373"/>
    </row>
    <row r="1121" spans="1:9" ht="13.5" thickBot="1" x14ac:dyDescent="0.25">
      <c r="A1121" s="419" t="s">
        <v>1982</v>
      </c>
      <c r="I1121" s="915" t="s">
        <v>92</v>
      </c>
    </row>
    <row r="1122" spans="1:9" s="106" customFormat="1" thickTop="1" thickBot="1" x14ac:dyDescent="0.25">
      <c r="A1122" s="572" t="s">
        <v>324</v>
      </c>
      <c r="B1122" s="639" t="s">
        <v>93</v>
      </c>
      <c r="C1122" s="573" t="s">
        <v>94</v>
      </c>
      <c r="D1122" s="575" t="s">
        <v>364</v>
      </c>
      <c r="E1122" s="575" t="s">
        <v>95</v>
      </c>
      <c r="F1122" s="575" t="s">
        <v>328</v>
      </c>
      <c r="G1122" s="575" t="s">
        <v>329</v>
      </c>
      <c r="H1122" s="575" t="s">
        <v>448</v>
      </c>
      <c r="I1122" s="651" t="s">
        <v>449</v>
      </c>
    </row>
    <row r="1123" spans="1:9" s="374" customFormat="1" ht="13.5" thickTop="1" thickBot="1" x14ac:dyDescent="0.25">
      <c r="A1123" s="511">
        <v>1</v>
      </c>
      <c r="B1123" s="512">
        <v>2</v>
      </c>
      <c r="C1123" s="512">
        <v>3</v>
      </c>
      <c r="D1123" s="512">
        <v>4</v>
      </c>
      <c r="E1123" s="512">
        <v>5</v>
      </c>
      <c r="F1123" s="499">
        <v>6</v>
      </c>
      <c r="G1123" s="499">
        <v>7</v>
      </c>
      <c r="H1123" s="500">
        <v>8</v>
      </c>
      <c r="I1123" s="577" t="s">
        <v>393</v>
      </c>
    </row>
    <row r="1124" spans="1:9" ht="15.75" thickTop="1" x14ac:dyDescent="0.25">
      <c r="A1124" s="921">
        <v>1134</v>
      </c>
      <c r="B1124" s="2427">
        <v>3122</v>
      </c>
      <c r="C1124" s="2427">
        <v>5336</v>
      </c>
      <c r="D1124" s="2726"/>
      <c r="E1124" s="602" t="s">
        <v>856</v>
      </c>
      <c r="F1124" s="678">
        <f>F1125</f>
        <v>0</v>
      </c>
      <c r="G1124" s="678">
        <f>G1125</f>
        <v>9908</v>
      </c>
      <c r="H1124" s="678">
        <f>H1125</f>
        <v>9908</v>
      </c>
      <c r="I1124" s="680">
        <f t="shared" ref="I1124:I1143" si="237">(H1124/G1124)*100</f>
        <v>100</v>
      </c>
    </row>
    <row r="1125" spans="1:9" ht="14.25" x14ac:dyDescent="0.2">
      <c r="A1125" s="921"/>
      <c r="B1125" s="2427"/>
      <c r="C1125" s="2427"/>
      <c r="D1125" s="2726" t="s">
        <v>901</v>
      </c>
      <c r="E1125" s="436" t="s">
        <v>1637</v>
      </c>
      <c r="F1125" s="660">
        <v>0</v>
      </c>
      <c r="G1125" s="660">
        <v>9908</v>
      </c>
      <c r="H1125" s="660">
        <v>9908</v>
      </c>
      <c r="I1125" s="656">
        <f t="shared" si="237"/>
        <v>100</v>
      </c>
    </row>
    <row r="1126" spans="1:9" ht="15" x14ac:dyDescent="0.25">
      <c r="A1126" s="921">
        <v>1134</v>
      </c>
      <c r="B1126" s="2722">
        <v>3123</v>
      </c>
      <c r="C1126" s="2722">
        <v>5336</v>
      </c>
      <c r="D1126" s="2726"/>
      <c r="E1126" s="602" t="s">
        <v>856</v>
      </c>
      <c r="F1126" s="675">
        <f>F1127</f>
        <v>0</v>
      </c>
      <c r="G1126" s="675">
        <f>G1127</f>
        <v>7167</v>
      </c>
      <c r="H1126" s="675">
        <f>H1127</f>
        <v>7167</v>
      </c>
      <c r="I1126" s="669">
        <f t="shared" si="237"/>
        <v>100</v>
      </c>
    </row>
    <row r="1127" spans="1:9" ht="14.25" x14ac:dyDescent="0.2">
      <c r="A1127" s="921"/>
      <c r="B1127" s="2722"/>
      <c r="C1127" s="2722"/>
      <c r="D1127" s="2726" t="s">
        <v>901</v>
      </c>
      <c r="E1127" s="436" t="s">
        <v>1637</v>
      </c>
      <c r="F1127" s="665">
        <v>0</v>
      </c>
      <c r="G1127" s="665">
        <v>7167</v>
      </c>
      <c r="H1127" s="665">
        <v>7167</v>
      </c>
      <c r="I1127" s="661">
        <f t="shared" si="237"/>
        <v>100</v>
      </c>
    </row>
    <row r="1128" spans="1:9" ht="15" x14ac:dyDescent="0.25">
      <c r="A1128" s="921">
        <v>1134</v>
      </c>
      <c r="B1128" s="2722">
        <v>3127</v>
      </c>
      <c r="C1128" s="2722">
        <v>5331</v>
      </c>
      <c r="D1128" s="2732"/>
      <c r="E1128" s="602" t="s">
        <v>481</v>
      </c>
      <c r="F1128" s="666">
        <f>F1129+F1130</f>
        <v>0</v>
      </c>
      <c r="G1128" s="666">
        <f>G1129+G1130</f>
        <v>47</v>
      </c>
      <c r="H1128" s="666">
        <f>H1129+H1130</f>
        <v>47</v>
      </c>
      <c r="I1128" s="667">
        <f t="shared" si="237"/>
        <v>100</v>
      </c>
    </row>
    <row r="1129" spans="1:9" ht="14.25" x14ac:dyDescent="0.2">
      <c r="A1129" s="921"/>
      <c r="B1129" s="2722"/>
      <c r="C1129" s="2722"/>
      <c r="D1129" s="2742" t="s">
        <v>917</v>
      </c>
      <c r="E1129" s="938" t="s">
        <v>1956</v>
      </c>
      <c r="F1129" s="665">
        <v>0</v>
      </c>
      <c r="G1129" s="665">
        <v>15</v>
      </c>
      <c r="H1129" s="665">
        <v>15</v>
      </c>
      <c r="I1129" s="661">
        <f t="shared" si="237"/>
        <v>100</v>
      </c>
    </row>
    <row r="1130" spans="1:9" ht="14.25" x14ac:dyDescent="0.2">
      <c r="A1130" s="921"/>
      <c r="B1130" s="2722"/>
      <c r="C1130" s="2722"/>
      <c r="D1130" s="2726" t="s">
        <v>1891</v>
      </c>
      <c r="E1130" s="436" t="s">
        <v>1952</v>
      </c>
      <c r="F1130" s="665">
        <v>0</v>
      </c>
      <c r="G1130" s="665">
        <v>32</v>
      </c>
      <c r="H1130" s="665">
        <v>32</v>
      </c>
      <c r="I1130" s="661">
        <f t="shared" si="237"/>
        <v>100</v>
      </c>
    </row>
    <row r="1131" spans="1:9" ht="15" x14ac:dyDescent="0.25">
      <c r="A1131" s="921">
        <v>1134</v>
      </c>
      <c r="B1131" s="2722">
        <v>3127</v>
      </c>
      <c r="C1131" s="2722">
        <v>5336</v>
      </c>
      <c r="D1131" s="2726"/>
      <c r="E1131" s="602" t="s">
        <v>856</v>
      </c>
      <c r="F1131" s="666">
        <f>F1132+F1133+F1134+F1135+F1136</f>
        <v>0</v>
      </c>
      <c r="G1131" s="666">
        <f t="shared" ref="G1131:H1131" si="238">G1132+G1133+G1134+G1135+G1136</f>
        <v>1123</v>
      </c>
      <c r="H1131" s="666">
        <f t="shared" si="238"/>
        <v>1123</v>
      </c>
      <c r="I1131" s="667">
        <f t="shared" si="237"/>
        <v>100</v>
      </c>
    </row>
    <row r="1132" spans="1:9" ht="14.25" x14ac:dyDescent="0.2">
      <c r="A1132" s="921"/>
      <c r="B1132" s="2722"/>
      <c r="C1132" s="2722"/>
      <c r="D1132" s="2725" t="s">
        <v>912</v>
      </c>
      <c r="E1132" s="1352" t="s">
        <v>817</v>
      </c>
      <c r="F1132" s="665">
        <v>0</v>
      </c>
      <c r="G1132" s="665">
        <v>119</v>
      </c>
      <c r="H1132" s="665">
        <v>119</v>
      </c>
      <c r="I1132" s="661">
        <f t="shared" si="237"/>
        <v>100</v>
      </c>
    </row>
    <row r="1133" spans="1:9" ht="14.25" x14ac:dyDescent="0.2">
      <c r="A1133" s="921"/>
      <c r="B1133" s="2722"/>
      <c r="C1133" s="2722"/>
      <c r="D1133" s="2725" t="s">
        <v>902</v>
      </c>
      <c r="E1133" s="1352" t="s">
        <v>855</v>
      </c>
      <c r="F1133" s="665">
        <v>0</v>
      </c>
      <c r="G1133" s="665">
        <v>411</v>
      </c>
      <c r="H1133" s="665">
        <v>411</v>
      </c>
      <c r="I1133" s="661">
        <f t="shared" si="237"/>
        <v>100</v>
      </c>
    </row>
    <row r="1134" spans="1:9" ht="14.25" x14ac:dyDescent="0.2">
      <c r="A1134" s="921"/>
      <c r="B1134" s="2722"/>
      <c r="C1134" s="2722"/>
      <c r="D1134" s="2725" t="s">
        <v>1896</v>
      </c>
      <c r="E1134" s="1598" t="s">
        <v>1951</v>
      </c>
      <c r="F1134" s="665">
        <v>0</v>
      </c>
      <c r="G1134" s="665">
        <v>174</v>
      </c>
      <c r="H1134" s="665">
        <v>174</v>
      </c>
      <c r="I1134" s="661">
        <f t="shared" si="237"/>
        <v>100</v>
      </c>
    </row>
    <row r="1135" spans="1:9" ht="14.25" x14ac:dyDescent="0.2">
      <c r="A1135" s="921"/>
      <c r="B1135" s="2722"/>
      <c r="C1135" s="2722"/>
      <c r="D1135" s="2726" t="s">
        <v>1144</v>
      </c>
      <c r="E1135" s="938" t="s">
        <v>1515</v>
      </c>
      <c r="F1135" s="665">
        <v>0</v>
      </c>
      <c r="G1135" s="665">
        <v>63</v>
      </c>
      <c r="H1135" s="665">
        <v>63</v>
      </c>
      <c r="I1135" s="661">
        <f t="shared" si="237"/>
        <v>100</v>
      </c>
    </row>
    <row r="1136" spans="1:9" ht="14.25" x14ac:dyDescent="0.2">
      <c r="A1136" s="921"/>
      <c r="B1136" s="2722"/>
      <c r="C1136" s="2722"/>
      <c r="D1136" s="2726" t="s">
        <v>1145</v>
      </c>
      <c r="E1136" s="938" t="s">
        <v>1515</v>
      </c>
      <c r="F1136" s="665">
        <v>0</v>
      </c>
      <c r="G1136" s="665">
        <v>356</v>
      </c>
      <c r="H1136" s="665">
        <v>356</v>
      </c>
      <c r="I1136" s="661">
        <f t="shared" si="237"/>
        <v>100</v>
      </c>
    </row>
    <row r="1137" spans="1:9" ht="15" hidden="1" x14ac:dyDescent="0.25">
      <c r="A1137" s="921">
        <v>1134</v>
      </c>
      <c r="B1137" s="2755">
        <v>3127</v>
      </c>
      <c r="C1137" s="2755">
        <v>5331</v>
      </c>
      <c r="D1137" s="2756"/>
      <c r="E1137" s="845" t="s">
        <v>481</v>
      </c>
      <c r="F1137" s="665"/>
      <c r="G1137" s="675">
        <f>G1138</f>
        <v>0</v>
      </c>
      <c r="H1137" s="675">
        <f>H1138</f>
        <v>0</v>
      </c>
      <c r="I1137" s="873" t="e">
        <f t="shared" si="237"/>
        <v>#DIV/0!</v>
      </c>
    </row>
    <row r="1138" spans="1:9" ht="14.25" hidden="1" x14ac:dyDescent="0.2">
      <c r="A1138" s="921"/>
      <c r="B1138" s="2755"/>
      <c r="C1138" s="2755"/>
      <c r="D1138" s="2756" t="s">
        <v>1135</v>
      </c>
      <c r="E1138" s="2627" t="s">
        <v>1528</v>
      </c>
      <c r="F1138" s="665"/>
      <c r="G1138" s="870"/>
      <c r="H1138" s="870"/>
      <c r="I1138" s="874" t="e">
        <f t="shared" si="237"/>
        <v>#DIV/0!</v>
      </c>
    </row>
    <row r="1139" spans="1:9" ht="15" x14ac:dyDescent="0.25">
      <c r="A1139" s="921">
        <v>1134</v>
      </c>
      <c r="B1139" s="2722">
        <v>3141</v>
      </c>
      <c r="C1139" s="2722">
        <v>5336</v>
      </c>
      <c r="D1139" s="2726"/>
      <c r="E1139" s="602" t="s">
        <v>856</v>
      </c>
      <c r="F1139" s="675">
        <f>F1140</f>
        <v>0</v>
      </c>
      <c r="G1139" s="675">
        <f>G1140</f>
        <v>626</v>
      </c>
      <c r="H1139" s="675">
        <f>H1140</f>
        <v>626</v>
      </c>
      <c r="I1139" s="669">
        <f t="shared" si="237"/>
        <v>100</v>
      </c>
    </row>
    <row r="1140" spans="1:9" ht="14.25" x14ac:dyDescent="0.2">
      <c r="A1140" s="921"/>
      <c r="B1140" s="2722"/>
      <c r="C1140" s="1350"/>
      <c r="D1140" s="2726" t="s">
        <v>901</v>
      </c>
      <c r="E1140" s="436" t="s">
        <v>1637</v>
      </c>
      <c r="F1140" s="665">
        <v>0</v>
      </c>
      <c r="G1140" s="665">
        <v>626</v>
      </c>
      <c r="H1140" s="665">
        <v>626</v>
      </c>
      <c r="I1140" s="661">
        <f t="shared" si="237"/>
        <v>100</v>
      </c>
    </row>
    <row r="1141" spans="1:9" ht="15" x14ac:dyDescent="0.25">
      <c r="A1141" s="921">
        <v>1134</v>
      </c>
      <c r="B1141" s="2722">
        <v>3147</v>
      </c>
      <c r="C1141" s="1350">
        <v>5336</v>
      </c>
      <c r="D1141" s="2726"/>
      <c r="E1141" s="602" t="s">
        <v>856</v>
      </c>
      <c r="F1141" s="675">
        <f>F1142</f>
        <v>0</v>
      </c>
      <c r="G1141" s="675">
        <f>G1142</f>
        <v>1681</v>
      </c>
      <c r="H1141" s="675">
        <f>H1142</f>
        <v>1681</v>
      </c>
      <c r="I1141" s="669">
        <f t="shared" si="237"/>
        <v>100</v>
      </c>
    </row>
    <row r="1142" spans="1:9" ht="14.25" x14ac:dyDescent="0.2">
      <c r="A1142" s="921"/>
      <c r="B1142" s="2427"/>
      <c r="C1142" s="2719"/>
      <c r="D1142" s="2726" t="s">
        <v>901</v>
      </c>
      <c r="E1142" s="436" t="s">
        <v>1637</v>
      </c>
      <c r="F1142" s="660">
        <v>0</v>
      </c>
      <c r="G1142" s="660">
        <v>1681</v>
      </c>
      <c r="H1142" s="660">
        <v>1681</v>
      </c>
      <c r="I1142" s="656">
        <f t="shared" si="237"/>
        <v>100</v>
      </c>
    </row>
    <row r="1143" spans="1:9" ht="15" x14ac:dyDescent="0.25">
      <c r="A1143" s="921">
        <v>1134</v>
      </c>
      <c r="B1143" s="2427">
        <v>3293</v>
      </c>
      <c r="C1143" s="1350">
        <v>5336</v>
      </c>
      <c r="D1143" s="2726"/>
      <c r="E1143" s="602" t="s">
        <v>856</v>
      </c>
      <c r="F1143" s="675">
        <f>F1144</f>
        <v>0</v>
      </c>
      <c r="G1143" s="675">
        <f>G1144</f>
        <v>3</v>
      </c>
      <c r="H1143" s="675">
        <f>H1144</f>
        <v>3</v>
      </c>
      <c r="I1143" s="669">
        <f t="shared" si="237"/>
        <v>100</v>
      </c>
    </row>
    <row r="1144" spans="1:9" ht="14.25" x14ac:dyDescent="0.2">
      <c r="A1144" s="921"/>
      <c r="B1144" s="2427"/>
      <c r="C1144" s="2719"/>
      <c r="D1144" s="2741" t="s">
        <v>913</v>
      </c>
      <c r="E1144" s="868" t="s">
        <v>768</v>
      </c>
      <c r="F1144" s="660">
        <v>0</v>
      </c>
      <c r="G1144" s="660">
        <v>3</v>
      </c>
      <c r="H1144" s="660">
        <v>3</v>
      </c>
      <c r="I1144" s="656">
        <f>(H1144/G1144)*100</f>
        <v>100</v>
      </c>
    </row>
    <row r="1145" spans="1:9" ht="15" x14ac:dyDescent="0.25">
      <c r="A1145" s="418">
        <v>1134</v>
      </c>
      <c r="B1145" s="603">
        <v>3299</v>
      </c>
      <c r="C1145" s="2722">
        <v>5331</v>
      </c>
      <c r="D1145" s="684"/>
      <c r="E1145" s="602" t="s">
        <v>481</v>
      </c>
      <c r="F1145" s="675">
        <f>F1146</f>
        <v>0</v>
      </c>
      <c r="G1145" s="675">
        <f>G1146</f>
        <v>32</v>
      </c>
      <c r="H1145" s="675">
        <f>H1146</f>
        <v>32</v>
      </c>
      <c r="I1145" s="669">
        <f t="shared" ref="I1145:I1146" si="239">(H1145/G1145)*100</f>
        <v>100</v>
      </c>
    </row>
    <row r="1146" spans="1:9" ht="15" thickBot="1" x14ac:dyDescent="0.25">
      <c r="A1146" s="919"/>
      <c r="B1146" s="604"/>
      <c r="C1146" s="922"/>
      <c r="D1146" s="892" t="s">
        <v>1891</v>
      </c>
      <c r="E1146" s="3125" t="s">
        <v>1952</v>
      </c>
      <c r="F1146" s="693">
        <v>0</v>
      </c>
      <c r="G1146" s="2217">
        <v>32</v>
      </c>
      <c r="H1146" s="2217">
        <v>32</v>
      </c>
      <c r="I1146" s="871">
        <f t="shared" si="239"/>
        <v>100</v>
      </c>
    </row>
    <row r="1147" spans="1:9" ht="16.5" thickTop="1" thickBot="1" x14ac:dyDescent="0.3">
      <c r="A1147" s="3233" t="s">
        <v>522</v>
      </c>
      <c r="B1147" s="3234"/>
      <c r="C1147" s="3234"/>
      <c r="D1147" s="3234"/>
      <c r="E1147" s="3234"/>
      <c r="F1147" s="657">
        <f>F1128</f>
        <v>0</v>
      </c>
      <c r="G1147" s="657">
        <f>G1145+G1143+G1141+G1139+G1131+G1128+G1126+G1124+G1137</f>
        <v>20587</v>
      </c>
      <c r="H1147" s="657">
        <f>H1145+H1143+H1141+H1139+H1131+H1128+H1126+H1124+H1137</f>
        <v>20587</v>
      </c>
      <c r="I1147" s="658">
        <f>(H1147/G1147)*100</f>
        <v>100</v>
      </c>
    </row>
    <row r="1148" spans="1:9" ht="15.75" thickTop="1" x14ac:dyDescent="0.25">
      <c r="A1148" s="360"/>
      <c r="B1148" s="360"/>
      <c r="C1148" s="360"/>
      <c r="D1148" s="360"/>
      <c r="E1148" s="360"/>
      <c r="F1148" s="177"/>
      <c r="G1148" s="177"/>
      <c r="H1148" s="177"/>
      <c r="I1148" s="206"/>
    </row>
    <row r="1149" spans="1:9" ht="15" x14ac:dyDescent="0.25">
      <c r="A1149" s="360"/>
      <c r="B1149" s="360"/>
      <c r="C1149" s="360"/>
      <c r="D1149" s="360"/>
      <c r="E1149" s="360"/>
      <c r="F1149" s="177"/>
      <c r="G1149" s="177"/>
      <c r="H1149" s="177"/>
      <c r="I1149" s="206"/>
    </row>
    <row r="1150" spans="1:9" s="920" customFormat="1" ht="13.5" thickBot="1" x14ac:dyDescent="0.25">
      <c r="A1150" s="419" t="s">
        <v>1982</v>
      </c>
      <c r="B1150" s="584"/>
      <c r="C1150" s="372"/>
      <c r="D1150" s="648"/>
      <c r="E1150" s="372"/>
      <c r="F1150" s="373"/>
      <c r="G1150" s="373"/>
      <c r="H1150" s="373"/>
      <c r="I1150" s="915" t="s">
        <v>92</v>
      </c>
    </row>
    <row r="1151" spans="1:9" s="920" customFormat="1" ht="14.25" thickTop="1" thickBot="1" x14ac:dyDescent="0.25">
      <c r="A1151" s="572" t="s">
        <v>324</v>
      </c>
      <c r="B1151" s="639" t="s">
        <v>93</v>
      </c>
      <c r="C1151" s="573" t="s">
        <v>94</v>
      </c>
      <c r="D1151" s="575" t="s">
        <v>364</v>
      </c>
      <c r="E1151" s="575" t="s">
        <v>95</v>
      </c>
      <c r="F1151" s="575" t="s">
        <v>328</v>
      </c>
      <c r="G1151" s="575" t="s">
        <v>329</v>
      </c>
      <c r="H1151" s="575" t="s">
        <v>448</v>
      </c>
      <c r="I1151" s="651" t="s">
        <v>449</v>
      </c>
    </row>
    <row r="1152" spans="1:9" s="920" customFormat="1" ht="14.25" thickTop="1" thickBot="1" x14ac:dyDescent="0.25">
      <c r="A1152" s="511">
        <v>1</v>
      </c>
      <c r="B1152" s="512">
        <v>2</v>
      </c>
      <c r="C1152" s="512">
        <v>3</v>
      </c>
      <c r="D1152" s="512">
        <v>4</v>
      </c>
      <c r="E1152" s="512">
        <v>5</v>
      </c>
      <c r="F1152" s="499">
        <v>6</v>
      </c>
      <c r="G1152" s="499">
        <v>7</v>
      </c>
      <c r="H1152" s="500">
        <v>8</v>
      </c>
      <c r="I1152" s="577" t="s">
        <v>393</v>
      </c>
    </row>
    <row r="1153" spans="1:20" ht="15.75" thickTop="1" x14ac:dyDescent="0.25">
      <c r="A1153" s="921">
        <v>1134</v>
      </c>
      <c r="B1153" s="2755">
        <v>3127</v>
      </c>
      <c r="C1153" s="2755">
        <v>6356</v>
      </c>
      <c r="D1153" s="2756"/>
      <c r="E1153" s="845" t="s">
        <v>950</v>
      </c>
      <c r="F1153" s="675">
        <f>F1154</f>
        <v>0</v>
      </c>
      <c r="G1153" s="675">
        <f>G1154</f>
        <v>1653</v>
      </c>
      <c r="H1153" s="675">
        <f>H1154</f>
        <v>1653</v>
      </c>
      <c r="I1153" s="873">
        <f t="shared" ref="I1153:I1154" si="240">(H1153/G1153)*100</f>
        <v>100</v>
      </c>
      <c r="R1153" s="373"/>
      <c r="S1153" s="373"/>
      <c r="T1153" s="373"/>
    </row>
    <row r="1154" spans="1:20" ht="14.25" x14ac:dyDescent="0.2">
      <c r="A1154" s="921"/>
      <c r="B1154" s="2755"/>
      <c r="C1154" s="2755"/>
      <c r="D1154" s="2772" t="s">
        <v>1898</v>
      </c>
      <c r="E1154" s="2631" t="s">
        <v>1906</v>
      </c>
      <c r="F1154" s="665">
        <v>0</v>
      </c>
      <c r="G1154" s="870">
        <v>1653</v>
      </c>
      <c r="H1154" s="870">
        <v>1653</v>
      </c>
      <c r="I1154" s="656">
        <f t="shared" si="240"/>
        <v>100</v>
      </c>
      <c r="R1154" s="373"/>
      <c r="S1154" s="373"/>
      <c r="T1154" s="373"/>
    </row>
    <row r="1155" spans="1:20" ht="15" x14ac:dyDescent="0.25">
      <c r="A1155" s="921">
        <v>1134</v>
      </c>
      <c r="B1155" s="2755">
        <v>3127</v>
      </c>
      <c r="C1155" s="2755">
        <v>6351</v>
      </c>
      <c r="D1155" s="2756"/>
      <c r="E1155" s="845"/>
      <c r="F1155" s="675">
        <f>F1156</f>
        <v>0</v>
      </c>
      <c r="G1155" s="675">
        <f>G1156</f>
        <v>1851</v>
      </c>
      <c r="H1155" s="675">
        <f>H1156</f>
        <v>1851</v>
      </c>
      <c r="I1155" s="873">
        <f t="shared" ref="I1155:I1156" si="241">(H1155/G1155)*100</f>
        <v>100</v>
      </c>
      <c r="R1155" s="373"/>
      <c r="S1155" s="373"/>
      <c r="T1155" s="373"/>
    </row>
    <row r="1156" spans="1:20" ht="29.25" thickBot="1" x14ac:dyDescent="0.25">
      <c r="A1156" s="921"/>
      <c r="B1156" s="2755"/>
      <c r="C1156" s="2755"/>
      <c r="D1156" s="3132" t="s">
        <v>951</v>
      </c>
      <c r="E1156" s="3131" t="s">
        <v>1957</v>
      </c>
      <c r="F1156" s="870">
        <v>0</v>
      </c>
      <c r="G1156" s="870">
        <v>1851</v>
      </c>
      <c r="H1156" s="870">
        <v>1851</v>
      </c>
      <c r="I1156" s="871">
        <f t="shared" si="241"/>
        <v>100</v>
      </c>
      <c r="R1156" s="373"/>
      <c r="S1156" s="373"/>
      <c r="T1156" s="373"/>
    </row>
    <row r="1157" spans="1:20" ht="16.5" thickTop="1" thickBot="1" x14ac:dyDescent="0.3">
      <c r="A1157" s="3241" t="s">
        <v>523</v>
      </c>
      <c r="B1157" s="3242"/>
      <c r="C1157" s="3242"/>
      <c r="D1157" s="3242"/>
      <c r="E1157" s="3243"/>
      <c r="F1157" s="2648">
        <f>F1153+F1155</f>
        <v>0</v>
      </c>
      <c r="G1157" s="2648">
        <f t="shared" ref="G1157:H1157" si="242">G1153+G1155</f>
        <v>3504</v>
      </c>
      <c r="H1157" s="2648">
        <f t="shared" si="242"/>
        <v>3504</v>
      </c>
      <c r="I1157" s="658">
        <f>(H1157/G1157)*100</f>
        <v>100</v>
      </c>
      <c r="R1157" s="373">
        <f>F1147+F1157</f>
        <v>0</v>
      </c>
      <c r="S1157" s="373">
        <f>G1147+G1157</f>
        <v>24091</v>
      </c>
      <c r="T1157" s="373">
        <f>H1147+H1157</f>
        <v>24091</v>
      </c>
    </row>
    <row r="1158" spans="1:20" ht="13.5" thickTop="1" x14ac:dyDescent="0.2"/>
    <row r="1169" spans="1:9" ht="13.5" thickBot="1" x14ac:dyDescent="0.25">
      <c r="A1169" s="419" t="s">
        <v>599</v>
      </c>
      <c r="I1169" s="915" t="s">
        <v>92</v>
      </c>
    </row>
    <row r="1170" spans="1:9" s="106" customFormat="1" thickTop="1" thickBot="1" x14ac:dyDescent="0.25">
      <c r="A1170" s="572" t="s">
        <v>324</v>
      </c>
      <c r="B1170" s="639" t="s">
        <v>93</v>
      </c>
      <c r="C1170" s="573" t="s">
        <v>94</v>
      </c>
      <c r="D1170" s="575" t="s">
        <v>364</v>
      </c>
      <c r="E1170" s="575" t="s">
        <v>95</v>
      </c>
      <c r="F1170" s="575" t="s">
        <v>328</v>
      </c>
      <c r="G1170" s="575" t="s">
        <v>329</v>
      </c>
      <c r="H1170" s="575" t="s">
        <v>448</v>
      </c>
      <c r="I1170" s="651" t="s">
        <v>449</v>
      </c>
    </row>
    <row r="1171" spans="1:9" s="374" customFormat="1" ht="13.5" thickTop="1" thickBot="1" x14ac:dyDescent="0.25">
      <c r="A1171" s="511">
        <v>1</v>
      </c>
      <c r="B1171" s="512">
        <v>2</v>
      </c>
      <c r="C1171" s="512">
        <v>3</v>
      </c>
      <c r="D1171" s="512">
        <v>4</v>
      </c>
      <c r="E1171" s="512">
        <v>5</v>
      </c>
      <c r="F1171" s="499">
        <v>6</v>
      </c>
      <c r="G1171" s="499">
        <v>7</v>
      </c>
      <c r="H1171" s="500">
        <v>8</v>
      </c>
      <c r="I1171" s="577" t="s">
        <v>393</v>
      </c>
    </row>
    <row r="1172" spans="1:9" ht="15.75" thickTop="1" x14ac:dyDescent="0.25">
      <c r="A1172" s="916">
        <v>1135</v>
      </c>
      <c r="B1172" s="640">
        <v>3122</v>
      </c>
      <c r="C1172" s="2737">
        <v>5331</v>
      </c>
      <c r="D1172" s="670"/>
      <c r="E1172" s="685" t="s">
        <v>481</v>
      </c>
      <c r="F1172" s="686">
        <f>F1173+F1174</f>
        <v>0</v>
      </c>
      <c r="G1172" s="686">
        <f t="shared" ref="G1172:H1172" si="243">G1173+G1174</f>
        <v>367</v>
      </c>
      <c r="H1172" s="686">
        <f t="shared" si="243"/>
        <v>367</v>
      </c>
      <c r="I1172" s="659">
        <f t="shared" ref="I1172:I1193" si="244">(H1172/G1172)*100</f>
        <v>100</v>
      </c>
    </row>
    <row r="1173" spans="1:9" ht="14.25" x14ac:dyDescent="0.2">
      <c r="A1173" s="418"/>
      <c r="B1173" s="603"/>
      <c r="C1173" s="603"/>
      <c r="D1173" s="505" t="s">
        <v>917</v>
      </c>
      <c r="E1173" s="436" t="s">
        <v>1956</v>
      </c>
      <c r="F1173" s="660">
        <v>0</v>
      </c>
      <c r="G1173" s="660">
        <v>5</v>
      </c>
      <c r="H1173" s="660">
        <v>5</v>
      </c>
      <c r="I1173" s="656">
        <f t="shared" si="244"/>
        <v>100</v>
      </c>
    </row>
    <row r="1174" spans="1:9" ht="14.25" x14ac:dyDescent="0.2">
      <c r="A1174" s="418"/>
      <c r="B1174" s="603"/>
      <c r="C1174" s="603"/>
      <c r="D1174" s="505" t="s">
        <v>1891</v>
      </c>
      <c r="E1174" s="692" t="s">
        <v>1952</v>
      </c>
      <c r="F1174" s="660">
        <v>0</v>
      </c>
      <c r="G1174" s="660">
        <v>362</v>
      </c>
      <c r="H1174" s="660">
        <v>362</v>
      </c>
      <c r="I1174" s="656">
        <f t="shared" si="244"/>
        <v>100</v>
      </c>
    </row>
    <row r="1175" spans="1:9" ht="15" x14ac:dyDescent="0.25">
      <c r="A1175" s="921">
        <v>1135</v>
      </c>
      <c r="B1175" s="2427">
        <v>3122</v>
      </c>
      <c r="C1175" s="2427">
        <v>5336</v>
      </c>
      <c r="D1175" s="2765"/>
      <c r="E1175" s="602" t="s">
        <v>856</v>
      </c>
      <c r="F1175" s="678">
        <f>F1176+F1179+F1180+F1181+F1182+F1183</f>
        <v>0</v>
      </c>
      <c r="G1175" s="678">
        <f>G1176+G1179+G1180+G1181+G1182+G1183</f>
        <v>38537</v>
      </c>
      <c r="H1175" s="678">
        <f>H1176+H1179+H1180+H1181+H1182+H1183</f>
        <v>38537</v>
      </c>
      <c r="I1175" s="680">
        <f t="shared" si="244"/>
        <v>100</v>
      </c>
    </row>
    <row r="1176" spans="1:9" ht="14.25" x14ac:dyDescent="0.2">
      <c r="A1176" s="921"/>
      <c r="B1176" s="2427"/>
      <c r="C1176" s="2427"/>
      <c r="D1176" s="3238" t="s">
        <v>934</v>
      </c>
      <c r="E1176" s="3240" t="s">
        <v>704</v>
      </c>
      <c r="F1176" s="660">
        <v>0</v>
      </c>
      <c r="G1176" s="660">
        <v>114</v>
      </c>
      <c r="H1176" s="660">
        <v>114</v>
      </c>
      <c r="I1176" s="656">
        <f t="shared" ref="I1176" si="245">(H1176/G1176)*100</f>
        <v>100</v>
      </c>
    </row>
    <row r="1177" spans="1:9" ht="14.25" x14ac:dyDescent="0.2">
      <c r="A1177" s="921"/>
      <c r="B1177" s="2427"/>
      <c r="C1177" s="2427"/>
      <c r="D1177" s="3239"/>
      <c r="E1177" s="3191"/>
      <c r="F1177" s="660"/>
      <c r="G1177" s="660"/>
      <c r="H1177" s="660"/>
      <c r="I1177" s="656"/>
    </row>
    <row r="1178" spans="1:9" ht="14.25" x14ac:dyDescent="0.2">
      <c r="A1178" s="921"/>
      <c r="B1178" s="2427"/>
      <c r="C1178" s="2427"/>
      <c r="D1178" s="3239"/>
      <c r="E1178" s="3191"/>
      <c r="F1178" s="660"/>
      <c r="G1178" s="660"/>
      <c r="H1178" s="660"/>
      <c r="I1178" s="656"/>
    </row>
    <row r="1179" spans="1:9" ht="14.25" x14ac:dyDescent="0.2">
      <c r="A1179" s="921"/>
      <c r="B1179" s="2427"/>
      <c r="C1179" s="2427"/>
      <c r="D1179" s="2725" t="s">
        <v>920</v>
      </c>
      <c r="E1179" s="1354" t="s">
        <v>769</v>
      </c>
      <c r="F1179" s="351">
        <v>0</v>
      </c>
      <c r="G1179" s="351">
        <v>72</v>
      </c>
      <c r="H1179" s="351">
        <v>72</v>
      </c>
      <c r="I1179" s="656">
        <f t="shared" ref="I1179:I1180" si="246">(H1179/G1179)*100</f>
        <v>100</v>
      </c>
    </row>
    <row r="1180" spans="1:9" ht="14.25" hidden="1" x14ac:dyDescent="0.2">
      <c r="A1180" s="921"/>
      <c r="B1180" s="2427"/>
      <c r="C1180" s="2427"/>
      <c r="D1180" s="2725" t="s">
        <v>912</v>
      </c>
      <c r="E1180" s="1598" t="s">
        <v>817</v>
      </c>
      <c r="F1180" s="311"/>
      <c r="G1180" s="311"/>
      <c r="H1180" s="311"/>
      <c r="I1180" s="816" t="e">
        <f t="shared" si="246"/>
        <v>#DIV/0!</v>
      </c>
    </row>
    <row r="1181" spans="1:9" ht="14.25" x14ac:dyDescent="0.2">
      <c r="A1181" s="921"/>
      <c r="B1181" s="2427"/>
      <c r="C1181" s="2427"/>
      <c r="D1181" s="2725" t="s">
        <v>902</v>
      </c>
      <c r="E1181" s="1352" t="s">
        <v>855</v>
      </c>
      <c r="F1181" s="1600">
        <v>0</v>
      </c>
      <c r="G1181" s="1600">
        <v>819</v>
      </c>
      <c r="H1181" s="1600">
        <v>819</v>
      </c>
      <c r="I1181" s="367">
        <f t="shared" ref="I1181:I1182" si="247">(H1181/G1181)*100</f>
        <v>100</v>
      </c>
    </row>
    <row r="1182" spans="1:9" ht="14.25" x14ac:dyDescent="0.2">
      <c r="A1182" s="921"/>
      <c r="B1182" s="2427"/>
      <c r="C1182" s="2427"/>
      <c r="D1182" s="2725" t="s">
        <v>1896</v>
      </c>
      <c r="E1182" s="2215" t="s">
        <v>1951</v>
      </c>
      <c r="F1182" s="1643">
        <v>0</v>
      </c>
      <c r="G1182" s="1643">
        <v>321</v>
      </c>
      <c r="H1182" s="1643">
        <v>321</v>
      </c>
      <c r="I1182" s="367">
        <f t="shared" si="247"/>
        <v>100</v>
      </c>
    </row>
    <row r="1183" spans="1:9" ht="14.25" x14ac:dyDescent="0.2">
      <c r="A1183" s="921"/>
      <c r="B1183" s="2427"/>
      <c r="C1183" s="2427"/>
      <c r="D1183" s="2726" t="s">
        <v>901</v>
      </c>
      <c r="E1183" s="436" t="s">
        <v>1637</v>
      </c>
      <c r="F1183" s="660">
        <v>0</v>
      </c>
      <c r="G1183" s="660">
        <v>37211</v>
      </c>
      <c r="H1183" s="660">
        <v>37211</v>
      </c>
      <c r="I1183" s="656">
        <f t="shared" si="244"/>
        <v>100</v>
      </c>
    </row>
    <row r="1184" spans="1:9" ht="15" hidden="1" x14ac:dyDescent="0.25">
      <c r="A1184" s="2754">
        <v>1135</v>
      </c>
      <c r="B1184" s="2755">
        <v>3122</v>
      </c>
      <c r="C1184" s="2755">
        <v>5331</v>
      </c>
      <c r="D1184" s="2756"/>
      <c r="E1184" s="845" t="s">
        <v>481</v>
      </c>
      <c r="F1184" s="665"/>
      <c r="G1184" s="675">
        <f>G1185+G1186</f>
        <v>0</v>
      </c>
      <c r="H1184" s="675">
        <f>H1185+H1186</f>
        <v>0</v>
      </c>
      <c r="I1184" s="680" t="e">
        <f t="shared" si="244"/>
        <v>#DIV/0!</v>
      </c>
    </row>
    <row r="1185" spans="1:23" ht="28.5" hidden="1" x14ac:dyDescent="0.2">
      <c r="A1185" s="921"/>
      <c r="B1185" s="2722"/>
      <c r="C1185" s="1350"/>
      <c r="D1185" s="2753" t="s">
        <v>1134</v>
      </c>
      <c r="E1185" s="2717" t="s">
        <v>1527</v>
      </c>
      <c r="F1185" s="665"/>
      <c r="G1185" s="870"/>
      <c r="H1185" s="870"/>
      <c r="I1185" s="871" t="e">
        <f t="shared" si="244"/>
        <v>#DIV/0!</v>
      </c>
    </row>
    <row r="1186" spans="1:23" ht="14.25" hidden="1" x14ac:dyDescent="0.2">
      <c r="A1186" s="921"/>
      <c r="B1186" s="2722"/>
      <c r="C1186" s="2722"/>
      <c r="D1186" s="2724" t="s">
        <v>917</v>
      </c>
      <c r="E1186" s="949" t="s">
        <v>1534</v>
      </c>
      <c r="F1186" s="665"/>
      <c r="G1186" s="665"/>
      <c r="H1186" s="665"/>
      <c r="I1186" s="871" t="e">
        <f t="shared" si="244"/>
        <v>#DIV/0!</v>
      </c>
    </row>
    <row r="1187" spans="1:23" ht="15" x14ac:dyDescent="0.25">
      <c r="A1187" s="921">
        <v>1135</v>
      </c>
      <c r="B1187" s="2722">
        <v>3141</v>
      </c>
      <c r="C1187" s="1350">
        <v>5336</v>
      </c>
      <c r="D1187" s="2726"/>
      <c r="E1187" s="602" t="s">
        <v>856</v>
      </c>
      <c r="F1187" s="675">
        <f>F1188</f>
        <v>0</v>
      </c>
      <c r="G1187" s="675">
        <f>G1188</f>
        <v>1721</v>
      </c>
      <c r="H1187" s="675">
        <f>H1188</f>
        <v>1721</v>
      </c>
      <c r="I1187" s="667">
        <f t="shared" si="244"/>
        <v>100</v>
      </c>
    </row>
    <row r="1188" spans="1:23" ht="14.25" x14ac:dyDescent="0.2">
      <c r="A1188" s="921"/>
      <c r="B1188" s="2722"/>
      <c r="C1188" s="1350"/>
      <c r="D1188" s="2726" t="s">
        <v>901</v>
      </c>
      <c r="E1188" s="436" t="s">
        <v>1637</v>
      </c>
      <c r="F1188" s="665">
        <v>0</v>
      </c>
      <c r="G1188" s="665">
        <v>1721</v>
      </c>
      <c r="H1188" s="665">
        <v>1721</v>
      </c>
      <c r="I1188" s="661">
        <f t="shared" si="244"/>
        <v>100</v>
      </c>
    </row>
    <row r="1189" spans="1:23" ht="15" customHeight="1" x14ac:dyDescent="0.25">
      <c r="A1189" s="921">
        <v>1135</v>
      </c>
      <c r="B1189" s="2722">
        <v>3147</v>
      </c>
      <c r="C1189" s="1350">
        <v>5336</v>
      </c>
      <c r="D1189" s="2726"/>
      <c r="E1189" s="602" t="s">
        <v>856</v>
      </c>
      <c r="F1189" s="675">
        <f>F1190</f>
        <v>0</v>
      </c>
      <c r="G1189" s="675">
        <f>G1190</f>
        <v>3606</v>
      </c>
      <c r="H1189" s="675">
        <f>H1190</f>
        <v>3606</v>
      </c>
      <c r="I1189" s="669">
        <f t="shared" si="244"/>
        <v>100</v>
      </c>
    </row>
    <row r="1190" spans="1:23" ht="13.5" customHeight="1" x14ac:dyDescent="0.2">
      <c r="A1190" s="921"/>
      <c r="B1190" s="2722"/>
      <c r="C1190" s="1350"/>
      <c r="D1190" s="2726" t="s">
        <v>901</v>
      </c>
      <c r="E1190" s="436" t="s">
        <v>1637</v>
      </c>
      <c r="F1190" s="665">
        <v>0</v>
      </c>
      <c r="G1190" s="665">
        <v>3606</v>
      </c>
      <c r="H1190" s="665">
        <v>3606</v>
      </c>
      <c r="I1190" s="661">
        <f t="shared" si="244"/>
        <v>100</v>
      </c>
    </row>
    <row r="1191" spans="1:23" ht="15" x14ac:dyDescent="0.25">
      <c r="A1191" s="921">
        <v>1135</v>
      </c>
      <c r="B1191" s="2722">
        <v>3150</v>
      </c>
      <c r="C1191" s="2722">
        <v>5336</v>
      </c>
      <c r="D1191" s="2726"/>
      <c r="E1191" s="602" t="s">
        <v>856</v>
      </c>
      <c r="F1191" s="675">
        <f>F1192</f>
        <v>0</v>
      </c>
      <c r="G1191" s="675">
        <f>G1192</f>
        <v>4528</v>
      </c>
      <c r="H1191" s="675">
        <f>H1192</f>
        <v>4528</v>
      </c>
      <c r="I1191" s="669">
        <f t="shared" si="244"/>
        <v>100</v>
      </c>
    </row>
    <row r="1192" spans="1:23" ht="15" thickBot="1" x14ac:dyDescent="0.25">
      <c r="A1192" s="921"/>
      <c r="B1192" s="2722"/>
      <c r="C1192" s="1350"/>
      <c r="D1192" s="2726" t="s">
        <v>901</v>
      </c>
      <c r="E1192" s="436" t="s">
        <v>1637</v>
      </c>
      <c r="F1192" s="665">
        <v>0</v>
      </c>
      <c r="G1192" s="665">
        <v>4528</v>
      </c>
      <c r="H1192" s="665">
        <v>4528</v>
      </c>
      <c r="I1192" s="661">
        <f t="shared" si="244"/>
        <v>100</v>
      </c>
    </row>
    <row r="1193" spans="1:23" ht="16.5" thickTop="1" thickBot="1" x14ac:dyDescent="0.3">
      <c r="A1193" s="3233" t="s">
        <v>522</v>
      </c>
      <c r="B1193" s="3234"/>
      <c r="C1193" s="3234"/>
      <c r="D1193" s="3234"/>
      <c r="E1193" s="3234"/>
      <c r="F1193" s="657">
        <f>F1191+F1189+F1187+F1175+F1172+F1184</f>
        <v>0</v>
      </c>
      <c r="G1193" s="657">
        <f>G1191+G1189+G1187+G1175+G1172+G1184</f>
        <v>48759</v>
      </c>
      <c r="H1193" s="657">
        <f>H1191+H1189+H1187+H1175+H1172+H1184</f>
        <v>48759</v>
      </c>
      <c r="I1193" s="658">
        <f t="shared" si="244"/>
        <v>100</v>
      </c>
      <c r="R1193" s="373">
        <f>F1193</f>
        <v>0</v>
      </c>
      <c r="S1193" s="373">
        <f>G1193</f>
        <v>48759</v>
      </c>
      <c r="T1193" s="373">
        <f>H1193</f>
        <v>48759</v>
      </c>
    </row>
    <row r="1194" spans="1:23" ht="15.75" thickTop="1" x14ac:dyDescent="0.25">
      <c r="A1194" s="360"/>
      <c r="B1194" s="360"/>
      <c r="C1194" s="360"/>
      <c r="D1194" s="360"/>
      <c r="E1194" s="360"/>
      <c r="F1194" s="179"/>
      <c r="G1194" s="179"/>
      <c r="H1194" s="179"/>
      <c r="I1194" s="210"/>
      <c r="J1194" s="373"/>
      <c r="K1194" s="373"/>
      <c r="L1194" s="373"/>
      <c r="R1194" s="373"/>
      <c r="S1194" s="373"/>
      <c r="T1194" s="373"/>
      <c r="U1194" s="373"/>
      <c r="V1194" s="373"/>
      <c r="W1194" s="373"/>
    </row>
    <row r="1195" spans="1:23" ht="15" x14ac:dyDescent="0.25">
      <c r="A1195" s="360"/>
      <c r="B1195" s="360"/>
      <c r="C1195" s="360"/>
      <c r="D1195" s="360"/>
      <c r="E1195" s="360"/>
      <c r="F1195" s="179"/>
      <c r="G1195" s="179"/>
      <c r="H1195" s="179"/>
      <c r="I1195" s="210"/>
      <c r="J1195" s="373"/>
      <c r="K1195" s="373"/>
      <c r="L1195" s="373"/>
      <c r="R1195" s="373"/>
      <c r="S1195" s="373"/>
      <c r="T1195" s="373"/>
      <c r="U1195" s="373"/>
      <c r="V1195" s="373"/>
      <c r="W1195" s="373"/>
    </row>
    <row r="1196" spans="1:23" ht="13.5" thickBot="1" x14ac:dyDescent="0.25">
      <c r="A1196" s="419" t="s">
        <v>286</v>
      </c>
      <c r="I1196" s="915" t="s">
        <v>92</v>
      </c>
    </row>
    <row r="1197" spans="1:23" s="106" customFormat="1" thickTop="1" thickBot="1" x14ac:dyDescent="0.25">
      <c r="A1197" s="572" t="s">
        <v>324</v>
      </c>
      <c r="B1197" s="639" t="s">
        <v>93</v>
      </c>
      <c r="C1197" s="573" t="s">
        <v>94</v>
      </c>
      <c r="D1197" s="575" t="s">
        <v>364</v>
      </c>
      <c r="E1197" s="575" t="s">
        <v>95</v>
      </c>
      <c r="F1197" s="575" t="s">
        <v>328</v>
      </c>
      <c r="G1197" s="575" t="s">
        <v>329</v>
      </c>
      <c r="H1197" s="575" t="s">
        <v>448</v>
      </c>
      <c r="I1197" s="651" t="s">
        <v>449</v>
      </c>
    </row>
    <row r="1198" spans="1:23" s="374" customFormat="1" ht="13.5" thickTop="1" thickBot="1" x14ac:dyDescent="0.25">
      <c r="A1198" s="511">
        <v>1</v>
      </c>
      <c r="B1198" s="512">
        <v>2</v>
      </c>
      <c r="C1198" s="512">
        <v>3</v>
      </c>
      <c r="D1198" s="512">
        <v>4</v>
      </c>
      <c r="E1198" s="512">
        <v>5</v>
      </c>
      <c r="F1198" s="499">
        <v>6</v>
      </c>
      <c r="G1198" s="499">
        <v>7</v>
      </c>
      <c r="H1198" s="500">
        <v>8</v>
      </c>
      <c r="I1198" s="577" t="s">
        <v>393</v>
      </c>
    </row>
    <row r="1199" spans="1:23" ht="15.75" thickTop="1" x14ac:dyDescent="0.25">
      <c r="A1199" s="921">
        <v>1136</v>
      </c>
      <c r="B1199" s="2722">
        <v>3122</v>
      </c>
      <c r="C1199" s="1350">
        <v>5336</v>
      </c>
      <c r="D1199" s="2763"/>
      <c r="E1199" s="602" t="s">
        <v>856</v>
      </c>
      <c r="F1199" s="675">
        <f>F1200</f>
        <v>0</v>
      </c>
      <c r="G1199" s="675">
        <f>G1200</f>
        <v>2445</v>
      </c>
      <c r="H1199" s="675">
        <f>H1200</f>
        <v>2445</v>
      </c>
      <c r="I1199" s="680">
        <f t="shared" ref="I1199:I1221" si="248">(H1199/G1199)*100</f>
        <v>100</v>
      </c>
    </row>
    <row r="1200" spans="1:23" ht="14.25" x14ac:dyDescent="0.2">
      <c r="A1200" s="921"/>
      <c r="B1200" s="2722"/>
      <c r="C1200" s="1350"/>
      <c r="D1200" s="2726" t="s">
        <v>901</v>
      </c>
      <c r="E1200" s="436" t="s">
        <v>1637</v>
      </c>
      <c r="F1200" s="665">
        <v>0</v>
      </c>
      <c r="G1200" s="665">
        <v>2445</v>
      </c>
      <c r="H1200" s="665">
        <v>2445</v>
      </c>
      <c r="I1200" s="661">
        <f t="shared" si="248"/>
        <v>100</v>
      </c>
    </row>
    <row r="1201" spans="1:9" ht="15" x14ac:dyDescent="0.25">
      <c r="A1201" s="921">
        <v>1136</v>
      </c>
      <c r="B1201" s="2722">
        <v>3123</v>
      </c>
      <c r="C1201" s="2722">
        <v>5336</v>
      </c>
      <c r="D1201" s="2726"/>
      <c r="E1201" s="602" t="s">
        <v>856</v>
      </c>
      <c r="F1201" s="675">
        <f>F1202+F1204+F1203+F1205+F1206</f>
        <v>0</v>
      </c>
      <c r="G1201" s="675">
        <f t="shared" ref="G1201:H1201" si="249">G1202+G1204+G1203+G1205+G1206</f>
        <v>15527</v>
      </c>
      <c r="H1201" s="675">
        <f t="shared" si="249"/>
        <v>15527</v>
      </c>
      <c r="I1201" s="669">
        <f t="shared" si="248"/>
        <v>100</v>
      </c>
    </row>
    <row r="1202" spans="1:9" ht="14.25" x14ac:dyDescent="0.2">
      <c r="A1202" s="921"/>
      <c r="B1202" s="2722"/>
      <c r="C1202" s="2722"/>
      <c r="D1202" s="2725" t="s">
        <v>902</v>
      </c>
      <c r="E1202" s="2215" t="s">
        <v>855</v>
      </c>
      <c r="F1202" s="665">
        <v>0</v>
      </c>
      <c r="G1202" s="870">
        <v>400</v>
      </c>
      <c r="H1202" s="870">
        <v>400</v>
      </c>
      <c r="I1202" s="874">
        <f t="shared" ref="I1202:I1203" si="250">(H1202/G1202)*100</f>
        <v>100</v>
      </c>
    </row>
    <row r="1203" spans="1:9" ht="14.25" x14ac:dyDescent="0.2">
      <c r="A1203" s="921"/>
      <c r="B1203" s="2722"/>
      <c r="C1203" s="2722"/>
      <c r="D1203" s="2725" t="s">
        <v>1896</v>
      </c>
      <c r="E1203" s="3102" t="s">
        <v>1951</v>
      </c>
      <c r="F1203" s="665">
        <v>0</v>
      </c>
      <c r="G1203" s="870">
        <v>189</v>
      </c>
      <c r="H1203" s="870">
        <v>189</v>
      </c>
      <c r="I1203" s="874">
        <f t="shared" si="250"/>
        <v>100</v>
      </c>
    </row>
    <row r="1204" spans="1:9" ht="14.25" x14ac:dyDescent="0.2">
      <c r="A1204" s="921"/>
      <c r="B1204" s="2722"/>
      <c r="C1204" s="2722"/>
      <c r="D1204" s="2726" t="s">
        <v>901</v>
      </c>
      <c r="E1204" s="436" t="s">
        <v>1637</v>
      </c>
      <c r="F1204" s="665">
        <v>0</v>
      </c>
      <c r="G1204" s="665">
        <v>14342</v>
      </c>
      <c r="H1204" s="665">
        <v>14342</v>
      </c>
      <c r="I1204" s="661">
        <f t="shared" si="248"/>
        <v>100</v>
      </c>
    </row>
    <row r="1205" spans="1:9" ht="14.25" x14ac:dyDescent="0.2">
      <c r="A1205" s="921"/>
      <c r="B1205" s="2722"/>
      <c r="C1205" s="2722"/>
      <c r="D1205" s="2726" t="s">
        <v>1144</v>
      </c>
      <c r="E1205" s="938" t="s">
        <v>1515</v>
      </c>
      <c r="F1205" s="665">
        <v>0</v>
      </c>
      <c r="G1205" s="665">
        <v>89</v>
      </c>
      <c r="H1205" s="665">
        <v>89</v>
      </c>
      <c r="I1205" s="661">
        <f t="shared" si="248"/>
        <v>100</v>
      </c>
    </row>
    <row r="1206" spans="1:9" ht="14.25" x14ac:dyDescent="0.2">
      <c r="A1206" s="921"/>
      <c r="B1206" s="2722"/>
      <c r="C1206" s="2722"/>
      <c r="D1206" s="2726" t="s">
        <v>1145</v>
      </c>
      <c r="E1206" s="938" t="s">
        <v>1515</v>
      </c>
      <c r="F1206" s="665">
        <v>0</v>
      </c>
      <c r="G1206" s="665">
        <v>507</v>
      </c>
      <c r="H1206" s="665">
        <v>507</v>
      </c>
      <c r="I1206" s="661">
        <f t="shared" si="248"/>
        <v>100</v>
      </c>
    </row>
    <row r="1207" spans="1:9" ht="15" x14ac:dyDescent="0.25">
      <c r="A1207" s="921">
        <v>1136</v>
      </c>
      <c r="B1207" s="2722">
        <v>3127</v>
      </c>
      <c r="C1207" s="2722">
        <v>5336</v>
      </c>
      <c r="D1207" s="2726"/>
      <c r="E1207" s="602" t="s">
        <v>856</v>
      </c>
      <c r="F1207" s="675">
        <f>F1209+F1210+F1211+F1212+F1208</f>
        <v>0</v>
      </c>
      <c r="G1207" s="675">
        <f>G1209+G1210+G1211+G1212+G1208</f>
        <v>223</v>
      </c>
      <c r="H1207" s="675">
        <f>H1209+H1210+H1211+H1212+H1208</f>
        <v>223</v>
      </c>
      <c r="I1207" s="667">
        <f t="shared" si="248"/>
        <v>100</v>
      </c>
    </row>
    <row r="1208" spans="1:9" ht="14.25" hidden="1" x14ac:dyDescent="0.2">
      <c r="A1208" s="921"/>
      <c r="B1208" s="2722"/>
      <c r="C1208" s="2722"/>
      <c r="D1208" s="2725" t="s">
        <v>920</v>
      </c>
      <c r="E1208" s="1354" t="s">
        <v>769</v>
      </c>
      <c r="F1208" s="665"/>
      <c r="G1208" s="668"/>
      <c r="H1208" s="668"/>
      <c r="I1208" s="367" t="e">
        <f t="shared" si="248"/>
        <v>#DIV/0!</v>
      </c>
    </row>
    <row r="1209" spans="1:9" ht="14.25" hidden="1" x14ac:dyDescent="0.2">
      <c r="A1209" s="921"/>
      <c r="B1209" s="2722"/>
      <c r="C1209" s="2722"/>
      <c r="D1209" s="2725" t="s">
        <v>912</v>
      </c>
      <c r="E1209" s="1598" t="s">
        <v>817</v>
      </c>
      <c r="F1209" s="665"/>
      <c r="G1209" s="668"/>
      <c r="H1209" s="668"/>
      <c r="I1209" s="367" t="e">
        <f t="shared" si="248"/>
        <v>#DIV/0!</v>
      </c>
    </row>
    <row r="1210" spans="1:9" ht="14.25" x14ac:dyDescent="0.2">
      <c r="A1210" s="921"/>
      <c r="B1210" s="2722"/>
      <c r="C1210" s="2722"/>
      <c r="D1210" s="2725" t="s">
        <v>912</v>
      </c>
      <c r="E1210" s="1598" t="s">
        <v>817</v>
      </c>
      <c r="F1210" s="665">
        <v>0</v>
      </c>
      <c r="G1210" s="668">
        <v>223</v>
      </c>
      <c r="H1210" s="668">
        <v>223</v>
      </c>
      <c r="I1210" s="367">
        <f t="shared" si="248"/>
        <v>100</v>
      </c>
    </row>
    <row r="1211" spans="1:9" ht="14.25" hidden="1" x14ac:dyDescent="0.2">
      <c r="A1211" s="921"/>
      <c r="B1211" s="2722"/>
      <c r="C1211" s="2722"/>
      <c r="D1211" s="2726" t="s">
        <v>907</v>
      </c>
      <c r="E1211" s="938" t="s">
        <v>909</v>
      </c>
      <c r="F1211" s="665"/>
      <c r="G1211" s="665"/>
      <c r="H1211" s="665"/>
      <c r="I1211" s="661" t="e">
        <f t="shared" si="248"/>
        <v>#DIV/0!</v>
      </c>
    </row>
    <row r="1212" spans="1:9" ht="14.25" hidden="1" x14ac:dyDescent="0.2">
      <c r="A1212" s="921"/>
      <c r="B1212" s="2722"/>
      <c r="C1212" s="2722"/>
      <c r="D1212" s="2726" t="s">
        <v>908</v>
      </c>
      <c r="E1212" s="938" t="s">
        <v>909</v>
      </c>
      <c r="F1212" s="665"/>
      <c r="G1212" s="665"/>
      <c r="H1212" s="665"/>
      <c r="I1212" s="661" t="e">
        <f t="shared" si="248"/>
        <v>#DIV/0!</v>
      </c>
    </row>
    <row r="1213" spans="1:9" ht="15" x14ac:dyDescent="0.25">
      <c r="A1213" s="921">
        <v>1136</v>
      </c>
      <c r="B1213" s="2722">
        <v>3141</v>
      </c>
      <c r="C1213" s="2722">
        <v>5336</v>
      </c>
      <c r="D1213" s="2726"/>
      <c r="E1213" s="602" t="s">
        <v>856</v>
      </c>
      <c r="F1213" s="675">
        <f>F1214</f>
        <v>0</v>
      </c>
      <c r="G1213" s="675">
        <f>G1214</f>
        <v>102</v>
      </c>
      <c r="H1213" s="675">
        <f>H1214</f>
        <v>102</v>
      </c>
      <c r="I1213" s="669">
        <f t="shared" si="248"/>
        <v>100</v>
      </c>
    </row>
    <row r="1214" spans="1:9" ht="17.25" customHeight="1" x14ac:dyDescent="0.2">
      <c r="A1214" s="921"/>
      <c r="B1214" s="2722"/>
      <c r="C1214" s="2722"/>
      <c r="D1214" s="2726" t="s">
        <v>901</v>
      </c>
      <c r="E1214" s="436" t="s">
        <v>1637</v>
      </c>
      <c r="F1214" s="665">
        <v>0</v>
      </c>
      <c r="G1214" s="665">
        <v>102</v>
      </c>
      <c r="H1214" s="665">
        <v>102</v>
      </c>
      <c r="I1214" s="661">
        <f t="shared" si="248"/>
        <v>100</v>
      </c>
    </row>
    <row r="1215" spans="1:9" ht="15" x14ac:dyDescent="0.25">
      <c r="A1215" s="921">
        <v>1136</v>
      </c>
      <c r="B1215" s="2722">
        <v>3147</v>
      </c>
      <c r="C1215" s="1350">
        <v>5336</v>
      </c>
      <c r="D1215" s="2726"/>
      <c r="E1215" s="602" t="s">
        <v>856</v>
      </c>
      <c r="F1215" s="675">
        <f>F1216</f>
        <v>0</v>
      </c>
      <c r="G1215" s="675">
        <f>G1216</f>
        <v>2049</v>
      </c>
      <c r="H1215" s="675">
        <f>H1216</f>
        <v>2049</v>
      </c>
      <c r="I1215" s="669">
        <f t="shared" si="248"/>
        <v>100</v>
      </c>
    </row>
    <row r="1216" spans="1:9" ht="14.25" x14ac:dyDescent="0.2">
      <c r="A1216" s="921"/>
      <c r="B1216" s="2722"/>
      <c r="C1216" s="1350"/>
      <c r="D1216" s="2726" t="s">
        <v>901</v>
      </c>
      <c r="E1216" s="436" t="s">
        <v>1637</v>
      </c>
      <c r="F1216" s="665">
        <v>0</v>
      </c>
      <c r="G1216" s="665">
        <v>2049</v>
      </c>
      <c r="H1216" s="665">
        <v>2049</v>
      </c>
      <c r="I1216" s="661">
        <f t="shared" si="248"/>
        <v>100</v>
      </c>
    </row>
    <row r="1217" spans="1:20" ht="15" x14ac:dyDescent="0.25">
      <c r="A1217" s="921">
        <v>1136</v>
      </c>
      <c r="B1217" s="2722">
        <v>3150</v>
      </c>
      <c r="C1217" s="2722">
        <v>5336</v>
      </c>
      <c r="D1217" s="2726"/>
      <c r="E1217" s="602" t="s">
        <v>856</v>
      </c>
      <c r="F1217" s="666">
        <f>F1218</f>
        <v>0</v>
      </c>
      <c r="G1217" s="666">
        <f>G1218</f>
        <v>1786</v>
      </c>
      <c r="H1217" s="666">
        <f>H1218</f>
        <v>1786</v>
      </c>
      <c r="I1217" s="667">
        <f t="shared" si="248"/>
        <v>100</v>
      </c>
    </row>
    <row r="1218" spans="1:20" ht="15" thickBot="1" x14ac:dyDescent="0.25">
      <c r="A1218" s="921"/>
      <c r="B1218" s="2722"/>
      <c r="C1218" s="1350"/>
      <c r="D1218" s="2726" t="s">
        <v>901</v>
      </c>
      <c r="E1218" s="436" t="s">
        <v>1637</v>
      </c>
      <c r="F1218" s="665">
        <v>0</v>
      </c>
      <c r="G1218" s="665">
        <v>1786</v>
      </c>
      <c r="H1218" s="665">
        <v>1786</v>
      </c>
      <c r="I1218" s="661">
        <f t="shared" si="248"/>
        <v>100</v>
      </c>
    </row>
    <row r="1219" spans="1:20" ht="15.75" hidden="1" thickBot="1" x14ac:dyDescent="0.3">
      <c r="A1219" s="418">
        <v>1136</v>
      </c>
      <c r="B1219" s="634">
        <v>3299</v>
      </c>
      <c r="C1219" s="634">
        <v>5331</v>
      </c>
      <c r="D1219" s="505"/>
      <c r="E1219" s="602" t="s">
        <v>481</v>
      </c>
      <c r="F1219" s="665"/>
      <c r="G1219" s="675">
        <f>G1220</f>
        <v>0</v>
      </c>
      <c r="H1219" s="675">
        <f>H1220</f>
        <v>0</v>
      </c>
      <c r="I1219" s="669" t="e">
        <f t="shared" si="248"/>
        <v>#DIV/0!</v>
      </c>
    </row>
    <row r="1220" spans="1:20" ht="15" hidden="1" thickBot="1" x14ac:dyDescent="0.25">
      <c r="A1220" s="418"/>
      <c r="B1220" s="634"/>
      <c r="C1220" s="918"/>
      <c r="D1220" s="876" t="s">
        <v>923</v>
      </c>
      <c r="E1220" s="439" t="s">
        <v>525</v>
      </c>
      <c r="F1220" s="665"/>
      <c r="G1220" s="665"/>
      <c r="H1220" s="665"/>
      <c r="I1220" s="661" t="e">
        <f t="shared" si="248"/>
        <v>#DIV/0!</v>
      </c>
    </row>
    <row r="1221" spans="1:20" ht="16.5" thickTop="1" thickBot="1" x14ac:dyDescent="0.3">
      <c r="A1221" s="3233" t="s">
        <v>522</v>
      </c>
      <c r="B1221" s="3234"/>
      <c r="C1221" s="3234"/>
      <c r="D1221" s="3234"/>
      <c r="E1221" s="3234"/>
      <c r="F1221" s="657">
        <f>F1219+F1217+F1215+F1213+F1207+F1201+F1199</f>
        <v>0</v>
      </c>
      <c r="G1221" s="657">
        <f>G1219+G1217+G1215+G1213+G1207+G1201+G1199</f>
        <v>22132</v>
      </c>
      <c r="H1221" s="657">
        <f>H1219+H1217+H1215+H1213+H1207+H1201+H1199</f>
        <v>22132</v>
      </c>
      <c r="I1221" s="658">
        <f t="shared" si="248"/>
        <v>100</v>
      </c>
      <c r="R1221" s="373">
        <f>F1221</f>
        <v>0</v>
      </c>
      <c r="S1221" s="373">
        <f>G1221</f>
        <v>22132</v>
      </c>
      <c r="T1221" s="373">
        <f>H1221</f>
        <v>22132</v>
      </c>
    </row>
    <row r="1222" spans="1:20" ht="15.75" thickTop="1" x14ac:dyDescent="0.25">
      <c r="A1222" s="360"/>
      <c r="B1222" s="360"/>
      <c r="C1222" s="360"/>
      <c r="D1222" s="360"/>
      <c r="E1222" s="360"/>
      <c r="F1222" s="177"/>
      <c r="G1222" s="177"/>
      <c r="H1222" s="177"/>
      <c r="I1222" s="206"/>
      <c r="R1222" s="373"/>
      <c r="S1222" s="373"/>
      <c r="T1222" s="373"/>
    </row>
    <row r="1223" spans="1:20" ht="15" x14ac:dyDescent="0.25">
      <c r="A1223" s="360"/>
      <c r="B1223" s="360"/>
      <c r="C1223" s="360"/>
      <c r="D1223" s="360"/>
      <c r="E1223" s="360"/>
      <c r="F1223" s="177"/>
      <c r="G1223" s="177"/>
      <c r="H1223" s="177"/>
      <c r="I1223" s="206"/>
      <c r="R1223" s="373"/>
      <c r="S1223" s="373"/>
      <c r="T1223" s="373"/>
    </row>
    <row r="1224" spans="1:20" ht="13.5" thickBot="1" x14ac:dyDescent="0.25">
      <c r="A1224" s="419" t="s">
        <v>277</v>
      </c>
      <c r="I1224" s="915" t="s">
        <v>92</v>
      </c>
    </row>
    <row r="1225" spans="1:20" s="106" customFormat="1" thickTop="1" thickBot="1" x14ac:dyDescent="0.25">
      <c r="A1225" s="572" t="s">
        <v>324</v>
      </c>
      <c r="B1225" s="639" t="s">
        <v>93</v>
      </c>
      <c r="C1225" s="573" t="s">
        <v>94</v>
      </c>
      <c r="D1225" s="575" t="s">
        <v>364</v>
      </c>
      <c r="E1225" s="575" t="s">
        <v>95</v>
      </c>
      <c r="F1225" s="575" t="s">
        <v>328</v>
      </c>
      <c r="G1225" s="575" t="s">
        <v>329</v>
      </c>
      <c r="H1225" s="575" t="s">
        <v>448</v>
      </c>
      <c r="I1225" s="651" t="s">
        <v>449</v>
      </c>
    </row>
    <row r="1226" spans="1:20" s="374" customFormat="1" ht="13.5" thickTop="1" thickBot="1" x14ac:dyDescent="0.25">
      <c r="A1226" s="511">
        <v>1</v>
      </c>
      <c r="B1226" s="512">
        <v>2</v>
      </c>
      <c r="C1226" s="512">
        <v>3</v>
      </c>
      <c r="D1226" s="512">
        <v>4</v>
      </c>
      <c r="E1226" s="512">
        <v>5</v>
      </c>
      <c r="F1226" s="499">
        <v>6</v>
      </c>
      <c r="G1226" s="499">
        <v>7</v>
      </c>
      <c r="H1226" s="500">
        <v>8</v>
      </c>
      <c r="I1226" s="577" t="s">
        <v>393</v>
      </c>
    </row>
    <row r="1227" spans="1:20" ht="15.75" thickTop="1" x14ac:dyDescent="0.25">
      <c r="A1227" s="916">
        <v>1137</v>
      </c>
      <c r="B1227" s="640">
        <v>3122</v>
      </c>
      <c r="C1227" s="2737">
        <v>5331</v>
      </c>
      <c r="D1227" s="670"/>
      <c r="E1227" s="685" t="s">
        <v>481</v>
      </c>
      <c r="F1227" s="686">
        <f>F1228</f>
        <v>0</v>
      </c>
      <c r="G1227" s="686">
        <f t="shared" ref="G1227:H1227" si="251">G1228</f>
        <v>108</v>
      </c>
      <c r="H1227" s="686">
        <f t="shared" si="251"/>
        <v>108</v>
      </c>
      <c r="I1227" s="659">
        <f t="shared" ref="I1227:I1237" si="252">(H1227/G1227)*100</f>
        <v>100</v>
      </c>
    </row>
    <row r="1228" spans="1:20" ht="14.25" x14ac:dyDescent="0.2">
      <c r="A1228" s="418"/>
      <c r="B1228" s="634"/>
      <c r="C1228" s="634"/>
      <c r="D1228" s="505" t="s">
        <v>1891</v>
      </c>
      <c r="E1228" s="692" t="s">
        <v>1952</v>
      </c>
      <c r="F1228" s="665">
        <v>0</v>
      </c>
      <c r="G1228" s="665">
        <v>108</v>
      </c>
      <c r="H1228" s="665">
        <v>108</v>
      </c>
      <c r="I1228" s="656">
        <f t="shared" si="252"/>
        <v>100</v>
      </c>
    </row>
    <row r="1229" spans="1:20" ht="15" x14ac:dyDescent="0.25">
      <c r="A1229" s="921">
        <v>1137</v>
      </c>
      <c r="B1229" s="2722">
        <v>3122</v>
      </c>
      <c r="C1229" s="2722">
        <v>5336</v>
      </c>
      <c r="D1229" s="2763"/>
      <c r="E1229" s="602" t="s">
        <v>856</v>
      </c>
      <c r="F1229" s="675">
        <f>F1230+F1231+F1232+F1233+F1234</f>
        <v>0</v>
      </c>
      <c r="G1229" s="675">
        <f>G1230+G1231+G1232+G1233+G1234</f>
        <v>10664</v>
      </c>
      <c r="H1229" s="675">
        <f>H1230+H1231+H1232+H1233+H1234</f>
        <v>10664</v>
      </c>
      <c r="I1229" s="669">
        <f t="shared" si="252"/>
        <v>100</v>
      </c>
    </row>
    <row r="1230" spans="1:20" ht="14.25" x14ac:dyDescent="0.2">
      <c r="A1230" s="921"/>
      <c r="B1230" s="2722"/>
      <c r="C1230" s="2722"/>
      <c r="D1230" s="2725" t="s">
        <v>902</v>
      </c>
      <c r="E1230" s="1352" t="s">
        <v>855</v>
      </c>
      <c r="F1230" s="1600">
        <v>0</v>
      </c>
      <c r="G1230" s="1600">
        <v>194</v>
      </c>
      <c r="H1230" s="1600">
        <v>194</v>
      </c>
      <c r="I1230" s="367">
        <f t="shared" ref="I1230:I1231" si="253">(H1230/G1230)*100</f>
        <v>100</v>
      </c>
    </row>
    <row r="1231" spans="1:20" ht="14.25" x14ac:dyDescent="0.2">
      <c r="A1231" s="921"/>
      <c r="B1231" s="2722"/>
      <c r="C1231" s="2722"/>
      <c r="D1231" s="2725" t="s">
        <v>1896</v>
      </c>
      <c r="E1231" s="2215" t="s">
        <v>1951</v>
      </c>
      <c r="F1231" s="1643">
        <v>0</v>
      </c>
      <c r="G1231" s="1643">
        <v>51</v>
      </c>
      <c r="H1231" s="1643">
        <v>51</v>
      </c>
      <c r="I1231" s="982">
        <f t="shared" si="253"/>
        <v>100</v>
      </c>
    </row>
    <row r="1232" spans="1:20" ht="14.25" x14ac:dyDescent="0.2">
      <c r="A1232" s="921"/>
      <c r="B1232" s="2722"/>
      <c r="C1232" s="1350"/>
      <c r="D1232" s="2726" t="s">
        <v>901</v>
      </c>
      <c r="E1232" s="436" t="s">
        <v>1637</v>
      </c>
      <c r="F1232" s="665">
        <v>0</v>
      </c>
      <c r="G1232" s="665">
        <v>10073</v>
      </c>
      <c r="H1232" s="665">
        <v>10073</v>
      </c>
      <c r="I1232" s="661">
        <f t="shared" si="252"/>
        <v>100</v>
      </c>
    </row>
    <row r="1233" spans="1:20" ht="14.25" x14ac:dyDescent="0.2">
      <c r="A1233" s="921"/>
      <c r="B1233" s="2722"/>
      <c r="C1233" s="1350"/>
      <c r="D1233" s="2726" t="s">
        <v>1144</v>
      </c>
      <c r="E1233" s="938" t="s">
        <v>1515</v>
      </c>
      <c r="F1233" s="665">
        <v>0</v>
      </c>
      <c r="G1233" s="665">
        <v>52</v>
      </c>
      <c r="H1233" s="665">
        <v>52</v>
      </c>
      <c r="I1233" s="661">
        <f t="shared" si="252"/>
        <v>100</v>
      </c>
    </row>
    <row r="1234" spans="1:20" ht="15" thickBot="1" x14ac:dyDescent="0.25">
      <c r="A1234" s="921"/>
      <c r="B1234" s="2722"/>
      <c r="C1234" s="1350"/>
      <c r="D1234" s="2726" t="s">
        <v>1145</v>
      </c>
      <c r="E1234" s="938" t="s">
        <v>1515</v>
      </c>
      <c r="F1234" s="665">
        <v>0</v>
      </c>
      <c r="G1234" s="665">
        <v>294</v>
      </c>
      <c r="H1234" s="665">
        <v>294</v>
      </c>
      <c r="I1234" s="661">
        <f t="shared" si="252"/>
        <v>100</v>
      </c>
    </row>
    <row r="1235" spans="1:20" ht="15.75" hidden="1" thickBot="1" x14ac:dyDescent="0.3">
      <c r="A1235" s="2754">
        <v>1137</v>
      </c>
      <c r="B1235" s="2755">
        <v>3122</v>
      </c>
      <c r="C1235" s="2755">
        <v>5331</v>
      </c>
      <c r="D1235" s="2756"/>
      <c r="E1235" s="845" t="s">
        <v>481</v>
      </c>
      <c r="F1235" s="665"/>
      <c r="G1235" s="675">
        <f>G1236</f>
        <v>0</v>
      </c>
      <c r="H1235" s="675">
        <f>H1236</f>
        <v>0</v>
      </c>
      <c r="I1235" s="669" t="e">
        <f t="shared" si="252"/>
        <v>#DIV/0!</v>
      </c>
    </row>
    <row r="1236" spans="1:20" ht="29.25" hidden="1" thickBot="1" x14ac:dyDescent="0.25">
      <c r="A1236" s="2754"/>
      <c r="B1236" s="2755"/>
      <c r="C1236" s="2761"/>
      <c r="D1236" s="2768" t="s">
        <v>1134</v>
      </c>
      <c r="E1236" s="2623" t="s">
        <v>1527</v>
      </c>
      <c r="F1236" s="665"/>
      <c r="G1236" s="870"/>
      <c r="H1236" s="870"/>
      <c r="I1236" s="874" t="e">
        <f t="shared" ref="I1236" si="254">(H1236/G1236)*100</f>
        <v>#DIV/0!</v>
      </c>
    </row>
    <row r="1237" spans="1:20" ht="16.5" thickTop="1" thickBot="1" x14ac:dyDescent="0.3">
      <c r="A1237" s="3233" t="s">
        <v>522</v>
      </c>
      <c r="B1237" s="3234"/>
      <c r="C1237" s="3234"/>
      <c r="D1237" s="3234"/>
      <c r="E1237" s="3234"/>
      <c r="F1237" s="657">
        <f>F1227+F1229</f>
        <v>0</v>
      </c>
      <c r="G1237" s="657">
        <f>G1227+G1229+G1235</f>
        <v>10772</v>
      </c>
      <c r="H1237" s="657">
        <f>H1227+H1229+H1235</f>
        <v>10772</v>
      </c>
      <c r="I1237" s="658">
        <f t="shared" si="252"/>
        <v>100</v>
      </c>
      <c r="R1237" s="373">
        <f>F1237</f>
        <v>0</v>
      </c>
      <c r="S1237" s="373">
        <f>G1237</f>
        <v>10772</v>
      </c>
      <c r="T1237" s="373">
        <f>H1237</f>
        <v>10772</v>
      </c>
    </row>
    <row r="1238" spans="1:20" ht="13.5" thickTop="1" x14ac:dyDescent="0.2"/>
    <row r="1240" spans="1:20" ht="13.5" thickBot="1" x14ac:dyDescent="0.25">
      <c r="A1240" s="419" t="s">
        <v>278</v>
      </c>
      <c r="I1240" s="915" t="s">
        <v>92</v>
      </c>
    </row>
    <row r="1241" spans="1:20" s="106" customFormat="1" thickTop="1" thickBot="1" x14ac:dyDescent="0.25">
      <c r="A1241" s="572" t="s">
        <v>324</v>
      </c>
      <c r="B1241" s="639" t="s">
        <v>93</v>
      </c>
      <c r="C1241" s="573" t="s">
        <v>94</v>
      </c>
      <c r="D1241" s="575" t="s">
        <v>364</v>
      </c>
      <c r="E1241" s="575" t="s">
        <v>95</v>
      </c>
      <c r="F1241" s="575" t="s">
        <v>328</v>
      </c>
      <c r="G1241" s="575" t="s">
        <v>329</v>
      </c>
      <c r="H1241" s="575" t="s">
        <v>448</v>
      </c>
      <c r="I1241" s="651" t="s">
        <v>449</v>
      </c>
    </row>
    <row r="1242" spans="1:20" s="374" customFormat="1" ht="13.5" thickTop="1" thickBot="1" x14ac:dyDescent="0.25">
      <c r="A1242" s="511">
        <v>1</v>
      </c>
      <c r="B1242" s="512">
        <v>2</v>
      </c>
      <c r="C1242" s="512">
        <v>3</v>
      </c>
      <c r="D1242" s="512">
        <v>4</v>
      </c>
      <c r="E1242" s="512">
        <v>5</v>
      </c>
      <c r="F1242" s="499">
        <v>6</v>
      </c>
      <c r="G1242" s="499">
        <v>7</v>
      </c>
      <c r="H1242" s="500">
        <v>8</v>
      </c>
      <c r="I1242" s="577" t="s">
        <v>393</v>
      </c>
    </row>
    <row r="1243" spans="1:20" ht="15.75" thickTop="1" x14ac:dyDescent="0.25">
      <c r="A1243" s="916">
        <v>1138</v>
      </c>
      <c r="B1243" s="640">
        <v>3122</v>
      </c>
      <c r="C1243" s="2737">
        <v>5331</v>
      </c>
      <c r="D1243" s="670"/>
      <c r="E1243" s="685" t="s">
        <v>481</v>
      </c>
      <c r="F1243" s="686">
        <f>F1244</f>
        <v>0</v>
      </c>
      <c r="G1243" s="686">
        <f t="shared" ref="G1243:H1243" si="255">G1244</f>
        <v>5</v>
      </c>
      <c r="H1243" s="686">
        <f t="shared" si="255"/>
        <v>5</v>
      </c>
      <c r="I1243" s="659">
        <f t="shared" ref="I1243:I1260" si="256">(H1243/G1243)*100</f>
        <v>100</v>
      </c>
    </row>
    <row r="1244" spans="1:20" ht="14.25" x14ac:dyDescent="0.2">
      <c r="A1244" s="418"/>
      <c r="B1244" s="603"/>
      <c r="C1244" s="603"/>
      <c r="D1244" s="505" t="s">
        <v>917</v>
      </c>
      <c r="E1244" s="436" t="s">
        <v>1956</v>
      </c>
      <c r="F1244" s="660">
        <v>0</v>
      </c>
      <c r="G1244" s="660">
        <v>5</v>
      </c>
      <c r="H1244" s="660">
        <v>5</v>
      </c>
      <c r="I1244" s="656">
        <f t="shared" si="256"/>
        <v>100</v>
      </c>
    </row>
    <row r="1245" spans="1:20" ht="15" x14ac:dyDescent="0.25">
      <c r="A1245" s="921">
        <v>1138</v>
      </c>
      <c r="B1245" s="2427">
        <v>3122</v>
      </c>
      <c r="C1245" s="2427">
        <v>5336</v>
      </c>
      <c r="D1245" s="2763"/>
      <c r="E1245" s="602" t="s">
        <v>856</v>
      </c>
      <c r="F1245" s="678">
        <f>F1247+F1248+F1249+F1250+F1252+F1246+F1251</f>
        <v>0</v>
      </c>
      <c r="G1245" s="678">
        <f t="shared" ref="G1245:H1245" si="257">G1247+G1248+G1249+G1250+G1252+G1246+G1251</f>
        <v>16437</v>
      </c>
      <c r="H1245" s="678">
        <f t="shared" si="257"/>
        <v>16437</v>
      </c>
      <c r="I1245" s="680">
        <f>(H1245/G1245)*100</f>
        <v>100</v>
      </c>
    </row>
    <row r="1246" spans="1:20" ht="14.25" x14ac:dyDescent="0.2">
      <c r="A1246" s="921"/>
      <c r="B1246" s="2427"/>
      <c r="C1246" s="2427"/>
      <c r="D1246" s="2725" t="s">
        <v>920</v>
      </c>
      <c r="E1246" s="1354" t="s">
        <v>769</v>
      </c>
      <c r="F1246" s="668">
        <v>0</v>
      </c>
      <c r="G1246" s="668">
        <v>8</v>
      </c>
      <c r="H1246" s="668">
        <v>8</v>
      </c>
      <c r="I1246" s="681">
        <f t="shared" ref="I1246:I1247" si="258">(H1246/G1246)*100</f>
        <v>100</v>
      </c>
    </row>
    <row r="1247" spans="1:20" ht="14.25" x14ac:dyDescent="0.2">
      <c r="A1247" s="921"/>
      <c r="B1247" s="2427"/>
      <c r="C1247" s="2427"/>
      <c r="D1247" s="2725" t="s">
        <v>912</v>
      </c>
      <c r="E1247" s="1598" t="s">
        <v>817</v>
      </c>
      <c r="F1247" s="668">
        <v>0</v>
      </c>
      <c r="G1247" s="668">
        <v>314</v>
      </c>
      <c r="H1247" s="668">
        <v>314</v>
      </c>
      <c r="I1247" s="681">
        <f t="shared" si="258"/>
        <v>100</v>
      </c>
    </row>
    <row r="1248" spans="1:20" ht="14.25" x14ac:dyDescent="0.2">
      <c r="A1248" s="921"/>
      <c r="B1248" s="2427"/>
      <c r="C1248" s="2427"/>
      <c r="D1248" s="2725" t="s">
        <v>902</v>
      </c>
      <c r="E1248" s="1352" t="s">
        <v>855</v>
      </c>
      <c r="F1248" s="1600">
        <v>0</v>
      </c>
      <c r="G1248" s="1600">
        <v>386</v>
      </c>
      <c r="H1248" s="1600">
        <v>386</v>
      </c>
      <c r="I1248" s="367">
        <f t="shared" ref="I1248:I1249" si="259">(H1248/G1248)*100</f>
        <v>100</v>
      </c>
    </row>
    <row r="1249" spans="1:20" ht="14.25" x14ac:dyDescent="0.2">
      <c r="A1249" s="921"/>
      <c r="B1249" s="2427"/>
      <c r="C1249" s="2427"/>
      <c r="D1249" s="2725" t="s">
        <v>1896</v>
      </c>
      <c r="E1249" s="2215" t="s">
        <v>1951</v>
      </c>
      <c r="F1249" s="1643">
        <v>0</v>
      </c>
      <c r="G1249" s="1643">
        <v>167</v>
      </c>
      <c r="H1249" s="1643">
        <v>167</v>
      </c>
      <c r="I1249" s="982">
        <f t="shared" si="259"/>
        <v>100</v>
      </c>
    </row>
    <row r="1250" spans="1:20" ht="14.25" x14ac:dyDescent="0.2">
      <c r="A1250" s="921"/>
      <c r="B1250" s="2427"/>
      <c r="C1250" s="2719"/>
      <c r="D1250" s="2726" t="s">
        <v>901</v>
      </c>
      <c r="E1250" s="436" t="s">
        <v>1637</v>
      </c>
      <c r="F1250" s="660">
        <v>0</v>
      </c>
      <c r="G1250" s="660">
        <v>15097</v>
      </c>
      <c r="H1250" s="660">
        <v>15097</v>
      </c>
      <c r="I1250" s="656">
        <f t="shared" si="256"/>
        <v>100</v>
      </c>
    </row>
    <row r="1251" spans="1:20" ht="14.25" x14ac:dyDescent="0.2">
      <c r="A1251" s="921"/>
      <c r="B1251" s="2722"/>
      <c r="C1251" s="1350"/>
      <c r="D1251" s="2726" t="s">
        <v>1144</v>
      </c>
      <c r="E1251" s="938" t="s">
        <v>1515</v>
      </c>
      <c r="F1251" s="665">
        <v>0</v>
      </c>
      <c r="G1251" s="665">
        <v>70</v>
      </c>
      <c r="H1251" s="665">
        <v>70</v>
      </c>
      <c r="I1251" s="656">
        <f t="shared" si="256"/>
        <v>100</v>
      </c>
    </row>
    <row r="1252" spans="1:20" ht="14.25" x14ac:dyDescent="0.2">
      <c r="A1252" s="921"/>
      <c r="B1252" s="2722"/>
      <c r="C1252" s="1350"/>
      <c r="D1252" s="2726" t="s">
        <v>1145</v>
      </c>
      <c r="E1252" s="938" t="s">
        <v>1515</v>
      </c>
      <c r="F1252" s="665">
        <v>0</v>
      </c>
      <c r="G1252" s="665">
        <v>395</v>
      </c>
      <c r="H1252" s="665">
        <v>395</v>
      </c>
      <c r="I1252" s="656">
        <f t="shared" si="256"/>
        <v>100</v>
      </c>
    </row>
    <row r="1253" spans="1:20" ht="15" hidden="1" x14ac:dyDescent="0.25">
      <c r="A1253" s="921">
        <v>1138</v>
      </c>
      <c r="B1253" s="2722">
        <v>3122</v>
      </c>
      <c r="C1253" s="1350">
        <v>5331</v>
      </c>
      <c r="D1253" s="2726"/>
      <c r="E1253" s="602" t="s">
        <v>481</v>
      </c>
      <c r="F1253" s="665"/>
      <c r="G1253" s="675">
        <f>G1254</f>
        <v>0</v>
      </c>
      <c r="H1253" s="675">
        <f>H1254</f>
        <v>0</v>
      </c>
      <c r="I1253" s="680" t="e">
        <f t="shared" si="256"/>
        <v>#DIV/0!</v>
      </c>
    </row>
    <row r="1254" spans="1:20" ht="14.25" hidden="1" x14ac:dyDescent="0.2">
      <c r="A1254" s="921"/>
      <c r="B1254" s="2722"/>
      <c r="C1254" s="1350"/>
      <c r="D1254" s="2726" t="s">
        <v>917</v>
      </c>
      <c r="E1254" s="949" t="s">
        <v>1534</v>
      </c>
      <c r="F1254" s="665"/>
      <c r="G1254" s="665"/>
      <c r="H1254" s="665"/>
      <c r="I1254" s="656" t="e">
        <f t="shared" si="256"/>
        <v>#DIV/0!</v>
      </c>
    </row>
    <row r="1255" spans="1:20" ht="13.5" customHeight="1" x14ac:dyDescent="0.25">
      <c r="A1255" s="921">
        <v>1138</v>
      </c>
      <c r="B1255" s="2722">
        <v>3141</v>
      </c>
      <c r="C1255" s="1350">
        <v>5336</v>
      </c>
      <c r="D1255" s="2724"/>
      <c r="E1255" s="602" t="s">
        <v>856</v>
      </c>
      <c r="F1255" s="675">
        <f>F1256</f>
        <v>0</v>
      </c>
      <c r="G1255" s="675">
        <f>G1256</f>
        <v>1418</v>
      </c>
      <c r="H1255" s="675">
        <f>H1256</f>
        <v>1418</v>
      </c>
      <c r="I1255" s="680">
        <f t="shared" si="256"/>
        <v>100</v>
      </c>
    </row>
    <row r="1256" spans="1:20" ht="13.5" customHeight="1" x14ac:dyDescent="0.2">
      <c r="A1256" s="921"/>
      <c r="B1256" s="2722"/>
      <c r="C1256" s="1350"/>
      <c r="D1256" s="2726" t="s">
        <v>901</v>
      </c>
      <c r="E1256" s="436" t="s">
        <v>1637</v>
      </c>
      <c r="F1256" s="665">
        <v>0</v>
      </c>
      <c r="G1256" s="665">
        <v>1418</v>
      </c>
      <c r="H1256" s="665">
        <v>1418</v>
      </c>
      <c r="I1256" s="656">
        <f t="shared" si="256"/>
        <v>100</v>
      </c>
    </row>
    <row r="1257" spans="1:20" ht="15" x14ac:dyDescent="0.25">
      <c r="A1257" s="921">
        <v>1138</v>
      </c>
      <c r="B1257" s="2427">
        <v>3147</v>
      </c>
      <c r="C1257" s="2427">
        <v>5336</v>
      </c>
      <c r="D1257" s="2726"/>
      <c r="E1257" s="602" t="s">
        <v>856</v>
      </c>
      <c r="F1257" s="678">
        <f>F1258</f>
        <v>0</v>
      </c>
      <c r="G1257" s="678">
        <f>G1258</f>
        <v>2489</v>
      </c>
      <c r="H1257" s="678">
        <f>H1258</f>
        <v>2489</v>
      </c>
      <c r="I1257" s="680">
        <f t="shared" si="256"/>
        <v>100</v>
      </c>
    </row>
    <row r="1258" spans="1:20" ht="14.25" x14ac:dyDescent="0.2">
      <c r="A1258" s="921"/>
      <c r="B1258" s="2427"/>
      <c r="C1258" s="2719"/>
      <c r="D1258" s="2726" t="s">
        <v>901</v>
      </c>
      <c r="E1258" s="436" t="s">
        <v>1637</v>
      </c>
      <c r="F1258" s="660">
        <v>0</v>
      </c>
      <c r="G1258" s="660">
        <v>2489</v>
      </c>
      <c r="H1258" s="660">
        <v>2489</v>
      </c>
      <c r="I1258" s="656">
        <f t="shared" si="256"/>
        <v>100</v>
      </c>
    </row>
    <row r="1259" spans="1:20" ht="15" x14ac:dyDescent="0.25">
      <c r="A1259" s="921">
        <v>1138</v>
      </c>
      <c r="B1259" s="2427">
        <v>3792</v>
      </c>
      <c r="C1259" s="2719">
        <v>5331</v>
      </c>
      <c r="D1259" s="2726"/>
      <c r="E1259" s="644" t="s">
        <v>481</v>
      </c>
      <c r="F1259" s="678">
        <f>F1260</f>
        <v>0</v>
      </c>
      <c r="G1259" s="678">
        <f>G1260</f>
        <v>10</v>
      </c>
      <c r="H1259" s="678">
        <f>H1260</f>
        <v>10</v>
      </c>
      <c r="I1259" s="680">
        <f t="shared" si="256"/>
        <v>100</v>
      </c>
    </row>
    <row r="1260" spans="1:20" ht="15" thickBot="1" x14ac:dyDescent="0.25">
      <c r="A1260" s="921"/>
      <c r="B1260" s="2427"/>
      <c r="C1260" s="2719"/>
      <c r="D1260" s="2752" t="s">
        <v>1892</v>
      </c>
      <c r="E1260" s="852" t="s">
        <v>1901</v>
      </c>
      <c r="F1260" s="660">
        <v>0</v>
      </c>
      <c r="G1260" s="660">
        <v>10</v>
      </c>
      <c r="H1260" s="660">
        <v>10</v>
      </c>
      <c r="I1260" s="656">
        <f t="shared" si="256"/>
        <v>100</v>
      </c>
    </row>
    <row r="1261" spans="1:20" ht="16.5" thickTop="1" thickBot="1" x14ac:dyDescent="0.3">
      <c r="A1261" s="3233" t="s">
        <v>522</v>
      </c>
      <c r="B1261" s="3234"/>
      <c r="C1261" s="3234"/>
      <c r="D1261" s="3234"/>
      <c r="E1261" s="3234"/>
      <c r="F1261" s="657">
        <f>F1243</f>
        <v>0</v>
      </c>
      <c r="G1261" s="657">
        <f>G1259+G1257+G1255+G1245+G1243+G1253</f>
        <v>20359</v>
      </c>
      <c r="H1261" s="657">
        <f>H1259+H1257+H1255+H1245+H1243+H1253</f>
        <v>20359</v>
      </c>
      <c r="I1261" s="658">
        <f>(H1261/G1261)*100</f>
        <v>100</v>
      </c>
      <c r="R1261" s="373">
        <f>F1261</f>
        <v>0</v>
      </c>
      <c r="S1261" s="373">
        <f>G1261</f>
        <v>20359</v>
      </c>
      <c r="T1261" s="373">
        <f>H1261</f>
        <v>20359</v>
      </c>
    </row>
    <row r="1262" spans="1:20" ht="13.5" customHeight="1" thickTop="1" x14ac:dyDescent="0.2"/>
    <row r="1263" spans="1:20" ht="13.5" customHeight="1" x14ac:dyDescent="0.2"/>
    <row r="1264" spans="1:20" ht="18" customHeight="1" thickBot="1" x14ac:dyDescent="0.25">
      <c r="A1264" s="419" t="s">
        <v>1983</v>
      </c>
      <c r="I1264" s="915" t="s">
        <v>92</v>
      </c>
    </row>
    <row r="1265" spans="1:16" s="106" customFormat="1" ht="18" customHeight="1" thickTop="1" thickBot="1" x14ac:dyDescent="0.25">
      <c r="A1265" s="572" t="s">
        <v>324</v>
      </c>
      <c r="B1265" s="639" t="s">
        <v>93</v>
      </c>
      <c r="C1265" s="573" t="s">
        <v>94</v>
      </c>
      <c r="D1265" s="575" t="s">
        <v>364</v>
      </c>
      <c r="E1265" s="575" t="s">
        <v>95</v>
      </c>
      <c r="F1265" s="575" t="s">
        <v>328</v>
      </c>
      <c r="G1265" s="575" t="s">
        <v>329</v>
      </c>
      <c r="H1265" s="575" t="s">
        <v>448</v>
      </c>
      <c r="I1265" s="651" t="s">
        <v>449</v>
      </c>
    </row>
    <row r="1266" spans="1:16" s="374" customFormat="1" ht="13.5" thickTop="1" thickBot="1" x14ac:dyDescent="0.25">
      <c r="A1266" s="511">
        <v>1</v>
      </c>
      <c r="B1266" s="512">
        <v>2</v>
      </c>
      <c r="C1266" s="512">
        <v>3</v>
      </c>
      <c r="D1266" s="512">
        <v>4</v>
      </c>
      <c r="E1266" s="512">
        <v>5</v>
      </c>
      <c r="F1266" s="499">
        <v>6</v>
      </c>
      <c r="G1266" s="499">
        <v>7</v>
      </c>
      <c r="H1266" s="500">
        <v>8</v>
      </c>
      <c r="I1266" s="577" t="s">
        <v>393</v>
      </c>
    </row>
    <row r="1267" spans="1:16" s="374" customFormat="1" ht="15.75" hidden="1" thickTop="1" x14ac:dyDescent="0.25">
      <c r="A1267" s="418">
        <v>1140</v>
      </c>
      <c r="B1267" s="603">
        <v>3122</v>
      </c>
      <c r="C1267" s="603">
        <v>5331</v>
      </c>
      <c r="D1267" s="857"/>
      <c r="E1267" s="602" t="s">
        <v>481</v>
      </c>
      <c r="F1267" s="858"/>
      <c r="G1267" s="653">
        <f>G1268</f>
        <v>0</v>
      </c>
      <c r="H1267" s="653">
        <f>H1268</f>
        <v>0</v>
      </c>
      <c r="I1267" s="654" t="e">
        <f t="shared" ref="I1267:I1286" si="260">(H1267/G1267)*100</f>
        <v>#DIV/0!</v>
      </c>
    </row>
    <row r="1268" spans="1:16" s="374" customFormat="1" ht="15" hidden="1" thickTop="1" x14ac:dyDescent="0.2">
      <c r="A1268" s="690"/>
      <c r="B1268" s="879"/>
      <c r="C1268" s="879"/>
      <c r="D1268" s="505" t="s">
        <v>930</v>
      </c>
      <c r="E1268" s="692" t="s">
        <v>837</v>
      </c>
      <c r="F1268" s="1641"/>
      <c r="G1268" s="311"/>
      <c r="H1268" s="311"/>
      <c r="I1268" s="816" t="e">
        <f t="shared" si="260"/>
        <v>#DIV/0!</v>
      </c>
    </row>
    <row r="1269" spans="1:16" ht="17.25" customHeight="1" thickTop="1" x14ac:dyDescent="0.25">
      <c r="A1269" s="921">
        <v>1140</v>
      </c>
      <c r="B1269" s="2427">
        <v>3122</v>
      </c>
      <c r="C1269" s="2427">
        <v>5336</v>
      </c>
      <c r="D1269" s="2743"/>
      <c r="E1269" s="602" t="s">
        <v>856</v>
      </c>
      <c r="F1269" s="653">
        <f>F1270</f>
        <v>0</v>
      </c>
      <c r="G1269" s="653">
        <f>G1270</f>
        <v>7750</v>
      </c>
      <c r="H1269" s="653">
        <f>H1270</f>
        <v>7750</v>
      </c>
      <c r="I1269" s="654">
        <f t="shared" si="260"/>
        <v>100</v>
      </c>
    </row>
    <row r="1270" spans="1:16" ht="15" customHeight="1" x14ac:dyDescent="0.2">
      <c r="A1270" s="921"/>
      <c r="B1270" s="2427"/>
      <c r="C1270" s="2719"/>
      <c r="D1270" s="2726" t="s">
        <v>901</v>
      </c>
      <c r="E1270" s="436" t="s">
        <v>1637</v>
      </c>
      <c r="F1270" s="660">
        <v>0</v>
      </c>
      <c r="G1270" s="660">
        <v>7750</v>
      </c>
      <c r="H1270" s="660">
        <v>7750</v>
      </c>
      <c r="I1270" s="656">
        <f t="shared" si="260"/>
        <v>100</v>
      </c>
    </row>
    <row r="1271" spans="1:16" ht="15" x14ac:dyDescent="0.25">
      <c r="A1271" s="921">
        <v>1140</v>
      </c>
      <c r="B1271" s="2722">
        <v>3123</v>
      </c>
      <c r="C1271" s="2722">
        <v>5336</v>
      </c>
      <c r="D1271" s="2725"/>
      <c r="E1271" s="602" t="s">
        <v>856</v>
      </c>
      <c r="F1271" s="666">
        <f>F1272</f>
        <v>0</v>
      </c>
      <c r="G1271" s="666">
        <f>G1272</f>
        <v>35465</v>
      </c>
      <c r="H1271" s="666">
        <f>H1272</f>
        <v>35465</v>
      </c>
      <c r="I1271" s="667">
        <f t="shared" si="260"/>
        <v>100</v>
      </c>
      <c r="J1271" s="419"/>
      <c r="K1271" s="419"/>
      <c r="L1271" s="419"/>
      <c r="M1271" s="419"/>
      <c r="N1271" s="419"/>
      <c r="O1271" s="419"/>
      <c r="P1271" s="419"/>
    </row>
    <row r="1272" spans="1:16" ht="14.25" x14ac:dyDescent="0.2">
      <c r="A1272" s="921"/>
      <c r="B1272" s="2722"/>
      <c r="C1272" s="1350"/>
      <c r="D1272" s="2726" t="s">
        <v>901</v>
      </c>
      <c r="E1272" s="436" t="s">
        <v>1637</v>
      </c>
      <c r="F1272" s="665">
        <v>0</v>
      </c>
      <c r="G1272" s="665">
        <v>35465</v>
      </c>
      <c r="H1272" s="665">
        <v>35465</v>
      </c>
      <c r="I1272" s="661">
        <f t="shared" si="260"/>
        <v>100</v>
      </c>
    </row>
    <row r="1273" spans="1:16" ht="15" x14ac:dyDescent="0.25">
      <c r="A1273" s="921">
        <v>1140</v>
      </c>
      <c r="B1273" s="2722">
        <v>3127</v>
      </c>
      <c r="C1273" s="2427">
        <v>5331</v>
      </c>
      <c r="D1273" s="879"/>
      <c r="E1273" s="602" t="s">
        <v>481</v>
      </c>
      <c r="F1273" s="666">
        <f>F1274+F1275</f>
        <v>0</v>
      </c>
      <c r="G1273" s="666">
        <f t="shared" ref="G1273:H1273" si="261">G1274+G1275</f>
        <v>532</v>
      </c>
      <c r="H1273" s="666">
        <f t="shared" si="261"/>
        <v>531</v>
      </c>
      <c r="I1273" s="667">
        <f t="shared" si="260"/>
        <v>99.812030075187977</v>
      </c>
    </row>
    <row r="1274" spans="1:16" ht="14.25" x14ac:dyDescent="0.2">
      <c r="A1274" s="921"/>
      <c r="B1274" s="2722"/>
      <c r="C1274" s="1350"/>
      <c r="D1274" s="2742" t="s">
        <v>917</v>
      </c>
      <c r="E1274" s="938" t="s">
        <v>1956</v>
      </c>
      <c r="F1274" s="665">
        <v>0</v>
      </c>
      <c r="G1274" s="665">
        <v>20</v>
      </c>
      <c r="H1274" s="665">
        <v>19</v>
      </c>
      <c r="I1274" s="661">
        <f t="shared" si="260"/>
        <v>95</v>
      </c>
    </row>
    <row r="1275" spans="1:16" ht="14.25" x14ac:dyDescent="0.2">
      <c r="A1275" s="921"/>
      <c r="B1275" s="2722"/>
      <c r="C1275" s="1350"/>
      <c r="D1275" s="2726" t="s">
        <v>1891</v>
      </c>
      <c r="E1275" s="436" t="s">
        <v>1952</v>
      </c>
      <c r="F1275" s="665">
        <v>0</v>
      </c>
      <c r="G1275" s="665">
        <v>512</v>
      </c>
      <c r="H1275" s="665">
        <v>512</v>
      </c>
      <c r="I1275" s="661">
        <f t="shared" si="260"/>
        <v>100</v>
      </c>
    </row>
    <row r="1276" spans="1:16" ht="15" x14ac:dyDescent="0.25">
      <c r="A1276" s="921">
        <v>1140</v>
      </c>
      <c r="B1276" s="2722">
        <v>3127</v>
      </c>
      <c r="C1276" s="1350">
        <v>5336</v>
      </c>
      <c r="D1276" s="2724"/>
      <c r="E1276" s="602" t="s">
        <v>856</v>
      </c>
      <c r="F1276" s="666">
        <f>F1277+F1278+F1279+F1280+F1281</f>
        <v>0</v>
      </c>
      <c r="G1276" s="666">
        <f t="shared" ref="G1276:H1276" si="262">G1277+G1278+G1279+G1280+G1281</f>
        <v>3129</v>
      </c>
      <c r="H1276" s="666">
        <f t="shared" si="262"/>
        <v>3129</v>
      </c>
      <c r="I1276" s="667">
        <f t="shared" si="260"/>
        <v>100</v>
      </c>
    </row>
    <row r="1277" spans="1:16" ht="14.25" x14ac:dyDescent="0.2">
      <c r="A1277" s="921"/>
      <c r="B1277" s="2722"/>
      <c r="C1277" s="1350"/>
      <c r="D1277" s="2725" t="s">
        <v>912</v>
      </c>
      <c r="E1277" s="1598" t="s">
        <v>817</v>
      </c>
      <c r="F1277" s="665">
        <v>0</v>
      </c>
      <c r="G1277" s="665">
        <v>943</v>
      </c>
      <c r="H1277" s="665">
        <v>943</v>
      </c>
      <c r="I1277" s="661">
        <f t="shared" si="260"/>
        <v>100</v>
      </c>
    </row>
    <row r="1278" spans="1:16" ht="14.25" x14ac:dyDescent="0.2">
      <c r="A1278" s="921"/>
      <c r="B1278" s="2722"/>
      <c r="C1278" s="1350"/>
      <c r="D1278" s="2725" t="s">
        <v>902</v>
      </c>
      <c r="E1278" s="1352" t="s">
        <v>855</v>
      </c>
      <c r="F1278" s="665">
        <v>0</v>
      </c>
      <c r="G1278" s="665">
        <v>959</v>
      </c>
      <c r="H1278" s="665">
        <v>959</v>
      </c>
      <c r="I1278" s="661">
        <f t="shared" si="260"/>
        <v>100</v>
      </c>
    </row>
    <row r="1279" spans="1:16" ht="14.25" x14ac:dyDescent="0.2">
      <c r="A1279" s="921"/>
      <c r="B1279" s="2722"/>
      <c r="C1279" s="1350"/>
      <c r="D1279" s="2725" t="s">
        <v>1896</v>
      </c>
      <c r="E1279" s="2215" t="s">
        <v>1951</v>
      </c>
      <c r="F1279" s="665">
        <v>0</v>
      </c>
      <c r="G1279" s="870">
        <v>285</v>
      </c>
      <c r="H1279" s="870">
        <v>285</v>
      </c>
      <c r="I1279" s="874">
        <f t="shared" si="260"/>
        <v>100</v>
      </c>
    </row>
    <row r="1280" spans="1:16" ht="14.25" x14ac:dyDescent="0.2">
      <c r="A1280" s="921"/>
      <c r="B1280" s="2722"/>
      <c r="C1280" s="1350"/>
      <c r="D1280" s="2726" t="s">
        <v>1144</v>
      </c>
      <c r="E1280" s="938" t="s">
        <v>1515</v>
      </c>
      <c r="F1280" s="665">
        <v>0</v>
      </c>
      <c r="G1280" s="870">
        <v>141</v>
      </c>
      <c r="H1280" s="870">
        <v>141</v>
      </c>
      <c r="I1280" s="874">
        <f t="shared" si="260"/>
        <v>100</v>
      </c>
    </row>
    <row r="1281" spans="1:20" ht="14.25" x14ac:dyDescent="0.2">
      <c r="A1281" s="921"/>
      <c r="B1281" s="2722"/>
      <c r="C1281" s="1350"/>
      <c r="D1281" s="2726" t="s">
        <v>1145</v>
      </c>
      <c r="E1281" s="938" t="s">
        <v>1515</v>
      </c>
      <c r="F1281" s="665">
        <v>0</v>
      </c>
      <c r="G1281" s="870">
        <v>801</v>
      </c>
      <c r="H1281" s="870">
        <v>801</v>
      </c>
      <c r="I1281" s="874">
        <f t="shared" si="260"/>
        <v>100</v>
      </c>
    </row>
    <row r="1282" spans="1:20" ht="15" hidden="1" x14ac:dyDescent="0.25">
      <c r="A1282" s="2754">
        <v>1140</v>
      </c>
      <c r="B1282" s="2755">
        <v>3127</v>
      </c>
      <c r="C1282" s="2755">
        <v>5331</v>
      </c>
      <c r="D1282" s="2756"/>
      <c r="E1282" s="845" t="s">
        <v>481</v>
      </c>
      <c r="F1282" s="665"/>
      <c r="G1282" s="675">
        <f>G1283+G1284</f>
        <v>0</v>
      </c>
      <c r="H1282" s="675">
        <f>H1283+H1284</f>
        <v>0</v>
      </c>
      <c r="I1282" s="669" t="e">
        <f t="shared" si="260"/>
        <v>#DIV/0!</v>
      </c>
    </row>
    <row r="1283" spans="1:20" ht="28.5" hidden="1" x14ac:dyDescent="0.2">
      <c r="A1283" s="2754"/>
      <c r="B1283" s="2755"/>
      <c r="C1283" s="2761"/>
      <c r="D1283" s="2768" t="s">
        <v>1134</v>
      </c>
      <c r="E1283" s="2623" t="s">
        <v>1527</v>
      </c>
      <c r="F1283" s="665"/>
      <c r="G1283" s="870"/>
      <c r="H1283" s="870"/>
      <c r="I1283" s="874" t="e">
        <f t="shared" si="260"/>
        <v>#DIV/0!</v>
      </c>
    </row>
    <row r="1284" spans="1:20" ht="14.25" hidden="1" x14ac:dyDescent="0.2">
      <c r="A1284" s="2754"/>
      <c r="B1284" s="2755"/>
      <c r="C1284" s="2761"/>
      <c r="D1284" s="2768" t="s">
        <v>1137</v>
      </c>
      <c r="E1284" s="2629" t="s">
        <v>1639</v>
      </c>
      <c r="F1284" s="665"/>
      <c r="G1284" s="870"/>
      <c r="H1284" s="870"/>
      <c r="I1284" s="874" t="e">
        <f t="shared" si="260"/>
        <v>#DIV/0!</v>
      </c>
    </row>
    <row r="1285" spans="1:20" ht="15" x14ac:dyDescent="0.25">
      <c r="A1285" s="921">
        <v>1140</v>
      </c>
      <c r="B1285" s="2722">
        <v>3293</v>
      </c>
      <c r="C1285" s="2722">
        <v>5336</v>
      </c>
      <c r="D1285" s="2732"/>
      <c r="E1285" s="602" t="s">
        <v>856</v>
      </c>
      <c r="F1285" s="666">
        <f>F1286</f>
        <v>0</v>
      </c>
      <c r="G1285" s="666">
        <f>G1286</f>
        <v>30</v>
      </c>
      <c r="H1285" s="666">
        <f>H1286</f>
        <v>30</v>
      </c>
      <c r="I1285" s="667">
        <f t="shared" si="260"/>
        <v>100</v>
      </c>
    </row>
    <row r="1286" spans="1:20" ht="14.25" x14ac:dyDescent="0.2">
      <c r="A1286" s="921"/>
      <c r="B1286" s="2722"/>
      <c r="C1286" s="2722"/>
      <c r="D1286" s="2741" t="s">
        <v>913</v>
      </c>
      <c r="E1286" s="868" t="s">
        <v>768</v>
      </c>
      <c r="F1286" s="665">
        <v>0</v>
      </c>
      <c r="G1286" s="870">
        <v>30</v>
      </c>
      <c r="H1286" s="870">
        <v>30</v>
      </c>
      <c r="I1286" s="874">
        <f t="shared" si="260"/>
        <v>100</v>
      </c>
    </row>
    <row r="1287" spans="1:20" ht="15" x14ac:dyDescent="0.25">
      <c r="A1287" s="921">
        <v>1140</v>
      </c>
      <c r="B1287" s="2722">
        <v>3299</v>
      </c>
      <c r="C1287" s="2427">
        <v>5331</v>
      </c>
      <c r="D1287" s="879"/>
      <c r="E1287" s="602" t="s">
        <v>481</v>
      </c>
      <c r="F1287" s="666">
        <f>F1288</f>
        <v>0</v>
      </c>
      <c r="G1287" s="666">
        <f t="shared" ref="G1287:H1287" si="263">G1288</f>
        <v>313</v>
      </c>
      <c r="H1287" s="666">
        <f t="shared" si="263"/>
        <v>313</v>
      </c>
      <c r="I1287" s="667">
        <f t="shared" ref="I1287:I1288" si="264">(H1287/G1287)*100</f>
        <v>100</v>
      </c>
    </row>
    <row r="1288" spans="1:20" ht="15" thickBot="1" x14ac:dyDescent="0.25">
      <c r="A1288" s="921"/>
      <c r="B1288" s="2722"/>
      <c r="C1288" s="1350"/>
      <c r="D1288" s="2742" t="s">
        <v>1891</v>
      </c>
      <c r="E1288" s="938" t="s">
        <v>1952</v>
      </c>
      <c r="F1288" s="665">
        <v>0</v>
      </c>
      <c r="G1288" s="665">
        <v>313</v>
      </c>
      <c r="H1288" s="665">
        <v>313</v>
      </c>
      <c r="I1288" s="661">
        <f t="shared" si="264"/>
        <v>100</v>
      </c>
    </row>
    <row r="1289" spans="1:20" ht="18" customHeight="1" thickTop="1" thickBot="1" x14ac:dyDescent="0.3">
      <c r="A1289" s="3233" t="s">
        <v>522</v>
      </c>
      <c r="B1289" s="3234"/>
      <c r="C1289" s="3234"/>
      <c r="D1289" s="3234"/>
      <c r="E1289" s="3234"/>
      <c r="F1289" s="657">
        <f>F1273</f>
        <v>0</v>
      </c>
      <c r="G1289" s="657">
        <f>G1285+G1276+G1273+G1271+G1269+G1267+G1282+G1287</f>
        <v>47219</v>
      </c>
      <c r="H1289" s="657">
        <f>H1285+H1276+H1273+H1271+H1269+H1267+H1282+H1287</f>
        <v>47218</v>
      </c>
      <c r="I1289" s="658">
        <f>(H1289/G1289)*100</f>
        <v>99.99788220843304</v>
      </c>
      <c r="R1289" s="373">
        <f>F1289</f>
        <v>0</v>
      </c>
      <c r="S1289" s="373">
        <f>G1289</f>
        <v>47219</v>
      </c>
      <c r="T1289" s="373">
        <f>H1289</f>
        <v>47218</v>
      </c>
    </row>
    <row r="1290" spans="1:20" ht="12.75" customHeight="1" thickTop="1" x14ac:dyDescent="0.25">
      <c r="A1290" s="360"/>
      <c r="B1290" s="360"/>
      <c r="C1290" s="360"/>
      <c r="D1290" s="360"/>
      <c r="E1290" s="360"/>
      <c r="F1290" s="177"/>
      <c r="G1290" s="177"/>
      <c r="H1290" s="177"/>
      <c r="I1290" s="206"/>
    </row>
    <row r="1291" spans="1:20" ht="12.75" customHeight="1" x14ac:dyDescent="0.25">
      <c r="A1291" s="360"/>
      <c r="B1291" s="360"/>
      <c r="C1291" s="360"/>
      <c r="D1291" s="360"/>
      <c r="E1291" s="360"/>
      <c r="F1291" s="177"/>
      <c r="G1291" s="177"/>
      <c r="H1291" s="177"/>
      <c r="I1291" s="206"/>
    </row>
    <row r="1292" spans="1:20" ht="17.25" customHeight="1" thickBot="1" x14ac:dyDescent="0.25">
      <c r="A1292" s="419" t="s">
        <v>24</v>
      </c>
      <c r="I1292" s="915" t="s">
        <v>92</v>
      </c>
    </row>
    <row r="1293" spans="1:20" s="106" customFormat="1" thickTop="1" thickBot="1" x14ac:dyDescent="0.25">
      <c r="A1293" s="572" t="s">
        <v>324</v>
      </c>
      <c r="B1293" s="639" t="s">
        <v>93</v>
      </c>
      <c r="C1293" s="573" t="s">
        <v>94</v>
      </c>
      <c r="D1293" s="575" t="s">
        <v>364</v>
      </c>
      <c r="E1293" s="575" t="s">
        <v>95</v>
      </c>
      <c r="F1293" s="575" t="s">
        <v>328</v>
      </c>
      <c r="G1293" s="575" t="s">
        <v>329</v>
      </c>
      <c r="H1293" s="575" t="s">
        <v>448</v>
      </c>
      <c r="I1293" s="651" t="s">
        <v>449</v>
      </c>
    </row>
    <row r="1294" spans="1:20" s="374" customFormat="1" ht="13.5" thickTop="1" thickBot="1" x14ac:dyDescent="0.25">
      <c r="A1294" s="511">
        <v>1</v>
      </c>
      <c r="B1294" s="512">
        <v>2</v>
      </c>
      <c r="C1294" s="512">
        <v>3</v>
      </c>
      <c r="D1294" s="512">
        <v>4</v>
      </c>
      <c r="E1294" s="512">
        <v>5</v>
      </c>
      <c r="F1294" s="499">
        <v>6</v>
      </c>
      <c r="G1294" s="499">
        <v>7</v>
      </c>
      <c r="H1294" s="500">
        <v>8</v>
      </c>
      <c r="I1294" s="577" t="s">
        <v>393</v>
      </c>
    </row>
    <row r="1295" spans="1:20" ht="15.75" thickTop="1" x14ac:dyDescent="0.25">
      <c r="A1295" s="924">
        <v>1142</v>
      </c>
      <c r="B1295" s="676">
        <v>3121</v>
      </c>
      <c r="C1295" s="2427">
        <v>5336</v>
      </c>
      <c r="D1295" s="2725"/>
      <c r="E1295" s="602" t="s">
        <v>856</v>
      </c>
      <c r="F1295" s="674">
        <f>F1296</f>
        <v>0</v>
      </c>
      <c r="G1295" s="674">
        <f>G1296</f>
        <v>156</v>
      </c>
      <c r="H1295" s="674">
        <f>H1296</f>
        <v>156</v>
      </c>
      <c r="I1295" s="677">
        <f t="shared" ref="I1295:I1316" si="265">(H1295/G1295)*100</f>
        <v>100</v>
      </c>
    </row>
    <row r="1296" spans="1:20" ht="14.25" x14ac:dyDescent="0.2">
      <c r="A1296" s="418"/>
      <c r="B1296" s="603"/>
      <c r="C1296" s="603"/>
      <c r="D1296" s="2726" t="s">
        <v>1896</v>
      </c>
      <c r="E1296" s="436" t="s">
        <v>1951</v>
      </c>
      <c r="F1296" s="351">
        <v>0</v>
      </c>
      <c r="G1296" s="660">
        <v>156</v>
      </c>
      <c r="H1296" s="660">
        <v>156</v>
      </c>
      <c r="I1296" s="656">
        <f t="shared" si="265"/>
        <v>100</v>
      </c>
    </row>
    <row r="1297" spans="1:9" ht="15" x14ac:dyDescent="0.25">
      <c r="A1297" s="921">
        <v>1142</v>
      </c>
      <c r="B1297" s="2427">
        <v>3122</v>
      </c>
      <c r="C1297" s="2427">
        <v>5336</v>
      </c>
      <c r="D1297" s="2725"/>
      <c r="E1297" s="602" t="s">
        <v>856</v>
      </c>
      <c r="F1297" s="678">
        <f>F1298</f>
        <v>0</v>
      </c>
      <c r="G1297" s="678">
        <f>G1298</f>
        <v>6365</v>
      </c>
      <c r="H1297" s="678">
        <f>H1298</f>
        <v>6365</v>
      </c>
      <c r="I1297" s="680">
        <f t="shared" si="265"/>
        <v>100</v>
      </c>
    </row>
    <row r="1298" spans="1:9" ht="14.25" x14ac:dyDescent="0.2">
      <c r="A1298" s="921"/>
      <c r="B1298" s="2427"/>
      <c r="C1298" s="2427"/>
      <c r="D1298" s="2726" t="s">
        <v>901</v>
      </c>
      <c r="E1298" s="436" t="s">
        <v>1637</v>
      </c>
      <c r="F1298" s="660">
        <v>0</v>
      </c>
      <c r="G1298" s="660">
        <v>6365</v>
      </c>
      <c r="H1298" s="660">
        <v>6365</v>
      </c>
      <c r="I1298" s="656">
        <f t="shared" si="265"/>
        <v>100</v>
      </c>
    </row>
    <row r="1299" spans="1:9" ht="15" x14ac:dyDescent="0.25">
      <c r="A1299" s="921">
        <v>1142</v>
      </c>
      <c r="B1299" s="2427">
        <v>3123</v>
      </c>
      <c r="C1299" s="2427">
        <v>5336</v>
      </c>
      <c r="D1299" s="2725"/>
      <c r="E1299" s="602" t="s">
        <v>856</v>
      </c>
      <c r="F1299" s="678">
        <f>F1300</f>
        <v>0</v>
      </c>
      <c r="G1299" s="678">
        <f>G1300</f>
        <v>7459</v>
      </c>
      <c r="H1299" s="678">
        <f>H1300</f>
        <v>7459</v>
      </c>
      <c r="I1299" s="680">
        <f t="shared" si="265"/>
        <v>100</v>
      </c>
    </row>
    <row r="1300" spans="1:9" ht="14.25" x14ac:dyDescent="0.2">
      <c r="A1300" s="921"/>
      <c r="B1300" s="2427"/>
      <c r="C1300" s="2719"/>
      <c r="D1300" s="2726" t="s">
        <v>901</v>
      </c>
      <c r="E1300" s="436" t="s">
        <v>1637</v>
      </c>
      <c r="F1300" s="660">
        <v>0</v>
      </c>
      <c r="G1300" s="660">
        <v>7459</v>
      </c>
      <c r="H1300" s="660">
        <v>7459</v>
      </c>
      <c r="I1300" s="656">
        <f t="shared" si="265"/>
        <v>100</v>
      </c>
    </row>
    <row r="1301" spans="1:9" ht="15" x14ac:dyDescent="0.25">
      <c r="A1301" s="921">
        <v>1142</v>
      </c>
      <c r="B1301" s="2427">
        <v>3127</v>
      </c>
      <c r="C1301" s="2427">
        <v>5331</v>
      </c>
      <c r="D1301" s="2726"/>
      <c r="E1301" s="644" t="s">
        <v>481</v>
      </c>
      <c r="F1301" s="678">
        <f>F1302</f>
        <v>0</v>
      </c>
      <c r="G1301" s="678">
        <f t="shared" ref="G1301:H1301" si="266">G1302</f>
        <v>220</v>
      </c>
      <c r="H1301" s="678">
        <f t="shared" si="266"/>
        <v>220</v>
      </c>
      <c r="I1301" s="680">
        <f t="shared" si="265"/>
        <v>100</v>
      </c>
    </row>
    <row r="1302" spans="1:9" ht="14.25" x14ac:dyDescent="0.2">
      <c r="A1302" s="921"/>
      <c r="B1302" s="2427"/>
      <c r="C1302" s="2427"/>
      <c r="D1302" s="2742" t="s">
        <v>1891</v>
      </c>
      <c r="E1302" s="938" t="s">
        <v>1952</v>
      </c>
      <c r="F1302" s="351">
        <v>0</v>
      </c>
      <c r="G1302" s="351">
        <v>220</v>
      </c>
      <c r="H1302" s="351">
        <v>220</v>
      </c>
      <c r="I1302" s="656">
        <f t="shared" si="265"/>
        <v>100</v>
      </c>
    </row>
    <row r="1303" spans="1:9" ht="14.25" customHeight="1" x14ac:dyDescent="0.25">
      <c r="A1303" s="921">
        <v>1142</v>
      </c>
      <c r="B1303" s="2427">
        <v>3127</v>
      </c>
      <c r="C1303" s="1350">
        <v>5336</v>
      </c>
      <c r="D1303" s="2726"/>
      <c r="E1303" s="602" t="s">
        <v>856</v>
      </c>
      <c r="F1303" s="653">
        <f>F1304+F1305+F1306+F1307+F1308</f>
        <v>0</v>
      </c>
      <c r="G1303" s="653">
        <f t="shared" ref="G1303:H1303" si="267">G1304+G1305+G1306+G1307+G1308</f>
        <v>1792</v>
      </c>
      <c r="H1303" s="653">
        <f t="shared" si="267"/>
        <v>1792</v>
      </c>
      <c r="I1303" s="654">
        <f t="shared" si="265"/>
        <v>100</v>
      </c>
    </row>
    <row r="1304" spans="1:9" ht="14.25" customHeight="1" x14ac:dyDescent="0.2">
      <c r="A1304" s="921"/>
      <c r="B1304" s="2427"/>
      <c r="C1304" s="1350"/>
      <c r="D1304" s="2725" t="s">
        <v>912</v>
      </c>
      <c r="E1304" s="1598" t="s">
        <v>817</v>
      </c>
      <c r="F1304" s="351">
        <v>0</v>
      </c>
      <c r="G1304" s="351">
        <v>939</v>
      </c>
      <c r="H1304" s="351">
        <v>939</v>
      </c>
      <c r="I1304" s="681">
        <f t="shared" si="265"/>
        <v>100</v>
      </c>
    </row>
    <row r="1305" spans="1:9" ht="14.25" customHeight="1" x14ac:dyDescent="0.2">
      <c r="A1305" s="921"/>
      <c r="B1305" s="2427"/>
      <c r="C1305" s="1350"/>
      <c r="D1305" s="2725" t="s">
        <v>902</v>
      </c>
      <c r="E1305" s="1352" t="s">
        <v>855</v>
      </c>
      <c r="F1305" s="351">
        <v>0</v>
      </c>
      <c r="G1305" s="351">
        <v>376</v>
      </c>
      <c r="H1305" s="351">
        <v>376</v>
      </c>
      <c r="I1305" s="681">
        <f t="shared" si="265"/>
        <v>100</v>
      </c>
    </row>
    <row r="1306" spans="1:9" ht="14.25" x14ac:dyDescent="0.2">
      <c r="A1306" s="921"/>
      <c r="B1306" s="2427"/>
      <c r="C1306" s="1350"/>
      <c r="D1306" s="2725" t="s">
        <v>1896</v>
      </c>
      <c r="E1306" s="2215" t="s">
        <v>1951</v>
      </c>
      <c r="F1306" s="351">
        <v>0</v>
      </c>
      <c r="G1306" s="351">
        <v>80</v>
      </c>
      <c r="H1306" s="351">
        <v>80</v>
      </c>
      <c r="I1306" s="681">
        <f t="shared" si="265"/>
        <v>100</v>
      </c>
    </row>
    <row r="1307" spans="1:9" ht="14.25" x14ac:dyDescent="0.2">
      <c r="A1307" s="921"/>
      <c r="B1307" s="2722"/>
      <c r="C1307" s="1350"/>
      <c r="D1307" s="2726" t="s">
        <v>1144</v>
      </c>
      <c r="E1307" s="938" t="s">
        <v>1515</v>
      </c>
      <c r="F1307" s="351">
        <v>0</v>
      </c>
      <c r="G1307" s="351">
        <v>60</v>
      </c>
      <c r="H1307" s="351">
        <v>60</v>
      </c>
      <c r="I1307" s="681">
        <f t="shared" si="265"/>
        <v>100</v>
      </c>
    </row>
    <row r="1308" spans="1:9" ht="14.25" x14ac:dyDescent="0.2">
      <c r="A1308" s="921"/>
      <c r="B1308" s="2722"/>
      <c r="C1308" s="1350"/>
      <c r="D1308" s="2726" t="s">
        <v>1145</v>
      </c>
      <c r="E1308" s="938" t="s">
        <v>1515</v>
      </c>
      <c r="F1308" s="351">
        <v>0</v>
      </c>
      <c r="G1308" s="351">
        <v>337</v>
      </c>
      <c r="H1308" s="351">
        <v>337</v>
      </c>
      <c r="I1308" s="681">
        <f t="shared" si="265"/>
        <v>100</v>
      </c>
    </row>
    <row r="1309" spans="1:9" ht="15" hidden="1" x14ac:dyDescent="0.25">
      <c r="A1309" s="2754">
        <v>1142</v>
      </c>
      <c r="B1309" s="2755">
        <v>3127</v>
      </c>
      <c r="C1309" s="2755">
        <v>5331</v>
      </c>
      <c r="D1309" s="2756"/>
      <c r="E1309" s="845" t="s">
        <v>481</v>
      </c>
      <c r="F1309" s="653"/>
      <c r="G1309" s="678">
        <f>G1310</f>
        <v>0</v>
      </c>
      <c r="H1309" s="678">
        <f>H1310</f>
        <v>0</v>
      </c>
      <c r="I1309" s="680" t="e">
        <f t="shared" si="265"/>
        <v>#DIV/0!</v>
      </c>
    </row>
    <row r="1310" spans="1:9" ht="29.25" hidden="1" x14ac:dyDescent="0.25">
      <c r="A1310" s="2754"/>
      <c r="B1310" s="2755"/>
      <c r="C1310" s="2761"/>
      <c r="D1310" s="2768" t="s">
        <v>1134</v>
      </c>
      <c r="E1310" s="2623" t="s">
        <v>1527</v>
      </c>
      <c r="F1310" s="653"/>
      <c r="G1310" s="909"/>
      <c r="H1310" s="909"/>
      <c r="I1310" s="979" t="e">
        <f t="shared" si="265"/>
        <v>#DIV/0!</v>
      </c>
    </row>
    <row r="1311" spans="1:9" ht="15" x14ac:dyDescent="0.25">
      <c r="A1311" s="921">
        <v>1142</v>
      </c>
      <c r="B1311" s="2722">
        <v>3141</v>
      </c>
      <c r="C1311" s="1350">
        <v>5336</v>
      </c>
      <c r="D1311" s="2726"/>
      <c r="E1311" s="602" t="s">
        <v>856</v>
      </c>
      <c r="F1311" s="675">
        <f>F1312</f>
        <v>0</v>
      </c>
      <c r="G1311" s="675">
        <f>G1312</f>
        <v>2864</v>
      </c>
      <c r="H1311" s="675">
        <f>H1312</f>
        <v>2864</v>
      </c>
      <c r="I1311" s="669">
        <f t="shared" si="265"/>
        <v>100</v>
      </c>
    </row>
    <row r="1312" spans="1:9" ht="14.25" x14ac:dyDescent="0.2">
      <c r="A1312" s="921"/>
      <c r="B1312" s="2722"/>
      <c r="C1312" s="1350"/>
      <c r="D1312" s="2726" t="s">
        <v>901</v>
      </c>
      <c r="E1312" s="436" t="s">
        <v>1637</v>
      </c>
      <c r="F1312" s="665">
        <v>0</v>
      </c>
      <c r="G1312" s="665">
        <v>2864</v>
      </c>
      <c r="H1312" s="665">
        <v>2864</v>
      </c>
      <c r="I1312" s="661">
        <f t="shared" si="265"/>
        <v>100</v>
      </c>
    </row>
    <row r="1313" spans="1:20" ht="15" x14ac:dyDescent="0.25">
      <c r="A1313" s="921">
        <v>1142</v>
      </c>
      <c r="B1313" s="2722">
        <v>3147</v>
      </c>
      <c r="C1313" s="2722">
        <v>5336</v>
      </c>
      <c r="D1313" s="2726"/>
      <c r="E1313" s="602" t="s">
        <v>856</v>
      </c>
      <c r="F1313" s="675">
        <f>F1314</f>
        <v>0</v>
      </c>
      <c r="G1313" s="675">
        <f>G1314</f>
        <v>2893</v>
      </c>
      <c r="H1313" s="675">
        <f>H1314</f>
        <v>2893</v>
      </c>
      <c r="I1313" s="669">
        <f t="shared" si="265"/>
        <v>100</v>
      </c>
    </row>
    <row r="1314" spans="1:20" ht="14.25" x14ac:dyDescent="0.2">
      <c r="A1314" s="921"/>
      <c r="B1314" s="2722"/>
      <c r="C1314" s="1350"/>
      <c r="D1314" s="2726" t="s">
        <v>901</v>
      </c>
      <c r="E1314" s="436" t="s">
        <v>1637</v>
      </c>
      <c r="F1314" s="665">
        <v>0</v>
      </c>
      <c r="G1314" s="665">
        <v>2893</v>
      </c>
      <c r="H1314" s="665">
        <v>2893</v>
      </c>
      <c r="I1314" s="661">
        <f t="shared" si="265"/>
        <v>100</v>
      </c>
    </row>
    <row r="1315" spans="1:20" ht="15" x14ac:dyDescent="0.25">
      <c r="A1315" s="418">
        <v>1142</v>
      </c>
      <c r="B1315" s="634">
        <v>3299</v>
      </c>
      <c r="C1315" s="2427">
        <v>5331</v>
      </c>
      <c r="D1315" s="2726"/>
      <c r="E1315" s="644" t="s">
        <v>481</v>
      </c>
      <c r="F1315" s="675">
        <f>F1316</f>
        <v>0</v>
      </c>
      <c r="G1315" s="675">
        <f>G1316</f>
        <v>116</v>
      </c>
      <c r="H1315" s="675">
        <f>H1316</f>
        <v>116</v>
      </c>
      <c r="I1315" s="669">
        <f t="shared" si="265"/>
        <v>100</v>
      </c>
    </row>
    <row r="1316" spans="1:20" ht="15" thickBot="1" x14ac:dyDescent="0.25">
      <c r="A1316" s="418"/>
      <c r="B1316" s="634"/>
      <c r="C1316" s="2427"/>
      <c r="D1316" s="2742" t="s">
        <v>1891</v>
      </c>
      <c r="E1316" s="938" t="s">
        <v>1952</v>
      </c>
      <c r="F1316" s="665">
        <v>0</v>
      </c>
      <c r="G1316" s="665">
        <v>116</v>
      </c>
      <c r="H1316" s="665">
        <v>116</v>
      </c>
      <c r="I1316" s="661">
        <f t="shared" si="265"/>
        <v>100</v>
      </c>
    </row>
    <row r="1317" spans="1:20" ht="16.5" thickTop="1" thickBot="1" x14ac:dyDescent="0.3">
      <c r="A1317" s="3233" t="s">
        <v>522</v>
      </c>
      <c r="B1317" s="3234"/>
      <c r="C1317" s="3234"/>
      <c r="D1317" s="3234"/>
      <c r="E1317" s="3234"/>
      <c r="F1317" s="657">
        <f>F1301</f>
        <v>0</v>
      </c>
      <c r="G1317" s="657">
        <f>G1315+G1313+G1311+G1303+G1301+G1299+G1297+G1295+G1309</f>
        <v>21865</v>
      </c>
      <c r="H1317" s="657">
        <f>H1315+H1313+H1311+H1303+H1301+H1299+H1297+H1295+H1309</f>
        <v>21865</v>
      </c>
      <c r="I1317" s="658">
        <f>(H1317/G1317)*100</f>
        <v>100</v>
      </c>
      <c r="R1317" s="373">
        <f>F1317</f>
        <v>0</v>
      </c>
      <c r="S1317" s="373">
        <f>G1317</f>
        <v>21865</v>
      </c>
      <c r="T1317" s="373">
        <f>H1317</f>
        <v>21865</v>
      </c>
    </row>
    <row r="1318" spans="1:20" ht="15.75" thickTop="1" x14ac:dyDescent="0.25">
      <c r="A1318" s="360"/>
      <c r="B1318" s="360"/>
      <c r="C1318" s="360"/>
      <c r="D1318" s="360"/>
      <c r="E1318" s="360"/>
      <c r="F1318" s="177"/>
      <c r="G1318" s="177"/>
      <c r="H1318" s="177"/>
      <c r="I1318" s="206"/>
      <c r="R1318" s="373"/>
      <c r="S1318" s="373"/>
      <c r="T1318" s="373"/>
    </row>
    <row r="1319" spans="1:20" ht="13.5" thickBot="1" x14ac:dyDescent="0.25">
      <c r="A1319" s="419" t="s">
        <v>26</v>
      </c>
      <c r="I1319" s="915" t="s">
        <v>92</v>
      </c>
    </row>
    <row r="1320" spans="1:20" s="106" customFormat="1" thickTop="1" thickBot="1" x14ac:dyDescent="0.25">
      <c r="A1320" s="572" t="s">
        <v>324</v>
      </c>
      <c r="B1320" s="639" t="s">
        <v>93</v>
      </c>
      <c r="C1320" s="573" t="s">
        <v>94</v>
      </c>
      <c r="D1320" s="575" t="s">
        <v>364</v>
      </c>
      <c r="E1320" s="575" t="s">
        <v>95</v>
      </c>
      <c r="F1320" s="575" t="s">
        <v>328</v>
      </c>
      <c r="G1320" s="575" t="s">
        <v>329</v>
      </c>
      <c r="H1320" s="575" t="s">
        <v>448</v>
      </c>
      <c r="I1320" s="651" t="s">
        <v>449</v>
      </c>
    </row>
    <row r="1321" spans="1:20" s="374" customFormat="1" ht="13.5" thickTop="1" thickBot="1" x14ac:dyDescent="0.25">
      <c r="A1321" s="511">
        <v>1</v>
      </c>
      <c r="B1321" s="512">
        <v>2</v>
      </c>
      <c r="C1321" s="512">
        <v>3</v>
      </c>
      <c r="D1321" s="512">
        <v>4</v>
      </c>
      <c r="E1321" s="512">
        <v>5</v>
      </c>
      <c r="F1321" s="499">
        <v>6</v>
      </c>
      <c r="G1321" s="499">
        <v>7</v>
      </c>
      <c r="H1321" s="500">
        <v>8</v>
      </c>
      <c r="I1321" s="577" t="s">
        <v>393</v>
      </c>
    </row>
    <row r="1322" spans="1:20" ht="15.75" thickTop="1" x14ac:dyDescent="0.25">
      <c r="A1322" s="924">
        <v>1150</v>
      </c>
      <c r="B1322" s="676">
        <v>3122</v>
      </c>
      <c r="C1322" s="2774">
        <v>5331</v>
      </c>
      <c r="D1322" s="679"/>
      <c r="E1322" s="703" t="s">
        <v>481</v>
      </c>
      <c r="F1322" s="674">
        <f>F1323</f>
        <v>0</v>
      </c>
      <c r="G1322" s="674">
        <f t="shared" ref="G1322:H1322" si="268">G1323</f>
        <v>29</v>
      </c>
      <c r="H1322" s="674">
        <f t="shared" si="268"/>
        <v>29</v>
      </c>
      <c r="I1322" s="677">
        <f t="shared" ref="I1322:I1324" si="269">(H1322/G1322)*100</f>
        <v>100</v>
      </c>
    </row>
    <row r="1323" spans="1:20" ht="14.25" x14ac:dyDescent="0.2">
      <c r="A1323" s="418"/>
      <c r="B1323" s="603"/>
      <c r="C1323" s="603"/>
      <c r="D1323" s="620" t="s">
        <v>917</v>
      </c>
      <c r="E1323" s="938" t="s">
        <v>1956</v>
      </c>
      <c r="F1323" s="351">
        <v>0</v>
      </c>
      <c r="G1323" s="660">
        <v>29</v>
      </c>
      <c r="H1323" s="660">
        <v>29</v>
      </c>
      <c r="I1323" s="656">
        <f t="shared" si="269"/>
        <v>100</v>
      </c>
    </row>
    <row r="1324" spans="1:20" ht="15" x14ac:dyDescent="0.25">
      <c r="A1324" s="921">
        <v>1150</v>
      </c>
      <c r="B1324" s="2427">
        <v>3122</v>
      </c>
      <c r="C1324" s="2427">
        <v>5336</v>
      </c>
      <c r="D1324" s="2725"/>
      <c r="E1324" s="602" t="s">
        <v>856</v>
      </c>
      <c r="F1324" s="678">
        <f>F1325+F1326+F1327+F1328+F1329+F1330</f>
        <v>0</v>
      </c>
      <c r="G1324" s="678">
        <f t="shared" ref="G1324:H1324" si="270">G1325+G1326+G1327+G1328+G1329+G1330</f>
        <v>18305</v>
      </c>
      <c r="H1324" s="678">
        <f t="shared" si="270"/>
        <v>18305</v>
      </c>
      <c r="I1324" s="680">
        <f t="shared" si="269"/>
        <v>100</v>
      </c>
    </row>
    <row r="1325" spans="1:20" ht="14.25" x14ac:dyDescent="0.2">
      <c r="A1325" s="921"/>
      <c r="B1325" s="2427"/>
      <c r="C1325" s="2427"/>
      <c r="D1325" s="2725" t="s">
        <v>920</v>
      </c>
      <c r="E1325" s="1352" t="s">
        <v>769</v>
      </c>
      <c r="F1325" s="660">
        <v>0</v>
      </c>
      <c r="G1325" s="660">
        <v>8</v>
      </c>
      <c r="H1325" s="660">
        <v>8</v>
      </c>
      <c r="I1325" s="656">
        <f t="shared" ref="I1325" si="271">(H1325/G1325)*100</f>
        <v>100</v>
      </c>
    </row>
    <row r="1326" spans="1:20" ht="14.25" x14ac:dyDescent="0.2">
      <c r="A1326" s="921"/>
      <c r="B1326" s="2427"/>
      <c r="C1326" s="2427"/>
      <c r="D1326" s="2725" t="s">
        <v>902</v>
      </c>
      <c r="E1326" s="1352" t="s">
        <v>855</v>
      </c>
      <c r="F1326" s="1600">
        <v>0</v>
      </c>
      <c r="G1326" s="1600">
        <v>348</v>
      </c>
      <c r="H1326" s="1600">
        <v>348</v>
      </c>
      <c r="I1326" s="367">
        <f t="shared" ref="I1326:I1327" si="272">(H1326/G1326)*100</f>
        <v>100</v>
      </c>
    </row>
    <row r="1327" spans="1:20" ht="14.25" x14ac:dyDescent="0.2">
      <c r="A1327" s="921"/>
      <c r="B1327" s="2427"/>
      <c r="C1327" s="2427"/>
      <c r="D1327" s="2725" t="s">
        <v>1896</v>
      </c>
      <c r="E1327" s="2215" t="s">
        <v>1951</v>
      </c>
      <c r="F1327" s="1643">
        <v>0</v>
      </c>
      <c r="G1327" s="1643">
        <v>75</v>
      </c>
      <c r="H1327" s="1643">
        <v>75</v>
      </c>
      <c r="I1327" s="982">
        <f t="shared" si="272"/>
        <v>100</v>
      </c>
    </row>
    <row r="1328" spans="1:20" ht="14.25" x14ac:dyDescent="0.2">
      <c r="A1328" s="921"/>
      <c r="B1328" s="2427"/>
      <c r="C1328" s="2427"/>
      <c r="D1328" s="2726" t="s">
        <v>901</v>
      </c>
      <c r="E1328" s="436" t="s">
        <v>1637</v>
      </c>
      <c r="F1328" s="660">
        <v>0</v>
      </c>
      <c r="G1328" s="660">
        <v>17332</v>
      </c>
      <c r="H1328" s="660">
        <v>17332</v>
      </c>
      <c r="I1328" s="656">
        <v>100</v>
      </c>
    </row>
    <row r="1329" spans="1:20" ht="14.25" x14ac:dyDescent="0.2">
      <c r="A1329" s="921"/>
      <c r="B1329" s="2722"/>
      <c r="C1329" s="2722"/>
      <c r="D1329" s="2726" t="s">
        <v>1144</v>
      </c>
      <c r="E1329" s="938" t="s">
        <v>1515</v>
      </c>
      <c r="F1329" s="665">
        <v>0</v>
      </c>
      <c r="G1329" s="665">
        <v>81</v>
      </c>
      <c r="H1329" s="665">
        <v>81</v>
      </c>
      <c r="I1329" s="656">
        <v>100</v>
      </c>
    </row>
    <row r="1330" spans="1:20" ht="14.25" x14ac:dyDescent="0.2">
      <c r="A1330" s="921"/>
      <c r="B1330" s="2722"/>
      <c r="C1330" s="2722"/>
      <c r="D1330" s="2726" t="s">
        <v>1145</v>
      </c>
      <c r="E1330" s="938" t="s">
        <v>1515</v>
      </c>
      <c r="F1330" s="665">
        <v>0</v>
      </c>
      <c r="G1330" s="665">
        <v>461</v>
      </c>
      <c r="H1330" s="665">
        <v>461</v>
      </c>
      <c r="I1330" s="656">
        <v>100</v>
      </c>
    </row>
    <row r="1331" spans="1:20" ht="15" hidden="1" x14ac:dyDescent="0.25">
      <c r="A1331" s="921">
        <v>1150</v>
      </c>
      <c r="B1331" s="2722">
        <v>3122</v>
      </c>
      <c r="C1331" s="2722">
        <v>5331</v>
      </c>
      <c r="D1331" s="2724"/>
      <c r="E1331" s="845" t="s">
        <v>481</v>
      </c>
      <c r="F1331" s="665"/>
      <c r="G1331" s="675">
        <f>G1332+G1333</f>
        <v>0</v>
      </c>
      <c r="H1331" s="675">
        <f>H1332+H1333</f>
        <v>0</v>
      </c>
      <c r="I1331" s="680">
        <v>100</v>
      </c>
    </row>
    <row r="1332" spans="1:20" ht="14.25" hidden="1" x14ac:dyDescent="0.2">
      <c r="A1332" s="921"/>
      <c r="B1332" s="2722"/>
      <c r="C1332" s="2722"/>
      <c r="D1332" s="2724" t="s">
        <v>917</v>
      </c>
      <c r="E1332" s="2619" t="s">
        <v>1534</v>
      </c>
      <c r="F1332" s="665"/>
      <c r="G1332" s="665"/>
      <c r="H1332" s="665"/>
      <c r="I1332" s="656">
        <v>100</v>
      </c>
    </row>
    <row r="1333" spans="1:20" ht="14.25" hidden="1" x14ac:dyDescent="0.2">
      <c r="A1333" s="921"/>
      <c r="B1333" s="2755"/>
      <c r="C1333" s="2755"/>
      <c r="D1333" s="2756" t="s">
        <v>1135</v>
      </c>
      <c r="E1333" s="2627" t="s">
        <v>1528</v>
      </c>
      <c r="F1333" s="665"/>
      <c r="G1333" s="665"/>
      <c r="H1333" s="665"/>
      <c r="I1333" s="656">
        <v>100</v>
      </c>
    </row>
    <row r="1334" spans="1:20" ht="15" x14ac:dyDescent="0.25">
      <c r="A1334" s="921">
        <v>1150</v>
      </c>
      <c r="B1334" s="2722">
        <v>3141</v>
      </c>
      <c r="C1334" s="2722">
        <v>5336</v>
      </c>
      <c r="D1334" s="2726"/>
      <c r="E1334" s="602" t="s">
        <v>856</v>
      </c>
      <c r="F1334" s="675">
        <f>F1335</f>
        <v>0</v>
      </c>
      <c r="G1334" s="675">
        <f>G1335</f>
        <v>154</v>
      </c>
      <c r="H1334" s="675">
        <f>H1335</f>
        <v>154</v>
      </c>
      <c r="I1334" s="667">
        <f t="shared" ref="I1334:I1336" si="273">(H1334/G1334)*100</f>
        <v>100</v>
      </c>
    </row>
    <row r="1335" spans="1:20" s="106" customFormat="1" ht="15" thickBot="1" x14ac:dyDescent="0.25">
      <c r="A1335" s="696"/>
      <c r="B1335" s="712"/>
      <c r="C1335" s="713"/>
      <c r="D1335" s="2726" t="s">
        <v>901</v>
      </c>
      <c r="E1335" s="436" t="s">
        <v>1637</v>
      </c>
      <c r="F1335" s="714">
        <v>0</v>
      </c>
      <c r="G1335" s="714">
        <v>154</v>
      </c>
      <c r="H1335" s="714">
        <v>154</v>
      </c>
      <c r="I1335" s="661">
        <f t="shared" si="273"/>
        <v>100</v>
      </c>
    </row>
    <row r="1336" spans="1:20" ht="18" customHeight="1" thickTop="1" thickBot="1" x14ac:dyDescent="0.3">
      <c r="A1336" s="3233" t="s">
        <v>522</v>
      </c>
      <c r="B1336" s="3234"/>
      <c r="C1336" s="3234"/>
      <c r="D1336" s="3234"/>
      <c r="E1336" s="3234"/>
      <c r="F1336" s="657">
        <f>F1322</f>
        <v>0</v>
      </c>
      <c r="G1336" s="657">
        <f>G1334+G1324+G1322+G1331</f>
        <v>18488</v>
      </c>
      <c r="H1336" s="657">
        <f>H1334+H1324+H1322+H1331</f>
        <v>18488</v>
      </c>
      <c r="I1336" s="658">
        <f t="shared" si="273"/>
        <v>100</v>
      </c>
      <c r="R1336" s="373">
        <f>F1336</f>
        <v>0</v>
      </c>
      <c r="S1336" s="373">
        <f>G1336</f>
        <v>18488</v>
      </c>
      <c r="T1336" s="373">
        <f>H1336</f>
        <v>18488</v>
      </c>
    </row>
    <row r="1337" spans="1:20" ht="15.75" thickTop="1" x14ac:dyDescent="0.25">
      <c r="A1337" s="360"/>
      <c r="B1337" s="360"/>
      <c r="C1337" s="360"/>
      <c r="D1337" s="360"/>
      <c r="E1337" s="360"/>
      <c r="F1337" s="177"/>
      <c r="G1337" s="177"/>
      <c r="H1337" s="177"/>
      <c r="I1337" s="206"/>
      <c r="R1337" s="373"/>
      <c r="S1337" s="373"/>
      <c r="T1337" s="373"/>
    </row>
    <row r="1338" spans="1:20" ht="13.5" thickBot="1" x14ac:dyDescent="0.25">
      <c r="A1338" s="419" t="s">
        <v>158</v>
      </c>
      <c r="I1338" s="915" t="s">
        <v>92</v>
      </c>
    </row>
    <row r="1339" spans="1:20" s="106" customFormat="1" ht="20.25" customHeight="1" thickTop="1" thickBot="1" x14ac:dyDescent="0.25">
      <c r="A1339" s="572" t="s">
        <v>324</v>
      </c>
      <c r="B1339" s="639" t="s">
        <v>93</v>
      </c>
      <c r="C1339" s="573" t="s">
        <v>94</v>
      </c>
      <c r="D1339" s="575" t="s">
        <v>364</v>
      </c>
      <c r="E1339" s="575" t="s">
        <v>95</v>
      </c>
      <c r="F1339" s="575" t="s">
        <v>328</v>
      </c>
      <c r="G1339" s="575" t="s">
        <v>329</v>
      </c>
      <c r="H1339" s="575" t="s">
        <v>448</v>
      </c>
      <c r="I1339" s="651" t="s">
        <v>449</v>
      </c>
    </row>
    <row r="1340" spans="1:20" s="374" customFormat="1" ht="12" customHeight="1" thickTop="1" thickBot="1" x14ac:dyDescent="0.25">
      <c r="A1340" s="511">
        <v>1</v>
      </c>
      <c r="B1340" s="512">
        <v>2</v>
      </c>
      <c r="C1340" s="512">
        <v>3</v>
      </c>
      <c r="D1340" s="512">
        <v>4</v>
      </c>
      <c r="E1340" s="512">
        <v>5</v>
      </c>
      <c r="F1340" s="499">
        <v>6</v>
      </c>
      <c r="G1340" s="499">
        <v>7</v>
      </c>
      <c r="H1340" s="500">
        <v>8</v>
      </c>
      <c r="I1340" s="577" t="s">
        <v>393</v>
      </c>
    </row>
    <row r="1341" spans="1:20" ht="15.75" hidden="1" thickTop="1" x14ac:dyDescent="0.25">
      <c r="A1341" s="924">
        <v>1151</v>
      </c>
      <c r="B1341" s="676">
        <v>3122</v>
      </c>
      <c r="C1341" s="676">
        <v>5331</v>
      </c>
      <c r="D1341" s="679"/>
      <c r="E1341" s="703" t="s">
        <v>481</v>
      </c>
      <c r="F1341" s="674">
        <f>F1342+F1343</f>
        <v>0</v>
      </c>
      <c r="G1341" s="674">
        <f>G1342+G1343</f>
        <v>0</v>
      </c>
      <c r="H1341" s="674">
        <f>H1342+H1343</f>
        <v>0</v>
      </c>
      <c r="I1341" s="677" t="e">
        <f t="shared" ref="I1341:I1353" si="274">(H1341/G1341)*100</f>
        <v>#DIV/0!</v>
      </c>
    </row>
    <row r="1342" spans="1:20" ht="15" hidden="1" thickTop="1" x14ac:dyDescent="0.2">
      <c r="A1342" s="418"/>
      <c r="B1342" s="603"/>
      <c r="C1342" s="603"/>
      <c r="D1342" s="620" t="s">
        <v>905</v>
      </c>
      <c r="E1342" s="938" t="s">
        <v>408</v>
      </c>
      <c r="F1342" s="660"/>
      <c r="G1342" s="660"/>
      <c r="H1342" s="660"/>
      <c r="I1342" s="656" t="e">
        <f t="shared" si="274"/>
        <v>#DIV/0!</v>
      </c>
    </row>
    <row r="1343" spans="1:20" ht="15" hidden="1" thickTop="1" x14ac:dyDescent="0.2">
      <c r="A1343" s="418"/>
      <c r="B1343" s="603"/>
      <c r="C1343" s="603"/>
      <c r="D1343" s="505" t="s">
        <v>906</v>
      </c>
      <c r="E1343" s="436" t="s">
        <v>38</v>
      </c>
      <c r="F1343" s="660"/>
      <c r="G1343" s="660"/>
      <c r="H1343" s="660"/>
      <c r="I1343" s="656" t="e">
        <f t="shared" si="274"/>
        <v>#DIV/0!</v>
      </c>
    </row>
    <row r="1344" spans="1:20" ht="15.75" thickTop="1" x14ac:dyDescent="0.25">
      <c r="A1344" s="921">
        <v>1151</v>
      </c>
      <c r="B1344" s="2427">
        <v>3122</v>
      </c>
      <c r="C1344" s="2427">
        <v>5336</v>
      </c>
      <c r="D1344" s="2725"/>
      <c r="E1344" s="602" t="s">
        <v>856</v>
      </c>
      <c r="F1344" s="678">
        <f>F1346+F1347+F1348+F1349+F1350+F1345</f>
        <v>0</v>
      </c>
      <c r="G1344" s="678">
        <f>G1346+G1347+G1348+G1349+G1350+G1345</f>
        <v>9678</v>
      </c>
      <c r="H1344" s="678">
        <f>H1346+H1347+H1348+H1349+H1350+H1345</f>
        <v>9678</v>
      </c>
      <c r="I1344" s="680">
        <f t="shared" si="274"/>
        <v>100</v>
      </c>
    </row>
    <row r="1345" spans="1:20" ht="14.25" hidden="1" x14ac:dyDescent="0.2">
      <c r="A1345" s="921"/>
      <c r="B1345" s="2427"/>
      <c r="C1345" s="2427"/>
      <c r="D1345" s="2725" t="s">
        <v>920</v>
      </c>
      <c r="E1345" s="1352" t="s">
        <v>769</v>
      </c>
      <c r="F1345" s="665"/>
      <c r="G1345" s="668"/>
      <c r="H1345" s="668"/>
      <c r="I1345" s="367" t="e">
        <f t="shared" ref="I1345:I1347" si="275">(H1345/G1345)*100</f>
        <v>#DIV/0!</v>
      </c>
    </row>
    <row r="1346" spans="1:20" ht="14.25" customHeight="1" x14ac:dyDescent="0.2">
      <c r="A1346" s="921"/>
      <c r="B1346" s="2427"/>
      <c r="C1346" s="2427"/>
      <c r="D1346" s="2725" t="s">
        <v>902</v>
      </c>
      <c r="E1346" s="1352" t="s">
        <v>855</v>
      </c>
      <c r="F1346" s="1600">
        <v>0</v>
      </c>
      <c r="G1346" s="1600">
        <v>176</v>
      </c>
      <c r="H1346" s="1600">
        <v>176</v>
      </c>
      <c r="I1346" s="367">
        <f t="shared" si="275"/>
        <v>100</v>
      </c>
    </row>
    <row r="1347" spans="1:20" ht="14.25" x14ac:dyDescent="0.2">
      <c r="A1347" s="921"/>
      <c r="B1347" s="2427"/>
      <c r="C1347" s="2427"/>
      <c r="D1347" s="2725" t="s">
        <v>1896</v>
      </c>
      <c r="E1347" s="2215" t="s">
        <v>1951</v>
      </c>
      <c r="F1347" s="1643">
        <v>0</v>
      </c>
      <c r="G1347" s="1643">
        <v>55</v>
      </c>
      <c r="H1347" s="1643">
        <v>55</v>
      </c>
      <c r="I1347" s="982">
        <f t="shared" si="275"/>
        <v>100</v>
      </c>
    </row>
    <row r="1348" spans="1:20" ht="14.25" x14ac:dyDescent="0.2">
      <c r="A1348" s="921"/>
      <c r="B1348" s="2427"/>
      <c r="C1348" s="2719"/>
      <c r="D1348" s="2726" t="s">
        <v>901</v>
      </c>
      <c r="E1348" s="436" t="s">
        <v>1637</v>
      </c>
      <c r="F1348" s="660">
        <v>0</v>
      </c>
      <c r="G1348" s="660">
        <v>9111</v>
      </c>
      <c r="H1348" s="660">
        <v>9111</v>
      </c>
      <c r="I1348" s="656">
        <f t="shared" si="274"/>
        <v>100</v>
      </c>
    </row>
    <row r="1349" spans="1:20" ht="14.25" x14ac:dyDescent="0.2">
      <c r="A1349" s="921"/>
      <c r="B1349" s="2427"/>
      <c r="C1349" s="2719"/>
      <c r="D1349" s="2726" t="s">
        <v>1144</v>
      </c>
      <c r="E1349" s="938" t="s">
        <v>1515</v>
      </c>
      <c r="F1349" s="660">
        <v>0</v>
      </c>
      <c r="G1349" s="660">
        <v>50</v>
      </c>
      <c r="H1349" s="660">
        <v>50</v>
      </c>
      <c r="I1349" s="656">
        <f t="shared" si="274"/>
        <v>100</v>
      </c>
    </row>
    <row r="1350" spans="1:20" ht="15" thickBot="1" x14ac:dyDescent="0.25">
      <c r="A1350" s="921"/>
      <c r="B1350" s="2427"/>
      <c r="C1350" s="2719"/>
      <c r="D1350" s="2726" t="s">
        <v>1145</v>
      </c>
      <c r="E1350" s="938" t="s">
        <v>1515</v>
      </c>
      <c r="F1350" s="660">
        <v>0</v>
      </c>
      <c r="G1350" s="660">
        <v>286</v>
      </c>
      <c r="H1350" s="660">
        <v>286</v>
      </c>
      <c r="I1350" s="656">
        <f t="shared" si="274"/>
        <v>100</v>
      </c>
    </row>
    <row r="1351" spans="1:20" ht="15.75" hidden="1" thickBot="1" x14ac:dyDescent="0.3">
      <c r="A1351" s="921">
        <v>1151</v>
      </c>
      <c r="B1351" s="2427">
        <v>3122</v>
      </c>
      <c r="C1351" s="2719">
        <v>5331</v>
      </c>
      <c r="D1351" s="2766"/>
      <c r="E1351" s="602" t="s">
        <v>481</v>
      </c>
      <c r="F1351" s="660"/>
      <c r="G1351" s="678">
        <f>G1352</f>
        <v>0</v>
      </c>
      <c r="H1351" s="678">
        <f>H1352</f>
        <v>0</v>
      </c>
      <c r="I1351" s="680" t="e">
        <f t="shared" si="274"/>
        <v>#DIV/0!</v>
      </c>
    </row>
    <row r="1352" spans="1:20" ht="15" hidden="1" thickBot="1" x14ac:dyDescent="0.25">
      <c r="A1352" s="921"/>
      <c r="B1352" s="2427"/>
      <c r="C1352" s="2427"/>
      <c r="D1352" s="2756" t="s">
        <v>1135</v>
      </c>
      <c r="E1352" s="2627" t="s">
        <v>1528</v>
      </c>
      <c r="F1352" s="660"/>
      <c r="G1352" s="875"/>
      <c r="H1352" s="875"/>
      <c r="I1352" s="871" t="e">
        <f t="shared" ref="I1352" si="276">(H1352/G1352)*100</f>
        <v>#DIV/0!</v>
      </c>
    </row>
    <row r="1353" spans="1:20" ht="18" customHeight="1" thickTop="1" thickBot="1" x14ac:dyDescent="0.3">
      <c r="A1353" s="3233" t="s">
        <v>522</v>
      </c>
      <c r="B1353" s="3234"/>
      <c r="C1353" s="3234"/>
      <c r="D1353" s="3234"/>
      <c r="E1353" s="3234"/>
      <c r="F1353" s="657">
        <f>SUM(F1341)</f>
        <v>0</v>
      </c>
      <c r="G1353" s="657">
        <f>G1341+G1344+G1351</f>
        <v>9678</v>
      </c>
      <c r="H1353" s="657">
        <f>H1341+H1344+H1351</f>
        <v>9678</v>
      </c>
      <c r="I1353" s="658">
        <f t="shared" si="274"/>
        <v>100</v>
      </c>
      <c r="R1353" s="373">
        <f>F1353</f>
        <v>0</v>
      </c>
      <c r="S1353" s="373">
        <f>G1353</f>
        <v>9678</v>
      </c>
      <c r="T1353" s="373">
        <f>H1353</f>
        <v>9678</v>
      </c>
    </row>
    <row r="1354" spans="1:20" ht="18" customHeight="1" thickTop="1" x14ac:dyDescent="0.25">
      <c r="A1354" s="360"/>
      <c r="B1354" s="360"/>
      <c r="C1354" s="360"/>
      <c r="D1354" s="360"/>
      <c r="E1354" s="360"/>
      <c r="F1354" s="177"/>
      <c r="G1354" s="177"/>
      <c r="H1354" s="177"/>
      <c r="I1354" s="206"/>
      <c r="R1354" s="373"/>
      <c r="S1354" s="373"/>
      <c r="T1354" s="373"/>
    </row>
    <row r="1355" spans="1:20" ht="18" customHeight="1" x14ac:dyDescent="0.25">
      <c r="A1355" s="360"/>
      <c r="B1355" s="360"/>
      <c r="C1355" s="360"/>
      <c r="D1355" s="360"/>
      <c r="E1355" s="360"/>
      <c r="F1355" s="177"/>
      <c r="G1355" s="177"/>
      <c r="H1355" s="177"/>
      <c r="I1355" s="206"/>
      <c r="R1355" s="373"/>
      <c r="S1355" s="373"/>
      <c r="T1355" s="373"/>
    </row>
    <row r="1356" spans="1:20" ht="13.5" thickBot="1" x14ac:dyDescent="0.25">
      <c r="A1356" s="419" t="s">
        <v>287</v>
      </c>
      <c r="I1356" s="915" t="s">
        <v>92</v>
      </c>
    </row>
    <row r="1357" spans="1:20" s="106" customFormat="1" thickTop="1" thickBot="1" x14ac:dyDescent="0.25">
      <c r="A1357" s="572" t="s">
        <v>324</v>
      </c>
      <c r="B1357" s="639" t="s">
        <v>93</v>
      </c>
      <c r="C1357" s="573" t="s">
        <v>94</v>
      </c>
      <c r="D1357" s="575" t="s">
        <v>364</v>
      </c>
      <c r="E1357" s="575" t="s">
        <v>95</v>
      </c>
      <c r="F1357" s="575" t="s">
        <v>328</v>
      </c>
      <c r="G1357" s="575" t="s">
        <v>329</v>
      </c>
      <c r="H1357" s="575" t="s">
        <v>448</v>
      </c>
      <c r="I1357" s="651" t="s">
        <v>449</v>
      </c>
    </row>
    <row r="1358" spans="1:20" s="374" customFormat="1" ht="12" customHeight="1" thickTop="1" thickBot="1" x14ac:dyDescent="0.25">
      <c r="A1358" s="511">
        <v>1</v>
      </c>
      <c r="B1358" s="512">
        <v>2</v>
      </c>
      <c r="C1358" s="512">
        <v>3</v>
      </c>
      <c r="D1358" s="512">
        <v>4</v>
      </c>
      <c r="E1358" s="512">
        <v>5</v>
      </c>
      <c r="F1358" s="499">
        <v>6</v>
      </c>
      <c r="G1358" s="499">
        <v>7</v>
      </c>
      <c r="H1358" s="500">
        <v>8</v>
      </c>
      <c r="I1358" s="577" t="s">
        <v>393</v>
      </c>
    </row>
    <row r="1359" spans="1:20" ht="15.75" thickTop="1" x14ac:dyDescent="0.25">
      <c r="A1359" s="924">
        <v>1152</v>
      </c>
      <c r="B1359" s="676">
        <v>3122</v>
      </c>
      <c r="C1359" s="2774">
        <v>5331</v>
      </c>
      <c r="D1359" s="679"/>
      <c r="E1359" s="703" t="s">
        <v>481</v>
      </c>
      <c r="F1359" s="674">
        <f>F1360</f>
        <v>0</v>
      </c>
      <c r="G1359" s="674">
        <f t="shared" ref="G1359:H1359" si="277">G1360</f>
        <v>11</v>
      </c>
      <c r="H1359" s="674">
        <f t="shared" si="277"/>
        <v>11</v>
      </c>
      <c r="I1359" s="677">
        <f t="shared" ref="I1359:I1371" si="278">(H1359/G1359)*100</f>
        <v>100</v>
      </c>
    </row>
    <row r="1360" spans="1:20" ht="13.5" customHeight="1" x14ac:dyDescent="0.2">
      <c r="A1360" s="418"/>
      <c r="B1360" s="603"/>
      <c r="C1360" s="603"/>
      <c r="D1360" s="620" t="s">
        <v>917</v>
      </c>
      <c r="E1360" s="938" t="s">
        <v>1956</v>
      </c>
      <c r="F1360" s="660">
        <v>0</v>
      </c>
      <c r="G1360" s="660">
        <v>11</v>
      </c>
      <c r="H1360" s="660">
        <v>11</v>
      </c>
      <c r="I1360" s="656">
        <f t="shared" si="278"/>
        <v>100</v>
      </c>
    </row>
    <row r="1361" spans="1:20" ht="15" x14ac:dyDescent="0.25">
      <c r="A1361" s="921">
        <v>1152</v>
      </c>
      <c r="B1361" s="2427">
        <v>3122</v>
      </c>
      <c r="C1361" s="2427">
        <v>5336</v>
      </c>
      <c r="D1361" s="2725"/>
      <c r="E1361" s="602" t="s">
        <v>856</v>
      </c>
      <c r="F1361" s="678">
        <f>F1362+F1363+F1364+F1365+F1366+F1367+F1368</f>
        <v>0</v>
      </c>
      <c r="G1361" s="678">
        <f>G1362+G1363+G1364+G1365+G1366+G1367+G1368</f>
        <v>15433</v>
      </c>
      <c r="H1361" s="678">
        <f>H1362+H1363+H1364+H1365+H1366+H1367+H1368</f>
        <v>15433</v>
      </c>
      <c r="I1361" s="680">
        <f t="shared" si="278"/>
        <v>100</v>
      </c>
    </row>
    <row r="1362" spans="1:20" ht="14.25" x14ac:dyDescent="0.2">
      <c r="A1362" s="921"/>
      <c r="B1362" s="2427"/>
      <c r="C1362" s="2427"/>
      <c r="D1362" s="2725" t="s">
        <v>920</v>
      </c>
      <c r="E1362" s="1352" t="s">
        <v>769</v>
      </c>
      <c r="F1362" s="660">
        <v>0</v>
      </c>
      <c r="G1362" s="660">
        <v>11</v>
      </c>
      <c r="H1362" s="660">
        <v>11</v>
      </c>
      <c r="I1362" s="656">
        <f t="shared" si="278"/>
        <v>100</v>
      </c>
    </row>
    <row r="1363" spans="1:20" ht="14.25" x14ac:dyDescent="0.2">
      <c r="A1363" s="921"/>
      <c r="B1363" s="2427"/>
      <c r="C1363" s="2427"/>
      <c r="D1363" s="2725" t="s">
        <v>902</v>
      </c>
      <c r="E1363" s="1352" t="s">
        <v>855</v>
      </c>
      <c r="F1363" s="1600">
        <v>0</v>
      </c>
      <c r="G1363" s="1600">
        <v>287</v>
      </c>
      <c r="H1363" s="1600">
        <v>287</v>
      </c>
      <c r="I1363" s="367">
        <f t="shared" ref="I1363:I1365" si="279">(H1363/G1363)*100</f>
        <v>100</v>
      </c>
    </row>
    <row r="1364" spans="1:20" ht="14.25" x14ac:dyDescent="0.2">
      <c r="A1364" s="921"/>
      <c r="B1364" s="2427"/>
      <c r="C1364" s="2427"/>
      <c r="D1364" s="2725" t="s">
        <v>1896</v>
      </c>
      <c r="E1364" s="2215" t="s">
        <v>1951</v>
      </c>
      <c r="F1364" s="1643">
        <v>0</v>
      </c>
      <c r="G1364" s="1643">
        <v>62</v>
      </c>
      <c r="H1364" s="1643">
        <v>62</v>
      </c>
      <c r="I1364" s="982">
        <f t="shared" si="279"/>
        <v>100</v>
      </c>
    </row>
    <row r="1365" spans="1:20" ht="14.25" hidden="1" x14ac:dyDescent="0.2">
      <c r="A1365" s="921"/>
      <c r="B1365" s="2427"/>
      <c r="C1365" s="2427"/>
      <c r="D1365" s="2723" t="s">
        <v>919</v>
      </c>
      <c r="E1365" s="949" t="s">
        <v>858</v>
      </c>
      <c r="F1365" s="1643"/>
      <c r="G1365" s="1643"/>
      <c r="H1365" s="1643"/>
      <c r="I1365" s="982" t="e">
        <f t="shared" si="279"/>
        <v>#DIV/0!</v>
      </c>
    </row>
    <row r="1366" spans="1:20" ht="14.25" x14ac:dyDescent="0.2">
      <c r="A1366" s="921"/>
      <c r="B1366" s="2427"/>
      <c r="C1366" s="2427"/>
      <c r="D1366" s="2726" t="s">
        <v>901</v>
      </c>
      <c r="E1366" s="436" t="s">
        <v>1637</v>
      </c>
      <c r="F1366" s="660">
        <v>0</v>
      </c>
      <c r="G1366" s="660">
        <v>14587</v>
      </c>
      <c r="H1366" s="660">
        <v>14587</v>
      </c>
      <c r="I1366" s="656">
        <f t="shared" si="278"/>
        <v>100</v>
      </c>
    </row>
    <row r="1367" spans="1:20" ht="14.25" x14ac:dyDescent="0.2">
      <c r="A1367" s="921"/>
      <c r="B1367" s="2427"/>
      <c r="C1367" s="2427"/>
      <c r="D1367" s="2726" t="s">
        <v>1144</v>
      </c>
      <c r="E1367" s="938" t="s">
        <v>1515</v>
      </c>
      <c r="F1367" s="660">
        <v>0</v>
      </c>
      <c r="G1367" s="660">
        <v>73</v>
      </c>
      <c r="H1367" s="660">
        <v>73</v>
      </c>
      <c r="I1367" s="656">
        <f t="shared" si="278"/>
        <v>100</v>
      </c>
    </row>
    <row r="1368" spans="1:20" ht="14.25" x14ac:dyDescent="0.2">
      <c r="A1368" s="921"/>
      <c r="B1368" s="2427"/>
      <c r="C1368" s="2427"/>
      <c r="D1368" s="2726" t="s">
        <v>1145</v>
      </c>
      <c r="E1368" s="938" t="s">
        <v>1515</v>
      </c>
      <c r="F1368" s="660">
        <v>0</v>
      </c>
      <c r="G1368" s="660">
        <v>413</v>
      </c>
      <c r="H1368" s="660">
        <v>413</v>
      </c>
      <c r="I1368" s="656">
        <f t="shared" si="278"/>
        <v>100</v>
      </c>
    </row>
    <row r="1369" spans="1:20" ht="15" x14ac:dyDescent="0.25">
      <c r="A1369" s="921">
        <v>1152</v>
      </c>
      <c r="B1369" s="2427">
        <v>3299</v>
      </c>
      <c r="C1369" s="2427">
        <v>5331</v>
      </c>
      <c r="D1369" s="2726"/>
      <c r="E1369" s="644" t="s">
        <v>481</v>
      </c>
      <c r="F1369" s="678">
        <f>F1370</f>
        <v>0</v>
      </c>
      <c r="G1369" s="678">
        <f>G1370</f>
        <v>26</v>
      </c>
      <c r="H1369" s="678">
        <f>H1370</f>
        <v>26</v>
      </c>
      <c r="I1369" s="680">
        <f t="shared" si="278"/>
        <v>100</v>
      </c>
    </row>
    <row r="1370" spans="1:20" ht="15" thickBot="1" x14ac:dyDescent="0.25">
      <c r="A1370" s="921"/>
      <c r="B1370" s="2427"/>
      <c r="C1370" s="2427"/>
      <c r="D1370" s="2723" t="s">
        <v>923</v>
      </c>
      <c r="E1370" s="2623" t="s">
        <v>653</v>
      </c>
      <c r="F1370" s="660">
        <v>0</v>
      </c>
      <c r="G1370" s="875">
        <v>26</v>
      </c>
      <c r="H1370" s="875">
        <v>26</v>
      </c>
      <c r="I1370" s="871">
        <f t="shared" si="278"/>
        <v>100</v>
      </c>
    </row>
    <row r="1371" spans="1:20" ht="15.75" customHeight="1" thickTop="1" thickBot="1" x14ac:dyDescent="0.3">
      <c r="A1371" s="3233" t="s">
        <v>522</v>
      </c>
      <c r="B1371" s="3234"/>
      <c r="C1371" s="3234"/>
      <c r="D1371" s="3234"/>
      <c r="E1371" s="3234"/>
      <c r="F1371" s="657">
        <f>F1359</f>
        <v>0</v>
      </c>
      <c r="G1371" s="657">
        <f>G1359+G1361+G1369</f>
        <v>15470</v>
      </c>
      <c r="H1371" s="657">
        <f>H1359+H1361+H1369</f>
        <v>15470</v>
      </c>
      <c r="I1371" s="658">
        <f t="shared" si="278"/>
        <v>100</v>
      </c>
      <c r="R1371" s="373">
        <f>F1371</f>
        <v>0</v>
      </c>
      <c r="S1371" s="373">
        <f>G1371</f>
        <v>15470</v>
      </c>
      <c r="T1371" s="373">
        <f>H1371</f>
        <v>15470</v>
      </c>
    </row>
    <row r="1372" spans="1:20" ht="13.5" thickTop="1" x14ac:dyDescent="0.2"/>
    <row r="1374" spans="1:20" ht="13.5" thickBot="1" x14ac:dyDescent="0.25">
      <c r="A1374" s="419" t="s">
        <v>104</v>
      </c>
      <c r="I1374" s="915" t="s">
        <v>92</v>
      </c>
    </row>
    <row r="1375" spans="1:20" s="106" customFormat="1" thickTop="1" thickBot="1" x14ac:dyDescent="0.25">
      <c r="A1375" s="572" t="s">
        <v>324</v>
      </c>
      <c r="B1375" s="639" t="s">
        <v>93</v>
      </c>
      <c r="C1375" s="573" t="s">
        <v>94</v>
      </c>
      <c r="D1375" s="575" t="s">
        <v>364</v>
      </c>
      <c r="E1375" s="575" t="s">
        <v>95</v>
      </c>
      <c r="F1375" s="575" t="s">
        <v>328</v>
      </c>
      <c r="G1375" s="575" t="s">
        <v>329</v>
      </c>
      <c r="H1375" s="575" t="s">
        <v>448</v>
      </c>
      <c r="I1375" s="651" t="s">
        <v>449</v>
      </c>
    </row>
    <row r="1376" spans="1:20" s="374" customFormat="1" ht="15" customHeight="1" thickTop="1" thickBot="1" x14ac:dyDescent="0.25">
      <c r="A1376" s="511">
        <v>1</v>
      </c>
      <c r="B1376" s="512">
        <v>2</v>
      </c>
      <c r="C1376" s="512">
        <v>3</v>
      </c>
      <c r="D1376" s="512">
        <v>4</v>
      </c>
      <c r="E1376" s="512">
        <v>5</v>
      </c>
      <c r="F1376" s="499">
        <v>6</v>
      </c>
      <c r="G1376" s="499">
        <v>7</v>
      </c>
      <c r="H1376" s="500">
        <v>8</v>
      </c>
      <c r="I1376" s="577" t="s">
        <v>393</v>
      </c>
    </row>
    <row r="1377" spans="1:9" ht="15.75" thickTop="1" x14ac:dyDescent="0.25">
      <c r="A1377" s="924">
        <v>1153</v>
      </c>
      <c r="B1377" s="676">
        <v>3122</v>
      </c>
      <c r="C1377" s="2774">
        <v>5331</v>
      </c>
      <c r="D1377" s="679"/>
      <c r="E1377" s="703" t="s">
        <v>481</v>
      </c>
      <c r="F1377" s="674">
        <f>F1378</f>
        <v>0</v>
      </c>
      <c r="G1377" s="674">
        <f t="shared" ref="G1377:H1377" si="280">G1378</f>
        <v>11</v>
      </c>
      <c r="H1377" s="674">
        <f t="shared" si="280"/>
        <v>11</v>
      </c>
      <c r="I1377" s="677">
        <f t="shared" ref="I1377:I1392" si="281">(H1377/G1377)*100</f>
        <v>100</v>
      </c>
    </row>
    <row r="1378" spans="1:9" ht="14.25" x14ac:dyDescent="0.2">
      <c r="A1378" s="418"/>
      <c r="B1378" s="603"/>
      <c r="C1378" s="603"/>
      <c r="D1378" s="620" t="s">
        <v>917</v>
      </c>
      <c r="E1378" s="938" t="s">
        <v>1956</v>
      </c>
      <c r="F1378" s="660">
        <v>0</v>
      </c>
      <c r="G1378" s="660">
        <v>11</v>
      </c>
      <c r="H1378" s="660">
        <v>11</v>
      </c>
      <c r="I1378" s="656">
        <f t="shared" si="281"/>
        <v>100</v>
      </c>
    </row>
    <row r="1379" spans="1:9" ht="15" x14ac:dyDescent="0.25">
      <c r="A1379" s="921">
        <v>1153</v>
      </c>
      <c r="B1379" s="2427">
        <v>3122</v>
      </c>
      <c r="C1379" s="2427">
        <v>5336</v>
      </c>
      <c r="D1379" s="2763"/>
      <c r="E1379" s="602" t="s">
        <v>856</v>
      </c>
      <c r="F1379" s="678">
        <f>F1381+F1382+F1383+F1384+F1386+F1380+F1385</f>
        <v>0</v>
      </c>
      <c r="G1379" s="678">
        <f t="shared" ref="G1379:H1379" si="282">G1381+G1382+G1383+G1384+G1386+G1380+G1385</f>
        <v>7715</v>
      </c>
      <c r="H1379" s="678">
        <f t="shared" si="282"/>
        <v>7715</v>
      </c>
      <c r="I1379" s="680">
        <f t="shared" si="281"/>
        <v>100</v>
      </c>
    </row>
    <row r="1380" spans="1:9" ht="14.25" x14ac:dyDescent="0.2">
      <c r="A1380" s="921"/>
      <c r="B1380" s="2427"/>
      <c r="C1380" s="2427"/>
      <c r="D1380" s="2725" t="s">
        <v>920</v>
      </c>
      <c r="E1380" s="1352" t="s">
        <v>769</v>
      </c>
      <c r="F1380" s="1600">
        <v>0</v>
      </c>
      <c r="G1380" s="1600">
        <v>4</v>
      </c>
      <c r="H1380" s="1600">
        <v>4</v>
      </c>
      <c r="I1380" s="681">
        <f t="shared" si="281"/>
        <v>100</v>
      </c>
    </row>
    <row r="1381" spans="1:9" ht="14.25" hidden="1" x14ac:dyDescent="0.2">
      <c r="A1381" s="921"/>
      <c r="B1381" s="2427"/>
      <c r="C1381" s="2427"/>
      <c r="D1381" s="2725" t="s">
        <v>912</v>
      </c>
      <c r="E1381" s="1598" t="s">
        <v>817</v>
      </c>
      <c r="F1381" s="668"/>
      <c r="G1381" s="668"/>
      <c r="H1381" s="668"/>
      <c r="I1381" s="681" t="e">
        <f t="shared" si="281"/>
        <v>#DIV/0!</v>
      </c>
    </row>
    <row r="1382" spans="1:9" ht="14.25" x14ac:dyDescent="0.2">
      <c r="A1382" s="921"/>
      <c r="B1382" s="2427"/>
      <c r="C1382" s="2427"/>
      <c r="D1382" s="2725" t="s">
        <v>902</v>
      </c>
      <c r="E1382" s="1352" t="s">
        <v>855</v>
      </c>
      <c r="F1382" s="1600">
        <v>0</v>
      </c>
      <c r="G1382" s="1600">
        <v>211</v>
      </c>
      <c r="H1382" s="1600">
        <v>211</v>
      </c>
      <c r="I1382" s="367">
        <f t="shared" ref="I1382:I1383" si="283">(H1382/G1382)*100</f>
        <v>100</v>
      </c>
    </row>
    <row r="1383" spans="1:9" ht="14.25" x14ac:dyDescent="0.2">
      <c r="A1383" s="921"/>
      <c r="B1383" s="2427"/>
      <c r="C1383" s="2427"/>
      <c r="D1383" s="2725" t="s">
        <v>1896</v>
      </c>
      <c r="E1383" s="2215" t="s">
        <v>1951</v>
      </c>
      <c r="F1383" s="1643">
        <v>0</v>
      </c>
      <c r="G1383" s="1643">
        <v>139</v>
      </c>
      <c r="H1383" s="1643">
        <v>139</v>
      </c>
      <c r="I1383" s="982">
        <f t="shared" si="283"/>
        <v>100</v>
      </c>
    </row>
    <row r="1384" spans="1:9" ht="14.25" x14ac:dyDescent="0.2">
      <c r="A1384" s="921"/>
      <c r="B1384" s="2427"/>
      <c r="C1384" s="2427"/>
      <c r="D1384" s="2726" t="s">
        <v>901</v>
      </c>
      <c r="E1384" s="436" t="s">
        <v>1637</v>
      </c>
      <c r="F1384" s="660">
        <v>0</v>
      </c>
      <c r="G1384" s="660">
        <v>7108</v>
      </c>
      <c r="H1384" s="660">
        <v>7108</v>
      </c>
      <c r="I1384" s="656">
        <f t="shared" si="281"/>
        <v>100</v>
      </c>
    </row>
    <row r="1385" spans="1:9" ht="14.25" x14ac:dyDescent="0.2">
      <c r="A1385" s="921"/>
      <c r="B1385" s="2722"/>
      <c r="C1385" s="2722"/>
      <c r="D1385" s="2726" t="s">
        <v>1144</v>
      </c>
      <c r="E1385" s="938" t="s">
        <v>1515</v>
      </c>
      <c r="F1385" s="665">
        <v>0</v>
      </c>
      <c r="G1385" s="665">
        <v>38</v>
      </c>
      <c r="H1385" s="665">
        <v>38</v>
      </c>
      <c r="I1385" s="656">
        <f t="shared" si="281"/>
        <v>100</v>
      </c>
    </row>
    <row r="1386" spans="1:9" ht="14.25" x14ac:dyDescent="0.2">
      <c r="A1386" s="921"/>
      <c r="B1386" s="2722"/>
      <c r="C1386" s="2722"/>
      <c r="D1386" s="2726" t="s">
        <v>1145</v>
      </c>
      <c r="E1386" s="938" t="s">
        <v>1515</v>
      </c>
      <c r="F1386" s="665">
        <v>0</v>
      </c>
      <c r="G1386" s="665">
        <v>215</v>
      </c>
      <c r="H1386" s="665">
        <v>215</v>
      </c>
      <c r="I1386" s="656">
        <f t="shared" si="281"/>
        <v>100</v>
      </c>
    </row>
    <row r="1387" spans="1:9" ht="15" hidden="1" x14ac:dyDescent="0.25">
      <c r="A1387" s="921">
        <v>1153</v>
      </c>
      <c r="B1387" s="2722">
        <v>3122</v>
      </c>
      <c r="C1387" s="2722">
        <v>5331</v>
      </c>
      <c r="D1387" s="2726"/>
      <c r="E1387" s="644" t="s">
        <v>481</v>
      </c>
      <c r="F1387" s="665"/>
      <c r="G1387" s="675">
        <f>G1388</f>
        <v>0</v>
      </c>
      <c r="H1387" s="675">
        <f>H1388</f>
        <v>0</v>
      </c>
      <c r="I1387" s="669" t="e">
        <f t="shared" si="281"/>
        <v>#DIV/0!</v>
      </c>
    </row>
    <row r="1388" spans="1:9" ht="14.25" hidden="1" x14ac:dyDescent="0.2">
      <c r="A1388" s="921"/>
      <c r="B1388" s="2722"/>
      <c r="C1388" s="2722"/>
      <c r="D1388" s="2726" t="s">
        <v>917</v>
      </c>
      <c r="E1388" s="2619" t="s">
        <v>1534</v>
      </c>
      <c r="F1388" s="665"/>
      <c r="G1388" s="665"/>
      <c r="H1388" s="665"/>
      <c r="I1388" s="656" t="e">
        <f t="shared" si="281"/>
        <v>#DIV/0!</v>
      </c>
    </row>
    <row r="1389" spans="1:9" ht="15" x14ac:dyDescent="0.25">
      <c r="A1389" s="921">
        <v>1153</v>
      </c>
      <c r="B1389" s="2722">
        <v>3141</v>
      </c>
      <c r="C1389" s="2722">
        <v>5336</v>
      </c>
      <c r="D1389" s="2726"/>
      <c r="E1389" s="602" t="s">
        <v>856</v>
      </c>
      <c r="F1389" s="675">
        <f>F1390</f>
        <v>0</v>
      </c>
      <c r="G1389" s="675">
        <f>G1390</f>
        <v>1452</v>
      </c>
      <c r="H1389" s="675">
        <f>H1390</f>
        <v>1452</v>
      </c>
      <c r="I1389" s="669">
        <f t="shared" si="281"/>
        <v>100</v>
      </c>
    </row>
    <row r="1390" spans="1:9" ht="14.25" x14ac:dyDescent="0.2">
      <c r="A1390" s="921"/>
      <c r="B1390" s="2722"/>
      <c r="C1390" s="2722"/>
      <c r="D1390" s="2726" t="s">
        <v>901</v>
      </c>
      <c r="E1390" s="436" t="s">
        <v>1637</v>
      </c>
      <c r="F1390" s="665">
        <v>0</v>
      </c>
      <c r="G1390" s="665">
        <v>1452</v>
      </c>
      <c r="H1390" s="665">
        <v>1452</v>
      </c>
      <c r="I1390" s="661">
        <f t="shared" si="281"/>
        <v>100</v>
      </c>
    </row>
    <row r="1391" spans="1:9" ht="15" x14ac:dyDescent="0.25">
      <c r="A1391" s="921">
        <v>1153</v>
      </c>
      <c r="B1391" s="2722">
        <v>3147</v>
      </c>
      <c r="C1391" s="2722">
        <v>5336</v>
      </c>
      <c r="D1391" s="2726"/>
      <c r="E1391" s="602" t="s">
        <v>856</v>
      </c>
      <c r="F1391" s="675">
        <f>F1392</f>
        <v>0</v>
      </c>
      <c r="G1391" s="675">
        <f>G1392</f>
        <v>1947</v>
      </c>
      <c r="H1391" s="675">
        <f>H1392</f>
        <v>1947</v>
      </c>
      <c r="I1391" s="669">
        <f t="shared" si="281"/>
        <v>100</v>
      </c>
    </row>
    <row r="1392" spans="1:9" ht="15" thickBot="1" x14ac:dyDescent="0.25">
      <c r="A1392" s="921"/>
      <c r="B1392" s="2722"/>
      <c r="C1392" s="2722"/>
      <c r="D1392" s="2726" t="s">
        <v>901</v>
      </c>
      <c r="E1392" s="436" t="s">
        <v>1637</v>
      </c>
      <c r="F1392" s="665">
        <v>0</v>
      </c>
      <c r="G1392" s="665">
        <v>1947</v>
      </c>
      <c r="H1392" s="665">
        <v>1947</v>
      </c>
      <c r="I1392" s="661">
        <f t="shared" si="281"/>
        <v>100</v>
      </c>
    </row>
    <row r="1393" spans="1:20" ht="18" customHeight="1" thickTop="1" thickBot="1" x14ac:dyDescent="0.3">
      <c r="A1393" s="3233" t="s">
        <v>522</v>
      </c>
      <c r="B1393" s="3234"/>
      <c r="C1393" s="3234"/>
      <c r="D1393" s="3234"/>
      <c r="E1393" s="3234"/>
      <c r="F1393" s="657">
        <f>F1377</f>
        <v>0</v>
      </c>
      <c r="G1393" s="657">
        <f>G1391+G1389+G1379+G1377+G1387</f>
        <v>11125</v>
      </c>
      <c r="H1393" s="657">
        <f>H1391+H1389+H1379+H1377+H1387</f>
        <v>11125</v>
      </c>
      <c r="I1393" s="658">
        <f>(H1393/G1393)*100</f>
        <v>100</v>
      </c>
      <c r="R1393" s="373">
        <f>F1393</f>
        <v>0</v>
      </c>
      <c r="S1393" s="373">
        <f>G1393</f>
        <v>11125</v>
      </c>
      <c r="T1393" s="373">
        <f>H1393</f>
        <v>11125</v>
      </c>
    </row>
    <row r="1394" spans="1:20" ht="18" customHeight="1" thickTop="1" x14ac:dyDescent="0.25">
      <c r="A1394" s="360"/>
      <c r="B1394" s="360"/>
      <c r="C1394" s="360"/>
      <c r="D1394" s="360"/>
      <c r="E1394" s="360"/>
      <c r="F1394" s="177"/>
      <c r="G1394" s="177"/>
      <c r="H1394" s="177"/>
      <c r="I1394" s="206"/>
      <c r="R1394" s="373"/>
      <c r="S1394" s="373"/>
      <c r="T1394" s="373"/>
    </row>
    <row r="1395" spans="1:20" ht="13.5" thickBot="1" x14ac:dyDescent="0.25">
      <c r="A1395" s="419" t="s">
        <v>524</v>
      </c>
      <c r="I1395" s="915" t="s">
        <v>92</v>
      </c>
    </row>
    <row r="1396" spans="1:20" s="106" customFormat="1" thickTop="1" thickBot="1" x14ac:dyDescent="0.25">
      <c r="A1396" s="572" t="s">
        <v>324</v>
      </c>
      <c r="B1396" s="639" t="s">
        <v>93</v>
      </c>
      <c r="C1396" s="573" t="s">
        <v>94</v>
      </c>
      <c r="D1396" s="575" t="s">
        <v>364</v>
      </c>
      <c r="E1396" s="575" t="s">
        <v>95</v>
      </c>
      <c r="F1396" s="575" t="s">
        <v>328</v>
      </c>
      <c r="G1396" s="575" t="s">
        <v>329</v>
      </c>
      <c r="H1396" s="575" t="s">
        <v>448</v>
      </c>
      <c r="I1396" s="651" t="s">
        <v>449</v>
      </c>
    </row>
    <row r="1397" spans="1:20" s="374" customFormat="1" ht="13.5" thickTop="1" thickBot="1" x14ac:dyDescent="0.25">
      <c r="A1397" s="511">
        <v>1</v>
      </c>
      <c r="B1397" s="512">
        <v>2</v>
      </c>
      <c r="C1397" s="512">
        <v>3</v>
      </c>
      <c r="D1397" s="512">
        <v>4</v>
      </c>
      <c r="E1397" s="512">
        <v>5</v>
      </c>
      <c r="F1397" s="499">
        <v>6</v>
      </c>
      <c r="G1397" s="499">
        <v>7</v>
      </c>
      <c r="H1397" s="500">
        <v>8</v>
      </c>
      <c r="I1397" s="577" t="s">
        <v>393</v>
      </c>
    </row>
    <row r="1398" spans="1:20" ht="15.75" hidden="1" thickTop="1" x14ac:dyDescent="0.25">
      <c r="A1398" s="924">
        <v>1154</v>
      </c>
      <c r="B1398" s="676">
        <v>3122</v>
      </c>
      <c r="C1398" s="676">
        <v>5331</v>
      </c>
      <c r="D1398" s="679"/>
      <c r="E1398" s="703" t="s">
        <v>481</v>
      </c>
      <c r="F1398" s="674">
        <f>F1399+F1400</f>
        <v>0</v>
      </c>
      <c r="G1398" s="674">
        <f>G1399+G1400</f>
        <v>0</v>
      </c>
      <c r="H1398" s="674">
        <f>H1399+H1400</f>
        <v>0</v>
      </c>
      <c r="I1398" s="677" t="e">
        <f t="shared" ref="I1398:I1408" si="284">(H1398/G1398)*100</f>
        <v>#DIV/0!</v>
      </c>
    </row>
    <row r="1399" spans="1:20" ht="15" hidden="1" thickTop="1" x14ac:dyDescent="0.2">
      <c r="A1399" s="418"/>
      <c r="B1399" s="603"/>
      <c r="C1399" s="603"/>
      <c r="D1399" s="620" t="s">
        <v>905</v>
      </c>
      <c r="E1399" s="938" t="s">
        <v>408</v>
      </c>
      <c r="F1399" s="660"/>
      <c r="G1399" s="660"/>
      <c r="H1399" s="660"/>
      <c r="I1399" s="656" t="e">
        <f t="shared" si="284"/>
        <v>#DIV/0!</v>
      </c>
    </row>
    <row r="1400" spans="1:20" ht="15" hidden="1" thickTop="1" x14ac:dyDescent="0.2">
      <c r="A1400" s="418"/>
      <c r="B1400" s="603"/>
      <c r="C1400" s="603"/>
      <c r="D1400" s="505" t="s">
        <v>906</v>
      </c>
      <c r="E1400" s="436" t="s">
        <v>38</v>
      </c>
      <c r="F1400" s="660"/>
      <c r="G1400" s="660"/>
      <c r="H1400" s="660"/>
      <c r="I1400" s="656" t="e">
        <f t="shared" si="284"/>
        <v>#DIV/0!</v>
      </c>
    </row>
    <row r="1401" spans="1:20" ht="15.75" thickTop="1" x14ac:dyDescent="0.25">
      <c r="A1401" s="921">
        <v>1154</v>
      </c>
      <c r="B1401" s="2427">
        <v>3122</v>
      </c>
      <c r="C1401" s="2427">
        <v>5336</v>
      </c>
      <c r="D1401" s="2763"/>
      <c r="E1401" s="602" t="s">
        <v>856</v>
      </c>
      <c r="F1401" s="678">
        <f>F1402+F1403+F1404+F1405+F1406+F1407</f>
        <v>0</v>
      </c>
      <c r="G1401" s="678">
        <f t="shared" ref="G1401:H1401" si="285">G1402+G1403+G1404+G1405+G1406+G1407</f>
        <v>12312</v>
      </c>
      <c r="H1401" s="678">
        <f t="shared" si="285"/>
        <v>12312</v>
      </c>
      <c r="I1401" s="680">
        <f t="shared" si="284"/>
        <v>100</v>
      </c>
    </row>
    <row r="1402" spans="1:20" ht="14.25" x14ac:dyDescent="0.2">
      <c r="A1402" s="921"/>
      <c r="B1402" s="2427"/>
      <c r="C1402" s="2427"/>
      <c r="D1402" s="2725" t="s">
        <v>920</v>
      </c>
      <c r="E1402" s="1352" t="s">
        <v>769</v>
      </c>
      <c r="F1402" s="660">
        <v>0</v>
      </c>
      <c r="G1402" s="660">
        <v>7</v>
      </c>
      <c r="H1402" s="660">
        <v>7</v>
      </c>
      <c r="I1402" s="656">
        <f t="shared" ref="I1402" si="286">(H1402/G1402)*100</f>
        <v>100</v>
      </c>
    </row>
    <row r="1403" spans="1:20" ht="14.25" x14ac:dyDescent="0.2">
      <c r="A1403" s="921"/>
      <c r="B1403" s="2427"/>
      <c r="C1403" s="2427"/>
      <c r="D1403" s="2725" t="s">
        <v>902</v>
      </c>
      <c r="E1403" s="1352" t="s">
        <v>855</v>
      </c>
      <c r="F1403" s="1600">
        <v>0</v>
      </c>
      <c r="G1403" s="1600">
        <v>243</v>
      </c>
      <c r="H1403" s="1600">
        <v>243</v>
      </c>
      <c r="I1403" s="367">
        <f t="shared" ref="I1403:I1404" si="287">(H1403/G1403)*100</f>
        <v>100</v>
      </c>
    </row>
    <row r="1404" spans="1:20" ht="14.25" x14ac:dyDescent="0.2">
      <c r="A1404" s="921"/>
      <c r="B1404" s="2427"/>
      <c r="C1404" s="2427"/>
      <c r="D1404" s="2725" t="s">
        <v>1896</v>
      </c>
      <c r="E1404" s="2216" t="s">
        <v>1951</v>
      </c>
      <c r="F1404" s="1643">
        <v>0</v>
      </c>
      <c r="G1404" s="1643">
        <v>41</v>
      </c>
      <c r="H1404" s="1643">
        <v>41</v>
      </c>
      <c r="I1404" s="982">
        <f t="shared" si="287"/>
        <v>100</v>
      </c>
    </row>
    <row r="1405" spans="1:20" ht="14.25" x14ac:dyDescent="0.2">
      <c r="A1405" s="921"/>
      <c r="B1405" s="2427"/>
      <c r="C1405" s="2719"/>
      <c r="D1405" s="2726" t="s">
        <v>901</v>
      </c>
      <c r="E1405" s="436" t="s">
        <v>1637</v>
      </c>
      <c r="F1405" s="660">
        <v>0</v>
      </c>
      <c r="G1405" s="660">
        <v>11655</v>
      </c>
      <c r="H1405" s="660">
        <v>11655</v>
      </c>
      <c r="I1405" s="656">
        <f t="shared" si="284"/>
        <v>100</v>
      </c>
    </row>
    <row r="1406" spans="1:20" ht="14.25" x14ac:dyDescent="0.2">
      <c r="A1406" s="921"/>
      <c r="B1406" s="2427"/>
      <c r="C1406" s="2719"/>
      <c r="D1406" s="2726" t="s">
        <v>1144</v>
      </c>
      <c r="E1406" s="938" t="s">
        <v>1515</v>
      </c>
      <c r="F1406" s="660">
        <v>0</v>
      </c>
      <c r="G1406" s="660">
        <v>55</v>
      </c>
      <c r="H1406" s="660">
        <v>55</v>
      </c>
      <c r="I1406" s="656">
        <f t="shared" si="284"/>
        <v>100</v>
      </c>
    </row>
    <row r="1407" spans="1:20" ht="15" thickBot="1" x14ac:dyDescent="0.25">
      <c r="A1407" s="921"/>
      <c r="B1407" s="2427"/>
      <c r="C1407" s="2719"/>
      <c r="D1407" s="2726" t="s">
        <v>1145</v>
      </c>
      <c r="E1407" s="938" t="s">
        <v>1515</v>
      </c>
      <c r="F1407" s="660">
        <v>0</v>
      </c>
      <c r="G1407" s="660">
        <v>311</v>
      </c>
      <c r="H1407" s="660">
        <v>311</v>
      </c>
      <c r="I1407" s="656">
        <f t="shared" si="284"/>
        <v>100</v>
      </c>
    </row>
    <row r="1408" spans="1:20" ht="16.5" thickTop="1" thickBot="1" x14ac:dyDescent="0.3">
      <c r="A1408" s="3233" t="s">
        <v>522</v>
      </c>
      <c r="B1408" s="3234"/>
      <c r="C1408" s="3234"/>
      <c r="D1408" s="3234"/>
      <c r="E1408" s="3234"/>
      <c r="F1408" s="657">
        <f>F1398</f>
        <v>0</v>
      </c>
      <c r="G1408" s="657">
        <f>G1398+G1401</f>
        <v>12312</v>
      </c>
      <c r="H1408" s="657">
        <f>H1398+H1401</f>
        <v>12312</v>
      </c>
      <c r="I1408" s="658">
        <f t="shared" si="284"/>
        <v>100</v>
      </c>
      <c r="R1408" s="373">
        <f>F1408</f>
        <v>0</v>
      </c>
      <c r="S1408" s="373">
        <f>G1408</f>
        <v>12312</v>
      </c>
      <c r="T1408" s="373">
        <f>H1408</f>
        <v>12312</v>
      </c>
    </row>
    <row r="1409" spans="1:16" ht="13.5" thickTop="1" x14ac:dyDescent="0.2"/>
    <row r="1410" spans="1:16" ht="13.5" thickBot="1" x14ac:dyDescent="0.25">
      <c r="A1410" s="1427" t="s">
        <v>865</v>
      </c>
      <c r="B1410" s="2239"/>
      <c r="C1410" s="1391"/>
      <c r="D1410" s="1492"/>
      <c r="E1410" s="1391"/>
      <c r="F1410" s="1396"/>
      <c r="G1410" s="1396"/>
      <c r="H1410" s="1396"/>
      <c r="I1410" s="2240" t="s">
        <v>92</v>
      </c>
      <c r="J1410" s="1391"/>
      <c r="K1410" s="1391"/>
      <c r="L1410" s="1391"/>
      <c r="M1410" s="1391"/>
      <c r="N1410" s="1391"/>
      <c r="O1410" s="1391"/>
      <c r="P1410" s="1391"/>
    </row>
    <row r="1411" spans="1:16" s="106" customFormat="1" ht="20.25" customHeight="1" thickTop="1" thickBot="1" x14ac:dyDescent="0.25">
      <c r="A1411" s="2241" t="s">
        <v>324</v>
      </c>
      <c r="B1411" s="2242" t="s">
        <v>93</v>
      </c>
      <c r="C1411" s="2243" t="s">
        <v>94</v>
      </c>
      <c r="D1411" s="2244" t="s">
        <v>364</v>
      </c>
      <c r="E1411" s="2244" t="s">
        <v>95</v>
      </c>
      <c r="F1411" s="2244" t="s">
        <v>328</v>
      </c>
      <c r="G1411" s="2244" t="s">
        <v>329</v>
      </c>
      <c r="H1411" s="2244" t="s">
        <v>448</v>
      </c>
      <c r="I1411" s="2245" t="s">
        <v>449</v>
      </c>
      <c r="J1411" s="2246"/>
      <c r="K1411" s="2246"/>
      <c r="L1411" s="2246"/>
      <c r="M1411" s="2246"/>
      <c r="N1411" s="2246"/>
      <c r="O1411" s="2246"/>
      <c r="P1411" s="2246"/>
    </row>
    <row r="1412" spans="1:16" s="374" customFormat="1" ht="13.5" thickTop="1" thickBot="1" x14ac:dyDescent="0.25">
      <c r="A1412" s="1444">
        <v>1</v>
      </c>
      <c r="B1412" s="2247">
        <v>2</v>
      </c>
      <c r="C1412" s="2247">
        <v>3</v>
      </c>
      <c r="D1412" s="2247">
        <v>4</v>
      </c>
      <c r="E1412" s="2247">
        <v>5</v>
      </c>
      <c r="F1412" s="2248">
        <v>6</v>
      </c>
      <c r="G1412" s="2248">
        <v>7</v>
      </c>
      <c r="H1412" s="2249">
        <v>8</v>
      </c>
      <c r="I1412" s="2250" t="s">
        <v>393</v>
      </c>
      <c r="J1412" s="2251"/>
      <c r="K1412" s="2251"/>
      <c r="L1412" s="2251"/>
      <c r="M1412" s="2251"/>
      <c r="N1412" s="2251"/>
      <c r="O1412" s="2251"/>
      <c r="P1412" s="2251"/>
    </row>
    <row r="1413" spans="1:16" ht="15.75" hidden="1" thickTop="1" x14ac:dyDescent="0.25">
      <c r="A1413" s="2291">
        <v>1160</v>
      </c>
      <c r="B1413" s="2292">
        <v>3122</v>
      </c>
      <c r="C1413" s="2292">
        <v>5331</v>
      </c>
      <c r="D1413" s="2293"/>
      <c r="E1413" s="2294" t="s">
        <v>481</v>
      </c>
      <c r="F1413" s="2295">
        <f>F1414+F1415+F1416</f>
        <v>0</v>
      </c>
      <c r="G1413" s="2295">
        <f t="shared" ref="G1413:H1413" si="288">G1414+G1415+G1416</f>
        <v>0</v>
      </c>
      <c r="H1413" s="2295">
        <f t="shared" si="288"/>
        <v>0</v>
      </c>
      <c r="I1413" s="2296" t="e">
        <f t="shared" ref="I1413:I1431" si="289">(H1413/G1413)*100</f>
        <v>#DIV/0!</v>
      </c>
      <c r="J1413" s="1391"/>
      <c r="K1413" s="1391"/>
      <c r="L1413" s="1391"/>
      <c r="M1413" s="1391"/>
      <c r="N1413" s="1391"/>
      <c r="O1413" s="1391"/>
      <c r="P1413" s="1391"/>
    </row>
    <row r="1414" spans="1:16" ht="15" hidden="1" thickTop="1" x14ac:dyDescent="0.2">
      <c r="A1414" s="1410"/>
      <c r="B1414" s="2256"/>
      <c r="C1414" s="2256"/>
      <c r="D1414" s="2263" t="s">
        <v>905</v>
      </c>
      <c r="E1414" s="2264" t="s">
        <v>408</v>
      </c>
      <c r="F1414" s="2259"/>
      <c r="G1414" s="2259"/>
      <c r="H1414" s="2259"/>
      <c r="I1414" s="2260" t="e">
        <f t="shared" si="289"/>
        <v>#DIV/0!</v>
      </c>
      <c r="J1414" s="1391"/>
      <c r="K1414" s="1391"/>
      <c r="L1414" s="1391"/>
      <c r="M1414" s="1391"/>
      <c r="N1414" s="1391"/>
      <c r="O1414" s="1391"/>
      <c r="P1414" s="1391"/>
    </row>
    <row r="1415" spans="1:16" ht="15" hidden="1" thickTop="1" x14ac:dyDescent="0.2">
      <c r="A1415" s="1410"/>
      <c r="B1415" s="2256"/>
      <c r="C1415" s="2256"/>
      <c r="D1415" s="2252" t="s">
        <v>906</v>
      </c>
      <c r="E1415" s="2257" t="s">
        <v>38</v>
      </c>
      <c r="F1415" s="2259"/>
      <c r="G1415" s="2259"/>
      <c r="H1415" s="2259"/>
      <c r="I1415" s="2260" t="e">
        <f t="shared" si="289"/>
        <v>#DIV/0!</v>
      </c>
      <c r="J1415" s="1391"/>
      <c r="K1415" s="1391"/>
      <c r="L1415" s="1391"/>
      <c r="M1415" s="1391"/>
      <c r="N1415" s="1391"/>
      <c r="O1415" s="1391"/>
      <c r="P1415" s="1391"/>
    </row>
    <row r="1416" spans="1:16" ht="15" hidden="1" thickTop="1" x14ac:dyDescent="0.2">
      <c r="A1416" s="1410"/>
      <c r="B1416" s="2256"/>
      <c r="C1416" s="2256"/>
      <c r="D1416" s="2252" t="s">
        <v>911</v>
      </c>
      <c r="E1416" s="2257" t="s">
        <v>719</v>
      </c>
      <c r="F1416" s="2259"/>
      <c r="G1416" s="2259"/>
      <c r="H1416" s="2259"/>
      <c r="I1416" s="2260" t="e">
        <f t="shared" si="289"/>
        <v>#DIV/0!</v>
      </c>
      <c r="J1416" s="1391"/>
      <c r="K1416" s="1391"/>
      <c r="L1416" s="1391"/>
      <c r="M1416" s="1391"/>
      <c r="N1416" s="1391"/>
      <c r="O1416" s="1391"/>
      <c r="P1416" s="1391"/>
    </row>
    <row r="1417" spans="1:16" ht="15.75" thickTop="1" x14ac:dyDescent="0.25">
      <c r="A1417" s="2744">
        <v>1160</v>
      </c>
      <c r="B1417" s="2747">
        <v>3122</v>
      </c>
      <c r="C1417" s="2747">
        <v>5336</v>
      </c>
      <c r="D1417" s="2746"/>
      <c r="E1417" s="2253" t="s">
        <v>856</v>
      </c>
      <c r="F1417" s="2254">
        <f>F1418+F1419+F1420+F1421+F1422</f>
        <v>0</v>
      </c>
      <c r="G1417" s="2254">
        <f>G1418+G1419+G1420+G1421+G1422</f>
        <v>29431</v>
      </c>
      <c r="H1417" s="2254">
        <f>H1418+H1419+H1420+H1421+H1422</f>
        <v>29431</v>
      </c>
      <c r="I1417" s="2255">
        <f t="shared" si="289"/>
        <v>100</v>
      </c>
      <c r="J1417" s="1391"/>
      <c r="K1417" s="1391"/>
      <c r="L1417" s="1391"/>
      <c r="M1417" s="1391"/>
      <c r="N1417" s="1391"/>
      <c r="O1417" s="1391"/>
      <c r="P1417" s="1391"/>
    </row>
    <row r="1418" spans="1:16" ht="14.25" x14ac:dyDescent="0.2">
      <c r="A1418" s="2744"/>
      <c r="B1418" s="2747"/>
      <c r="C1418" s="2747"/>
      <c r="D1418" s="2746" t="s">
        <v>902</v>
      </c>
      <c r="E1418" s="2271" t="s">
        <v>855</v>
      </c>
      <c r="F1418" s="2287">
        <v>0</v>
      </c>
      <c r="G1418" s="2287">
        <v>874</v>
      </c>
      <c r="H1418" s="2287">
        <v>874</v>
      </c>
      <c r="I1418" s="1543">
        <f t="shared" ref="I1418:I1419" si="290">(H1418/G1418)*100</f>
        <v>100</v>
      </c>
      <c r="J1418" s="1391"/>
      <c r="K1418" s="1391"/>
      <c r="L1418" s="1391"/>
      <c r="M1418" s="1391"/>
      <c r="N1418" s="1391"/>
      <c r="O1418" s="1391"/>
      <c r="P1418" s="1391"/>
    </row>
    <row r="1419" spans="1:16" ht="14.25" x14ac:dyDescent="0.2">
      <c r="A1419" s="2744"/>
      <c r="B1419" s="2747"/>
      <c r="C1419" s="2747"/>
      <c r="D1419" s="2746" t="s">
        <v>1896</v>
      </c>
      <c r="E1419" s="2272" t="s">
        <v>1951</v>
      </c>
      <c r="F1419" s="2288">
        <v>0</v>
      </c>
      <c r="G1419" s="2288">
        <v>242</v>
      </c>
      <c r="H1419" s="2288">
        <v>242</v>
      </c>
      <c r="I1419" s="2274">
        <f t="shared" si="290"/>
        <v>100</v>
      </c>
      <c r="J1419" s="1391"/>
      <c r="K1419" s="1391"/>
      <c r="L1419" s="1391"/>
      <c r="M1419" s="1391"/>
      <c r="N1419" s="1391"/>
      <c r="O1419" s="1391"/>
      <c r="P1419" s="1391"/>
    </row>
    <row r="1420" spans="1:16" ht="14.25" x14ac:dyDescent="0.2">
      <c r="A1420" s="2744"/>
      <c r="B1420" s="2747"/>
      <c r="C1420" s="2747"/>
      <c r="D1420" s="2746" t="s">
        <v>901</v>
      </c>
      <c r="E1420" s="2257" t="s">
        <v>1637</v>
      </c>
      <c r="F1420" s="2259">
        <v>0</v>
      </c>
      <c r="G1420" s="2259">
        <v>28315</v>
      </c>
      <c r="H1420" s="2259">
        <v>28315</v>
      </c>
      <c r="I1420" s="2260">
        <f t="shared" si="289"/>
        <v>100</v>
      </c>
      <c r="J1420" s="1391"/>
      <c r="K1420" s="1391"/>
      <c r="L1420" s="1391"/>
      <c r="M1420" s="1391"/>
      <c r="N1420" s="1391"/>
      <c r="O1420" s="1391"/>
      <c r="P1420" s="1391"/>
    </row>
    <row r="1421" spans="1:16" ht="14.25" hidden="1" x14ac:dyDescent="0.2">
      <c r="A1421" s="2744"/>
      <c r="B1421" s="2745"/>
      <c r="C1421" s="2745"/>
      <c r="D1421" s="2746" t="s">
        <v>907</v>
      </c>
      <c r="E1421" s="2264" t="s">
        <v>909</v>
      </c>
      <c r="F1421" s="2269"/>
      <c r="G1421" s="2269"/>
      <c r="H1421" s="2269"/>
      <c r="I1421" s="2260" t="e">
        <f t="shared" si="289"/>
        <v>#DIV/0!</v>
      </c>
      <c r="J1421" s="1391"/>
      <c r="K1421" s="1391"/>
      <c r="L1421" s="1391"/>
      <c r="M1421" s="1391"/>
      <c r="N1421" s="1391"/>
      <c r="O1421" s="1391"/>
      <c r="P1421" s="1391"/>
    </row>
    <row r="1422" spans="1:16" ht="14.25" hidden="1" x14ac:dyDescent="0.2">
      <c r="A1422" s="2744"/>
      <c r="B1422" s="2745"/>
      <c r="C1422" s="2745"/>
      <c r="D1422" s="2746" t="s">
        <v>908</v>
      </c>
      <c r="E1422" s="2264" t="s">
        <v>909</v>
      </c>
      <c r="F1422" s="2269"/>
      <c r="G1422" s="2269"/>
      <c r="H1422" s="2269"/>
      <c r="I1422" s="2260" t="e">
        <f t="shared" si="289"/>
        <v>#DIV/0!</v>
      </c>
      <c r="J1422" s="1391"/>
      <c r="K1422" s="1391"/>
      <c r="L1422" s="1391"/>
      <c r="M1422" s="1391"/>
      <c r="N1422" s="1391"/>
      <c r="O1422" s="1391"/>
      <c r="P1422" s="1391"/>
    </row>
    <row r="1423" spans="1:16" ht="15" x14ac:dyDescent="0.25">
      <c r="A1423" s="2744">
        <v>1160</v>
      </c>
      <c r="B1423" s="2745">
        <v>3141</v>
      </c>
      <c r="C1423" s="2745">
        <v>5336</v>
      </c>
      <c r="D1423" s="2746"/>
      <c r="E1423" s="2253" t="s">
        <v>856</v>
      </c>
      <c r="F1423" s="2266">
        <f>F1424</f>
        <v>0</v>
      </c>
      <c r="G1423" s="2266">
        <f>G1424</f>
        <v>1069</v>
      </c>
      <c r="H1423" s="2266">
        <f>H1424</f>
        <v>1069</v>
      </c>
      <c r="I1423" s="2267">
        <f t="shared" si="289"/>
        <v>100</v>
      </c>
      <c r="J1423" s="1391"/>
      <c r="K1423" s="1391"/>
      <c r="L1423" s="1391"/>
      <c r="M1423" s="1391"/>
      <c r="N1423" s="1391"/>
      <c r="O1423" s="1391"/>
      <c r="P1423" s="1391"/>
    </row>
    <row r="1424" spans="1:16" ht="14.25" x14ac:dyDescent="0.2">
      <c r="A1424" s="2744"/>
      <c r="B1424" s="2745"/>
      <c r="C1424" s="2745"/>
      <c r="D1424" s="2746" t="s">
        <v>901</v>
      </c>
      <c r="E1424" s="2257" t="s">
        <v>1637</v>
      </c>
      <c r="F1424" s="2269">
        <v>0</v>
      </c>
      <c r="G1424" s="2269">
        <v>1069</v>
      </c>
      <c r="H1424" s="2269">
        <v>1069</v>
      </c>
      <c r="I1424" s="2270">
        <f t="shared" si="289"/>
        <v>100</v>
      </c>
      <c r="J1424" s="1391"/>
      <c r="K1424" s="1391"/>
      <c r="L1424" s="1391"/>
      <c r="M1424" s="1391"/>
      <c r="N1424" s="1391"/>
      <c r="O1424" s="1391"/>
      <c r="P1424" s="1391"/>
    </row>
    <row r="1425" spans="1:20" ht="15" x14ac:dyDescent="0.25">
      <c r="A1425" s="2744">
        <v>1160</v>
      </c>
      <c r="B1425" s="2745">
        <v>3147</v>
      </c>
      <c r="C1425" s="2745">
        <v>5336</v>
      </c>
      <c r="D1425" s="2746"/>
      <c r="E1425" s="2253" t="s">
        <v>856</v>
      </c>
      <c r="F1425" s="2266">
        <f>F1426</f>
        <v>0</v>
      </c>
      <c r="G1425" s="2266">
        <f>G1426</f>
        <v>4484</v>
      </c>
      <c r="H1425" s="2266">
        <f>H1426</f>
        <v>4484</v>
      </c>
      <c r="I1425" s="2267">
        <f t="shared" si="289"/>
        <v>100</v>
      </c>
      <c r="J1425" s="1391"/>
      <c r="K1425" s="1391"/>
      <c r="L1425" s="1391"/>
      <c r="M1425" s="1391"/>
      <c r="N1425" s="1391"/>
      <c r="O1425" s="1391"/>
      <c r="P1425" s="1391"/>
    </row>
    <row r="1426" spans="1:20" ht="14.25" x14ac:dyDescent="0.2">
      <c r="A1426" s="2744"/>
      <c r="B1426" s="2745"/>
      <c r="C1426" s="2745"/>
      <c r="D1426" s="2746" t="s">
        <v>901</v>
      </c>
      <c r="E1426" s="2257" t="s">
        <v>1637</v>
      </c>
      <c r="F1426" s="2269">
        <v>0</v>
      </c>
      <c r="G1426" s="2269">
        <v>4484</v>
      </c>
      <c r="H1426" s="2269">
        <v>4484</v>
      </c>
      <c r="I1426" s="2270">
        <f t="shared" si="289"/>
        <v>100</v>
      </c>
      <c r="J1426" s="1391"/>
      <c r="K1426" s="1391"/>
      <c r="L1426" s="1391"/>
      <c r="M1426" s="1391"/>
      <c r="N1426" s="1391"/>
      <c r="O1426" s="1391"/>
      <c r="P1426" s="1391"/>
    </row>
    <row r="1427" spans="1:20" ht="15" x14ac:dyDescent="0.25">
      <c r="A1427" s="2744">
        <v>1160</v>
      </c>
      <c r="B1427" s="2745">
        <v>3150</v>
      </c>
      <c r="C1427" s="2745">
        <v>5336</v>
      </c>
      <c r="D1427" s="2746"/>
      <c r="E1427" s="2253" t="s">
        <v>856</v>
      </c>
      <c r="F1427" s="2266">
        <f>F1428</f>
        <v>0</v>
      </c>
      <c r="G1427" s="2266">
        <f>G1428</f>
        <v>14686</v>
      </c>
      <c r="H1427" s="2266">
        <f>H1428</f>
        <v>14686</v>
      </c>
      <c r="I1427" s="2267">
        <f t="shared" si="289"/>
        <v>100</v>
      </c>
      <c r="J1427" s="1391"/>
      <c r="K1427" s="1391"/>
      <c r="L1427" s="1391"/>
      <c r="M1427" s="1391"/>
      <c r="N1427" s="1391"/>
      <c r="O1427" s="1391"/>
      <c r="P1427" s="1391"/>
    </row>
    <row r="1428" spans="1:20" ht="15" thickBot="1" x14ac:dyDescent="0.25">
      <c r="A1428" s="921"/>
      <c r="B1428" s="2722"/>
      <c r="C1428" s="2722"/>
      <c r="D1428" s="2726" t="s">
        <v>901</v>
      </c>
      <c r="E1428" s="436" t="s">
        <v>1637</v>
      </c>
      <c r="F1428" s="665">
        <v>0</v>
      </c>
      <c r="G1428" s="665">
        <v>14686</v>
      </c>
      <c r="H1428" s="665">
        <v>14686</v>
      </c>
      <c r="I1428" s="661">
        <f t="shared" si="289"/>
        <v>100</v>
      </c>
    </row>
    <row r="1429" spans="1:20" ht="15.75" hidden="1" thickBot="1" x14ac:dyDescent="0.3">
      <c r="A1429" s="418">
        <v>1160</v>
      </c>
      <c r="B1429" s="634">
        <v>3239</v>
      </c>
      <c r="C1429" s="634">
        <v>5336</v>
      </c>
      <c r="D1429" s="505"/>
      <c r="E1429" s="602" t="s">
        <v>856</v>
      </c>
      <c r="F1429" s="665"/>
      <c r="G1429" s="675">
        <f>G1430</f>
        <v>0</v>
      </c>
      <c r="H1429" s="675">
        <f>H1430</f>
        <v>0</v>
      </c>
      <c r="I1429" s="669" t="e">
        <f t="shared" si="289"/>
        <v>#DIV/0!</v>
      </c>
    </row>
    <row r="1430" spans="1:20" ht="15" hidden="1" thickBot="1" x14ac:dyDescent="0.25">
      <c r="A1430" s="418"/>
      <c r="B1430" s="634"/>
      <c r="C1430" s="634"/>
      <c r="D1430" s="810" t="s">
        <v>913</v>
      </c>
      <c r="E1430" s="868" t="s">
        <v>570</v>
      </c>
      <c r="F1430" s="665"/>
      <c r="G1430" s="665"/>
      <c r="H1430" s="665"/>
      <c r="I1430" s="661" t="e">
        <f t="shared" ref="I1430" si="291">(H1430/G1430)*100</f>
        <v>#DIV/0!</v>
      </c>
    </row>
    <row r="1431" spans="1:20" ht="16.5" thickTop="1" thickBot="1" x14ac:dyDescent="0.3">
      <c r="A1431" s="3233" t="s">
        <v>522</v>
      </c>
      <c r="B1431" s="3234"/>
      <c r="C1431" s="3234"/>
      <c r="D1431" s="3234"/>
      <c r="E1431" s="3234"/>
      <c r="F1431" s="657">
        <f>F1413</f>
        <v>0</v>
      </c>
      <c r="G1431" s="657">
        <f>G1429+G1427+G1425+G1423+G1417+G1413</f>
        <v>49670</v>
      </c>
      <c r="H1431" s="657">
        <f>H1429+H1427+H1425+H1423+H1417+H1413</f>
        <v>49670</v>
      </c>
      <c r="I1431" s="658">
        <f t="shared" si="289"/>
        <v>100</v>
      </c>
      <c r="R1431" s="373">
        <f>F1431</f>
        <v>0</v>
      </c>
      <c r="S1431" s="373">
        <f>G1431</f>
        <v>49670</v>
      </c>
      <c r="T1431" s="373">
        <f>H1431</f>
        <v>49670</v>
      </c>
    </row>
    <row r="1432" spans="1:20" ht="13.5" thickTop="1" x14ac:dyDescent="0.2"/>
    <row r="1433" spans="1:20" ht="6" customHeight="1" x14ac:dyDescent="0.2"/>
    <row r="1434" spans="1:20" ht="13.5" thickBot="1" x14ac:dyDescent="0.25">
      <c r="A1434" s="419" t="s">
        <v>105</v>
      </c>
      <c r="I1434" s="915" t="s">
        <v>92</v>
      </c>
    </row>
    <row r="1435" spans="1:20" s="106" customFormat="1" thickTop="1" thickBot="1" x14ac:dyDescent="0.25">
      <c r="A1435" s="572" t="s">
        <v>324</v>
      </c>
      <c r="B1435" s="639" t="s">
        <v>93</v>
      </c>
      <c r="C1435" s="573" t="s">
        <v>94</v>
      </c>
      <c r="D1435" s="575" t="s">
        <v>364</v>
      </c>
      <c r="E1435" s="575" t="s">
        <v>95</v>
      </c>
      <c r="F1435" s="575" t="s">
        <v>328</v>
      </c>
      <c r="G1435" s="575" t="s">
        <v>329</v>
      </c>
      <c r="H1435" s="575" t="s">
        <v>448</v>
      </c>
      <c r="I1435" s="651" t="s">
        <v>449</v>
      </c>
    </row>
    <row r="1436" spans="1:20" s="374" customFormat="1" ht="13.5" thickTop="1" thickBot="1" x14ac:dyDescent="0.25">
      <c r="A1436" s="511">
        <v>1</v>
      </c>
      <c r="B1436" s="512">
        <v>2</v>
      </c>
      <c r="C1436" s="512">
        <v>3</v>
      </c>
      <c r="D1436" s="512">
        <v>4</v>
      </c>
      <c r="E1436" s="512">
        <v>5</v>
      </c>
      <c r="F1436" s="499">
        <v>6</v>
      </c>
      <c r="G1436" s="499">
        <v>7</v>
      </c>
      <c r="H1436" s="500">
        <v>8</v>
      </c>
      <c r="I1436" s="577" t="s">
        <v>393</v>
      </c>
    </row>
    <row r="1437" spans="1:20" ht="15.75" hidden="1" thickTop="1" x14ac:dyDescent="0.25">
      <c r="A1437" s="924">
        <v>1161</v>
      </c>
      <c r="B1437" s="676">
        <v>3122</v>
      </c>
      <c r="C1437" s="676">
        <v>5331</v>
      </c>
      <c r="D1437" s="679"/>
      <c r="E1437" s="703" t="s">
        <v>481</v>
      </c>
      <c r="F1437" s="674">
        <f>F1438+F1439</f>
        <v>0</v>
      </c>
      <c r="G1437" s="674">
        <f>G1438+G1439</f>
        <v>0</v>
      </c>
      <c r="H1437" s="674">
        <f>H1438+H1439</f>
        <v>0</v>
      </c>
      <c r="I1437" s="677" t="e">
        <f t="shared" ref="I1437:I1447" si="292">(H1437/G1437)*100</f>
        <v>#DIV/0!</v>
      </c>
    </row>
    <row r="1438" spans="1:20" ht="15" hidden="1" thickTop="1" x14ac:dyDescent="0.2">
      <c r="A1438" s="418"/>
      <c r="B1438" s="603"/>
      <c r="C1438" s="603"/>
      <c r="D1438" s="620" t="s">
        <v>905</v>
      </c>
      <c r="E1438" s="938" t="s">
        <v>408</v>
      </c>
      <c r="F1438" s="660"/>
      <c r="G1438" s="660"/>
      <c r="H1438" s="660"/>
      <c r="I1438" s="656" t="e">
        <f t="shared" si="292"/>
        <v>#DIV/0!</v>
      </c>
    </row>
    <row r="1439" spans="1:20" ht="15" hidden="1" thickTop="1" x14ac:dyDescent="0.2">
      <c r="A1439" s="418"/>
      <c r="B1439" s="603"/>
      <c r="C1439" s="603"/>
      <c r="D1439" s="505" t="s">
        <v>906</v>
      </c>
      <c r="E1439" s="436" t="s">
        <v>38</v>
      </c>
      <c r="F1439" s="660"/>
      <c r="G1439" s="660"/>
      <c r="H1439" s="660"/>
      <c r="I1439" s="656" t="e">
        <f t="shared" si="292"/>
        <v>#DIV/0!</v>
      </c>
    </row>
    <row r="1440" spans="1:20" ht="15.75" thickTop="1" x14ac:dyDescent="0.25">
      <c r="A1440" s="921">
        <v>1161</v>
      </c>
      <c r="B1440" s="2427">
        <v>3122</v>
      </c>
      <c r="C1440" s="2427">
        <v>5336</v>
      </c>
      <c r="D1440" s="2763"/>
      <c r="E1440" s="602" t="s">
        <v>856</v>
      </c>
      <c r="F1440" s="678">
        <f>F1441+F1442+F1443+F1444+F1445+F1446</f>
        <v>0</v>
      </c>
      <c r="G1440" s="678">
        <f>G1441+G1442+G1443+G1444+G1445+G1446</f>
        <v>12802</v>
      </c>
      <c r="H1440" s="678">
        <f>H1441+H1442+H1443+H1444+H1445+H1446</f>
        <v>12802</v>
      </c>
      <c r="I1440" s="680">
        <f t="shared" si="292"/>
        <v>100</v>
      </c>
    </row>
    <row r="1441" spans="1:20" ht="14.25" hidden="1" x14ac:dyDescent="0.2">
      <c r="A1441" s="921"/>
      <c r="B1441" s="2427"/>
      <c r="C1441" s="2427"/>
      <c r="D1441" s="2725" t="s">
        <v>920</v>
      </c>
      <c r="E1441" s="1352" t="s">
        <v>769</v>
      </c>
      <c r="F1441" s="660"/>
      <c r="G1441" s="660"/>
      <c r="H1441" s="660"/>
      <c r="I1441" s="656" t="e">
        <f t="shared" ref="I1441" si="293">(H1441/G1441)*100</f>
        <v>#DIV/0!</v>
      </c>
    </row>
    <row r="1442" spans="1:20" ht="14.25" x14ac:dyDescent="0.2">
      <c r="A1442" s="921"/>
      <c r="B1442" s="2427"/>
      <c r="C1442" s="2427"/>
      <c r="D1442" s="2725" t="s">
        <v>902</v>
      </c>
      <c r="E1442" s="1352" t="s">
        <v>855</v>
      </c>
      <c r="F1442" s="1600">
        <v>0</v>
      </c>
      <c r="G1442" s="1600">
        <v>254</v>
      </c>
      <c r="H1442" s="1600">
        <v>254</v>
      </c>
      <c r="I1442" s="367">
        <f t="shared" ref="I1442:I1443" si="294">(H1442/G1442)*100</f>
        <v>100</v>
      </c>
    </row>
    <row r="1443" spans="1:20" ht="14.25" x14ac:dyDescent="0.2">
      <c r="A1443" s="921"/>
      <c r="B1443" s="2427"/>
      <c r="C1443" s="2427"/>
      <c r="D1443" s="2725" t="s">
        <v>1896</v>
      </c>
      <c r="E1443" s="2216" t="s">
        <v>1951</v>
      </c>
      <c r="F1443" s="1643">
        <v>0</v>
      </c>
      <c r="G1443" s="1643">
        <v>47</v>
      </c>
      <c r="H1443" s="1643">
        <v>47</v>
      </c>
      <c r="I1443" s="982">
        <f t="shared" si="294"/>
        <v>100</v>
      </c>
    </row>
    <row r="1444" spans="1:20" ht="14.25" x14ac:dyDescent="0.2">
      <c r="A1444" s="921"/>
      <c r="B1444" s="2427"/>
      <c r="C1444" s="2719"/>
      <c r="D1444" s="2726" t="s">
        <v>901</v>
      </c>
      <c r="E1444" s="436" t="s">
        <v>1637</v>
      </c>
      <c r="F1444" s="660">
        <v>0</v>
      </c>
      <c r="G1444" s="660">
        <v>12164</v>
      </c>
      <c r="H1444" s="660">
        <v>12164</v>
      </c>
      <c r="I1444" s="656">
        <f t="shared" si="292"/>
        <v>100</v>
      </c>
    </row>
    <row r="1445" spans="1:20" ht="14.25" x14ac:dyDescent="0.2">
      <c r="A1445" s="418"/>
      <c r="B1445" s="603"/>
      <c r="C1445" s="917"/>
      <c r="D1445" s="2726" t="s">
        <v>1144</v>
      </c>
      <c r="E1445" s="938" t="s">
        <v>1515</v>
      </c>
      <c r="F1445" s="660">
        <v>0</v>
      </c>
      <c r="G1445" s="660">
        <v>51</v>
      </c>
      <c r="H1445" s="660">
        <v>51</v>
      </c>
      <c r="I1445" s="656">
        <f t="shared" si="292"/>
        <v>100</v>
      </c>
    </row>
    <row r="1446" spans="1:20" ht="15" thickBot="1" x14ac:dyDescent="0.25">
      <c r="A1446" s="418"/>
      <c r="B1446" s="603"/>
      <c r="C1446" s="917"/>
      <c r="D1446" s="2726" t="s">
        <v>1145</v>
      </c>
      <c r="E1446" s="938" t="s">
        <v>1515</v>
      </c>
      <c r="F1446" s="660">
        <v>0</v>
      </c>
      <c r="G1446" s="660">
        <v>286</v>
      </c>
      <c r="H1446" s="660">
        <v>286</v>
      </c>
      <c r="I1446" s="656">
        <f t="shared" si="292"/>
        <v>100</v>
      </c>
    </row>
    <row r="1447" spans="1:20" ht="16.5" thickTop="1" thickBot="1" x14ac:dyDescent="0.3">
      <c r="A1447" s="3233" t="s">
        <v>522</v>
      </c>
      <c r="B1447" s="3234"/>
      <c r="C1447" s="3234"/>
      <c r="D1447" s="3234"/>
      <c r="E1447" s="3234"/>
      <c r="F1447" s="657">
        <f>SUM(F1437)</f>
        <v>0</v>
      </c>
      <c r="G1447" s="657">
        <f>G1437+G1440</f>
        <v>12802</v>
      </c>
      <c r="H1447" s="657">
        <f>H1437+H1440</f>
        <v>12802</v>
      </c>
      <c r="I1447" s="658">
        <f t="shared" si="292"/>
        <v>100</v>
      </c>
      <c r="R1447" s="373">
        <f>F1447</f>
        <v>0</v>
      </c>
      <c r="S1447" s="373">
        <f>G1447</f>
        <v>12802</v>
      </c>
      <c r="T1447" s="373">
        <f>H1447</f>
        <v>12802</v>
      </c>
    </row>
    <row r="1448" spans="1:20" ht="13.5" thickTop="1" x14ac:dyDescent="0.2"/>
    <row r="1457" spans="1:9" ht="13.5" thickBot="1" x14ac:dyDescent="0.25">
      <c r="A1457" s="419" t="s">
        <v>1984</v>
      </c>
      <c r="I1457" s="915" t="s">
        <v>92</v>
      </c>
    </row>
    <row r="1458" spans="1:9" s="106" customFormat="1" thickTop="1" thickBot="1" x14ac:dyDescent="0.25">
      <c r="A1458" s="572" t="s">
        <v>324</v>
      </c>
      <c r="B1458" s="639" t="s">
        <v>93</v>
      </c>
      <c r="C1458" s="573" t="s">
        <v>94</v>
      </c>
      <c r="D1458" s="575" t="s">
        <v>364</v>
      </c>
      <c r="E1458" s="575" t="s">
        <v>95</v>
      </c>
      <c r="F1458" s="575" t="s">
        <v>328</v>
      </c>
      <c r="G1458" s="575" t="s">
        <v>329</v>
      </c>
      <c r="H1458" s="575" t="s">
        <v>448</v>
      </c>
      <c r="I1458" s="651" t="s">
        <v>449</v>
      </c>
    </row>
    <row r="1459" spans="1:9" s="374" customFormat="1" ht="13.5" thickTop="1" thickBot="1" x14ac:dyDescent="0.25">
      <c r="A1459" s="511">
        <v>1</v>
      </c>
      <c r="B1459" s="512">
        <v>2</v>
      </c>
      <c r="C1459" s="512">
        <v>3</v>
      </c>
      <c r="D1459" s="512">
        <v>4</v>
      </c>
      <c r="E1459" s="512">
        <v>5</v>
      </c>
      <c r="F1459" s="499">
        <v>6</v>
      </c>
      <c r="G1459" s="499">
        <v>7</v>
      </c>
      <c r="H1459" s="500">
        <v>8</v>
      </c>
      <c r="I1459" s="577" t="s">
        <v>393</v>
      </c>
    </row>
    <row r="1460" spans="1:9" ht="15.75" thickTop="1" x14ac:dyDescent="0.25">
      <c r="A1460" s="921">
        <v>1162</v>
      </c>
      <c r="B1460" s="2427">
        <v>3122</v>
      </c>
      <c r="C1460" s="2427">
        <v>5336</v>
      </c>
      <c r="D1460" s="2725"/>
      <c r="E1460" s="602" t="s">
        <v>856</v>
      </c>
      <c r="F1460" s="678">
        <f>F1461</f>
        <v>0</v>
      </c>
      <c r="G1460" s="678">
        <f>G1461</f>
        <v>14652</v>
      </c>
      <c r="H1460" s="678">
        <f>H1461</f>
        <v>14652</v>
      </c>
      <c r="I1460" s="680">
        <f t="shared" ref="I1460:I1462" si="295">(H1460/G1460)*100</f>
        <v>100</v>
      </c>
    </row>
    <row r="1461" spans="1:9" ht="14.25" x14ac:dyDescent="0.2">
      <c r="A1461" s="921"/>
      <c r="B1461" s="2427"/>
      <c r="C1461" s="2719"/>
      <c r="D1461" s="2726" t="s">
        <v>901</v>
      </c>
      <c r="E1461" s="436" t="s">
        <v>1637</v>
      </c>
      <c r="F1461" s="660">
        <v>0</v>
      </c>
      <c r="G1461" s="660">
        <v>14652</v>
      </c>
      <c r="H1461" s="660">
        <v>14652</v>
      </c>
      <c r="I1461" s="656">
        <f t="shared" si="295"/>
        <v>100</v>
      </c>
    </row>
    <row r="1462" spans="1:9" ht="18" customHeight="1" x14ac:dyDescent="0.25">
      <c r="A1462" s="921">
        <v>1162</v>
      </c>
      <c r="B1462" s="2427">
        <v>3123</v>
      </c>
      <c r="C1462" s="2719">
        <v>5336</v>
      </c>
      <c r="D1462" s="2726"/>
      <c r="E1462" s="602" t="s">
        <v>856</v>
      </c>
      <c r="F1462" s="678">
        <f>F1463</f>
        <v>0</v>
      </c>
      <c r="G1462" s="678">
        <f>G1463</f>
        <v>3798</v>
      </c>
      <c r="H1462" s="678">
        <f>H1463</f>
        <v>3798</v>
      </c>
      <c r="I1462" s="680">
        <f t="shared" si="295"/>
        <v>100</v>
      </c>
    </row>
    <row r="1463" spans="1:9" ht="14.25" x14ac:dyDescent="0.2">
      <c r="A1463" s="921"/>
      <c r="B1463" s="2427"/>
      <c r="C1463" s="2719"/>
      <c r="D1463" s="2726" t="s">
        <v>901</v>
      </c>
      <c r="E1463" s="436" t="s">
        <v>1637</v>
      </c>
      <c r="F1463" s="660">
        <v>0</v>
      </c>
      <c r="G1463" s="660">
        <v>3798</v>
      </c>
      <c r="H1463" s="660">
        <v>3798</v>
      </c>
      <c r="I1463" s="656">
        <f t="shared" ref="I1463:I1472" si="296">(H1463/G1463)*100</f>
        <v>100</v>
      </c>
    </row>
    <row r="1464" spans="1:9" ht="15" hidden="1" x14ac:dyDescent="0.25">
      <c r="A1464" s="921">
        <v>1162</v>
      </c>
      <c r="B1464" s="2427">
        <v>3127</v>
      </c>
      <c r="C1464" s="2427">
        <v>5331</v>
      </c>
      <c r="D1464" s="2743"/>
      <c r="E1464" s="644" t="s">
        <v>481</v>
      </c>
      <c r="F1464" s="678">
        <f>F1465+F1466</f>
        <v>0</v>
      </c>
      <c r="G1464" s="678">
        <f t="shared" ref="G1464:H1464" si="297">G1465+G1466</f>
        <v>0</v>
      </c>
      <c r="H1464" s="678">
        <f t="shared" si="297"/>
        <v>0</v>
      </c>
      <c r="I1464" s="680" t="e">
        <f t="shared" si="296"/>
        <v>#DIV/0!</v>
      </c>
    </row>
    <row r="1465" spans="1:9" ht="14.25" hidden="1" x14ac:dyDescent="0.2">
      <c r="A1465" s="921"/>
      <c r="B1465" s="2427"/>
      <c r="C1465" s="2427"/>
      <c r="D1465" s="2742" t="s">
        <v>905</v>
      </c>
      <c r="E1465" s="938" t="s">
        <v>408</v>
      </c>
      <c r="F1465" s="660"/>
      <c r="G1465" s="660"/>
      <c r="H1465" s="660"/>
      <c r="I1465" s="656" t="e">
        <f t="shared" si="296"/>
        <v>#DIV/0!</v>
      </c>
    </row>
    <row r="1466" spans="1:9" ht="14.25" hidden="1" x14ac:dyDescent="0.2">
      <c r="A1466" s="921"/>
      <c r="B1466" s="2427"/>
      <c r="C1466" s="2427"/>
      <c r="D1466" s="2726" t="s">
        <v>906</v>
      </c>
      <c r="E1466" s="436" t="s">
        <v>38</v>
      </c>
      <c r="F1466" s="660"/>
      <c r="G1466" s="660"/>
      <c r="H1466" s="660"/>
      <c r="I1466" s="656" t="e">
        <f t="shared" si="296"/>
        <v>#DIV/0!</v>
      </c>
    </row>
    <row r="1467" spans="1:9" ht="15" x14ac:dyDescent="0.25">
      <c r="A1467" s="921">
        <v>1162</v>
      </c>
      <c r="B1467" s="2427">
        <v>3127</v>
      </c>
      <c r="C1467" s="2719">
        <v>5336</v>
      </c>
      <c r="D1467" s="2726"/>
      <c r="E1467" s="602" t="s">
        <v>856</v>
      </c>
      <c r="F1467" s="678">
        <f>F1468+F1469+F1470</f>
        <v>0</v>
      </c>
      <c r="G1467" s="678">
        <f t="shared" ref="G1467:H1467" si="298">G1468+G1469+G1470</f>
        <v>488</v>
      </c>
      <c r="H1467" s="678">
        <f t="shared" si="298"/>
        <v>488</v>
      </c>
      <c r="I1467" s="680">
        <f t="shared" si="296"/>
        <v>100</v>
      </c>
    </row>
    <row r="1468" spans="1:9" ht="14.25" x14ac:dyDescent="0.2">
      <c r="A1468" s="921"/>
      <c r="B1468" s="2427"/>
      <c r="C1468" s="2719"/>
      <c r="D1468" s="2725" t="s">
        <v>912</v>
      </c>
      <c r="E1468" s="1598" t="s">
        <v>817</v>
      </c>
      <c r="F1468" s="351">
        <v>0</v>
      </c>
      <c r="G1468" s="351">
        <v>81</v>
      </c>
      <c r="H1468" s="351">
        <v>81</v>
      </c>
      <c r="I1468" s="656">
        <f t="shared" si="296"/>
        <v>100</v>
      </c>
    </row>
    <row r="1469" spans="1:9" ht="14.25" x14ac:dyDescent="0.2">
      <c r="A1469" s="921"/>
      <c r="B1469" s="2427"/>
      <c r="C1469" s="2427"/>
      <c r="D1469" s="2725" t="s">
        <v>902</v>
      </c>
      <c r="E1469" s="1352" t="s">
        <v>855</v>
      </c>
      <c r="F1469" s="660">
        <v>0</v>
      </c>
      <c r="G1469" s="660">
        <v>343</v>
      </c>
      <c r="H1469" s="660">
        <v>343</v>
      </c>
      <c r="I1469" s="656">
        <f t="shared" si="296"/>
        <v>100</v>
      </c>
    </row>
    <row r="1470" spans="1:9" ht="14.25" x14ac:dyDescent="0.2">
      <c r="A1470" s="418"/>
      <c r="B1470" s="603"/>
      <c r="C1470" s="603"/>
      <c r="D1470" s="810" t="s">
        <v>1896</v>
      </c>
      <c r="E1470" s="2216" t="s">
        <v>1951</v>
      </c>
      <c r="F1470" s="660">
        <v>0</v>
      </c>
      <c r="G1470" s="875">
        <v>64</v>
      </c>
      <c r="H1470" s="875">
        <v>64</v>
      </c>
      <c r="I1470" s="871">
        <f t="shared" si="296"/>
        <v>100</v>
      </c>
    </row>
    <row r="1471" spans="1:9" ht="15" x14ac:dyDescent="0.25">
      <c r="A1471" s="921">
        <v>1162</v>
      </c>
      <c r="B1471" s="2427">
        <v>3141</v>
      </c>
      <c r="C1471" s="2719">
        <v>5336</v>
      </c>
      <c r="D1471" s="2726"/>
      <c r="E1471" s="602" t="s">
        <v>856</v>
      </c>
      <c r="F1471" s="678">
        <f>F1472</f>
        <v>0</v>
      </c>
      <c r="G1471" s="678">
        <f t="shared" ref="G1471:H1471" si="299">G1472</f>
        <v>27</v>
      </c>
      <c r="H1471" s="678">
        <f t="shared" si="299"/>
        <v>27</v>
      </c>
      <c r="I1471" s="680">
        <f t="shared" si="296"/>
        <v>100</v>
      </c>
    </row>
    <row r="1472" spans="1:9" ht="15" thickBot="1" x14ac:dyDescent="0.25">
      <c r="A1472" s="921"/>
      <c r="B1472" s="2427"/>
      <c r="C1472" s="2719"/>
      <c r="D1472" s="2726" t="s">
        <v>901</v>
      </c>
      <c r="E1472" s="436" t="s">
        <v>1637</v>
      </c>
      <c r="F1472" s="660">
        <v>0</v>
      </c>
      <c r="G1472" s="660">
        <v>27</v>
      </c>
      <c r="H1472" s="660">
        <v>27</v>
      </c>
      <c r="I1472" s="656">
        <f t="shared" si="296"/>
        <v>100</v>
      </c>
    </row>
    <row r="1473" spans="1:20" ht="16.5" thickTop="1" thickBot="1" x14ac:dyDescent="0.3">
      <c r="A1473" s="3233" t="s">
        <v>522</v>
      </c>
      <c r="B1473" s="3234"/>
      <c r="C1473" s="3234"/>
      <c r="D1473" s="3234"/>
      <c r="E1473" s="3234"/>
      <c r="F1473" s="657">
        <f>F1471+F1467+F1462+F1460</f>
        <v>0</v>
      </c>
      <c r="G1473" s="657">
        <f t="shared" ref="G1473:H1473" si="300">G1471+G1467+G1462+G1460</f>
        <v>18965</v>
      </c>
      <c r="H1473" s="657">
        <f t="shared" si="300"/>
        <v>18965</v>
      </c>
      <c r="I1473" s="658">
        <f>(H1473/G1473)*100</f>
        <v>100</v>
      </c>
      <c r="R1473" s="373">
        <f>F1473</f>
        <v>0</v>
      </c>
      <c r="S1473" s="373">
        <f>G1473</f>
        <v>18965</v>
      </c>
      <c r="T1473" s="373">
        <f>H1473</f>
        <v>18965</v>
      </c>
    </row>
    <row r="1474" spans="1:20" ht="13.5" thickTop="1" x14ac:dyDescent="0.2"/>
    <row r="1475" spans="1:20" ht="13.5" thickBot="1" x14ac:dyDescent="0.25">
      <c r="A1475" s="419" t="s">
        <v>107</v>
      </c>
      <c r="I1475" s="915" t="s">
        <v>92</v>
      </c>
    </row>
    <row r="1476" spans="1:20" s="106" customFormat="1" thickTop="1" thickBot="1" x14ac:dyDescent="0.25">
      <c r="A1476" s="572" t="s">
        <v>324</v>
      </c>
      <c r="B1476" s="639" t="s">
        <v>93</v>
      </c>
      <c r="C1476" s="573" t="s">
        <v>94</v>
      </c>
      <c r="D1476" s="575" t="s">
        <v>364</v>
      </c>
      <c r="E1476" s="575" t="s">
        <v>95</v>
      </c>
      <c r="F1476" s="575" t="s">
        <v>328</v>
      </c>
      <c r="G1476" s="575" t="s">
        <v>329</v>
      </c>
      <c r="H1476" s="575" t="s">
        <v>448</v>
      </c>
      <c r="I1476" s="651" t="s">
        <v>449</v>
      </c>
    </row>
    <row r="1477" spans="1:20" s="374" customFormat="1" ht="13.5" thickTop="1" thickBot="1" x14ac:dyDescent="0.25">
      <c r="A1477" s="511">
        <v>1</v>
      </c>
      <c r="B1477" s="512">
        <v>2</v>
      </c>
      <c r="C1477" s="512">
        <v>3</v>
      </c>
      <c r="D1477" s="512">
        <v>4</v>
      </c>
      <c r="E1477" s="512">
        <v>5</v>
      </c>
      <c r="F1477" s="499">
        <v>6</v>
      </c>
      <c r="G1477" s="499">
        <v>7</v>
      </c>
      <c r="H1477" s="500">
        <v>8</v>
      </c>
      <c r="I1477" s="577" t="s">
        <v>393</v>
      </c>
    </row>
    <row r="1478" spans="1:20" ht="15.75" thickTop="1" x14ac:dyDescent="0.25">
      <c r="A1478" s="924">
        <v>1163</v>
      </c>
      <c r="B1478" s="676">
        <v>3122</v>
      </c>
      <c r="C1478" s="2774">
        <v>5331</v>
      </c>
      <c r="D1478" s="679"/>
      <c r="E1478" s="703" t="s">
        <v>481</v>
      </c>
      <c r="F1478" s="674">
        <f>F1479</f>
        <v>0</v>
      </c>
      <c r="G1478" s="674">
        <f t="shared" ref="G1478:H1478" si="301">G1479</f>
        <v>4</v>
      </c>
      <c r="H1478" s="674">
        <f t="shared" si="301"/>
        <v>4</v>
      </c>
      <c r="I1478" s="677">
        <f t="shared" ref="I1478:I1488" si="302">(H1478/G1478)*100</f>
        <v>100</v>
      </c>
    </row>
    <row r="1479" spans="1:20" ht="14.25" x14ac:dyDescent="0.2">
      <c r="A1479" s="418"/>
      <c r="B1479" s="603"/>
      <c r="C1479" s="603"/>
      <c r="D1479" s="620" t="s">
        <v>917</v>
      </c>
      <c r="E1479" s="938" t="s">
        <v>1956</v>
      </c>
      <c r="F1479" s="660">
        <v>0</v>
      </c>
      <c r="G1479" s="660">
        <v>4</v>
      </c>
      <c r="H1479" s="660">
        <v>4</v>
      </c>
      <c r="I1479" s="656">
        <f t="shared" si="302"/>
        <v>100</v>
      </c>
    </row>
    <row r="1480" spans="1:20" ht="14.25" customHeight="1" x14ac:dyDescent="0.25">
      <c r="A1480" s="921">
        <v>1163</v>
      </c>
      <c r="B1480" s="2427">
        <v>3122</v>
      </c>
      <c r="C1480" s="2719">
        <v>5336</v>
      </c>
      <c r="D1480" s="2725"/>
      <c r="E1480" s="602" t="s">
        <v>856</v>
      </c>
      <c r="F1480" s="678">
        <f>F1481+F1482+F1483+F1484+F1485</f>
        <v>0</v>
      </c>
      <c r="G1480" s="678">
        <f>G1481+G1482+G1483+G1484+G1485</f>
        <v>14507</v>
      </c>
      <c r="H1480" s="678">
        <f>H1481+H1482+H1483+H1484+H1485</f>
        <v>14507</v>
      </c>
      <c r="I1480" s="680">
        <f t="shared" si="302"/>
        <v>100</v>
      </c>
    </row>
    <row r="1481" spans="1:20" ht="14.25" customHeight="1" x14ac:dyDescent="0.2">
      <c r="A1481" s="921"/>
      <c r="B1481" s="2427"/>
      <c r="C1481" s="2719"/>
      <c r="D1481" s="2725" t="s">
        <v>902</v>
      </c>
      <c r="E1481" s="1352" t="s">
        <v>855</v>
      </c>
      <c r="F1481" s="1600">
        <v>0</v>
      </c>
      <c r="G1481" s="1600">
        <v>304</v>
      </c>
      <c r="H1481" s="1600">
        <v>304</v>
      </c>
      <c r="I1481" s="367">
        <f t="shared" ref="I1481:I1482" si="303">(H1481/G1481)*100</f>
        <v>100</v>
      </c>
    </row>
    <row r="1482" spans="1:20" ht="14.25" x14ac:dyDescent="0.2">
      <c r="A1482" s="921"/>
      <c r="B1482" s="2427"/>
      <c r="C1482" s="2719"/>
      <c r="D1482" s="2725" t="s">
        <v>1896</v>
      </c>
      <c r="E1482" s="2216" t="s">
        <v>1951</v>
      </c>
      <c r="F1482" s="1643">
        <v>0</v>
      </c>
      <c r="G1482" s="1643">
        <v>121</v>
      </c>
      <c r="H1482" s="1643">
        <v>121</v>
      </c>
      <c r="I1482" s="982">
        <f t="shared" si="303"/>
        <v>100</v>
      </c>
    </row>
    <row r="1483" spans="1:20" ht="14.25" x14ac:dyDescent="0.2">
      <c r="A1483" s="921"/>
      <c r="B1483" s="2427"/>
      <c r="C1483" s="2719"/>
      <c r="D1483" s="2726" t="s">
        <v>901</v>
      </c>
      <c r="E1483" s="436" t="s">
        <v>1637</v>
      </c>
      <c r="F1483" s="660">
        <v>0</v>
      </c>
      <c r="G1483" s="660">
        <v>13711</v>
      </c>
      <c r="H1483" s="660">
        <v>13711</v>
      </c>
      <c r="I1483" s="656">
        <f t="shared" si="302"/>
        <v>100</v>
      </c>
    </row>
    <row r="1484" spans="1:20" ht="14.25" x14ac:dyDescent="0.2">
      <c r="A1484" s="921"/>
      <c r="B1484" s="2722"/>
      <c r="C1484" s="1350"/>
      <c r="D1484" s="2726" t="s">
        <v>1144</v>
      </c>
      <c r="E1484" s="938" t="s">
        <v>1515</v>
      </c>
      <c r="F1484" s="665">
        <v>0</v>
      </c>
      <c r="G1484" s="665">
        <v>56</v>
      </c>
      <c r="H1484" s="665">
        <v>56</v>
      </c>
      <c r="I1484" s="656">
        <f t="shared" si="302"/>
        <v>100</v>
      </c>
    </row>
    <row r="1485" spans="1:20" ht="14.25" x14ac:dyDescent="0.2">
      <c r="A1485" s="921"/>
      <c r="B1485" s="2722"/>
      <c r="C1485" s="1350"/>
      <c r="D1485" s="2726" t="s">
        <v>1145</v>
      </c>
      <c r="E1485" s="938" t="s">
        <v>1515</v>
      </c>
      <c r="F1485" s="665">
        <v>0</v>
      </c>
      <c r="G1485" s="665">
        <v>315</v>
      </c>
      <c r="H1485" s="665">
        <v>315</v>
      </c>
      <c r="I1485" s="656">
        <f t="shared" si="302"/>
        <v>100</v>
      </c>
    </row>
    <row r="1486" spans="1:20" ht="15" x14ac:dyDescent="0.25">
      <c r="A1486" s="921">
        <v>1163</v>
      </c>
      <c r="B1486" s="2722">
        <v>3141</v>
      </c>
      <c r="C1486" s="2722">
        <v>5336</v>
      </c>
      <c r="D1486" s="2726"/>
      <c r="E1486" s="602" t="s">
        <v>856</v>
      </c>
      <c r="F1486" s="675">
        <f>F1487</f>
        <v>0</v>
      </c>
      <c r="G1486" s="675">
        <f>G1487</f>
        <v>881</v>
      </c>
      <c r="H1486" s="675">
        <f>H1487</f>
        <v>881</v>
      </c>
      <c r="I1486" s="669">
        <f t="shared" si="302"/>
        <v>100</v>
      </c>
    </row>
    <row r="1487" spans="1:20" ht="14.25" x14ac:dyDescent="0.2">
      <c r="A1487" s="921"/>
      <c r="B1487" s="2722"/>
      <c r="C1487" s="1350"/>
      <c r="D1487" s="2726" t="s">
        <v>901</v>
      </c>
      <c r="E1487" s="436" t="s">
        <v>1637</v>
      </c>
      <c r="F1487" s="665">
        <v>0</v>
      </c>
      <c r="G1487" s="665">
        <v>881</v>
      </c>
      <c r="H1487" s="665">
        <v>881</v>
      </c>
      <c r="I1487" s="661">
        <f t="shared" si="302"/>
        <v>100</v>
      </c>
    </row>
    <row r="1488" spans="1:20" ht="15" x14ac:dyDescent="0.25">
      <c r="A1488" s="921">
        <v>1163</v>
      </c>
      <c r="B1488" s="2722">
        <v>3147</v>
      </c>
      <c r="C1488" s="2722">
        <v>5336</v>
      </c>
      <c r="D1488" s="2726"/>
      <c r="E1488" s="602" t="s">
        <v>856</v>
      </c>
      <c r="F1488" s="675">
        <f>F1489</f>
        <v>0</v>
      </c>
      <c r="G1488" s="675">
        <f>G1489</f>
        <v>1696</v>
      </c>
      <c r="H1488" s="675">
        <f>H1489</f>
        <v>1696</v>
      </c>
      <c r="I1488" s="669">
        <f t="shared" si="302"/>
        <v>100</v>
      </c>
    </row>
    <row r="1489" spans="1:20" ht="14.25" x14ac:dyDescent="0.2">
      <c r="A1489" s="921"/>
      <c r="B1489" s="2722"/>
      <c r="C1489" s="1350"/>
      <c r="D1489" s="2726" t="s">
        <v>901</v>
      </c>
      <c r="E1489" s="436" t="s">
        <v>1637</v>
      </c>
      <c r="F1489" s="665">
        <v>0</v>
      </c>
      <c r="G1489" s="665">
        <v>1696</v>
      </c>
      <c r="H1489" s="665">
        <v>1696</v>
      </c>
      <c r="I1489" s="661">
        <f>(H1489/G1489)*100</f>
        <v>100</v>
      </c>
    </row>
    <row r="1490" spans="1:20" ht="15" x14ac:dyDescent="0.25">
      <c r="A1490" s="921">
        <v>1163</v>
      </c>
      <c r="B1490" s="2722">
        <v>3293</v>
      </c>
      <c r="C1490" s="2722">
        <v>5336</v>
      </c>
      <c r="D1490" s="2726"/>
      <c r="E1490" s="602" t="s">
        <v>856</v>
      </c>
      <c r="F1490" s="675">
        <f>F1491</f>
        <v>0</v>
      </c>
      <c r="G1490" s="675">
        <f t="shared" ref="G1490:H1490" si="304">G1491</f>
        <v>5</v>
      </c>
      <c r="H1490" s="675">
        <f t="shared" si="304"/>
        <v>5</v>
      </c>
      <c r="I1490" s="669">
        <f t="shared" ref="I1490:I1491" si="305">(H1490/G1490)*100</f>
        <v>100</v>
      </c>
    </row>
    <row r="1491" spans="1:20" ht="15" thickBot="1" x14ac:dyDescent="0.25">
      <c r="A1491" s="921"/>
      <c r="B1491" s="2722"/>
      <c r="C1491" s="1350"/>
      <c r="D1491" s="2741" t="s">
        <v>913</v>
      </c>
      <c r="E1491" s="868" t="s">
        <v>768</v>
      </c>
      <c r="F1491" s="665">
        <v>0</v>
      </c>
      <c r="G1491" s="665">
        <v>5</v>
      </c>
      <c r="H1491" s="665">
        <v>5</v>
      </c>
      <c r="I1491" s="661">
        <f t="shared" si="305"/>
        <v>100</v>
      </c>
    </row>
    <row r="1492" spans="1:20" ht="16.5" thickTop="1" thickBot="1" x14ac:dyDescent="0.3">
      <c r="A1492" s="3233" t="s">
        <v>522</v>
      </c>
      <c r="B1492" s="3234"/>
      <c r="C1492" s="3234"/>
      <c r="D1492" s="3234"/>
      <c r="E1492" s="3234"/>
      <c r="F1492" s="657">
        <f>F1490+F1488+F1486+F1480</f>
        <v>0</v>
      </c>
      <c r="G1492" s="657">
        <f>G1490+G1488+G1486+G1480+G1478</f>
        <v>17093</v>
      </c>
      <c r="H1492" s="657">
        <f>H1490+H1488+H1486+H1480+H1478</f>
        <v>17093</v>
      </c>
      <c r="I1492" s="658">
        <f>(H1492/G1492)*100</f>
        <v>100</v>
      </c>
      <c r="R1492" s="373">
        <f>F1492</f>
        <v>0</v>
      </c>
      <c r="S1492" s="373">
        <f>G1492</f>
        <v>17093</v>
      </c>
      <c r="T1492" s="373">
        <f>H1492</f>
        <v>17093</v>
      </c>
    </row>
    <row r="1493" spans="1:20" ht="13.5" thickTop="1" x14ac:dyDescent="0.2"/>
    <row r="1494" spans="1:20" ht="13.5" thickBot="1" x14ac:dyDescent="0.25">
      <c r="A1494" s="419" t="s">
        <v>573</v>
      </c>
      <c r="I1494" s="915" t="s">
        <v>92</v>
      </c>
    </row>
    <row r="1495" spans="1:20" s="106" customFormat="1" thickTop="1" thickBot="1" x14ac:dyDescent="0.25">
      <c r="A1495" s="572" t="s">
        <v>324</v>
      </c>
      <c r="B1495" s="639" t="s">
        <v>93</v>
      </c>
      <c r="C1495" s="573" t="s">
        <v>94</v>
      </c>
      <c r="D1495" s="575" t="s">
        <v>364</v>
      </c>
      <c r="E1495" s="575" t="s">
        <v>95</v>
      </c>
      <c r="F1495" s="575" t="s">
        <v>328</v>
      </c>
      <c r="G1495" s="575" t="s">
        <v>329</v>
      </c>
      <c r="H1495" s="575" t="s">
        <v>448</v>
      </c>
      <c r="I1495" s="651" t="s">
        <v>449</v>
      </c>
    </row>
    <row r="1496" spans="1:20" s="374" customFormat="1" ht="13.5" thickTop="1" thickBot="1" x14ac:dyDescent="0.25">
      <c r="A1496" s="511">
        <v>1</v>
      </c>
      <c r="B1496" s="512">
        <v>2</v>
      </c>
      <c r="C1496" s="512">
        <v>3</v>
      </c>
      <c r="D1496" s="512">
        <v>4</v>
      </c>
      <c r="E1496" s="512">
        <v>5</v>
      </c>
      <c r="F1496" s="499">
        <v>6</v>
      </c>
      <c r="G1496" s="499">
        <v>7</v>
      </c>
      <c r="H1496" s="500">
        <v>8</v>
      </c>
      <c r="I1496" s="577" t="s">
        <v>393</v>
      </c>
    </row>
    <row r="1497" spans="1:20" ht="15.75" hidden="1" thickTop="1" x14ac:dyDescent="0.25">
      <c r="A1497" s="924">
        <v>1171</v>
      </c>
      <c r="B1497" s="676">
        <v>3122</v>
      </c>
      <c r="C1497" s="676">
        <v>5331</v>
      </c>
      <c r="D1497" s="679"/>
      <c r="E1497" s="703" t="s">
        <v>481</v>
      </c>
      <c r="F1497" s="678"/>
      <c r="G1497" s="678">
        <f>G1498</f>
        <v>0</v>
      </c>
      <c r="H1497" s="678">
        <f>H1498</f>
        <v>0</v>
      </c>
      <c r="I1497" s="680" t="e">
        <f>(H1497/G1497)*100</f>
        <v>#DIV/0!</v>
      </c>
    </row>
    <row r="1498" spans="1:20" ht="15" hidden="1" thickTop="1" x14ac:dyDescent="0.2">
      <c r="A1498" s="418"/>
      <c r="B1498" s="603"/>
      <c r="C1498" s="917"/>
      <c r="D1498" s="505" t="s">
        <v>930</v>
      </c>
      <c r="E1498" s="692" t="s">
        <v>837</v>
      </c>
      <c r="F1498" s="351"/>
      <c r="G1498" s="351"/>
      <c r="H1498" s="351"/>
      <c r="I1498" s="681">
        <v>100</v>
      </c>
    </row>
    <row r="1499" spans="1:20" ht="15.75" thickTop="1" x14ac:dyDescent="0.25">
      <c r="A1499" s="921">
        <v>1171</v>
      </c>
      <c r="B1499" s="2427">
        <v>3122</v>
      </c>
      <c r="C1499" s="2719">
        <v>5336</v>
      </c>
      <c r="D1499" s="2726"/>
      <c r="E1499" s="602" t="s">
        <v>856</v>
      </c>
      <c r="F1499" s="678">
        <f>F1500</f>
        <v>0</v>
      </c>
      <c r="G1499" s="678">
        <f>G1500</f>
        <v>2403</v>
      </c>
      <c r="H1499" s="678">
        <f>H1500</f>
        <v>2403</v>
      </c>
      <c r="I1499" s="669">
        <f>(H1499/G1499)*100</f>
        <v>100</v>
      </c>
      <c r="J1499" s="351" t="e">
        <f>J1500+#REF!+#REF!</f>
        <v>#REF!</v>
      </c>
      <c r="K1499" s="351" t="e">
        <f>K1500+#REF!+#REF!</f>
        <v>#REF!</v>
      </c>
      <c r="L1499" s="351" t="e">
        <f>L1500+#REF!+#REF!</f>
        <v>#REF!</v>
      </c>
      <c r="M1499" s="351" t="e">
        <f>M1500+#REF!+#REF!</f>
        <v>#REF!</v>
      </c>
      <c r="N1499" s="351" t="e">
        <f>N1500+#REF!+#REF!</f>
        <v>#REF!</v>
      </c>
      <c r="O1499" s="655" t="e">
        <f>O1500+#REF!+#REF!</f>
        <v>#REF!</v>
      </c>
      <c r="P1499" s="1355"/>
    </row>
    <row r="1500" spans="1:20" ht="14.25" x14ac:dyDescent="0.2">
      <c r="A1500" s="921"/>
      <c r="B1500" s="2427"/>
      <c r="C1500" s="2719"/>
      <c r="D1500" s="2726" t="s">
        <v>901</v>
      </c>
      <c r="E1500" s="436" t="s">
        <v>1637</v>
      </c>
      <c r="F1500" s="351">
        <v>0</v>
      </c>
      <c r="G1500" s="351">
        <v>2403</v>
      </c>
      <c r="H1500" s="351">
        <v>2403</v>
      </c>
      <c r="I1500" s="681">
        <v>100</v>
      </c>
    </row>
    <row r="1501" spans="1:20" ht="15" x14ac:dyDescent="0.25">
      <c r="A1501" s="921">
        <v>1171</v>
      </c>
      <c r="B1501" s="2722">
        <v>3123</v>
      </c>
      <c r="C1501" s="1350">
        <v>5336</v>
      </c>
      <c r="D1501" s="2725"/>
      <c r="E1501" s="602" t="s">
        <v>856</v>
      </c>
      <c r="F1501" s="675">
        <f>F1502</f>
        <v>0</v>
      </c>
      <c r="G1501" s="675">
        <f>G1502</f>
        <v>5896</v>
      </c>
      <c r="H1501" s="675">
        <f>H1502</f>
        <v>5896</v>
      </c>
      <c r="I1501" s="669">
        <v>100</v>
      </c>
    </row>
    <row r="1502" spans="1:20" ht="14.25" x14ac:dyDescent="0.2">
      <c r="A1502" s="921"/>
      <c r="B1502" s="2722"/>
      <c r="C1502" s="1350"/>
      <c r="D1502" s="2726" t="s">
        <v>901</v>
      </c>
      <c r="E1502" s="436" t="s">
        <v>1637</v>
      </c>
      <c r="F1502" s="668">
        <v>0</v>
      </c>
      <c r="G1502" s="668">
        <v>5896</v>
      </c>
      <c r="H1502" s="668">
        <v>5896</v>
      </c>
      <c r="I1502" s="367">
        <v>100</v>
      </c>
    </row>
    <row r="1503" spans="1:20" ht="15" x14ac:dyDescent="0.25">
      <c r="A1503" s="921">
        <v>1171</v>
      </c>
      <c r="B1503" s="2722">
        <v>3127</v>
      </c>
      <c r="C1503" s="2427">
        <v>5331</v>
      </c>
      <c r="D1503" s="2743"/>
      <c r="E1503" s="644" t="s">
        <v>481</v>
      </c>
      <c r="F1503" s="675">
        <f>F1504</f>
        <v>0</v>
      </c>
      <c r="G1503" s="675">
        <f t="shared" ref="G1503:H1503" si="306">G1504</f>
        <v>94</v>
      </c>
      <c r="H1503" s="675">
        <f t="shared" si="306"/>
        <v>94</v>
      </c>
      <c r="I1503" s="669">
        <v>100</v>
      </c>
    </row>
    <row r="1504" spans="1:20" ht="14.25" x14ac:dyDescent="0.2">
      <c r="A1504" s="921"/>
      <c r="B1504" s="2722"/>
      <c r="C1504" s="1350"/>
      <c r="D1504" s="2742" t="s">
        <v>1891</v>
      </c>
      <c r="E1504" s="938" t="s">
        <v>1952</v>
      </c>
      <c r="F1504" s="668">
        <v>0</v>
      </c>
      <c r="G1504" s="668">
        <v>94</v>
      </c>
      <c r="H1504" s="668">
        <v>94</v>
      </c>
      <c r="I1504" s="367">
        <v>100</v>
      </c>
    </row>
    <row r="1505" spans="1:20" ht="15" x14ac:dyDescent="0.25">
      <c r="A1505" s="921">
        <v>1171</v>
      </c>
      <c r="B1505" s="2722">
        <v>3127</v>
      </c>
      <c r="C1505" s="1350">
        <v>5336</v>
      </c>
      <c r="D1505" s="2725"/>
      <c r="E1505" s="602" t="s">
        <v>856</v>
      </c>
      <c r="F1505" s="675">
        <f>F1506+F1507+F1508</f>
        <v>0</v>
      </c>
      <c r="G1505" s="675">
        <f t="shared" ref="G1505:H1505" si="307">G1506+G1507+G1508</f>
        <v>402</v>
      </c>
      <c r="H1505" s="675">
        <f t="shared" si="307"/>
        <v>402</v>
      </c>
      <c r="I1505" s="669">
        <v>100</v>
      </c>
    </row>
    <row r="1506" spans="1:20" ht="14.25" x14ac:dyDescent="0.2">
      <c r="A1506" s="921"/>
      <c r="B1506" s="2722"/>
      <c r="C1506" s="1350"/>
      <c r="D1506" s="2725" t="s">
        <v>912</v>
      </c>
      <c r="E1506" s="1598" t="s">
        <v>817</v>
      </c>
      <c r="F1506" s="668">
        <v>0</v>
      </c>
      <c r="G1506" s="668">
        <v>77</v>
      </c>
      <c r="H1506" s="668">
        <v>77</v>
      </c>
      <c r="I1506" s="367">
        <v>100</v>
      </c>
    </row>
    <row r="1507" spans="1:20" ht="14.25" x14ac:dyDescent="0.2">
      <c r="A1507" s="921"/>
      <c r="B1507" s="2722"/>
      <c r="C1507" s="1350"/>
      <c r="D1507" s="2725" t="s">
        <v>902</v>
      </c>
      <c r="E1507" s="1352" t="s">
        <v>855</v>
      </c>
      <c r="F1507" s="668">
        <v>0</v>
      </c>
      <c r="G1507" s="668">
        <v>213</v>
      </c>
      <c r="H1507" s="668">
        <v>213</v>
      </c>
      <c r="I1507" s="367">
        <v>100</v>
      </c>
    </row>
    <row r="1508" spans="1:20" ht="14.25" x14ac:dyDescent="0.2">
      <c r="A1508" s="921"/>
      <c r="B1508" s="2722"/>
      <c r="C1508" s="1350"/>
      <c r="D1508" s="2725" t="s">
        <v>1896</v>
      </c>
      <c r="E1508" s="1598" t="s">
        <v>1951</v>
      </c>
      <c r="F1508" s="668">
        <v>0</v>
      </c>
      <c r="G1508" s="668">
        <v>112</v>
      </c>
      <c r="H1508" s="668">
        <v>112</v>
      </c>
      <c r="I1508" s="367">
        <v>100</v>
      </c>
    </row>
    <row r="1509" spans="1:20" ht="15" hidden="1" x14ac:dyDescent="0.25">
      <c r="A1509" s="2754">
        <v>1171</v>
      </c>
      <c r="B1509" s="2755">
        <v>3127</v>
      </c>
      <c r="C1509" s="2755">
        <v>5331</v>
      </c>
      <c r="D1509" s="2756"/>
      <c r="E1509" s="845" t="s">
        <v>481</v>
      </c>
      <c r="F1509" s="668"/>
      <c r="G1509" s="675">
        <f>G1510</f>
        <v>0</v>
      </c>
      <c r="H1509" s="675">
        <f>H1510</f>
        <v>0</v>
      </c>
      <c r="I1509" s="873">
        <v>100</v>
      </c>
    </row>
    <row r="1510" spans="1:20" ht="28.5" hidden="1" x14ac:dyDescent="0.2">
      <c r="A1510" s="2754"/>
      <c r="B1510" s="2755"/>
      <c r="C1510" s="2761"/>
      <c r="D1510" s="2768" t="s">
        <v>1134</v>
      </c>
      <c r="E1510" s="2623" t="s">
        <v>1527</v>
      </c>
      <c r="F1510" s="668"/>
      <c r="G1510" s="978"/>
      <c r="H1510" s="978"/>
      <c r="I1510" s="982">
        <v>100</v>
      </c>
    </row>
    <row r="1511" spans="1:20" ht="15" x14ac:dyDescent="0.25">
      <c r="A1511" s="921">
        <v>1171</v>
      </c>
      <c r="B1511" s="2722">
        <v>3141</v>
      </c>
      <c r="C1511" s="1350">
        <v>5336</v>
      </c>
      <c r="D1511" s="2724"/>
      <c r="E1511" s="602" t="s">
        <v>856</v>
      </c>
      <c r="F1511" s="675">
        <f>F1512</f>
        <v>0</v>
      </c>
      <c r="G1511" s="675">
        <f>G1512</f>
        <v>882</v>
      </c>
      <c r="H1511" s="675">
        <f>H1512</f>
        <v>882</v>
      </c>
      <c r="I1511" s="669">
        <v>100</v>
      </c>
    </row>
    <row r="1512" spans="1:20" ht="14.25" x14ac:dyDescent="0.2">
      <c r="A1512" s="921"/>
      <c r="B1512" s="2722"/>
      <c r="C1512" s="1350"/>
      <c r="D1512" s="2726" t="s">
        <v>901</v>
      </c>
      <c r="E1512" s="436" t="s">
        <v>1637</v>
      </c>
      <c r="F1512" s="668">
        <v>0</v>
      </c>
      <c r="G1512" s="668">
        <v>882</v>
      </c>
      <c r="H1512" s="668">
        <v>882</v>
      </c>
      <c r="I1512" s="367">
        <v>100</v>
      </c>
    </row>
    <row r="1513" spans="1:20" ht="15" x14ac:dyDescent="0.25">
      <c r="A1513" s="921">
        <v>1171</v>
      </c>
      <c r="B1513" s="2722">
        <v>3147</v>
      </c>
      <c r="C1513" s="2722">
        <v>5336</v>
      </c>
      <c r="D1513" s="2726"/>
      <c r="E1513" s="602" t="s">
        <v>856</v>
      </c>
      <c r="F1513" s="675">
        <f>F1514</f>
        <v>0</v>
      </c>
      <c r="G1513" s="675">
        <f>G1514</f>
        <v>1600</v>
      </c>
      <c r="H1513" s="675">
        <f>H1514</f>
        <v>1600</v>
      </c>
      <c r="I1513" s="669">
        <v>100</v>
      </c>
    </row>
    <row r="1514" spans="1:20" ht="14.25" x14ac:dyDescent="0.2">
      <c r="A1514" s="921"/>
      <c r="B1514" s="2722"/>
      <c r="C1514" s="2722"/>
      <c r="D1514" s="2726" t="s">
        <v>901</v>
      </c>
      <c r="E1514" s="436" t="s">
        <v>1637</v>
      </c>
      <c r="F1514" s="668">
        <v>0</v>
      </c>
      <c r="G1514" s="668">
        <v>1600</v>
      </c>
      <c r="H1514" s="668">
        <v>1600</v>
      </c>
      <c r="I1514" s="367">
        <v>100</v>
      </c>
    </row>
    <row r="1515" spans="1:20" ht="15" x14ac:dyDescent="0.25">
      <c r="A1515" s="921">
        <v>1171</v>
      </c>
      <c r="B1515" s="2722">
        <v>3299</v>
      </c>
      <c r="C1515" s="2427">
        <v>5331</v>
      </c>
      <c r="D1515" s="2743"/>
      <c r="E1515" s="644" t="s">
        <v>481</v>
      </c>
      <c r="F1515" s="675">
        <f>F1516</f>
        <v>0</v>
      </c>
      <c r="G1515" s="675">
        <f t="shared" ref="G1515" si="308">G1516</f>
        <v>36</v>
      </c>
      <c r="H1515" s="675">
        <f t="shared" ref="H1515" si="309">H1516</f>
        <v>36</v>
      </c>
      <c r="I1515" s="669">
        <v>100</v>
      </c>
    </row>
    <row r="1516" spans="1:20" ht="15" thickBot="1" x14ac:dyDescent="0.25">
      <c r="A1516" s="921"/>
      <c r="B1516" s="2722"/>
      <c r="C1516" s="1350"/>
      <c r="D1516" s="2742" t="s">
        <v>1891</v>
      </c>
      <c r="E1516" s="938" t="s">
        <v>1952</v>
      </c>
      <c r="F1516" s="668">
        <v>0</v>
      </c>
      <c r="G1516" s="668">
        <v>36</v>
      </c>
      <c r="H1516" s="668">
        <v>36</v>
      </c>
      <c r="I1516" s="367">
        <v>100</v>
      </c>
    </row>
    <row r="1517" spans="1:20" ht="16.5" thickTop="1" thickBot="1" x14ac:dyDescent="0.3">
      <c r="A1517" s="3246" t="s">
        <v>522</v>
      </c>
      <c r="B1517" s="3247"/>
      <c r="C1517" s="3247"/>
      <c r="D1517" s="3247"/>
      <c r="E1517" s="3248"/>
      <c r="F1517" s="705">
        <f>F1513+F1511+F1505+F1501+F1499</f>
        <v>0</v>
      </c>
      <c r="G1517" s="705">
        <f>G1513+G1511+G1505+G1501+G1499+G1503+G1515</f>
        <v>11313</v>
      </c>
      <c r="H1517" s="705">
        <f>H1513+H1511+H1505+H1501+H1499+H1503+H1515</f>
        <v>11313</v>
      </c>
      <c r="I1517" s="706">
        <f>(H1517/G1517)*100</f>
        <v>100</v>
      </c>
      <c r="R1517" s="373">
        <f>F1517</f>
        <v>0</v>
      </c>
      <c r="S1517" s="373">
        <f>G1517</f>
        <v>11313</v>
      </c>
      <c r="T1517" s="373">
        <f>H1517</f>
        <v>11313</v>
      </c>
    </row>
    <row r="1518" spans="1:20" ht="15.75" thickTop="1" x14ac:dyDescent="0.25">
      <c r="A1518" s="360"/>
      <c r="B1518" s="360"/>
      <c r="C1518" s="360"/>
      <c r="D1518" s="360"/>
      <c r="E1518" s="360"/>
      <c r="F1518" s="726"/>
      <c r="G1518" s="726"/>
      <c r="H1518" s="726"/>
      <c r="I1518" s="928"/>
      <c r="R1518" s="373"/>
      <c r="S1518" s="373"/>
      <c r="T1518" s="373"/>
    </row>
    <row r="1519" spans="1:20" ht="13.5" thickBot="1" x14ac:dyDescent="0.25">
      <c r="A1519" s="419" t="s">
        <v>196</v>
      </c>
      <c r="I1519" s="915" t="s">
        <v>92</v>
      </c>
    </row>
    <row r="1520" spans="1:20" s="106" customFormat="1" thickTop="1" thickBot="1" x14ac:dyDescent="0.25">
      <c r="A1520" s="572" t="s">
        <v>324</v>
      </c>
      <c r="B1520" s="639" t="s">
        <v>93</v>
      </c>
      <c r="C1520" s="573" t="s">
        <v>94</v>
      </c>
      <c r="D1520" s="575" t="s">
        <v>364</v>
      </c>
      <c r="E1520" s="575" t="s">
        <v>95</v>
      </c>
      <c r="F1520" s="575" t="s">
        <v>328</v>
      </c>
      <c r="G1520" s="575" t="s">
        <v>329</v>
      </c>
      <c r="H1520" s="575" t="s">
        <v>448</v>
      </c>
      <c r="I1520" s="651" t="s">
        <v>449</v>
      </c>
    </row>
    <row r="1521" spans="1:9" s="374" customFormat="1" ht="13.5" thickTop="1" thickBot="1" x14ac:dyDescent="0.25">
      <c r="A1521" s="511">
        <v>1</v>
      </c>
      <c r="B1521" s="512">
        <v>2</v>
      </c>
      <c r="C1521" s="512">
        <v>3</v>
      </c>
      <c r="D1521" s="512">
        <v>4</v>
      </c>
      <c r="E1521" s="512">
        <v>5</v>
      </c>
      <c r="F1521" s="499">
        <v>6</v>
      </c>
      <c r="G1521" s="499">
        <v>7</v>
      </c>
      <c r="H1521" s="500">
        <v>8</v>
      </c>
      <c r="I1521" s="577" t="s">
        <v>393</v>
      </c>
    </row>
    <row r="1522" spans="1:9" ht="15.75" thickTop="1" x14ac:dyDescent="0.25">
      <c r="A1522" s="921">
        <v>1173</v>
      </c>
      <c r="B1522" s="2427">
        <v>3122</v>
      </c>
      <c r="C1522" s="2427">
        <v>5336</v>
      </c>
      <c r="D1522" s="2763"/>
      <c r="E1522" s="602" t="s">
        <v>856</v>
      </c>
      <c r="F1522" s="675">
        <f>F1523</f>
        <v>0</v>
      </c>
      <c r="G1522" s="675">
        <f>G1523</f>
        <v>2921</v>
      </c>
      <c r="H1522" s="675">
        <f>H1523</f>
        <v>2921</v>
      </c>
      <c r="I1522" s="680">
        <f t="shared" ref="I1522:I1542" si="310">(H1522/G1522)*100</f>
        <v>100</v>
      </c>
    </row>
    <row r="1523" spans="1:9" ht="14.25" x14ac:dyDescent="0.2">
      <c r="A1523" s="921"/>
      <c r="B1523" s="2427"/>
      <c r="C1523" s="2719"/>
      <c r="D1523" s="2726" t="s">
        <v>901</v>
      </c>
      <c r="E1523" s="436" t="s">
        <v>1637</v>
      </c>
      <c r="F1523" s="660">
        <v>0</v>
      </c>
      <c r="G1523" s="665">
        <v>2921</v>
      </c>
      <c r="H1523" s="660">
        <v>2921</v>
      </c>
      <c r="I1523" s="656">
        <f t="shared" si="310"/>
        <v>100</v>
      </c>
    </row>
    <row r="1524" spans="1:9" ht="15" x14ac:dyDescent="0.25">
      <c r="A1524" s="921">
        <v>1173</v>
      </c>
      <c r="B1524" s="2722">
        <v>3123</v>
      </c>
      <c r="C1524" s="2722">
        <v>5336</v>
      </c>
      <c r="D1524" s="2725"/>
      <c r="E1524" s="602" t="s">
        <v>856</v>
      </c>
      <c r="F1524" s="675">
        <f>F1525</f>
        <v>0</v>
      </c>
      <c r="G1524" s="675">
        <f>G1525</f>
        <v>24155</v>
      </c>
      <c r="H1524" s="675">
        <f>H1525</f>
        <v>24155</v>
      </c>
      <c r="I1524" s="669">
        <f t="shared" si="310"/>
        <v>100</v>
      </c>
    </row>
    <row r="1525" spans="1:9" ht="14.25" x14ac:dyDescent="0.2">
      <c r="A1525" s="921"/>
      <c r="B1525" s="2722"/>
      <c r="C1525" s="2722"/>
      <c r="D1525" s="2726" t="s">
        <v>901</v>
      </c>
      <c r="E1525" s="436" t="s">
        <v>1637</v>
      </c>
      <c r="F1525" s="665">
        <v>0</v>
      </c>
      <c r="G1525" s="665">
        <v>24155</v>
      </c>
      <c r="H1525" s="665">
        <v>24155</v>
      </c>
      <c r="I1525" s="661">
        <f t="shared" si="310"/>
        <v>100</v>
      </c>
    </row>
    <row r="1526" spans="1:9" ht="15" x14ac:dyDescent="0.25">
      <c r="A1526" s="921">
        <v>1173</v>
      </c>
      <c r="B1526" s="2722">
        <v>3127</v>
      </c>
      <c r="C1526" s="2722">
        <v>5331</v>
      </c>
      <c r="D1526" s="2724"/>
      <c r="E1526" s="602" t="s">
        <v>481</v>
      </c>
      <c r="F1526" s="675">
        <f>F1527</f>
        <v>0</v>
      </c>
      <c r="G1526" s="675">
        <f t="shared" ref="G1526:H1526" si="311">G1527</f>
        <v>280</v>
      </c>
      <c r="H1526" s="675">
        <f t="shared" si="311"/>
        <v>280</v>
      </c>
      <c r="I1526" s="669">
        <f t="shared" si="310"/>
        <v>100</v>
      </c>
    </row>
    <row r="1527" spans="1:9" ht="14.25" x14ac:dyDescent="0.2">
      <c r="A1527" s="921"/>
      <c r="B1527" s="2722"/>
      <c r="C1527" s="2722"/>
      <c r="D1527" s="2726" t="s">
        <v>1891</v>
      </c>
      <c r="E1527" s="692" t="s">
        <v>1952</v>
      </c>
      <c r="F1527" s="668">
        <v>0</v>
      </c>
      <c r="G1527" s="668">
        <v>280</v>
      </c>
      <c r="H1527" s="668">
        <v>280</v>
      </c>
      <c r="I1527" s="367">
        <f t="shared" si="310"/>
        <v>100</v>
      </c>
    </row>
    <row r="1528" spans="1:9" ht="15" x14ac:dyDescent="0.25">
      <c r="A1528" s="921">
        <v>1173</v>
      </c>
      <c r="B1528" s="2722">
        <v>3127</v>
      </c>
      <c r="C1528" s="2722">
        <v>5336</v>
      </c>
      <c r="D1528" s="2725"/>
      <c r="E1528" s="602" t="s">
        <v>856</v>
      </c>
      <c r="F1528" s="675">
        <f>F1529+F1530+F1531+F1532</f>
        <v>0</v>
      </c>
      <c r="G1528" s="675">
        <f t="shared" ref="G1528:H1528" si="312">G1529+G1530+G1531+G1532</f>
        <v>2088</v>
      </c>
      <c r="H1528" s="675">
        <f t="shared" si="312"/>
        <v>2088</v>
      </c>
      <c r="I1528" s="669">
        <f t="shared" si="310"/>
        <v>100</v>
      </c>
    </row>
    <row r="1529" spans="1:9" ht="14.25" x14ac:dyDescent="0.2">
      <c r="A1529" s="921"/>
      <c r="B1529" s="2722"/>
      <c r="C1529" s="2722"/>
      <c r="D1529" s="2725" t="s">
        <v>912</v>
      </c>
      <c r="E1529" s="1598" t="s">
        <v>817</v>
      </c>
      <c r="F1529" s="668">
        <v>0</v>
      </c>
      <c r="G1529" s="668">
        <v>710</v>
      </c>
      <c r="H1529" s="668">
        <v>710</v>
      </c>
      <c r="I1529" s="367">
        <f t="shared" si="310"/>
        <v>100</v>
      </c>
    </row>
    <row r="1530" spans="1:9" ht="27.75" customHeight="1" x14ac:dyDescent="0.2">
      <c r="A1530" s="921"/>
      <c r="B1530" s="2722"/>
      <c r="C1530" s="2722"/>
      <c r="D1530" s="2723" t="s">
        <v>921</v>
      </c>
      <c r="E1530" s="3126" t="s">
        <v>860</v>
      </c>
      <c r="F1530" s="978">
        <v>0</v>
      </c>
      <c r="G1530" s="978">
        <v>299</v>
      </c>
      <c r="H1530" s="978">
        <v>299</v>
      </c>
      <c r="I1530" s="982">
        <f t="shared" si="310"/>
        <v>100</v>
      </c>
    </row>
    <row r="1531" spans="1:9" ht="14.25" x14ac:dyDescent="0.2">
      <c r="A1531" s="921"/>
      <c r="B1531" s="2722"/>
      <c r="C1531" s="2722"/>
      <c r="D1531" s="2725" t="s">
        <v>902</v>
      </c>
      <c r="E1531" s="1352" t="s">
        <v>855</v>
      </c>
      <c r="F1531" s="978">
        <v>0</v>
      </c>
      <c r="G1531" s="978">
        <v>710</v>
      </c>
      <c r="H1531" s="978">
        <v>710</v>
      </c>
      <c r="I1531" s="982">
        <f t="shared" si="310"/>
        <v>100</v>
      </c>
    </row>
    <row r="1532" spans="1:9" ht="14.25" x14ac:dyDescent="0.2">
      <c r="A1532" s="921"/>
      <c r="B1532" s="2722"/>
      <c r="C1532" s="2722"/>
      <c r="D1532" s="2725" t="s">
        <v>1896</v>
      </c>
      <c r="E1532" s="1598" t="s">
        <v>1951</v>
      </c>
      <c r="F1532" s="978">
        <v>0</v>
      </c>
      <c r="G1532" s="978">
        <v>369</v>
      </c>
      <c r="H1532" s="978">
        <v>369</v>
      </c>
      <c r="I1532" s="982">
        <f t="shared" si="310"/>
        <v>100</v>
      </c>
    </row>
    <row r="1533" spans="1:9" ht="15" hidden="1" x14ac:dyDescent="0.25">
      <c r="A1533" s="2754">
        <v>1173</v>
      </c>
      <c r="B1533" s="2755">
        <v>3127</v>
      </c>
      <c r="C1533" s="2755">
        <v>5331</v>
      </c>
      <c r="D1533" s="2756"/>
      <c r="E1533" s="845" t="s">
        <v>481</v>
      </c>
      <c r="F1533" s="675"/>
      <c r="G1533" s="872">
        <f>G1534</f>
        <v>0</v>
      </c>
      <c r="H1533" s="872">
        <f>H1534</f>
        <v>0</v>
      </c>
      <c r="I1533" s="873" t="e">
        <f t="shared" si="310"/>
        <v>#DIV/0!</v>
      </c>
    </row>
    <row r="1534" spans="1:9" ht="29.25" hidden="1" x14ac:dyDescent="0.25">
      <c r="A1534" s="2754"/>
      <c r="B1534" s="2755"/>
      <c r="C1534" s="2761"/>
      <c r="D1534" s="2768" t="s">
        <v>1134</v>
      </c>
      <c r="E1534" s="2623" t="s">
        <v>1527</v>
      </c>
      <c r="F1534" s="675"/>
      <c r="G1534" s="978"/>
      <c r="H1534" s="978"/>
      <c r="I1534" s="982" t="e">
        <f t="shared" si="310"/>
        <v>#DIV/0!</v>
      </c>
    </row>
    <row r="1535" spans="1:9" ht="15" x14ac:dyDescent="0.25">
      <c r="A1535" s="921">
        <v>1173</v>
      </c>
      <c r="B1535" s="2722">
        <v>3141</v>
      </c>
      <c r="C1535" s="2722">
        <v>5336</v>
      </c>
      <c r="D1535" s="2725"/>
      <c r="E1535" s="602" t="s">
        <v>856</v>
      </c>
      <c r="F1535" s="675">
        <f>F1536</f>
        <v>0</v>
      </c>
      <c r="G1535" s="675">
        <f>G1536</f>
        <v>2285</v>
      </c>
      <c r="H1535" s="675">
        <f>H1536</f>
        <v>2285</v>
      </c>
      <c r="I1535" s="669">
        <f t="shared" si="310"/>
        <v>100</v>
      </c>
    </row>
    <row r="1536" spans="1:9" ht="14.25" x14ac:dyDescent="0.2">
      <c r="A1536" s="921"/>
      <c r="B1536" s="2722"/>
      <c r="C1536" s="2722"/>
      <c r="D1536" s="2726" t="s">
        <v>901</v>
      </c>
      <c r="E1536" s="436" t="s">
        <v>1637</v>
      </c>
      <c r="F1536" s="665">
        <v>0</v>
      </c>
      <c r="G1536" s="665">
        <v>2285</v>
      </c>
      <c r="H1536" s="665">
        <v>2285</v>
      </c>
      <c r="I1536" s="661">
        <f t="shared" si="310"/>
        <v>100</v>
      </c>
    </row>
    <row r="1537" spans="1:20" ht="15" x14ac:dyDescent="0.25">
      <c r="A1537" s="921">
        <v>1173</v>
      </c>
      <c r="B1537" s="2427">
        <v>3147</v>
      </c>
      <c r="C1537" s="1350">
        <v>5336</v>
      </c>
      <c r="D1537" s="2726"/>
      <c r="E1537" s="602" t="s">
        <v>856</v>
      </c>
      <c r="F1537" s="675">
        <f>F1538</f>
        <v>0</v>
      </c>
      <c r="G1537" s="675">
        <f>G1538</f>
        <v>5156</v>
      </c>
      <c r="H1537" s="675">
        <f>H1538</f>
        <v>5156</v>
      </c>
      <c r="I1537" s="680">
        <f t="shared" si="310"/>
        <v>100</v>
      </c>
    </row>
    <row r="1538" spans="1:20" ht="14.25" x14ac:dyDescent="0.2">
      <c r="A1538" s="921"/>
      <c r="B1538" s="2427"/>
      <c r="C1538" s="1350"/>
      <c r="D1538" s="2726" t="s">
        <v>901</v>
      </c>
      <c r="E1538" s="436" t="s">
        <v>1637</v>
      </c>
      <c r="F1538" s="351">
        <v>0</v>
      </c>
      <c r="G1538" s="665">
        <v>5156</v>
      </c>
      <c r="H1538" s="665">
        <v>5156</v>
      </c>
      <c r="I1538" s="656">
        <f t="shared" si="310"/>
        <v>100</v>
      </c>
    </row>
    <row r="1539" spans="1:20" ht="15" x14ac:dyDescent="0.25">
      <c r="A1539" s="921">
        <v>1173</v>
      </c>
      <c r="B1539" s="2427">
        <v>3293</v>
      </c>
      <c r="C1539" s="1350">
        <v>5336</v>
      </c>
      <c r="D1539" s="2726"/>
      <c r="E1539" s="602" t="s">
        <v>856</v>
      </c>
      <c r="F1539" s="675">
        <f>F1540</f>
        <v>0</v>
      </c>
      <c r="G1539" s="675">
        <f>G1540</f>
        <v>9</v>
      </c>
      <c r="H1539" s="675">
        <f>H1540</f>
        <v>9</v>
      </c>
      <c r="I1539" s="680">
        <f t="shared" si="310"/>
        <v>100</v>
      </c>
    </row>
    <row r="1540" spans="1:20" ht="14.25" x14ac:dyDescent="0.2">
      <c r="A1540" s="921"/>
      <c r="B1540" s="2427"/>
      <c r="C1540" s="1350"/>
      <c r="D1540" s="2726" t="s">
        <v>913</v>
      </c>
      <c r="E1540" s="436" t="s">
        <v>768</v>
      </c>
      <c r="F1540" s="351">
        <v>0</v>
      </c>
      <c r="G1540" s="665">
        <v>9</v>
      </c>
      <c r="H1540" s="665">
        <v>9</v>
      </c>
      <c r="I1540" s="656">
        <f t="shared" si="310"/>
        <v>100</v>
      </c>
    </row>
    <row r="1541" spans="1:20" ht="15" x14ac:dyDescent="0.25">
      <c r="A1541" s="921">
        <v>1173</v>
      </c>
      <c r="B1541" s="2427">
        <v>3299</v>
      </c>
      <c r="C1541" s="2722">
        <v>5331</v>
      </c>
      <c r="D1541" s="2724"/>
      <c r="E1541" s="602" t="s">
        <v>481</v>
      </c>
      <c r="F1541" s="675">
        <f>F1542</f>
        <v>0</v>
      </c>
      <c r="G1541" s="675">
        <f>G1542</f>
        <v>223</v>
      </c>
      <c r="H1541" s="675">
        <f>H1542</f>
        <v>223</v>
      </c>
      <c r="I1541" s="680">
        <f t="shared" si="310"/>
        <v>100</v>
      </c>
    </row>
    <row r="1542" spans="1:20" ht="15" thickBot="1" x14ac:dyDescent="0.25">
      <c r="A1542" s="921"/>
      <c r="B1542" s="2427"/>
      <c r="C1542" s="1350"/>
      <c r="D1542" s="2726" t="s">
        <v>1891</v>
      </c>
      <c r="E1542" s="436" t="s">
        <v>1952</v>
      </c>
      <c r="F1542" s="351">
        <v>0</v>
      </c>
      <c r="G1542" s="665">
        <v>223</v>
      </c>
      <c r="H1542" s="665">
        <v>223</v>
      </c>
      <c r="I1542" s="656">
        <f t="shared" si="310"/>
        <v>100</v>
      </c>
    </row>
    <row r="1543" spans="1:20" ht="18" customHeight="1" thickTop="1" thickBot="1" x14ac:dyDescent="0.3">
      <c r="A1543" s="3233" t="s">
        <v>522</v>
      </c>
      <c r="B1543" s="3234"/>
      <c r="C1543" s="3234"/>
      <c r="D1543" s="3234"/>
      <c r="E1543" s="3234"/>
      <c r="F1543" s="657">
        <f>F1526</f>
        <v>0</v>
      </c>
      <c r="G1543" s="657">
        <f>G1537+G1535+G1528+G1526+G1524+G1522+G1539+G1541+G1533</f>
        <v>37117</v>
      </c>
      <c r="H1543" s="657">
        <f>H1537+H1535+H1528+H1526+H1524+H1522+H1539+H1541+H1533</f>
        <v>37117</v>
      </c>
      <c r="I1543" s="658">
        <f>(H1543/G1543)*100</f>
        <v>100</v>
      </c>
      <c r="R1543" s="373">
        <f>F1543</f>
        <v>0</v>
      </c>
      <c r="S1543" s="373">
        <f>G1543</f>
        <v>37117</v>
      </c>
      <c r="T1543" s="373">
        <f>H1543</f>
        <v>37117</v>
      </c>
    </row>
    <row r="1544" spans="1:20" s="106" customFormat="1" ht="15.75" thickTop="1" x14ac:dyDescent="0.25">
      <c r="A1544" s="360"/>
      <c r="B1544" s="360"/>
      <c r="C1544" s="360"/>
      <c r="D1544" s="360"/>
      <c r="E1544" s="360"/>
      <c r="F1544" s="177"/>
      <c r="G1544" s="177"/>
      <c r="H1544" s="177"/>
      <c r="I1544" s="206"/>
    </row>
    <row r="1545" spans="1:20" s="106" customFormat="1" ht="15" x14ac:dyDescent="0.25">
      <c r="A1545" s="360"/>
      <c r="B1545" s="360"/>
      <c r="C1545" s="360"/>
      <c r="D1545" s="360"/>
      <c r="E1545" s="360"/>
      <c r="F1545" s="177"/>
      <c r="G1545" s="177"/>
      <c r="H1545" s="177"/>
      <c r="I1545" s="206"/>
    </row>
    <row r="1546" spans="1:20" s="106" customFormat="1" ht="15" x14ac:dyDescent="0.25">
      <c r="A1546" s="360"/>
      <c r="B1546" s="360"/>
      <c r="C1546" s="360"/>
      <c r="D1546" s="360"/>
      <c r="E1546" s="360"/>
      <c r="F1546" s="177"/>
      <c r="G1546" s="177"/>
      <c r="H1546" s="177"/>
      <c r="I1546" s="206"/>
    </row>
    <row r="1547" spans="1:20" ht="13.5" thickBot="1" x14ac:dyDescent="0.25">
      <c r="A1547" s="419" t="s">
        <v>866</v>
      </c>
      <c r="I1547" s="915" t="s">
        <v>92</v>
      </c>
    </row>
    <row r="1548" spans="1:20" ht="14.25" thickTop="1" thickBot="1" x14ac:dyDescent="0.25">
      <c r="A1548" s="572" t="s">
        <v>324</v>
      </c>
      <c r="B1548" s="639" t="s">
        <v>93</v>
      </c>
      <c r="C1548" s="573" t="s">
        <v>94</v>
      </c>
      <c r="D1548" s="575" t="s">
        <v>364</v>
      </c>
      <c r="E1548" s="575" t="s">
        <v>95</v>
      </c>
      <c r="F1548" s="575" t="s">
        <v>328</v>
      </c>
      <c r="G1548" s="575" t="s">
        <v>329</v>
      </c>
      <c r="H1548" s="575" t="s">
        <v>448</v>
      </c>
      <c r="I1548" s="651" t="s">
        <v>449</v>
      </c>
    </row>
    <row r="1549" spans="1:20" ht="14.25" thickTop="1" thickBot="1" x14ac:dyDescent="0.25">
      <c r="A1549" s="511">
        <v>1</v>
      </c>
      <c r="B1549" s="512">
        <v>2</v>
      </c>
      <c r="C1549" s="512">
        <v>3</v>
      </c>
      <c r="D1549" s="512">
        <v>4</v>
      </c>
      <c r="E1549" s="512">
        <v>5</v>
      </c>
      <c r="F1549" s="499">
        <v>6</v>
      </c>
      <c r="G1549" s="499">
        <v>7</v>
      </c>
      <c r="H1549" s="500">
        <v>8</v>
      </c>
      <c r="I1549" s="577" t="s">
        <v>393</v>
      </c>
    </row>
    <row r="1550" spans="1:20" ht="15.75" thickTop="1" x14ac:dyDescent="0.25">
      <c r="A1550" s="2773">
        <v>1174</v>
      </c>
      <c r="B1550" s="2774">
        <v>3122</v>
      </c>
      <c r="C1550" s="2774">
        <v>5336</v>
      </c>
      <c r="D1550" s="2775"/>
      <c r="E1550" s="602" t="s">
        <v>856</v>
      </c>
      <c r="F1550" s="674">
        <f>F1551</f>
        <v>0</v>
      </c>
      <c r="G1550" s="674">
        <f>G1551</f>
        <v>1956</v>
      </c>
      <c r="H1550" s="674">
        <f>H1551</f>
        <v>1956</v>
      </c>
      <c r="I1550" s="677">
        <f t="shared" ref="I1550:I1576" si="313">(H1550/G1550)*100</f>
        <v>100</v>
      </c>
    </row>
    <row r="1551" spans="1:20" ht="14.25" x14ac:dyDescent="0.2">
      <c r="A1551" s="921"/>
      <c r="B1551" s="2427"/>
      <c r="C1551" s="2719"/>
      <c r="D1551" s="2726" t="s">
        <v>901</v>
      </c>
      <c r="E1551" s="436" t="s">
        <v>1637</v>
      </c>
      <c r="F1551" s="660">
        <v>0</v>
      </c>
      <c r="G1551" s="660">
        <v>1956</v>
      </c>
      <c r="H1551" s="660">
        <v>1956</v>
      </c>
      <c r="I1551" s="656">
        <f t="shared" si="313"/>
        <v>100</v>
      </c>
    </row>
    <row r="1552" spans="1:20" ht="15" hidden="1" x14ac:dyDescent="0.25">
      <c r="A1552" s="921">
        <v>1174</v>
      </c>
      <c r="B1552" s="2722">
        <v>3123</v>
      </c>
      <c r="C1552" s="2722">
        <v>5331</v>
      </c>
      <c r="D1552" s="2732"/>
      <c r="E1552" s="602" t="s">
        <v>481</v>
      </c>
      <c r="F1552" s="666"/>
      <c r="G1552" s="666">
        <f>G1553</f>
        <v>0</v>
      </c>
      <c r="H1552" s="666">
        <f>H1553</f>
        <v>0</v>
      </c>
      <c r="I1552" s="667" t="e">
        <f>(H1552/G1552)*100</f>
        <v>#DIV/0!</v>
      </c>
    </row>
    <row r="1553" spans="1:9" ht="14.25" hidden="1" x14ac:dyDescent="0.2">
      <c r="A1553" s="921"/>
      <c r="B1553" s="2722"/>
      <c r="C1553" s="2722"/>
      <c r="D1553" s="2726" t="s">
        <v>872</v>
      </c>
      <c r="E1553" s="436" t="s">
        <v>428</v>
      </c>
      <c r="F1553" s="668"/>
      <c r="G1553" s="668"/>
      <c r="H1553" s="668"/>
      <c r="I1553" s="656" t="e">
        <f t="shared" si="313"/>
        <v>#DIV/0!</v>
      </c>
    </row>
    <row r="1554" spans="1:9" ht="15" x14ac:dyDescent="0.25">
      <c r="A1554" s="921">
        <v>1174</v>
      </c>
      <c r="B1554" s="2722">
        <v>3123</v>
      </c>
      <c r="C1554" s="2722">
        <v>5336</v>
      </c>
      <c r="D1554" s="2725"/>
      <c r="E1554" s="602" t="s">
        <v>856</v>
      </c>
      <c r="F1554" s="675">
        <f>F1556+F1555</f>
        <v>0</v>
      </c>
      <c r="G1554" s="675">
        <f t="shared" ref="G1554:H1554" si="314">G1556+G1555</f>
        <v>16996</v>
      </c>
      <c r="H1554" s="675">
        <f t="shared" si="314"/>
        <v>16996</v>
      </c>
      <c r="I1554" s="669">
        <f>(H1554/G1554)*100</f>
        <v>100</v>
      </c>
    </row>
    <row r="1555" spans="1:9" ht="14.25" x14ac:dyDescent="0.2">
      <c r="A1555" s="921"/>
      <c r="B1555" s="2722"/>
      <c r="C1555" s="2722"/>
      <c r="D1555" s="2725" t="s">
        <v>912</v>
      </c>
      <c r="E1555" s="1598" t="s">
        <v>817</v>
      </c>
      <c r="F1555" s="668">
        <v>0</v>
      </c>
      <c r="G1555" s="665">
        <v>170</v>
      </c>
      <c r="H1555" s="665">
        <v>170</v>
      </c>
      <c r="I1555" s="661">
        <f>(H1555/G1555)*100</f>
        <v>100</v>
      </c>
    </row>
    <row r="1556" spans="1:9" ht="14.25" x14ac:dyDescent="0.2">
      <c r="A1556" s="921"/>
      <c r="B1556" s="2722"/>
      <c r="C1556" s="1350"/>
      <c r="D1556" s="2726" t="s">
        <v>901</v>
      </c>
      <c r="E1556" s="436" t="s">
        <v>1637</v>
      </c>
      <c r="F1556" s="665">
        <v>0</v>
      </c>
      <c r="G1556" s="665">
        <v>16826</v>
      </c>
      <c r="H1556" s="665">
        <v>16826</v>
      </c>
      <c r="I1556" s="661">
        <f>(H1556/G1556)*100</f>
        <v>100</v>
      </c>
    </row>
    <row r="1557" spans="1:9" ht="15.75" hidden="1" customHeight="1" x14ac:dyDescent="0.25">
      <c r="A1557" s="921">
        <v>1174</v>
      </c>
      <c r="B1557" s="2722">
        <v>3124</v>
      </c>
      <c r="C1557" s="2722">
        <v>5336</v>
      </c>
      <c r="D1557" s="2732"/>
      <c r="E1557" s="602" t="s">
        <v>856</v>
      </c>
      <c r="F1557" s="666"/>
      <c r="G1557" s="666">
        <f>G1558</f>
        <v>0</v>
      </c>
      <c r="H1557" s="666">
        <f>H1558</f>
        <v>0</v>
      </c>
      <c r="I1557" s="667" t="e">
        <f t="shared" si="313"/>
        <v>#DIV/0!</v>
      </c>
    </row>
    <row r="1558" spans="1:9" ht="14.25" hidden="1" x14ac:dyDescent="0.2">
      <c r="A1558" s="921"/>
      <c r="B1558" s="2722"/>
      <c r="C1558" s="2722"/>
      <c r="D1558" s="2726" t="s">
        <v>901</v>
      </c>
      <c r="E1558" s="436" t="s">
        <v>1637</v>
      </c>
      <c r="F1558" s="665"/>
      <c r="G1558" s="665"/>
      <c r="H1558" s="665"/>
      <c r="I1558" s="661" t="e">
        <f t="shared" si="313"/>
        <v>#DIV/0!</v>
      </c>
    </row>
    <row r="1559" spans="1:9" ht="15" x14ac:dyDescent="0.25">
      <c r="A1559" s="921">
        <v>1174</v>
      </c>
      <c r="B1559" s="2722">
        <v>3127</v>
      </c>
      <c r="C1559" s="2722">
        <v>5331</v>
      </c>
      <c r="D1559" s="2732"/>
      <c r="E1559" s="602" t="s">
        <v>481</v>
      </c>
      <c r="F1559" s="675">
        <f>F1560+F1561</f>
        <v>0</v>
      </c>
      <c r="G1559" s="675">
        <f t="shared" ref="G1559:H1559" si="315">G1560+G1561</f>
        <v>335</v>
      </c>
      <c r="H1559" s="675">
        <f t="shared" si="315"/>
        <v>335</v>
      </c>
      <c r="I1559" s="667">
        <f t="shared" si="313"/>
        <v>100</v>
      </c>
    </row>
    <row r="1560" spans="1:9" ht="14.25" x14ac:dyDescent="0.2">
      <c r="A1560" s="921"/>
      <c r="B1560" s="2722"/>
      <c r="C1560" s="2722"/>
      <c r="D1560" s="2742" t="s">
        <v>917</v>
      </c>
      <c r="E1560" s="938" t="s">
        <v>1956</v>
      </c>
      <c r="F1560" s="665">
        <v>0</v>
      </c>
      <c r="G1560" s="665">
        <v>15</v>
      </c>
      <c r="H1560" s="665">
        <v>15</v>
      </c>
      <c r="I1560" s="661">
        <f t="shared" si="313"/>
        <v>100</v>
      </c>
    </row>
    <row r="1561" spans="1:9" ht="14.25" x14ac:dyDescent="0.2">
      <c r="A1561" s="921"/>
      <c r="B1561" s="2722"/>
      <c r="C1561" s="2722"/>
      <c r="D1561" s="2726" t="s">
        <v>1891</v>
      </c>
      <c r="E1561" s="436" t="s">
        <v>1952</v>
      </c>
      <c r="F1561" s="665">
        <v>0</v>
      </c>
      <c r="G1561" s="665">
        <v>320</v>
      </c>
      <c r="H1561" s="665">
        <v>320</v>
      </c>
      <c r="I1561" s="661">
        <f t="shared" si="313"/>
        <v>100</v>
      </c>
    </row>
    <row r="1562" spans="1:9" ht="15" x14ac:dyDescent="0.25">
      <c r="A1562" s="921">
        <v>1174</v>
      </c>
      <c r="B1562" s="2722">
        <v>3127</v>
      </c>
      <c r="C1562" s="2722">
        <v>5336</v>
      </c>
      <c r="D1562" s="2732"/>
      <c r="E1562" s="602" t="s">
        <v>856</v>
      </c>
      <c r="F1562" s="675">
        <f>F1563+F1564+F1565+F1566+F1567</f>
        <v>0</v>
      </c>
      <c r="G1562" s="675">
        <f t="shared" ref="G1562:H1562" si="316">G1563+G1564+G1565+G1566+G1567</f>
        <v>1464</v>
      </c>
      <c r="H1562" s="675">
        <f t="shared" si="316"/>
        <v>1464</v>
      </c>
      <c r="I1562" s="667">
        <f t="shared" si="313"/>
        <v>100</v>
      </c>
    </row>
    <row r="1563" spans="1:9" ht="14.25" x14ac:dyDescent="0.2">
      <c r="A1563" s="921"/>
      <c r="B1563" s="2722"/>
      <c r="C1563" s="2722"/>
      <c r="D1563" s="2725" t="s">
        <v>912</v>
      </c>
      <c r="E1563" s="1598" t="s">
        <v>817</v>
      </c>
      <c r="F1563" s="665">
        <v>0</v>
      </c>
      <c r="G1563" s="665">
        <v>516</v>
      </c>
      <c r="H1563" s="665">
        <v>516</v>
      </c>
      <c r="I1563" s="661">
        <f t="shared" si="313"/>
        <v>100</v>
      </c>
    </row>
    <row r="1564" spans="1:9" ht="14.25" x14ac:dyDescent="0.2">
      <c r="A1564" s="921"/>
      <c r="B1564" s="2722"/>
      <c r="C1564" s="2722"/>
      <c r="D1564" s="2725" t="s">
        <v>902</v>
      </c>
      <c r="E1564" s="1352" t="s">
        <v>855</v>
      </c>
      <c r="F1564" s="665">
        <v>0</v>
      </c>
      <c r="G1564" s="665">
        <v>345</v>
      </c>
      <c r="H1564" s="665">
        <v>345</v>
      </c>
      <c r="I1564" s="661">
        <f t="shared" si="313"/>
        <v>100</v>
      </c>
    </row>
    <row r="1565" spans="1:9" ht="14.25" x14ac:dyDescent="0.2">
      <c r="A1565" s="921"/>
      <c r="B1565" s="2722"/>
      <c r="C1565" s="2722"/>
      <c r="D1565" s="2725" t="s">
        <v>1896</v>
      </c>
      <c r="E1565" s="2216" t="s">
        <v>1951</v>
      </c>
      <c r="F1565" s="665">
        <v>0</v>
      </c>
      <c r="G1565" s="870">
        <v>135</v>
      </c>
      <c r="H1565" s="870">
        <v>135</v>
      </c>
      <c r="I1565" s="874">
        <f t="shared" si="313"/>
        <v>100</v>
      </c>
    </row>
    <row r="1566" spans="1:9" ht="14.25" x14ac:dyDescent="0.2">
      <c r="A1566" s="921"/>
      <c r="B1566" s="2722"/>
      <c r="C1566" s="2722"/>
      <c r="D1566" s="2726" t="s">
        <v>1144</v>
      </c>
      <c r="E1566" s="938" t="s">
        <v>1515</v>
      </c>
      <c r="F1566" s="665">
        <v>0</v>
      </c>
      <c r="G1566" s="870">
        <v>70</v>
      </c>
      <c r="H1566" s="870">
        <v>70</v>
      </c>
      <c r="I1566" s="874">
        <f t="shared" si="313"/>
        <v>100</v>
      </c>
    </row>
    <row r="1567" spans="1:9" ht="14.25" x14ac:dyDescent="0.2">
      <c r="A1567" s="921"/>
      <c r="B1567" s="2722"/>
      <c r="C1567" s="2722"/>
      <c r="D1567" s="2726" t="s">
        <v>1145</v>
      </c>
      <c r="E1567" s="938" t="s">
        <v>1515</v>
      </c>
      <c r="F1567" s="665">
        <v>0</v>
      </c>
      <c r="G1567" s="870">
        <v>398</v>
      </c>
      <c r="H1567" s="870">
        <v>398</v>
      </c>
      <c r="I1567" s="874">
        <f t="shared" si="313"/>
        <v>100</v>
      </c>
    </row>
    <row r="1568" spans="1:9" ht="15" hidden="1" x14ac:dyDescent="0.25">
      <c r="A1568" s="2754">
        <v>1174</v>
      </c>
      <c r="B1568" s="2755">
        <v>3127</v>
      </c>
      <c r="C1568" s="2755">
        <v>5331</v>
      </c>
      <c r="D1568" s="2756"/>
      <c r="E1568" s="845" t="s">
        <v>481</v>
      </c>
      <c r="F1568" s="665"/>
      <c r="G1568" s="675">
        <f>G1569+G1570</f>
        <v>0</v>
      </c>
      <c r="H1568" s="675">
        <f>H1569+H1570</f>
        <v>0</v>
      </c>
      <c r="I1568" s="669" t="e">
        <f t="shared" si="313"/>
        <v>#DIV/0!</v>
      </c>
    </row>
    <row r="1569" spans="1:20" ht="28.5" hidden="1" x14ac:dyDescent="0.2">
      <c r="A1569" s="2754"/>
      <c r="B1569" s="2755"/>
      <c r="C1569" s="2761"/>
      <c r="D1569" s="2768" t="s">
        <v>1134</v>
      </c>
      <c r="E1569" s="2623" t="s">
        <v>1527</v>
      </c>
      <c r="F1569" s="665"/>
      <c r="G1569" s="870"/>
      <c r="H1569" s="870"/>
      <c r="I1569" s="874" t="e">
        <f t="shared" si="313"/>
        <v>#DIV/0!</v>
      </c>
    </row>
    <row r="1570" spans="1:20" ht="14.25" hidden="1" x14ac:dyDescent="0.2">
      <c r="A1570" s="2754"/>
      <c r="B1570" s="2755"/>
      <c r="C1570" s="2761"/>
      <c r="D1570" s="2756" t="s">
        <v>917</v>
      </c>
      <c r="E1570" s="2619" t="s">
        <v>1534</v>
      </c>
      <c r="F1570" s="665"/>
      <c r="G1570" s="665"/>
      <c r="H1570" s="665"/>
      <c r="I1570" s="661" t="e">
        <f t="shared" si="313"/>
        <v>#DIV/0!</v>
      </c>
    </row>
    <row r="1571" spans="1:20" ht="15" x14ac:dyDescent="0.25">
      <c r="A1571" s="921">
        <v>1174</v>
      </c>
      <c r="B1571" s="2722">
        <v>3141</v>
      </c>
      <c r="C1571" s="2722">
        <v>5336</v>
      </c>
      <c r="D1571" s="2726"/>
      <c r="E1571" s="602" t="s">
        <v>856</v>
      </c>
      <c r="F1571" s="675">
        <f>F1572</f>
        <v>0</v>
      </c>
      <c r="G1571" s="675">
        <f>G1572</f>
        <v>64</v>
      </c>
      <c r="H1571" s="675">
        <f>H1572</f>
        <v>64</v>
      </c>
      <c r="I1571" s="669">
        <f t="shared" si="313"/>
        <v>100</v>
      </c>
    </row>
    <row r="1572" spans="1:20" ht="14.25" x14ac:dyDescent="0.2">
      <c r="A1572" s="921"/>
      <c r="B1572" s="2722"/>
      <c r="C1572" s="2722"/>
      <c r="D1572" s="2726" t="s">
        <v>901</v>
      </c>
      <c r="E1572" s="436" t="s">
        <v>1637</v>
      </c>
      <c r="F1572" s="665">
        <v>0</v>
      </c>
      <c r="G1572" s="665">
        <v>64</v>
      </c>
      <c r="H1572" s="665">
        <v>64</v>
      </c>
      <c r="I1572" s="661">
        <f t="shared" si="313"/>
        <v>100</v>
      </c>
    </row>
    <row r="1573" spans="1:20" ht="15" hidden="1" x14ac:dyDescent="0.25">
      <c r="A1573" s="921">
        <v>1174</v>
      </c>
      <c r="B1573" s="2722">
        <v>3147</v>
      </c>
      <c r="C1573" s="2722">
        <v>5336</v>
      </c>
      <c r="D1573" s="2726"/>
      <c r="E1573" s="602" t="s">
        <v>856</v>
      </c>
      <c r="F1573" s="665"/>
      <c r="G1573" s="675">
        <f>G1574</f>
        <v>0</v>
      </c>
      <c r="H1573" s="675">
        <f>H1574</f>
        <v>0</v>
      </c>
      <c r="I1573" s="669" t="e">
        <f t="shared" si="313"/>
        <v>#DIV/0!</v>
      </c>
    </row>
    <row r="1574" spans="1:20" ht="14.25" hidden="1" x14ac:dyDescent="0.2">
      <c r="A1574" s="921"/>
      <c r="B1574" s="2722"/>
      <c r="C1574" s="2722"/>
      <c r="D1574" s="2726" t="s">
        <v>901</v>
      </c>
      <c r="E1574" s="436" t="s">
        <v>1637</v>
      </c>
      <c r="F1574" s="665"/>
      <c r="G1574" s="665"/>
      <c r="H1574" s="665"/>
      <c r="I1574" s="661" t="e">
        <f t="shared" si="313"/>
        <v>#DIV/0!</v>
      </c>
    </row>
    <row r="1575" spans="1:20" ht="15" x14ac:dyDescent="0.25">
      <c r="A1575" s="921">
        <v>1174</v>
      </c>
      <c r="B1575" s="2722">
        <v>3299</v>
      </c>
      <c r="C1575" s="2722">
        <v>5331</v>
      </c>
      <c r="D1575" s="2726"/>
      <c r="E1575" s="602" t="s">
        <v>481</v>
      </c>
      <c r="F1575" s="675">
        <f>F1576</f>
        <v>0</v>
      </c>
      <c r="G1575" s="675">
        <f>G1576</f>
        <v>175</v>
      </c>
      <c r="H1575" s="675">
        <f>H1576</f>
        <v>175</v>
      </c>
      <c r="I1575" s="669">
        <f t="shared" si="313"/>
        <v>100</v>
      </c>
    </row>
    <row r="1576" spans="1:20" ht="15" thickBot="1" x14ac:dyDescent="0.25">
      <c r="A1576" s="921"/>
      <c r="B1576" s="2722"/>
      <c r="C1576" s="2722"/>
      <c r="D1576" s="2752" t="s">
        <v>1891</v>
      </c>
      <c r="E1576" s="852" t="s">
        <v>1952</v>
      </c>
      <c r="F1576" s="865">
        <v>0</v>
      </c>
      <c r="G1576" s="432">
        <v>175</v>
      </c>
      <c r="H1576" s="311">
        <v>175</v>
      </c>
      <c r="I1576" s="661">
        <f t="shared" si="313"/>
        <v>100</v>
      </c>
    </row>
    <row r="1577" spans="1:20" ht="16.5" thickTop="1" thickBot="1" x14ac:dyDescent="0.3">
      <c r="A1577" s="3233" t="s">
        <v>522</v>
      </c>
      <c r="B1577" s="3234"/>
      <c r="C1577" s="3234"/>
      <c r="D1577" s="3234"/>
      <c r="E1577" s="3234"/>
      <c r="F1577" s="657">
        <f>F1559</f>
        <v>0</v>
      </c>
      <c r="G1577" s="657">
        <f>G1575+G1573+G1571+G1562+G1559+G1557+G1554+G1552+G1550+G1568</f>
        <v>20990</v>
      </c>
      <c r="H1577" s="657">
        <f>H1575+H1573+H1571+H1562+H1559+H1557+H1554+H1552+H1550+H1568</f>
        <v>20990</v>
      </c>
      <c r="I1577" s="658">
        <f>(H1577/G1577)*100</f>
        <v>100</v>
      </c>
      <c r="R1577" s="373">
        <f>F1577</f>
        <v>0</v>
      </c>
      <c r="S1577" s="373">
        <f>G1577</f>
        <v>20990</v>
      </c>
      <c r="T1577" s="373">
        <f>H1577</f>
        <v>20990</v>
      </c>
    </row>
    <row r="1578" spans="1:20" s="374" customFormat="1" ht="13.5" thickTop="1" x14ac:dyDescent="0.2">
      <c r="A1578" s="372"/>
      <c r="B1578" s="584"/>
      <c r="C1578" s="372"/>
      <c r="D1578" s="648"/>
      <c r="E1578" s="372"/>
      <c r="F1578" s="373"/>
      <c r="G1578" s="373"/>
      <c r="H1578" s="373"/>
      <c r="I1578" s="915"/>
    </row>
    <row r="1579" spans="1:20" s="374" customFormat="1" x14ac:dyDescent="0.2">
      <c r="A1579" s="372"/>
      <c r="B1579" s="584"/>
      <c r="C1579" s="372"/>
      <c r="D1579" s="648"/>
      <c r="E1579" s="372"/>
      <c r="F1579" s="373"/>
      <c r="G1579" s="373"/>
      <c r="H1579" s="373"/>
      <c r="I1579" s="915"/>
    </row>
    <row r="1580" spans="1:20" s="374" customFormat="1" x14ac:dyDescent="0.2">
      <c r="A1580" s="372"/>
      <c r="B1580" s="584"/>
      <c r="C1580" s="372"/>
      <c r="D1580" s="648"/>
      <c r="E1580" s="372"/>
      <c r="F1580" s="373"/>
      <c r="G1580" s="373"/>
      <c r="H1580" s="373"/>
      <c r="I1580" s="915"/>
    </row>
    <row r="1581" spans="1:20" s="374" customFormat="1" hidden="1" x14ac:dyDescent="0.2">
      <c r="A1581" s="372"/>
      <c r="B1581" s="584"/>
      <c r="C1581" s="372"/>
      <c r="D1581" s="648"/>
      <c r="E1581" s="372"/>
      <c r="F1581" s="373"/>
      <c r="G1581" s="373"/>
      <c r="H1581" s="373"/>
      <c r="I1581" s="915"/>
    </row>
    <row r="1582" spans="1:20" ht="13.5" thickBot="1" x14ac:dyDescent="0.25">
      <c r="A1582" s="419" t="s">
        <v>1067</v>
      </c>
      <c r="I1582" s="915" t="s">
        <v>92</v>
      </c>
    </row>
    <row r="1583" spans="1:20" ht="14.25" thickTop="1" thickBot="1" x14ac:dyDescent="0.25">
      <c r="A1583" s="572" t="s">
        <v>324</v>
      </c>
      <c r="B1583" s="639" t="s">
        <v>93</v>
      </c>
      <c r="C1583" s="573" t="s">
        <v>94</v>
      </c>
      <c r="D1583" s="575" t="s">
        <v>364</v>
      </c>
      <c r="E1583" s="575" t="s">
        <v>95</v>
      </c>
      <c r="F1583" s="575" t="s">
        <v>328</v>
      </c>
      <c r="G1583" s="575" t="s">
        <v>329</v>
      </c>
      <c r="H1583" s="575" t="s">
        <v>448</v>
      </c>
      <c r="I1583" s="651" t="s">
        <v>449</v>
      </c>
    </row>
    <row r="1584" spans="1:20" ht="14.25" thickTop="1" thickBot="1" x14ac:dyDescent="0.25">
      <c r="A1584" s="511">
        <v>1</v>
      </c>
      <c r="B1584" s="512">
        <v>2</v>
      </c>
      <c r="C1584" s="512">
        <v>3</v>
      </c>
      <c r="D1584" s="512">
        <v>4</v>
      </c>
      <c r="E1584" s="512">
        <v>5</v>
      </c>
      <c r="F1584" s="499">
        <v>6</v>
      </c>
      <c r="G1584" s="499">
        <v>7</v>
      </c>
      <c r="H1584" s="500">
        <v>8</v>
      </c>
      <c r="I1584" s="577" t="s">
        <v>393</v>
      </c>
    </row>
    <row r="1585" spans="1:9" ht="15.75" hidden="1" thickTop="1" x14ac:dyDescent="0.25">
      <c r="A1585" s="924">
        <v>1175</v>
      </c>
      <c r="B1585" s="676">
        <v>3122</v>
      </c>
      <c r="C1585" s="676">
        <v>5331</v>
      </c>
      <c r="D1585" s="679"/>
      <c r="E1585" s="703" t="s">
        <v>481</v>
      </c>
      <c r="F1585" s="674">
        <f>F1586+F1587</f>
        <v>0</v>
      </c>
      <c r="G1585" s="674">
        <f>G1586+G1587</f>
        <v>0</v>
      </c>
      <c r="H1585" s="674">
        <f>H1586+H1587</f>
        <v>0</v>
      </c>
      <c r="I1585" s="677" t="e">
        <f>(H1585/G1585)*100</f>
        <v>#DIV/0!</v>
      </c>
    </row>
    <row r="1586" spans="1:9" ht="15" hidden="1" thickTop="1" x14ac:dyDescent="0.2">
      <c r="A1586" s="418"/>
      <c r="B1586" s="603"/>
      <c r="C1586" s="603"/>
      <c r="D1586" s="620" t="s">
        <v>905</v>
      </c>
      <c r="E1586" s="938" t="s">
        <v>408</v>
      </c>
      <c r="F1586" s="660"/>
      <c r="G1586" s="660"/>
      <c r="H1586" s="660"/>
      <c r="I1586" s="656" t="e">
        <f>(H1586/G1586)*100</f>
        <v>#DIV/0!</v>
      </c>
    </row>
    <row r="1587" spans="1:9" ht="15" hidden="1" thickTop="1" x14ac:dyDescent="0.2">
      <c r="A1587" s="418"/>
      <c r="B1587" s="603"/>
      <c r="C1587" s="603"/>
      <c r="D1587" s="505" t="s">
        <v>906</v>
      </c>
      <c r="E1587" s="436" t="s">
        <v>38</v>
      </c>
      <c r="F1587" s="660"/>
      <c r="G1587" s="660"/>
      <c r="H1587" s="660"/>
      <c r="I1587" s="656">
        <v>100</v>
      </c>
    </row>
    <row r="1588" spans="1:9" ht="15.75" thickTop="1" x14ac:dyDescent="0.25">
      <c r="A1588" s="921">
        <v>1175</v>
      </c>
      <c r="B1588" s="2427">
        <v>3122</v>
      </c>
      <c r="C1588" s="2427">
        <v>5336</v>
      </c>
      <c r="D1588" s="2765"/>
      <c r="E1588" s="602" t="s">
        <v>856</v>
      </c>
      <c r="F1588" s="678">
        <f>F1589+F1592+F1593+F1594+F1595+F1596</f>
        <v>0</v>
      </c>
      <c r="G1588" s="678">
        <f>G1589+G1592+G1593+G1594+G1595+G1596</f>
        <v>12854</v>
      </c>
      <c r="H1588" s="678">
        <f>H1589+H1592+H1593+H1594+H1595+H1596</f>
        <v>12854</v>
      </c>
      <c r="I1588" s="680">
        <v>100</v>
      </c>
    </row>
    <row r="1589" spans="1:9" ht="14.25" x14ac:dyDescent="0.2">
      <c r="A1589" s="921"/>
      <c r="B1589" s="2427"/>
      <c r="C1589" s="2427"/>
      <c r="D1589" s="3238" t="s">
        <v>934</v>
      </c>
      <c r="E1589" s="3236" t="s">
        <v>704</v>
      </c>
      <c r="F1589" s="660">
        <v>0</v>
      </c>
      <c r="G1589" s="660">
        <v>49</v>
      </c>
      <c r="H1589" s="660">
        <v>49</v>
      </c>
      <c r="I1589" s="656">
        <v>100</v>
      </c>
    </row>
    <row r="1590" spans="1:9" ht="14.25" x14ac:dyDescent="0.2">
      <c r="A1590" s="921"/>
      <c r="B1590" s="2427"/>
      <c r="C1590" s="2427"/>
      <c r="D1590" s="3239"/>
      <c r="E1590" s="3237"/>
      <c r="F1590" s="660"/>
      <c r="G1590" s="660"/>
      <c r="H1590" s="660"/>
      <c r="I1590" s="656"/>
    </row>
    <row r="1591" spans="1:9" ht="14.25" x14ac:dyDescent="0.2">
      <c r="A1591" s="921"/>
      <c r="B1591" s="2427"/>
      <c r="C1591" s="2427"/>
      <c r="D1591" s="3239"/>
      <c r="E1591" s="3237"/>
      <c r="F1591" s="660"/>
      <c r="G1591" s="660"/>
      <c r="H1591" s="660"/>
      <c r="I1591" s="367"/>
    </row>
    <row r="1592" spans="1:9" ht="14.25" x14ac:dyDescent="0.2">
      <c r="A1592" s="921"/>
      <c r="B1592" s="2427"/>
      <c r="C1592" s="2427"/>
      <c r="D1592" s="2725" t="s">
        <v>902</v>
      </c>
      <c r="E1592" s="1352" t="s">
        <v>855</v>
      </c>
      <c r="F1592" s="1600">
        <v>0</v>
      </c>
      <c r="G1592" s="1600">
        <v>263</v>
      </c>
      <c r="H1592" s="1600">
        <v>263</v>
      </c>
      <c r="I1592" s="367">
        <f t="shared" ref="I1592:I1593" si="317">(H1592/G1592)*100</f>
        <v>100</v>
      </c>
    </row>
    <row r="1593" spans="1:9" ht="14.25" x14ac:dyDescent="0.2">
      <c r="A1593" s="921"/>
      <c r="B1593" s="2427"/>
      <c r="C1593" s="2427"/>
      <c r="D1593" s="2725" t="s">
        <v>1896</v>
      </c>
      <c r="E1593" s="2216" t="s">
        <v>1951</v>
      </c>
      <c r="F1593" s="1643">
        <v>0</v>
      </c>
      <c r="G1593" s="1643">
        <v>103</v>
      </c>
      <c r="H1593" s="1643">
        <v>103</v>
      </c>
      <c r="I1593" s="982">
        <f t="shared" si="317"/>
        <v>100</v>
      </c>
    </row>
    <row r="1594" spans="1:9" ht="14.25" x14ac:dyDescent="0.2">
      <c r="A1594" s="921"/>
      <c r="B1594" s="2427"/>
      <c r="C1594" s="2427"/>
      <c r="D1594" s="2726" t="s">
        <v>901</v>
      </c>
      <c r="E1594" s="436" t="s">
        <v>1637</v>
      </c>
      <c r="F1594" s="660">
        <v>0</v>
      </c>
      <c r="G1594" s="660">
        <v>12439</v>
      </c>
      <c r="H1594" s="660">
        <v>12439</v>
      </c>
      <c r="I1594" s="656">
        <v>100</v>
      </c>
    </row>
    <row r="1595" spans="1:9" ht="14.25" hidden="1" x14ac:dyDescent="0.2">
      <c r="A1595" s="921"/>
      <c r="B1595" s="2722"/>
      <c r="C1595" s="2722"/>
      <c r="D1595" s="2726" t="s">
        <v>907</v>
      </c>
      <c r="E1595" s="938" t="s">
        <v>909</v>
      </c>
      <c r="F1595" s="665"/>
      <c r="G1595" s="665"/>
      <c r="H1595" s="665"/>
      <c r="I1595" s="656">
        <v>100</v>
      </c>
    </row>
    <row r="1596" spans="1:9" ht="14.25" hidden="1" x14ac:dyDescent="0.2">
      <c r="A1596" s="921"/>
      <c r="B1596" s="2722"/>
      <c r="C1596" s="2722"/>
      <c r="D1596" s="2726" t="s">
        <v>908</v>
      </c>
      <c r="E1596" s="938" t="s">
        <v>909</v>
      </c>
      <c r="F1596" s="665"/>
      <c r="G1596" s="665"/>
      <c r="H1596" s="665"/>
      <c r="I1596" s="656">
        <v>100</v>
      </c>
    </row>
    <row r="1597" spans="1:9" ht="15" x14ac:dyDescent="0.25">
      <c r="A1597" s="921">
        <v>1175</v>
      </c>
      <c r="B1597" s="2722">
        <v>3141</v>
      </c>
      <c r="C1597" s="1350">
        <v>5336</v>
      </c>
      <c r="D1597" s="2726"/>
      <c r="E1597" s="602" t="s">
        <v>856</v>
      </c>
      <c r="F1597" s="675">
        <f>F1598</f>
        <v>0</v>
      </c>
      <c r="G1597" s="675">
        <f>G1598</f>
        <v>371</v>
      </c>
      <c r="H1597" s="675">
        <f>H1598</f>
        <v>371</v>
      </c>
      <c r="I1597" s="669">
        <f t="shared" ref="I1597:I1600" si="318">(H1597/G1597)*100</f>
        <v>100</v>
      </c>
    </row>
    <row r="1598" spans="1:9" ht="15" thickBot="1" x14ac:dyDescent="0.25">
      <c r="A1598" s="921"/>
      <c r="B1598" s="2722"/>
      <c r="C1598" s="1350"/>
      <c r="D1598" s="2726" t="s">
        <v>901</v>
      </c>
      <c r="E1598" s="436" t="s">
        <v>1637</v>
      </c>
      <c r="F1598" s="665">
        <v>0</v>
      </c>
      <c r="G1598" s="665">
        <v>371</v>
      </c>
      <c r="H1598" s="665">
        <v>371</v>
      </c>
      <c r="I1598" s="661">
        <f t="shared" si="318"/>
        <v>100</v>
      </c>
    </row>
    <row r="1599" spans="1:9" ht="15.75" hidden="1" thickBot="1" x14ac:dyDescent="0.3">
      <c r="A1599" s="418">
        <v>1175</v>
      </c>
      <c r="B1599" s="603">
        <v>3293</v>
      </c>
      <c r="C1599" s="917">
        <v>5336</v>
      </c>
      <c r="D1599" s="662"/>
      <c r="E1599" s="602" t="s">
        <v>856</v>
      </c>
      <c r="F1599" s="653"/>
      <c r="G1599" s="653">
        <f>G1600</f>
        <v>0</v>
      </c>
      <c r="H1599" s="653">
        <f>H1600</f>
        <v>0</v>
      </c>
      <c r="I1599" s="667" t="e">
        <f t="shared" si="318"/>
        <v>#DIV/0!</v>
      </c>
    </row>
    <row r="1600" spans="1:9" ht="15.75" hidden="1" thickBot="1" x14ac:dyDescent="0.3">
      <c r="A1600" s="418"/>
      <c r="B1600" s="603"/>
      <c r="C1600" s="917"/>
      <c r="D1600" s="892" t="s">
        <v>913</v>
      </c>
      <c r="E1600" s="868" t="s">
        <v>768</v>
      </c>
      <c r="F1600" s="653"/>
      <c r="G1600" s="351"/>
      <c r="H1600" s="351"/>
      <c r="I1600" s="661" t="e">
        <f t="shared" si="318"/>
        <v>#DIV/0!</v>
      </c>
    </row>
    <row r="1601" spans="1:20" ht="16.5" thickTop="1" thickBot="1" x14ac:dyDescent="0.3">
      <c r="A1601" s="3233" t="s">
        <v>522</v>
      </c>
      <c r="B1601" s="3234"/>
      <c r="C1601" s="3234"/>
      <c r="D1601" s="3234"/>
      <c r="E1601" s="3234"/>
      <c r="F1601" s="657">
        <f>F1585</f>
        <v>0</v>
      </c>
      <c r="G1601" s="657">
        <f>G1599+G1597+G1588+G1585</f>
        <v>13225</v>
      </c>
      <c r="H1601" s="657">
        <f>H1599+H1597+H1588+H1585</f>
        <v>13225</v>
      </c>
      <c r="I1601" s="658">
        <f>(H1601/G1601)*100</f>
        <v>100</v>
      </c>
      <c r="R1601" s="373">
        <f>F1601</f>
        <v>0</v>
      </c>
      <c r="S1601" s="373">
        <f>G1601</f>
        <v>13225</v>
      </c>
      <c r="T1601" s="373">
        <f>H1601</f>
        <v>13225</v>
      </c>
    </row>
    <row r="1602" spans="1:20" s="374" customFormat="1" ht="13.5" thickTop="1" x14ac:dyDescent="0.2">
      <c r="A1602" s="372"/>
      <c r="B1602" s="584"/>
      <c r="C1602" s="372"/>
      <c r="D1602" s="648"/>
      <c r="E1602" s="372"/>
      <c r="F1602" s="373"/>
      <c r="G1602" s="373"/>
      <c r="H1602" s="373"/>
      <c r="I1602" s="915"/>
    </row>
    <row r="1603" spans="1:20" s="374" customFormat="1" x14ac:dyDescent="0.2">
      <c r="A1603" s="372"/>
      <c r="B1603" s="584"/>
      <c r="C1603" s="372"/>
      <c r="D1603" s="648"/>
      <c r="E1603" s="372"/>
      <c r="F1603" s="373"/>
      <c r="G1603" s="373"/>
      <c r="H1603" s="373"/>
      <c r="I1603" s="915"/>
    </row>
    <row r="1604" spans="1:20" s="374" customFormat="1" x14ac:dyDescent="0.2">
      <c r="A1604" s="372"/>
      <c r="B1604" s="584"/>
      <c r="C1604" s="372"/>
      <c r="D1604" s="648"/>
      <c r="E1604" s="372"/>
      <c r="F1604" s="373"/>
      <c r="G1604" s="373"/>
      <c r="H1604" s="373"/>
      <c r="I1604" s="915"/>
    </row>
    <row r="1605" spans="1:20" ht="13.5" thickBot="1" x14ac:dyDescent="0.25">
      <c r="A1605" s="419" t="s">
        <v>434</v>
      </c>
      <c r="I1605" s="915" t="s">
        <v>92</v>
      </c>
    </row>
    <row r="1606" spans="1:20" ht="14.25" thickTop="1" thickBot="1" x14ac:dyDescent="0.25">
      <c r="A1606" s="572" t="s">
        <v>324</v>
      </c>
      <c r="B1606" s="639" t="s">
        <v>93</v>
      </c>
      <c r="C1606" s="573" t="s">
        <v>94</v>
      </c>
      <c r="D1606" s="575" t="s">
        <v>364</v>
      </c>
      <c r="E1606" s="575" t="s">
        <v>95</v>
      </c>
      <c r="F1606" s="575" t="s">
        <v>328</v>
      </c>
      <c r="G1606" s="575" t="s">
        <v>329</v>
      </c>
      <c r="H1606" s="575" t="s">
        <v>448</v>
      </c>
      <c r="I1606" s="651" t="s">
        <v>449</v>
      </c>
    </row>
    <row r="1607" spans="1:20" ht="14.25" thickTop="1" thickBot="1" x14ac:dyDescent="0.25">
      <c r="A1607" s="511">
        <v>1</v>
      </c>
      <c r="B1607" s="512">
        <v>2</v>
      </c>
      <c r="C1607" s="512">
        <v>3</v>
      </c>
      <c r="D1607" s="512">
        <v>4</v>
      </c>
      <c r="E1607" s="512">
        <v>5</v>
      </c>
      <c r="F1607" s="499">
        <v>6</v>
      </c>
      <c r="G1607" s="499">
        <v>7</v>
      </c>
      <c r="H1607" s="500">
        <v>8</v>
      </c>
      <c r="I1607" s="577" t="s">
        <v>393</v>
      </c>
    </row>
    <row r="1608" spans="1:20" ht="15.75" thickTop="1" x14ac:dyDescent="0.25">
      <c r="A1608" s="2773">
        <v>1200</v>
      </c>
      <c r="B1608" s="2774">
        <v>3122</v>
      </c>
      <c r="C1608" s="2774">
        <v>5336</v>
      </c>
      <c r="D1608" s="2775"/>
      <c r="E1608" s="602" t="s">
        <v>856</v>
      </c>
      <c r="F1608" s="401">
        <f>F1609</f>
        <v>0</v>
      </c>
      <c r="G1608" s="401">
        <f>G1609</f>
        <v>1422</v>
      </c>
      <c r="H1608" s="401">
        <f>H1609</f>
        <v>1422</v>
      </c>
      <c r="I1608" s="677">
        <f>(H1608/G1608)*100</f>
        <v>100</v>
      </c>
    </row>
    <row r="1609" spans="1:20" ht="14.25" x14ac:dyDescent="0.2">
      <c r="A1609" s="690"/>
      <c r="B1609" s="879"/>
      <c r="C1609" s="879"/>
      <c r="D1609" s="2726" t="s">
        <v>901</v>
      </c>
      <c r="E1609" s="436" t="s">
        <v>1637</v>
      </c>
      <c r="F1609" s="948">
        <v>0</v>
      </c>
      <c r="G1609" s="912">
        <v>1422</v>
      </c>
      <c r="H1609" s="947">
        <v>1422</v>
      </c>
      <c r="I1609" s="656">
        <f>(H1609/G1609)*100</f>
        <v>100</v>
      </c>
    </row>
    <row r="1610" spans="1:20" ht="15" x14ac:dyDescent="0.25">
      <c r="A1610" s="921">
        <v>1200</v>
      </c>
      <c r="B1610" s="2427">
        <v>3123</v>
      </c>
      <c r="C1610" s="2427">
        <v>5336</v>
      </c>
      <c r="D1610" s="2725"/>
      <c r="E1610" s="602" t="s">
        <v>856</v>
      </c>
      <c r="F1610" s="678">
        <f>F1611</f>
        <v>0</v>
      </c>
      <c r="G1610" s="678">
        <f>G1611</f>
        <v>10447</v>
      </c>
      <c r="H1610" s="678">
        <f>H1611</f>
        <v>10447</v>
      </c>
      <c r="I1610" s="680">
        <f t="shared" ref="I1610:I1625" si="319">(H1610/G1610)*100</f>
        <v>100</v>
      </c>
    </row>
    <row r="1611" spans="1:20" ht="14.25" x14ac:dyDescent="0.2">
      <c r="A1611" s="921"/>
      <c r="B1611" s="2427"/>
      <c r="C1611" s="2719"/>
      <c r="D1611" s="2726" t="s">
        <v>901</v>
      </c>
      <c r="E1611" s="436" t="s">
        <v>1637</v>
      </c>
      <c r="F1611" s="660">
        <v>0</v>
      </c>
      <c r="G1611" s="660">
        <v>10447</v>
      </c>
      <c r="H1611" s="660">
        <v>10447</v>
      </c>
      <c r="I1611" s="656">
        <f t="shared" si="319"/>
        <v>100</v>
      </c>
    </row>
    <row r="1612" spans="1:20" ht="15" x14ac:dyDescent="0.25">
      <c r="A1612" s="921">
        <v>1200</v>
      </c>
      <c r="B1612" s="2427">
        <v>3127</v>
      </c>
      <c r="C1612" s="2722">
        <v>5331</v>
      </c>
      <c r="D1612" s="2732"/>
      <c r="E1612" s="602" t="s">
        <v>481</v>
      </c>
      <c r="F1612" s="678">
        <f>F1613</f>
        <v>0</v>
      </c>
      <c r="G1612" s="678">
        <f t="shared" ref="G1612:H1612" si="320">G1613</f>
        <v>45</v>
      </c>
      <c r="H1612" s="678">
        <f t="shared" si="320"/>
        <v>45</v>
      </c>
      <c r="I1612" s="680">
        <f t="shared" si="319"/>
        <v>100</v>
      </c>
    </row>
    <row r="1613" spans="1:20" ht="14.25" x14ac:dyDescent="0.2">
      <c r="A1613" s="921"/>
      <c r="B1613" s="2722"/>
      <c r="C1613" s="2722"/>
      <c r="D1613" s="2742" t="s">
        <v>1891</v>
      </c>
      <c r="E1613" s="938" t="s">
        <v>1952</v>
      </c>
      <c r="F1613" s="665">
        <v>0</v>
      </c>
      <c r="G1613" s="665">
        <v>45</v>
      </c>
      <c r="H1613" s="665">
        <v>45</v>
      </c>
      <c r="I1613" s="656">
        <f t="shared" si="319"/>
        <v>100</v>
      </c>
    </row>
    <row r="1614" spans="1:20" ht="15" x14ac:dyDescent="0.25">
      <c r="A1614" s="921">
        <v>1200</v>
      </c>
      <c r="B1614" s="2427">
        <v>3127</v>
      </c>
      <c r="C1614" s="2427">
        <v>5336</v>
      </c>
      <c r="D1614" s="2725"/>
      <c r="E1614" s="602" t="s">
        <v>856</v>
      </c>
      <c r="F1614" s="678">
        <f>F1615+F1616+F1617+F1618+F1619</f>
        <v>0</v>
      </c>
      <c r="G1614" s="678">
        <f t="shared" ref="G1614:H1614" si="321">G1615+G1616+G1617+G1618+G1619</f>
        <v>1117</v>
      </c>
      <c r="H1614" s="678">
        <f t="shared" si="321"/>
        <v>1117</v>
      </c>
      <c r="I1614" s="680">
        <f t="shared" si="319"/>
        <v>100</v>
      </c>
    </row>
    <row r="1615" spans="1:20" ht="14.25" x14ac:dyDescent="0.2">
      <c r="A1615" s="921"/>
      <c r="B1615" s="2722"/>
      <c r="C1615" s="1350"/>
      <c r="D1615" s="2725" t="s">
        <v>912</v>
      </c>
      <c r="E1615" s="1598" t="s">
        <v>817</v>
      </c>
      <c r="F1615" s="665">
        <v>0</v>
      </c>
      <c r="G1615" s="665">
        <v>473</v>
      </c>
      <c r="H1615" s="665">
        <v>473</v>
      </c>
      <c r="I1615" s="656">
        <f t="shared" si="319"/>
        <v>100</v>
      </c>
    </row>
    <row r="1616" spans="1:20" ht="14.25" x14ac:dyDescent="0.2">
      <c r="A1616" s="921"/>
      <c r="B1616" s="2722"/>
      <c r="C1616" s="1350"/>
      <c r="D1616" s="2725" t="s">
        <v>902</v>
      </c>
      <c r="E1616" s="1352" t="s">
        <v>855</v>
      </c>
      <c r="F1616" s="665">
        <v>0</v>
      </c>
      <c r="G1616" s="665">
        <v>299</v>
      </c>
      <c r="H1616" s="665">
        <v>299</v>
      </c>
      <c r="I1616" s="656">
        <f t="shared" si="319"/>
        <v>100</v>
      </c>
    </row>
    <row r="1617" spans="1:20" ht="14.25" x14ac:dyDescent="0.2">
      <c r="A1617" s="921"/>
      <c r="B1617" s="2722"/>
      <c r="C1617" s="1350"/>
      <c r="D1617" s="2725" t="s">
        <v>1896</v>
      </c>
      <c r="E1617" s="1598" t="s">
        <v>1951</v>
      </c>
      <c r="F1617" s="665">
        <v>0</v>
      </c>
      <c r="G1617" s="665">
        <v>125</v>
      </c>
      <c r="H1617" s="665">
        <v>125</v>
      </c>
      <c r="I1617" s="656">
        <f t="shared" si="319"/>
        <v>100</v>
      </c>
    </row>
    <row r="1618" spans="1:20" ht="14.25" x14ac:dyDescent="0.2">
      <c r="A1618" s="921"/>
      <c r="B1618" s="2722"/>
      <c r="C1618" s="1350"/>
      <c r="D1618" s="2726" t="s">
        <v>1144</v>
      </c>
      <c r="E1618" s="938" t="s">
        <v>1515</v>
      </c>
      <c r="F1618" s="665">
        <v>0</v>
      </c>
      <c r="G1618" s="665">
        <v>33</v>
      </c>
      <c r="H1618" s="665">
        <v>33</v>
      </c>
      <c r="I1618" s="656">
        <f t="shared" si="319"/>
        <v>100</v>
      </c>
    </row>
    <row r="1619" spans="1:20" ht="14.25" x14ac:dyDescent="0.2">
      <c r="A1619" s="921"/>
      <c r="B1619" s="2722"/>
      <c r="C1619" s="1350"/>
      <c r="D1619" s="2726" t="s">
        <v>1145</v>
      </c>
      <c r="E1619" s="938" t="s">
        <v>1515</v>
      </c>
      <c r="F1619" s="665">
        <v>0</v>
      </c>
      <c r="G1619" s="665">
        <v>187</v>
      </c>
      <c r="H1619" s="665">
        <v>187</v>
      </c>
      <c r="I1619" s="656">
        <f t="shared" si="319"/>
        <v>100</v>
      </c>
    </row>
    <row r="1620" spans="1:20" ht="15" hidden="1" x14ac:dyDescent="0.25">
      <c r="A1620" s="2754">
        <v>1200</v>
      </c>
      <c r="B1620" s="2755">
        <v>3127</v>
      </c>
      <c r="C1620" s="2755">
        <v>5331</v>
      </c>
      <c r="D1620" s="2756"/>
      <c r="E1620" s="845" t="s">
        <v>481</v>
      </c>
      <c r="F1620" s="665"/>
      <c r="G1620" s="675">
        <f>G1621</f>
        <v>0</v>
      </c>
      <c r="H1620" s="675">
        <f>H1621</f>
        <v>0</v>
      </c>
      <c r="I1620" s="981" t="e">
        <f t="shared" si="319"/>
        <v>#DIV/0!</v>
      </c>
    </row>
    <row r="1621" spans="1:20" ht="28.5" hidden="1" x14ac:dyDescent="0.2">
      <c r="A1621" s="2754"/>
      <c r="B1621" s="2755"/>
      <c r="C1621" s="2761"/>
      <c r="D1621" s="2768" t="s">
        <v>1134</v>
      </c>
      <c r="E1621" s="2623" t="s">
        <v>1527</v>
      </c>
      <c r="F1621" s="665"/>
      <c r="G1621" s="870"/>
      <c r="H1621" s="870"/>
      <c r="I1621" s="871" t="e">
        <f t="shared" si="319"/>
        <v>#DIV/0!</v>
      </c>
    </row>
    <row r="1622" spans="1:20" ht="15" x14ac:dyDescent="0.25">
      <c r="A1622" s="921">
        <v>1200</v>
      </c>
      <c r="B1622" s="2722">
        <v>3141</v>
      </c>
      <c r="C1622" s="2427">
        <v>5336</v>
      </c>
      <c r="D1622" s="2725"/>
      <c r="E1622" s="602" t="s">
        <v>856</v>
      </c>
      <c r="F1622" s="666">
        <f>F1623</f>
        <v>0</v>
      </c>
      <c r="G1622" s="666">
        <f>G1623</f>
        <v>417</v>
      </c>
      <c r="H1622" s="666">
        <f>H1623</f>
        <v>417</v>
      </c>
      <c r="I1622" s="667">
        <f t="shared" si="319"/>
        <v>100</v>
      </c>
    </row>
    <row r="1623" spans="1:20" ht="14.25" x14ac:dyDescent="0.2">
      <c r="A1623" s="921"/>
      <c r="B1623" s="2722"/>
      <c r="C1623" s="2722"/>
      <c r="D1623" s="2726" t="s">
        <v>901</v>
      </c>
      <c r="E1623" s="436" t="s">
        <v>1637</v>
      </c>
      <c r="F1623" s="665">
        <v>0</v>
      </c>
      <c r="G1623" s="665">
        <v>417</v>
      </c>
      <c r="H1623" s="665">
        <v>417</v>
      </c>
      <c r="I1623" s="661">
        <f t="shared" si="319"/>
        <v>100</v>
      </c>
    </row>
    <row r="1624" spans="1:20" ht="15" x14ac:dyDescent="0.25">
      <c r="A1624" s="921">
        <v>1200</v>
      </c>
      <c r="B1624" s="2722">
        <v>3147</v>
      </c>
      <c r="C1624" s="2722">
        <v>5336</v>
      </c>
      <c r="D1624" s="2726"/>
      <c r="E1624" s="602" t="s">
        <v>856</v>
      </c>
      <c r="F1624" s="675">
        <f>F1625</f>
        <v>0</v>
      </c>
      <c r="G1624" s="675">
        <f>G1625</f>
        <v>1322</v>
      </c>
      <c r="H1624" s="675">
        <f>H1625</f>
        <v>1322</v>
      </c>
      <c r="I1624" s="669">
        <f t="shared" si="319"/>
        <v>100</v>
      </c>
    </row>
    <row r="1625" spans="1:20" ht="12.75" customHeight="1" x14ac:dyDescent="0.2">
      <c r="A1625" s="921"/>
      <c r="B1625" s="2722"/>
      <c r="C1625" s="1350"/>
      <c r="D1625" s="2726" t="s">
        <v>901</v>
      </c>
      <c r="E1625" s="436" t="s">
        <v>1637</v>
      </c>
      <c r="F1625" s="665">
        <v>0</v>
      </c>
      <c r="G1625" s="665">
        <v>1322</v>
      </c>
      <c r="H1625" s="665">
        <v>1322</v>
      </c>
      <c r="I1625" s="661">
        <f t="shared" si="319"/>
        <v>100</v>
      </c>
    </row>
    <row r="1626" spans="1:20" ht="12.75" customHeight="1" x14ac:dyDescent="0.25">
      <c r="A1626" s="921">
        <v>1200</v>
      </c>
      <c r="B1626" s="2427">
        <v>3299</v>
      </c>
      <c r="C1626" s="2722">
        <v>5331</v>
      </c>
      <c r="D1626" s="2732"/>
      <c r="E1626" s="602" t="s">
        <v>481</v>
      </c>
      <c r="F1626" s="678">
        <f>F1627</f>
        <v>0</v>
      </c>
      <c r="G1626" s="678">
        <f t="shared" ref="G1626" si="322">G1627</f>
        <v>49</v>
      </c>
      <c r="H1626" s="678">
        <f t="shared" ref="H1626" si="323">H1627</f>
        <v>49</v>
      </c>
      <c r="I1626" s="680">
        <f t="shared" ref="I1626:I1627" si="324">(H1626/G1626)*100</f>
        <v>100</v>
      </c>
    </row>
    <row r="1627" spans="1:20" ht="12.75" customHeight="1" thickBot="1" x14ac:dyDescent="0.25">
      <c r="A1627" s="921"/>
      <c r="B1627" s="2722"/>
      <c r="C1627" s="2722"/>
      <c r="D1627" s="2742" t="s">
        <v>1891</v>
      </c>
      <c r="E1627" s="938" t="s">
        <v>1952</v>
      </c>
      <c r="F1627" s="665">
        <v>0</v>
      </c>
      <c r="G1627" s="665">
        <v>49</v>
      </c>
      <c r="H1627" s="665">
        <v>49</v>
      </c>
      <c r="I1627" s="656">
        <f t="shared" si="324"/>
        <v>100</v>
      </c>
    </row>
    <row r="1628" spans="1:20" s="106" customFormat="1" ht="16.5" thickTop="1" thickBot="1" x14ac:dyDescent="0.3">
      <c r="A1628" s="3233" t="s">
        <v>522</v>
      </c>
      <c r="B1628" s="3234"/>
      <c r="C1628" s="3234"/>
      <c r="D1628" s="3234"/>
      <c r="E1628" s="3234"/>
      <c r="F1628" s="657">
        <f>F1612</f>
        <v>0</v>
      </c>
      <c r="G1628" s="657">
        <f>G1624+G1622+G1614+G1612+G1610+G1608+G1620+G1626</f>
        <v>14819</v>
      </c>
      <c r="H1628" s="657">
        <f>H1624+H1622+H1614+H1612+H1610+H1608+H1620+H1626</f>
        <v>14819</v>
      </c>
      <c r="I1628" s="658">
        <f>(H1628/G1628)*100</f>
        <v>100</v>
      </c>
      <c r="R1628" s="373">
        <f>F1628</f>
        <v>0</v>
      </c>
      <c r="S1628" s="373">
        <f>G1628</f>
        <v>14819</v>
      </c>
      <c r="T1628" s="373">
        <f>H1628</f>
        <v>14819</v>
      </c>
    </row>
    <row r="1629" spans="1:20" s="374" customFormat="1" ht="13.5" thickTop="1" x14ac:dyDescent="0.2">
      <c r="A1629" s="372"/>
      <c r="B1629" s="584"/>
      <c r="C1629" s="372"/>
      <c r="D1629" s="648"/>
      <c r="E1629" s="372"/>
      <c r="F1629" s="373"/>
      <c r="G1629" s="373"/>
      <c r="H1629" s="373"/>
      <c r="I1629" s="915"/>
    </row>
    <row r="1630" spans="1:20" s="374" customFormat="1" x14ac:dyDescent="0.2">
      <c r="A1630" s="372"/>
      <c r="B1630" s="584"/>
      <c r="C1630" s="372"/>
      <c r="D1630" s="648"/>
      <c r="E1630" s="372"/>
      <c r="F1630" s="373"/>
      <c r="G1630" s="373"/>
      <c r="H1630" s="373"/>
      <c r="I1630" s="915"/>
    </row>
    <row r="1631" spans="1:20" s="374" customFormat="1" x14ac:dyDescent="0.2">
      <c r="A1631" s="372"/>
      <c r="B1631" s="584"/>
      <c r="C1631" s="372"/>
      <c r="D1631" s="648"/>
      <c r="E1631" s="372"/>
      <c r="F1631" s="373"/>
      <c r="G1631" s="373"/>
      <c r="H1631" s="373"/>
      <c r="I1631" s="915"/>
    </row>
    <row r="1632" spans="1:20" s="374" customFormat="1" x14ac:dyDescent="0.2">
      <c r="A1632" s="372"/>
      <c r="B1632" s="584"/>
      <c r="C1632" s="372"/>
      <c r="D1632" s="648"/>
      <c r="E1632" s="372"/>
      <c r="F1632" s="373"/>
      <c r="G1632" s="373"/>
      <c r="H1632" s="373"/>
      <c r="I1632" s="915"/>
    </row>
    <row r="1633" spans="1:9" s="374" customFormat="1" x14ac:dyDescent="0.2">
      <c r="A1633" s="372"/>
      <c r="B1633" s="584"/>
      <c r="C1633" s="372"/>
      <c r="D1633" s="648"/>
      <c r="E1633" s="372"/>
      <c r="F1633" s="373"/>
      <c r="G1633" s="373"/>
      <c r="H1633" s="373"/>
      <c r="I1633" s="915"/>
    </row>
    <row r="1634" spans="1:9" s="374" customFormat="1" x14ac:dyDescent="0.2">
      <c r="A1634" s="372"/>
      <c r="B1634" s="584"/>
      <c r="C1634" s="372"/>
      <c r="D1634" s="648"/>
      <c r="E1634" s="372"/>
      <c r="F1634" s="373"/>
      <c r="G1634" s="373"/>
      <c r="H1634" s="373"/>
      <c r="I1634" s="915"/>
    </row>
    <row r="1635" spans="1:9" s="374" customFormat="1" x14ac:dyDescent="0.2">
      <c r="A1635" s="372"/>
      <c r="B1635" s="584"/>
      <c r="C1635" s="372"/>
      <c r="D1635" s="648"/>
      <c r="E1635" s="372"/>
      <c r="F1635" s="373"/>
      <c r="G1635" s="373"/>
      <c r="H1635" s="373"/>
      <c r="I1635" s="915"/>
    </row>
    <row r="1636" spans="1:9" s="374" customFormat="1" x14ac:dyDescent="0.2">
      <c r="A1636" s="372"/>
      <c r="B1636" s="584"/>
      <c r="C1636" s="372"/>
      <c r="D1636" s="648"/>
      <c r="E1636" s="372"/>
      <c r="F1636" s="373"/>
      <c r="G1636" s="373"/>
      <c r="H1636" s="373"/>
      <c r="I1636" s="915"/>
    </row>
    <row r="1637" spans="1:9" s="374" customFormat="1" x14ac:dyDescent="0.2">
      <c r="A1637" s="372"/>
      <c r="B1637" s="584"/>
      <c r="C1637" s="372"/>
      <c r="D1637" s="648"/>
      <c r="E1637" s="372"/>
      <c r="F1637" s="373"/>
      <c r="G1637" s="373"/>
      <c r="H1637" s="373"/>
      <c r="I1637" s="915"/>
    </row>
    <row r="1638" spans="1:9" s="374" customFormat="1" x14ac:dyDescent="0.2">
      <c r="A1638" s="372"/>
      <c r="B1638" s="584"/>
      <c r="C1638" s="372"/>
      <c r="D1638" s="648"/>
      <c r="E1638" s="372"/>
      <c r="F1638" s="373"/>
      <c r="G1638" s="373"/>
      <c r="H1638" s="373"/>
      <c r="I1638" s="915"/>
    </row>
    <row r="1639" spans="1:9" s="374" customFormat="1" x14ac:dyDescent="0.2">
      <c r="A1639" s="372"/>
      <c r="B1639" s="584"/>
      <c r="C1639" s="372"/>
      <c r="D1639" s="648"/>
      <c r="E1639" s="372"/>
      <c r="F1639" s="373"/>
      <c r="G1639" s="373"/>
      <c r="H1639" s="373"/>
      <c r="I1639" s="915"/>
    </row>
    <row r="1640" spans="1:9" s="374" customFormat="1" x14ac:dyDescent="0.2">
      <c r="A1640" s="372"/>
      <c r="B1640" s="584"/>
      <c r="C1640" s="372"/>
      <c r="D1640" s="648"/>
      <c r="E1640" s="372"/>
      <c r="F1640" s="373"/>
      <c r="G1640" s="373"/>
      <c r="H1640" s="373"/>
      <c r="I1640" s="915"/>
    </row>
    <row r="1641" spans="1:9" s="374" customFormat="1" x14ac:dyDescent="0.2">
      <c r="A1641" s="372"/>
      <c r="B1641" s="584"/>
      <c r="C1641" s="372"/>
      <c r="D1641" s="648"/>
      <c r="E1641" s="372"/>
      <c r="F1641" s="373"/>
      <c r="G1641" s="373"/>
      <c r="H1641" s="373"/>
      <c r="I1641" s="915"/>
    </row>
    <row r="1642" spans="1:9" s="374" customFormat="1" x14ac:dyDescent="0.2">
      <c r="A1642" s="372"/>
      <c r="B1642" s="584"/>
      <c r="C1642" s="372"/>
      <c r="D1642" s="648"/>
      <c r="E1642" s="372"/>
      <c r="F1642" s="373"/>
      <c r="G1642" s="373"/>
      <c r="H1642" s="373"/>
      <c r="I1642" s="915"/>
    </row>
    <row r="1643" spans="1:9" s="374" customFormat="1" x14ac:dyDescent="0.2">
      <c r="A1643" s="372"/>
      <c r="B1643" s="584"/>
      <c r="C1643" s="372"/>
      <c r="D1643" s="648"/>
      <c r="E1643" s="372"/>
      <c r="F1643" s="373"/>
      <c r="G1643" s="373"/>
      <c r="H1643" s="373"/>
      <c r="I1643" s="915"/>
    </row>
    <row r="1644" spans="1:9" s="374" customFormat="1" x14ac:dyDescent="0.2">
      <c r="A1644" s="372"/>
      <c r="B1644" s="584"/>
      <c r="C1644" s="372"/>
      <c r="D1644" s="648"/>
      <c r="E1644" s="372"/>
      <c r="F1644" s="373"/>
      <c r="G1644" s="373"/>
      <c r="H1644" s="373"/>
      <c r="I1644" s="915"/>
    </row>
    <row r="1645" spans="1:9" ht="13.5" thickBot="1" x14ac:dyDescent="0.25">
      <c r="A1645" s="419" t="s">
        <v>74</v>
      </c>
      <c r="I1645" s="915" t="s">
        <v>92</v>
      </c>
    </row>
    <row r="1646" spans="1:9" ht="25.5" customHeight="1" thickTop="1" thickBot="1" x14ac:dyDescent="0.25">
      <c r="A1646" s="572" t="s">
        <v>324</v>
      </c>
      <c r="B1646" s="639" t="s">
        <v>93</v>
      </c>
      <c r="C1646" s="573" t="s">
        <v>94</v>
      </c>
      <c r="D1646" s="575" t="s">
        <v>364</v>
      </c>
      <c r="E1646" s="575" t="s">
        <v>95</v>
      </c>
      <c r="F1646" s="575" t="s">
        <v>328</v>
      </c>
      <c r="G1646" s="575" t="s">
        <v>329</v>
      </c>
      <c r="H1646" s="575" t="s">
        <v>448</v>
      </c>
      <c r="I1646" s="651" t="s">
        <v>449</v>
      </c>
    </row>
    <row r="1647" spans="1:9" ht="14.25" thickTop="1" thickBot="1" x14ac:dyDescent="0.25">
      <c r="A1647" s="511">
        <v>1</v>
      </c>
      <c r="B1647" s="512">
        <v>2</v>
      </c>
      <c r="C1647" s="512">
        <v>3</v>
      </c>
      <c r="D1647" s="512">
        <v>4</v>
      </c>
      <c r="E1647" s="512">
        <v>5</v>
      </c>
      <c r="F1647" s="499">
        <v>6</v>
      </c>
      <c r="G1647" s="499">
        <v>7</v>
      </c>
      <c r="H1647" s="500">
        <v>8</v>
      </c>
      <c r="I1647" s="577" t="s">
        <v>393</v>
      </c>
    </row>
    <row r="1648" spans="1:9" ht="15.75" thickTop="1" x14ac:dyDescent="0.25">
      <c r="A1648" s="921">
        <v>1201</v>
      </c>
      <c r="B1648" s="2427">
        <v>3122</v>
      </c>
      <c r="C1648" s="2427">
        <v>5336</v>
      </c>
      <c r="D1648" s="2743"/>
      <c r="E1648" s="602" t="s">
        <v>856</v>
      </c>
      <c r="F1648" s="653">
        <f>F1649</f>
        <v>0</v>
      </c>
      <c r="G1648" s="653">
        <f>G1649</f>
        <v>607</v>
      </c>
      <c r="H1648" s="653">
        <f>H1649</f>
        <v>607</v>
      </c>
      <c r="I1648" s="654">
        <f>(H1648/G1648)*100</f>
        <v>100</v>
      </c>
    </row>
    <row r="1649" spans="1:9" ht="14.25" x14ac:dyDescent="0.2">
      <c r="A1649" s="690"/>
      <c r="B1649" s="879"/>
      <c r="C1649" s="879"/>
      <c r="D1649" s="2726" t="s">
        <v>901</v>
      </c>
      <c r="E1649" s="436" t="s">
        <v>1637</v>
      </c>
      <c r="F1649" s="660">
        <v>0</v>
      </c>
      <c r="G1649" s="660">
        <v>607</v>
      </c>
      <c r="H1649" s="660">
        <v>607</v>
      </c>
      <c r="I1649" s="656">
        <f>(H1649/G1649)*100</f>
        <v>100</v>
      </c>
    </row>
    <row r="1650" spans="1:9" ht="15" x14ac:dyDescent="0.25">
      <c r="A1650" s="921">
        <v>1201</v>
      </c>
      <c r="B1650" s="2427">
        <v>3123</v>
      </c>
      <c r="C1650" s="2427">
        <v>5331</v>
      </c>
      <c r="D1650" s="2743"/>
      <c r="E1650" s="644" t="s">
        <v>481</v>
      </c>
      <c r="F1650" s="653">
        <f>F1651+F1652</f>
        <v>0</v>
      </c>
      <c r="G1650" s="653">
        <f t="shared" ref="G1650:H1650" si="325">G1651+G1652</f>
        <v>564</v>
      </c>
      <c r="H1650" s="653">
        <f t="shared" si="325"/>
        <v>564</v>
      </c>
      <c r="I1650" s="654">
        <f t="shared" ref="I1650:I1669" si="326">(H1650/G1650)*100</f>
        <v>100</v>
      </c>
    </row>
    <row r="1651" spans="1:9" ht="14.25" x14ac:dyDescent="0.2">
      <c r="A1651" s="921"/>
      <c r="B1651" s="2427"/>
      <c r="C1651" s="2427"/>
      <c r="D1651" s="2726" t="s">
        <v>917</v>
      </c>
      <c r="E1651" s="436" t="s">
        <v>1956</v>
      </c>
      <c r="F1651" s="660">
        <v>0</v>
      </c>
      <c r="G1651" s="660">
        <v>15</v>
      </c>
      <c r="H1651" s="660">
        <v>15</v>
      </c>
      <c r="I1651" s="656">
        <f t="shared" si="326"/>
        <v>100</v>
      </c>
    </row>
    <row r="1652" spans="1:9" ht="14.25" x14ac:dyDescent="0.2">
      <c r="A1652" s="921"/>
      <c r="B1652" s="2427"/>
      <c r="C1652" s="2427"/>
      <c r="D1652" s="2726" t="s">
        <v>1891</v>
      </c>
      <c r="E1652" s="692" t="s">
        <v>1952</v>
      </c>
      <c r="F1652" s="660">
        <v>0</v>
      </c>
      <c r="G1652" s="660">
        <v>549</v>
      </c>
      <c r="H1652" s="660">
        <v>549</v>
      </c>
      <c r="I1652" s="656">
        <f t="shared" si="326"/>
        <v>100</v>
      </c>
    </row>
    <row r="1653" spans="1:9" ht="15" x14ac:dyDescent="0.25">
      <c r="A1653" s="921">
        <v>1201</v>
      </c>
      <c r="B1653" s="2427">
        <v>3123</v>
      </c>
      <c r="C1653" s="2427">
        <v>5336</v>
      </c>
      <c r="D1653" s="2725"/>
      <c r="E1653" s="602" t="s">
        <v>856</v>
      </c>
      <c r="F1653" s="678">
        <f>F1654+F1655+F1656+F1657+F1658</f>
        <v>0</v>
      </c>
      <c r="G1653" s="678">
        <f>G1654+G1655+G1656+G1657+G1658</f>
        <v>26775</v>
      </c>
      <c r="H1653" s="678">
        <f>H1654+H1655+H1656+H1657+H1658</f>
        <v>26775</v>
      </c>
      <c r="I1653" s="680">
        <f t="shared" si="326"/>
        <v>100</v>
      </c>
    </row>
    <row r="1654" spans="1:9" ht="14.25" hidden="1" x14ac:dyDescent="0.2">
      <c r="A1654" s="921"/>
      <c r="B1654" s="2427"/>
      <c r="C1654" s="2427"/>
      <c r="D1654" s="2725" t="s">
        <v>920</v>
      </c>
      <c r="E1654" s="1352" t="s">
        <v>769</v>
      </c>
      <c r="F1654" s="672"/>
      <c r="G1654" s="311"/>
      <c r="H1654" s="311"/>
      <c r="I1654" s="816" t="e">
        <f t="shared" si="326"/>
        <v>#DIV/0!</v>
      </c>
    </row>
    <row r="1655" spans="1:9" ht="14.25" hidden="1" x14ac:dyDescent="0.2">
      <c r="A1655" s="921"/>
      <c r="B1655" s="2427"/>
      <c r="C1655" s="2427"/>
      <c r="D1655" s="2725" t="s">
        <v>912</v>
      </c>
      <c r="E1655" s="1598" t="s">
        <v>817</v>
      </c>
      <c r="F1655" s="309"/>
      <c r="G1655" s="311"/>
      <c r="H1655" s="311"/>
      <c r="I1655" s="816" t="e">
        <f t="shared" si="326"/>
        <v>#DIV/0!</v>
      </c>
    </row>
    <row r="1656" spans="1:9" ht="14.25" x14ac:dyDescent="0.2">
      <c r="A1656" s="921"/>
      <c r="B1656" s="2427"/>
      <c r="C1656" s="2427"/>
      <c r="D1656" s="2725" t="s">
        <v>902</v>
      </c>
      <c r="E1656" s="1352" t="s">
        <v>855</v>
      </c>
      <c r="F1656" s="1600">
        <v>0</v>
      </c>
      <c r="G1656" s="1600">
        <v>483</v>
      </c>
      <c r="H1656" s="1600">
        <v>483</v>
      </c>
      <c r="I1656" s="367">
        <f t="shared" ref="I1656:I1657" si="327">(H1656/G1656)*100</f>
        <v>100</v>
      </c>
    </row>
    <row r="1657" spans="1:9" ht="14.25" x14ac:dyDescent="0.2">
      <c r="A1657" s="921"/>
      <c r="B1657" s="2427"/>
      <c r="C1657" s="2427"/>
      <c r="D1657" s="2725" t="s">
        <v>1896</v>
      </c>
      <c r="E1657" s="2216" t="s">
        <v>1951</v>
      </c>
      <c r="F1657" s="1643">
        <v>0</v>
      </c>
      <c r="G1657" s="1643">
        <v>182</v>
      </c>
      <c r="H1657" s="1643">
        <v>182</v>
      </c>
      <c r="I1657" s="982">
        <f t="shared" si="327"/>
        <v>100</v>
      </c>
    </row>
    <row r="1658" spans="1:9" ht="14.25" x14ac:dyDescent="0.2">
      <c r="A1658" s="921"/>
      <c r="B1658" s="2427"/>
      <c r="C1658" s="2427"/>
      <c r="D1658" s="2726" t="s">
        <v>901</v>
      </c>
      <c r="E1658" s="436" t="s">
        <v>1637</v>
      </c>
      <c r="F1658" s="660">
        <v>0</v>
      </c>
      <c r="G1658" s="660">
        <v>26110</v>
      </c>
      <c r="H1658" s="660">
        <v>26110</v>
      </c>
      <c r="I1658" s="656">
        <f t="shared" si="326"/>
        <v>100</v>
      </c>
    </row>
    <row r="1659" spans="1:9" ht="15" hidden="1" x14ac:dyDescent="0.25">
      <c r="A1659" s="2754">
        <v>1201</v>
      </c>
      <c r="B1659" s="2755">
        <v>3123</v>
      </c>
      <c r="C1659" s="2755">
        <v>5331</v>
      </c>
      <c r="D1659" s="2756"/>
      <c r="E1659" s="845" t="s">
        <v>481</v>
      </c>
      <c r="F1659" s="665"/>
      <c r="G1659" s="675">
        <f>G1660</f>
        <v>0</v>
      </c>
      <c r="H1659" s="675">
        <f>H1660</f>
        <v>0</v>
      </c>
      <c r="I1659" s="680" t="e">
        <f t="shared" si="326"/>
        <v>#DIV/0!</v>
      </c>
    </row>
    <row r="1660" spans="1:9" ht="28.5" hidden="1" x14ac:dyDescent="0.2">
      <c r="A1660" s="2754"/>
      <c r="B1660" s="2755"/>
      <c r="C1660" s="2761"/>
      <c r="D1660" s="2768" t="s">
        <v>1134</v>
      </c>
      <c r="E1660" s="2623" t="s">
        <v>1527</v>
      </c>
      <c r="F1660" s="665"/>
      <c r="G1660" s="870"/>
      <c r="H1660" s="870"/>
      <c r="I1660" s="871" t="e">
        <f t="shared" si="326"/>
        <v>#DIV/0!</v>
      </c>
    </row>
    <row r="1661" spans="1:9" ht="15" x14ac:dyDescent="0.25">
      <c r="A1661" s="921">
        <v>1201</v>
      </c>
      <c r="B1661" s="2427">
        <v>3127</v>
      </c>
      <c r="C1661" s="2427">
        <v>5336</v>
      </c>
      <c r="D1661" s="2725"/>
      <c r="E1661" s="602" t="s">
        <v>856</v>
      </c>
      <c r="F1661" s="678">
        <f>F1662+F1663+F1664</f>
        <v>0</v>
      </c>
      <c r="G1661" s="678">
        <f t="shared" ref="G1661:H1661" si="328">G1662+G1663+G1664</f>
        <v>715</v>
      </c>
      <c r="H1661" s="678">
        <f t="shared" si="328"/>
        <v>715</v>
      </c>
      <c r="I1661" s="680">
        <f t="shared" si="326"/>
        <v>100</v>
      </c>
    </row>
    <row r="1662" spans="1:9" ht="14.25" x14ac:dyDescent="0.2">
      <c r="A1662" s="921"/>
      <c r="B1662" s="2427"/>
      <c r="C1662" s="2427"/>
      <c r="D1662" s="2725" t="s">
        <v>912</v>
      </c>
      <c r="E1662" s="1598" t="s">
        <v>817</v>
      </c>
      <c r="F1662" s="665">
        <v>0</v>
      </c>
      <c r="G1662" s="870">
        <v>53</v>
      </c>
      <c r="H1662" s="870">
        <v>53</v>
      </c>
      <c r="I1662" s="871">
        <f t="shared" si="326"/>
        <v>100</v>
      </c>
    </row>
    <row r="1663" spans="1:9" ht="14.25" x14ac:dyDescent="0.2">
      <c r="A1663" s="921"/>
      <c r="B1663" s="2427"/>
      <c r="C1663" s="2427"/>
      <c r="D1663" s="2726" t="s">
        <v>1144</v>
      </c>
      <c r="E1663" s="938" t="s">
        <v>1515</v>
      </c>
      <c r="F1663" s="665">
        <v>0</v>
      </c>
      <c r="G1663" s="870">
        <v>99</v>
      </c>
      <c r="H1663" s="870">
        <v>99</v>
      </c>
      <c r="I1663" s="871">
        <f t="shared" si="326"/>
        <v>100</v>
      </c>
    </row>
    <row r="1664" spans="1:9" ht="14.25" x14ac:dyDescent="0.2">
      <c r="A1664" s="921"/>
      <c r="B1664" s="2427"/>
      <c r="C1664" s="2427"/>
      <c r="D1664" s="2726" t="s">
        <v>1145</v>
      </c>
      <c r="E1664" s="938" t="s">
        <v>1515</v>
      </c>
      <c r="F1664" s="665">
        <v>0</v>
      </c>
      <c r="G1664" s="870">
        <v>563</v>
      </c>
      <c r="H1664" s="870">
        <v>563</v>
      </c>
      <c r="I1664" s="871">
        <f t="shared" si="326"/>
        <v>100</v>
      </c>
    </row>
    <row r="1665" spans="1:20" ht="15" x14ac:dyDescent="0.25">
      <c r="A1665" s="921">
        <v>1201</v>
      </c>
      <c r="B1665" s="2722">
        <v>3147</v>
      </c>
      <c r="C1665" s="2722">
        <v>5336</v>
      </c>
      <c r="D1665" s="2726"/>
      <c r="E1665" s="602" t="s">
        <v>856</v>
      </c>
      <c r="F1665" s="675">
        <f>F1666</f>
        <v>0</v>
      </c>
      <c r="G1665" s="675">
        <f>G1666</f>
        <v>1462</v>
      </c>
      <c r="H1665" s="675">
        <f>H1666</f>
        <v>1462</v>
      </c>
      <c r="I1665" s="669">
        <f t="shared" si="326"/>
        <v>100</v>
      </c>
    </row>
    <row r="1666" spans="1:20" ht="14.25" x14ac:dyDescent="0.2">
      <c r="A1666" s="921"/>
      <c r="B1666" s="2722"/>
      <c r="C1666" s="1350"/>
      <c r="D1666" s="2726" t="s">
        <v>901</v>
      </c>
      <c r="E1666" s="436" t="s">
        <v>1637</v>
      </c>
      <c r="F1666" s="665">
        <v>0</v>
      </c>
      <c r="G1666" s="665">
        <v>1462</v>
      </c>
      <c r="H1666" s="665">
        <v>1462</v>
      </c>
      <c r="I1666" s="661">
        <f t="shared" si="326"/>
        <v>100</v>
      </c>
    </row>
    <row r="1667" spans="1:20" ht="15" x14ac:dyDescent="0.25">
      <c r="A1667" s="921">
        <v>1201</v>
      </c>
      <c r="B1667" s="2427">
        <v>3299</v>
      </c>
      <c r="C1667" s="2427">
        <v>5331</v>
      </c>
      <c r="D1667" s="2743"/>
      <c r="E1667" s="644" t="s">
        <v>481</v>
      </c>
      <c r="F1667" s="653">
        <f>F1668</f>
        <v>0</v>
      </c>
      <c r="G1667" s="653">
        <f>G1668</f>
        <v>372</v>
      </c>
      <c r="H1667" s="653">
        <f>H1668</f>
        <v>372</v>
      </c>
      <c r="I1667" s="654">
        <f t="shared" ref="I1667:I1668" si="329">(H1667/G1667)*100</f>
        <v>100</v>
      </c>
    </row>
    <row r="1668" spans="1:20" ht="15" thickBot="1" x14ac:dyDescent="0.25">
      <c r="A1668" s="921"/>
      <c r="B1668" s="2427"/>
      <c r="C1668" s="2427"/>
      <c r="D1668" s="2726" t="s">
        <v>1891</v>
      </c>
      <c r="E1668" s="436" t="s">
        <v>1952</v>
      </c>
      <c r="F1668" s="660">
        <v>0</v>
      </c>
      <c r="G1668" s="660">
        <v>372</v>
      </c>
      <c r="H1668" s="660">
        <v>372</v>
      </c>
      <c r="I1668" s="656">
        <f t="shared" si="329"/>
        <v>100</v>
      </c>
    </row>
    <row r="1669" spans="1:20" ht="16.5" thickTop="1" thickBot="1" x14ac:dyDescent="0.3">
      <c r="A1669" s="3233" t="s">
        <v>522</v>
      </c>
      <c r="B1669" s="3234"/>
      <c r="C1669" s="3234"/>
      <c r="D1669" s="3234"/>
      <c r="E1669" s="3234"/>
      <c r="F1669" s="657">
        <f>F1650</f>
        <v>0</v>
      </c>
      <c r="G1669" s="657">
        <f>G1665+G1653+G1650+G1648+G1659+G1661+G1667</f>
        <v>30495</v>
      </c>
      <c r="H1669" s="657">
        <f>H1665+H1653+H1650+H1648+H1659+H1661+H1667</f>
        <v>30495</v>
      </c>
      <c r="I1669" s="658">
        <f t="shared" si="326"/>
        <v>100</v>
      </c>
      <c r="R1669" s="373">
        <f>F1669</f>
        <v>0</v>
      </c>
      <c r="S1669" s="373">
        <f>G1669</f>
        <v>30495</v>
      </c>
      <c r="T1669" s="373">
        <f>H1669</f>
        <v>30495</v>
      </c>
    </row>
    <row r="1670" spans="1:20" ht="14.25" customHeight="1" thickTop="1" x14ac:dyDescent="0.25">
      <c r="A1670" s="360"/>
      <c r="B1670" s="360"/>
      <c r="C1670" s="360"/>
      <c r="D1670" s="360"/>
      <c r="E1670" s="360"/>
      <c r="F1670" s="177"/>
      <c r="G1670" s="177"/>
      <c r="H1670" s="177"/>
      <c r="I1670" s="206"/>
      <c r="R1670" s="373"/>
      <c r="S1670" s="373"/>
      <c r="T1670" s="373"/>
    </row>
    <row r="1671" spans="1:20" ht="14.25" customHeight="1" x14ac:dyDescent="0.25">
      <c r="A1671" s="360"/>
      <c r="B1671" s="360"/>
      <c r="C1671" s="360"/>
      <c r="D1671" s="360"/>
      <c r="E1671" s="360"/>
      <c r="F1671" s="177"/>
      <c r="G1671" s="177"/>
      <c r="H1671" s="177"/>
      <c r="I1671" s="206"/>
      <c r="R1671" s="373"/>
      <c r="S1671" s="373"/>
      <c r="T1671" s="373"/>
    </row>
    <row r="1672" spans="1:20" ht="15" x14ac:dyDescent="0.25">
      <c r="A1672" s="360"/>
      <c r="B1672" s="360"/>
      <c r="C1672" s="360"/>
      <c r="D1672" s="360"/>
      <c r="E1672" s="360"/>
      <c r="F1672" s="177"/>
      <c r="G1672" s="177"/>
      <c r="H1672" s="177"/>
      <c r="I1672" s="206"/>
      <c r="R1672" s="373"/>
      <c r="S1672" s="373"/>
      <c r="T1672" s="373"/>
    </row>
    <row r="1673" spans="1:20" ht="15.75" customHeight="1" thickBot="1" x14ac:dyDescent="0.25">
      <c r="A1673" s="419" t="s">
        <v>706</v>
      </c>
      <c r="I1673" s="915" t="s">
        <v>92</v>
      </c>
    </row>
    <row r="1674" spans="1:20" ht="14.25" thickTop="1" thickBot="1" x14ac:dyDescent="0.25">
      <c r="A1674" s="572" t="s">
        <v>324</v>
      </c>
      <c r="B1674" s="639" t="s">
        <v>93</v>
      </c>
      <c r="C1674" s="573" t="s">
        <v>94</v>
      </c>
      <c r="D1674" s="575" t="s">
        <v>364</v>
      </c>
      <c r="E1674" s="575" t="s">
        <v>95</v>
      </c>
      <c r="F1674" s="575" t="s">
        <v>328</v>
      </c>
      <c r="G1674" s="575" t="s">
        <v>329</v>
      </c>
      <c r="H1674" s="575" t="s">
        <v>448</v>
      </c>
      <c r="I1674" s="651" t="s">
        <v>449</v>
      </c>
    </row>
    <row r="1675" spans="1:20" ht="14.25" thickTop="1" thickBot="1" x14ac:dyDescent="0.25">
      <c r="A1675" s="511">
        <v>1</v>
      </c>
      <c r="B1675" s="512">
        <v>2</v>
      </c>
      <c r="C1675" s="512">
        <v>3</v>
      </c>
      <c r="D1675" s="512">
        <v>4</v>
      </c>
      <c r="E1675" s="512">
        <v>5</v>
      </c>
      <c r="F1675" s="499">
        <v>6</v>
      </c>
      <c r="G1675" s="499">
        <v>7</v>
      </c>
      <c r="H1675" s="500">
        <v>8</v>
      </c>
      <c r="I1675" s="577" t="s">
        <v>393</v>
      </c>
    </row>
    <row r="1676" spans="1:20" ht="15.75" hidden="1" thickTop="1" x14ac:dyDescent="0.25">
      <c r="A1676" s="924">
        <v>1202</v>
      </c>
      <c r="B1676" s="676">
        <v>3122</v>
      </c>
      <c r="C1676" s="676">
        <v>5331</v>
      </c>
      <c r="D1676" s="679"/>
      <c r="E1676" s="703" t="s">
        <v>481</v>
      </c>
      <c r="F1676" s="674"/>
      <c r="G1676" s="674">
        <f>G1677</f>
        <v>0</v>
      </c>
      <c r="H1676" s="674">
        <f>H1677</f>
        <v>0</v>
      </c>
      <c r="I1676" s="677" t="e">
        <f t="shared" ref="I1676:I1701" si="330">(H1676/G1676)*100</f>
        <v>#DIV/0!</v>
      </c>
    </row>
    <row r="1677" spans="1:20" ht="15" hidden="1" thickTop="1" x14ac:dyDescent="0.2">
      <c r="A1677" s="418"/>
      <c r="B1677" s="603"/>
      <c r="C1677" s="603"/>
      <c r="D1677" s="505" t="s">
        <v>930</v>
      </c>
      <c r="E1677" s="692" t="s">
        <v>837</v>
      </c>
      <c r="F1677" s="660"/>
      <c r="G1677" s="660"/>
      <c r="H1677" s="660"/>
      <c r="I1677" s="656" t="e">
        <f t="shared" si="330"/>
        <v>#DIV/0!</v>
      </c>
    </row>
    <row r="1678" spans="1:20" ht="15.75" thickTop="1" x14ac:dyDescent="0.25">
      <c r="A1678" s="921">
        <v>1202</v>
      </c>
      <c r="B1678" s="2427">
        <v>3122</v>
      </c>
      <c r="C1678" s="2427">
        <v>5336</v>
      </c>
      <c r="D1678" s="1604"/>
      <c r="E1678" s="602" t="s">
        <v>856</v>
      </c>
      <c r="F1678" s="678">
        <f>F1679+F1682</f>
        <v>0</v>
      </c>
      <c r="G1678" s="678">
        <f>G1679+G1682</f>
        <v>18857</v>
      </c>
      <c r="H1678" s="678">
        <f>H1679+H1682</f>
        <v>18857</v>
      </c>
      <c r="I1678" s="680">
        <f t="shared" si="330"/>
        <v>100</v>
      </c>
    </row>
    <row r="1679" spans="1:20" ht="14.25" customHeight="1" x14ac:dyDescent="0.2">
      <c r="A1679" s="921"/>
      <c r="B1679" s="2427"/>
      <c r="C1679" s="2427"/>
      <c r="D1679" s="3190" t="s">
        <v>934</v>
      </c>
      <c r="E1679" s="3240" t="s">
        <v>704</v>
      </c>
      <c r="F1679" s="660">
        <v>0</v>
      </c>
      <c r="G1679" s="660">
        <v>88</v>
      </c>
      <c r="H1679" s="660">
        <v>88</v>
      </c>
      <c r="I1679" s="656">
        <f t="shared" ref="I1679" si="331">(H1679/G1679)*100</f>
        <v>100</v>
      </c>
    </row>
    <row r="1680" spans="1:20" ht="14.25" x14ac:dyDescent="0.2">
      <c r="A1680" s="921"/>
      <c r="B1680" s="2427"/>
      <c r="C1680" s="2427"/>
      <c r="D1680" s="3191"/>
      <c r="E1680" s="3191"/>
      <c r="F1680" s="660"/>
      <c r="G1680" s="660"/>
      <c r="H1680" s="660"/>
      <c r="I1680" s="656"/>
    </row>
    <row r="1681" spans="1:9" ht="14.25" x14ac:dyDescent="0.2">
      <c r="A1681" s="921"/>
      <c r="B1681" s="2427"/>
      <c r="C1681" s="2427"/>
      <c r="D1681" s="3191"/>
      <c r="E1681" s="3191"/>
      <c r="F1681" s="660"/>
      <c r="G1681" s="660"/>
      <c r="H1681" s="660"/>
      <c r="I1681" s="656"/>
    </row>
    <row r="1682" spans="1:9" ht="14.25" x14ac:dyDescent="0.2">
      <c r="A1682" s="921"/>
      <c r="B1682" s="2427"/>
      <c r="C1682" s="2719"/>
      <c r="D1682" s="2726" t="s">
        <v>901</v>
      </c>
      <c r="E1682" s="436" t="s">
        <v>1637</v>
      </c>
      <c r="F1682" s="660">
        <v>0</v>
      </c>
      <c r="G1682" s="660">
        <v>18769</v>
      </c>
      <c r="H1682" s="660">
        <v>18769</v>
      </c>
      <c r="I1682" s="656">
        <f t="shared" si="330"/>
        <v>100</v>
      </c>
    </row>
    <row r="1683" spans="1:9" ht="15" x14ac:dyDescent="0.25">
      <c r="A1683" s="921">
        <v>1202</v>
      </c>
      <c r="B1683" s="2722">
        <v>3123</v>
      </c>
      <c r="C1683" s="2722">
        <v>5336</v>
      </c>
      <c r="D1683" s="2726"/>
      <c r="E1683" s="602" t="s">
        <v>856</v>
      </c>
      <c r="F1683" s="675">
        <f>F1684</f>
        <v>0</v>
      </c>
      <c r="G1683" s="675">
        <f>G1684</f>
        <v>882</v>
      </c>
      <c r="H1683" s="675">
        <f>H1684</f>
        <v>882</v>
      </c>
      <c r="I1683" s="669">
        <f t="shared" si="330"/>
        <v>100</v>
      </c>
    </row>
    <row r="1684" spans="1:9" ht="14.25" x14ac:dyDescent="0.2">
      <c r="A1684" s="921"/>
      <c r="B1684" s="2722"/>
      <c r="C1684" s="2722"/>
      <c r="D1684" s="2726" t="s">
        <v>901</v>
      </c>
      <c r="E1684" s="436" t="s">
        <v>1637</v>
      </c>
      <c r="F1684" s="665">
        <v>0</v>
      </c>
      <c r="G1684" s="665">
        <v>882</v>
      </c>
      <c r="H1684" s="665">
        <v>882</v>
      </c>
      <c r="I1684" s="661">
        <f t="shared" si="330"/>
        <v>100</v>
      </c>
    </row>
    <row r="1685" spans="1:9" ht="15" x14ac:dyDescent="0.25">
      <c r="A1685" s="921">
        <v>1202</v>
      </c>
      <c r="B1685" s="2722">
        <v>3127</v>
      </c>
      <c r="C1685" s="1350">
        <v>5331</v>
      </c>
      <c r="D1685" s="2740"/>
      <c r="E1685" s="602" t="s">
        <v>481</v>
      </c>
      <c r="F1685" s="675">
        <f>F1686</f>
        <v>0</v>
      </c>
      <c r="G1685" s="675">
        <f t="shared" ref="G1685:H1685" si="332">G1686</f>
        <v>229</v>
      </c>
      <c r="H1685" s="675">
        <f t="shared" si="332"/>
        <v>229</v>
      </c>
      <c r="I1685" s="667">
        <f t="shared" si="330"/>
        <v>100</v>
      </c>
    </row>
    <row r="1686" spans="1:9" ht="14.25" x14ac:dyDescent="0.2">
      <c r="A1686" s="921"/>
      <c r="B1686" s="2722"/>
      <c r="C1686" s="1350"/>
      <c r="D1686" s="2742" t="s">
        <v>1891</v>
      </c>
      <c r="E1686" s="938" t="s">
        <v>1952</v>
      </c>
      <c r="F1686" s="665">
        <v>0</v>
      </c>
      <c r="G1686" s="665">
        <v>229</v>
      </c>
      <c r="H1686" s="665">
        <v>229</v>
      </c>
      <c r="I1686" s="661">
        <f t="shared" si="330"/>
        <v>100</v>
      </c>
    </row>
    <row r="1687" spans="1:9" ht="15" x14ac:dyDescent="0.25">
      <c r="A1687" s="921">
        <v>1202</v>
      </c>
      <c r="B1687" s="2722">
        <v>3127</v>
      </c>
      <c r="C1687" s="2722">
        <v>5336</v>
      </c>
      <c r="D1687" s="2726"/>
      <c r="E1687" s="602" t="s">
        <v>856</v>
      </c>
      <c r="F1687" s="675">
        <f>F1688+F1689+F1691+F1692+F1690+F1693+F1694</f>
        <v>0</v>
      </c>
      <c r="G1687" s="675">
        <f t="shared" ref="G1687:H1687" si="333">G1688+G1689+G1691+G1692+G1690+G1693+G1694</f>
        <v>1270</v>
      </c>
      <c r="H1687" s="675">
        <f t="shared" si="333"/>
        <v>1270</v>
      </c>
      <c r="I1687" s="667">
        <f t="shared" si="330"/>
        <v>100</v>
      </c>
    </row>
    <row r="1688" spans="1:9" ht="28.5" hidden="1" x14ac:dyDescent="0.2">
      <c r="A1688" s="921"/>
      <c r="B1688" s="2722"/>
      <c r="C1688" s="2722"/>
      <c r="D1688" s="2726" t="s">
        <v>915</v>
      </c>
      <c r="E1688" s="2225" t="s">
        <v>916</v>
      </c>
      <c r="F1688" s="665"/>
      <c r="G1688" s="870"/>
      <c r="H1688" s="870"/>
      <c r="I1688" s="874" t="e">
        <f t="shared" si="330"/>
        <v>#DIV/0!</v>
      </c>
    </row>
    <row r="1689" spans="1:9" ht="14.25" hidden="1" x14ac:dyDescent="0.2">
      <c r="A1689" s="921"/>
      <c r="B1689" s="2722"/>
      <c r="C1689" s="2722"/>
      <c r="D1689" s="2725" t="s">
        <v>920</v>
      </c>
      <c r="E1689" s="1352" t="s">
        <v>769</v>
      </c>
      <c r="F1689" s="665">
        <v>0</v>
      </c>
      <c r="G1689" s="870"/>
      <c r="H1689" s="870"/>
      <c r="I1689" s="874" t="e">
        <f t="shared" si="330"/>
        <v>#DIV/0!</v>
      </c>
    </row>
    <row r="1690" spans="1:9" ht="14.25" x14ac:dyDescent="0.2">
      <c r="A1690" s="921"/>
      <c r="B1690" s="2722"/>
      <c r="C1690" s="2722"/>
      <c r="D1690" s="2725" t="s">
        <v>912</v>
      </c>
      <c r="E1690" s="1598" t="s">
        <v>817</v>
      </c>
      <c r="F1690" s="665">
        <v>0</v>
      </c>
      <c r="G1690" s="870">
        <v>123</v>
      </c>
      <c r="H1690" s="870">
        <v>123</v>
      </c>
      <c r="I1690" s="874">
        <f t="shared" si="330"/>
        <v>100</v>
      </c>
    </row>
    <row r="1691" spans="1:9" ht="14.25" x14ac:dyDescent="0.2">
      <c r="A1691" s="921"/>
      <c r="B1691" s="2722"/>
      <c r="C1691" s="2722"/>
      <c r="D1691" s="2725" t="s">
        <v>902</v>
      </c>
      <c r="E1691" s="1352" t="s">
        <v>855</v>
      </c>
      <c r="F1691" s="665">
        <v>0</v>
      </c>
      <c r="G1691" s="870">
        <v>450</v>
      </c>
      <c r="H1691" s="870">
        <v>450</v>
      </c>
      <c r="I1691" s="874">
        <f t="shared" si="330"/>
        <v>100</v>
      </c>
    </row>
    <row r="1692" spans="1:9" ht="14.25" x14ac:dyDescent="0.2">
      <c r="A1692" s="921"/>
      <c r="B1692" s="2722"/>
      <c r="C1692" s="2722"/>
      <c r="D1692" s="810" t="s">
        <v>1896</v>
      </c>
      <c r="E1692" s="2216" t="s">
        <v>1951</v>
      </c>
      <c r="F1692" s="665">
        <v>0</v>
      </c>
      <c r="G1692" s="870">
        <v>145</v>
      </c>
      <c r="H1692" s="870">
        <v>145</v>
      </c>
      <c r="I1692" s="874">
        <f t="shared" si="330"/>
        <v>100</v>
      </c>
    </row>
    <row r="1693" spans="1:9" ht="14.25" x14ac:dyDescent="0.2">
      <c r="A1693" s="921"/>
      <c r="B1693" s="2722"/>
      <c r="C1693" s="2722"/>
      <c r="D1693" s="2726" t="s">
        <v>1144</v>
      </c>
      <c r="E1693" s="938" t="s">
        <v>1515</v>
      </c>
      <c r="F1693" s="665">
        <v>0</v>
      </c>
      <c r="G1693" s="870">
        <v>83</v>
      </c>
      <c r="H1693" s="870">
        <v>83</v>
      </c>
      <c r="I1693" s="874">
        <f t="shared" si="330"/>
        <v>100</v>
      </c>
    </row>
    <row r="1694" spans="1:9" ht="14.25" x14ac:dyDescent="0.2">
      <c r="A1694" s="921"/>
      <c r="B1694" s="2722"/>
      <c r="C1694" s="2722"/>
      <c r="D1694" s="2726" t="s">
        <v>1145</v>
      </c>
      <c r="E1694" s="938" t="s">
        <v>1515</v>
      </c>
      <c r="F1694" s="665">
        <v>0</v>
      </c>
      <c r="G1694" s="870">
        <v>469</v>
      </c>
      <c r="H1694" s="870">
        <v>469</v>
      </c>
      <c r="I1694" s="874">
        <f t="shared" si="330"/>
        <v>100</v>
      </c>
    </row>
    <row r="1695" spans="1:9" ht="15" hidden="1" x14ac:dyDescent="0.25">
      <c r="A1695" s="2754">
        <v>1202</v>
      </c>
      <c r="B1695" s="2755">
        <v>3127</v>
      </c>
      <c r="C1695" s="2755">
        <v>5331</v>
      </c>
      <c r="D1695" s="2625"/>
      <c r="E1695" s="845" t="s">
        <v>481</v>
      </c>
      <c r="F1695" s="665"/>
      <c r="G1695" s="872">
        <f>G1696</f>
        <v>0</v>
      </c>
      <c r="H1695" s="872">
        <f>H1696</f>
        <v>0</v>
      </c>
      <c r="I1695" s="873" t="e">
        <f t="shared" si="330"/>
        <v>#DIV/0!</v>
      </c>
    </row>
    <row r="1696" spans="1:9" ht="28.5" hidden="1" x14ac:dyDescent="0.2">
      <c r="A1696" s="2754"/>
      <c r="B1696" s="2755"/>
      <c r="C1696" s="2761"/>
      <c r="D1696" s="2759" t="s">
        <v>1134</v>
      </c>
      <c r="E1696" s="2623" t="s">
        <v>1527</v>
      </c>
      <c r="F1696" s="665"/>
      <c r="G1696" s="870"/>
      <c r="H1696" s="870"/>
      <c r="I1696" s="874" t="e">
        <f t="shared" si="330"/>
        <v>#DIV/0!</v>
      </c>
    </row>
    <row r="1697" spans="1:20" ht="15" x14ac:dyDescent="0.25">
      <c r="A1697" s="921">
        <v>1202</v>
      </c>
      <c r="B1697" s="2722">
        <v>3141</v>
      </c>
      <c r="C1697" s="2722">
        <v>5336</v>
      </c>
      <c r="D1697" s="505"/>
      <c r="E1697" s="602" t="s">
        <v>856</v>
      </c>
      <c r="F1697" s="675">
        <f>F1698</f>
        <v>0</v>
      </c>
      <c r="G1697" s="675">
        <f>G1698</f>
        <v>172</v>
      </c>
      <c r="H1697" s="675">
        <f>H1698</f>
        <v>172</v>
      </c>
      <c r="I1697" s="669">
        <f t="shared" si="330"/>
        <v>100</v>
      </c>
    </row>
    <row r="1698" spans="1:20" ht="14.25" x14ac:dyDescent="0.2">
      <c r="A1698" s="921"/>
      <c r="B1698" s="2722"/>
      <c r="C1698" s="2722"/>
      <c r="D1698" s="2726" t="s">
        <v>901</v>
      </c>
      <c r="E1698" s="436" t="s">
        <v>1637</v>
      </c>
      <c r="F1698" s="665">
        <v>0</v>
      </c>
      <c r="G1698" s="665">
        <v>172</v>
      </c>
      <c r="H1698" s="665">
        <v>172</v>
      </c>
      <c r="I1698" s="661">
        <f t="shared" si="330"/>
        <v>100</v>
      </c>
    </row>
    <row r="1699" spans="1:20" ht="15" x14ac:dyDescent="0.25">
      <c r="A1699" s="921">
        <v>1202</v>
      </c>
      <c r="B1699" s="2722">
        <v>3147</v>
      </c>
      <c r="C1699" s="2722">
        <v>5336</v>
      </c>
      <c r="D1699" s="505"/>
      <c r="E1699" s="602" t="s">
        <v>856</v>
      </c>
      <c r="F1699" s="675">
        <f>F1700</f>
        <v>0</v>
      </c>
      <c r="G1699" s="675">
        <f>G1700</f>
        <v>5686</v>
      </c>
      <c r="H1699" s="675">
        <f>H1700</f>
        <v>5686</v>
      </c>
      <c r="I1699" s="667">
        <f t="shared" si="330"/>
        <v>100</v>
      </c>
    </row>
    <row r="1700" spans="1:20" ht="15" customHeight="1" thickBot="1" x14ac:dyDescent="0.25">
      <c r="A1700" s="921"/>
      <c r="B1700" s="2722"/>
      <c r="C1700" s="1350"/>
      <c r="D1700" s="2726" t="s">
        <v>901</v>
      </c>
      <c r="E1700" s="436" t="s">
        <v>1637</v>
      </c>
      <c r="F1700" s="665">
        <v>0</v>
      </c>
      <c r="G1700" s="665">
        <v>5686</v>
      </c>
      <c r="H1700" s="665">
        <v>5686</v>
      </c>
      <c r="I1700" s="661">
        <f t="shared" si="330"/>
        <v>100</v>
      </c>
    </row>
    <row r="1701" spans="1:20" ht="15.75" hidden="1" thickBot="1" x14ac:dyDescent="0.3">
      <c r="A1701" s="418">
        <v>1202</v>
      </c>
      <c r="B1701" s="634">
        <v>3792</v>
      </c>
      <c r="C1701" s="918">
        <v>5331</v>
      </c>
      <c r="D1701" s="673"/>
      <c r="E1701" s="602" t="s">
        <v>481</v>
      </c>
      <c r="F1701" s="675"/>
      <c r="G1701" s="675">
        <f>G1702</f>
        <v>0</v>
      </c>
      <c r="H1701" s="675">
        <f>H1702</f>
        <v>0</v>
      </c>
      <c r="I1701" s="667" t="e">
        <f t="shared" si="330"/>
        <v>#DIV/0!</v>
      </c>
    </row>
    <row r="1702" spans="1:20" ht="15" hidden="1" thickBot="1" x14ac:dyDescent="0.25">
      <c r="A1702" s="418"/>
      <c r="B1702" s="634"/>
      <c r="C1702" s="918"/>
      <c r="D1702" s="802" t="s">
        <v>917</v>
      </c>
      <c r="E1702" s="852" t="s">
        <v>203</v>
      </c>
      <c r="F1702" s="665"/>
      <c r="G1702" s="665"/>
      <c r="H1702" s="665"/>
      <c r="I1702" s="661" t="e">
        <f>(H1702/G1702)*100</f>
        <v>#DIV/0!</v>
      </c>
    </row>
    <row r="1703" spans="1:20" ht="16.5" thickTop="1" thickBot="1" x14ac:dyDescent="0.3">
      <c r="A1703" s="3233" t="s">
        <v>522</v>
      </c>
      <c r="B1703" s="3234"/>
      <c r="C1703" s="3234"/>
      <c r="D1703" s="3234"/>
      <c r="E1703" s="3234"/>
      <c r="F1703" s="657">
        <f>F1685</f>
        <v>0</v>
      </c>
      <c r="G1703" s="657">
        <f>G1701+G1699+G1697+G1687+G1685+G1683+G1678+G1676+G1695</f>
        <v>27096</v>
      </c>
      <c r="H1703" s="657">
        <f>H1701+H1699+H1697+H1687+H1685+H1683+H1678+H1676+H1695</f>
        <v>27096</v>
      </c>
      <c r="I1703" s="658">
        <f>(H1703/G1703)*100</f>
        <v>100</v>
      </c>
      <c r="R1703" s="373">
        <f>F1703</f>
        <v>0</v>
      </c>
      <c r="S1703" s="373">
        <f>G1703</f>
        <v>27096</v>
      </c>
      <c r="T1703" s="373">
        <f>H1703</f>
        <v>27096</v>
      </c>
    </row>
    <row r="1704" spans="1:20" ht="12.75" customHeight="1" thickTop="1" x14ac:dyDescent="0.25">
      <c r="A1704" s="360"/>
      <c r="B1704" s="360"/>
      <c r="C1704" s="360"/>
      <c r="D1704" s="360"/>
      <c r="E1704" s="360"/>
      <c r="F1704" s="177"/>
      <c r="G1704" s="177"/>
      <c r="H1704" s="177"/>
      <c r="I1704" s="206"/>
      <c r="R1704" s="373"/>
      <c r="S1704" s="373"/>
      <c r="T1704" s="373"/>
    </row>
    <row r="1705" spans="1:20" ht="12.75" customHeight="1" x14ac:dyDescent="0.25">
      <c r="A1705" s="360"/>
      <c r="B1705" s="360"/>
      <c r="C1705" s="360"/>
      <c r="D1705" s="360"/>
      <c r="E1705" s="360"/>
      <c r="F1705" s="177"/>
      <c r="G1705" s="177"/>
      <c r="H1705" s="177"/>
      <c r="I1705" s="206"/>
      <c r="R1705" s="373"/>
      <c r="S1705" s="373"/>
      <c r="T1705" s="373"/>
    </row>
    <row r="1706" spans="1:20" ht="13.5" thickBot="1" x14ac:dyDescent="0.25">
      <c r="A1706" s="419" t="s">
        <v>174</v>
      </c>
      <c r="I1706" s="915" t="s">
        <v>92</v>
      </c>
    </row>
    <row r="1707" spans="1:20" ht="14.25" thickTop="1" thickBot="1" x14ac:dyDescent="0.25">
      <c r="A1707" s="572" t="s">
        <v>324</v>
      </c>
      <c r="B1707" s="639" t="s">
        <v>93</v>
      </c>
      <c r="C1707" s="573" t="s">
        <v>94</v>
      </c>
      <c r="D1707" s="575" t="s">
        <v>364</v>
      </c>
      <c r="E1707" s="575" t="s">
        <v>95</v>
      </c>
      <c r="F1707" s="575" t="s">
        <v>328</v>
      </c>
      <c r="G1707" s="575" t="s">
        <v>329</v>
      </c>
      <c r="H1707" s="575" t="s">
        <v>448</v>
      </c>
      <c r="I1707" s="651" t="s">
        <v>449</v>
      </c>
    </row>
    <row r="1708" spans="1:20" ht="14.25" thickTop="1" thickBot="1" x14ac:dyDescent="0.25">
      <c r="A1708" s="511">
        <v>1</v>
      </c>
      <c r="B1708" s="512">
        <v>2</v>
      </c>
      <c r="C1708" s="512">
        <v>3</v>
      </c>
      <c r="D1708" s="512">
        <v>4</v>
      </c>
      <c r="E1708" s="512">
        <v>5</v>
      </c>
      <c r="F1708" s="499">
        <v>6</v>
      </c>
      <c r="G1708" s="499">
        <v>7</v>
      </c>
      <c r="H1708" s="500">
        <v>8</v>
      </c>
      <c r="I1708" s="577" t="s">
        <v>393</v>
      </c>
    </row>
    <row r="1709" spans="1:20" ht="15.75" thickTop="1" x14ac:dyDescent="0.25">
      <c r="A1709" s="2773">
        <v>1204</v>
      </c>
      <c r="B1709" s="2774">
        <v>3122</v>
      </c>
      <c r="C1709" s="2774">
        <v>5336</v>
      </c>
      <c r="D1709" s="679"/>
      <c r="E1709" s="602" t="s">
        <v>856</v>
      </c>
      <c r="F1709" s="674">
        <f>F1710</f>
        <v>0</v>
      </c>
      <c r="G1709" s="674">
        <f>G1710</f>
        <v>4444</v>
      </c>
      <c r="H1709" s="674">
        <f>H1710</f>
        <v>4444</v>
      </c>
      <c r="I1709" s="677">
        <f>(H1709/G1709)*100</f>
        <v>100</v>
      </c>
    </row>
    <row r="1710" spans="1:20" ht="14.25" x14ac:dyDescent="0.2">
      <c r="A1710" s="921"/>
      <c r="B1710" s="2427"/>
      <c r="C1710" s="2719"/>
      <c r="D1710" s="2726" t="s">
        <v>901</v>
      </c>
      <c r="E1710" s="436" t="s">
        <v>1637</v>
      </c>
      <c r="F1710" s="660">
        <v>0</v>
      </c>
      <c r="G1710" s="660">
        <v>4444</v>
      </c>
      <c r="H1710" s="660">
        <v>4444</v>
      </c>
      <c r="I1710" s="656">
        <f t="shared" ref="I1710:I1738" si="334">(H1710/G1710)*100</f>
        <v>100</v>
      </c>
    </row>
    <row r="1711" spans="1:20" ht="15" x14ac:dyDescent="0.25">
      <c r="A1711" s="921">
        <v>1204</v>
      </c>
      <c r="B1711" s="2722">
        <v>3123</v>
      </c>
      <c r="C1711" s="1350">
        <v>5331</v>
      </c>
      <c r="D1711" s="2726"/>
      <c r="E1711" s="602" t="s">
        <v>481</v>
      </c>
      <c r="F1711" s="675">
        <f>F1712</f>
        <v>0</v>
      </c>
      <c r="G1711" s="675">
        <f t="shared" ref="G1711:H1711" si="335">G1712</f>
        <v>6</v>
      </c>
      <c r="H1711" s="675">
        <f t="shared" si="335"/>
        <v>6</v>
      </c>
      <c r="I1711" s="669">
        <f t="shared" si="334"/>
        <v>100</v>
      </c>
    </row>
    <row r="1712" spans="1:20" ht="14.25" x14ac:dyDescent="0.2">
      <c r="A1712" s="921"/>
      <c r="B1712" s="2722"/>
      <c r="C1712" s="1350"/>
      <c r="D1712" s="2726" t="s">
        <v>917</v>
      </c>
      <c r="E1712" s="692" t="s">
        <v>1956</v>
      </c>
      <c r="F1712" s="665">
        <v>0</v>
      </c>
      <c r="G1712" s="665">
        <v>6</v>
      </c>
      <c r="H1712" s="665">
        <v>6</v>
      </c>
      <c r="I1712" s="656">
        <f t="shared" si="334"/>
        <v>100</v>
      </c>
    </row>
    <row r="1713" spans="1:9" ht="15" x14ac:dyDescent="0.25">
      <c r="A1713" s="921">
        <v>1204</v>
      </c>
      <c r="B1713" s="2722">
        <v>3123</v>
      </c>
      <c r="C1713" s="1350">
        <v>5336</v>
      </c>
      <c r="D1713" s="2763"/>
      <c r="E1713" s="602" t="s">
        <v>856</v>
      </c>
      <c r="F1713" s="675">
        <f>F1714</f>
        <v>0</v>
      </c>
      <c r="G1713" s="675">
        <f>G1714</f>
        <v>32538</v>
      </c>
      <c r="H1713" s="675">
        <f>H1714</f>
        <v>32538</v>
      </c>
      <c r="I1713" s="669">
        <f t="shared" si="334"/>
        <v>100</v>
      </c>
    </row>
    <row r="1714" spans="1:9" ht="14.25" x14ac:dyDescent="0.2">
      <c r="A1714" s="921"/>
      <c r="B1714" s="2722"/>
      <c r="C1714" s="1350"/>
      <c r="D1714" s="2726" t="s">
        <v>901</v>
      </c>
      <c r="E1714" s="436" t="s">
        <v>1637</v>
      </c>
      <c r="F1714" s="665">
        <v>0</v>
      </c>
      <c r="G1714" s="665">
        <v>32538</v>
      </c>
      <c r="H1714" s="665">
        <v>32538</v>
      </c>
      <c r="I1714" s="661">
        <f t="shared" si="334"/>
        <v>100</v>
      </c>
    </row>
    <row r="1715" spans="1:9" ht="15" x14ac:dyDescent="0.25">
      <c r="A1715" s="921">
        <v>1204</v>
      </c>
      <c r="B1715" s="2722">
        <v>3124</v>
      </c>
      <c r="C1715" s="1350">
        <v>5336</v>
      </c>
      <c r="D1715" s="2725"/>
      <c r="E1715" s="602" t="s">
        <v>856</v>
      </c>
      <c r="F1715" s="675">
        <f>F1716</f>
        <v>0</v>
      </c>
      <c r="G1715" s="675">
        <f>G1716</f>
        <v>1832</v>
      </c>
      <c r="H1715" s="675">
        <f>H1716</f>
        <v>1832</v>
      </c>
      <c r="I1715" s="669">
        <f t="shared" si="334"/>
        <v>100</v>
      </c>
    </row>
    <row r="1716" spans="1:9" ht="14.25" x14ac:dyDescent="0.2">
      <c r="A1716" s="921"/>
      <c r="B1716" s="2722"/>
      <c r="C1716" s="1350"/>
      <c r="D1716" s="2726" t="s">
        <v>901</v>
      </c>
      <c r="E1716" s="436" t="s">
        <v>1637</v>
      </c>
      <c r="F1716" s="665">
        <v>0</v>
      </c>
      <c r="G1716" s="665">
        <v>1832</v>
      </c>
      <c r="H1716" s="665">
        <v>1832</v>
      </c>
      <c r="I1716" s="661">
        <f t="shared" si="334"/>
        <v>100</v>
      </c>
    </row>
    <row r="1717" spans="1:9" ht="15" x14ac:dyDescent="0.25">
      <c r="A1717" s="921">
        <v>1204</v>
      </c>
      <c r="B1717" s="2722">
        <v>3127</v>
      </c>
      <c r="C1717" s="2722">
        <v>5331</v>
      </c>
      <c r="D1717" s="2732"/>
      <c r="E1717" s="602" t="s">
        <v>481</v>
      </c>
      <c r="F1717" s="666">
        <f>F1718</f>
        <v>0</v>
      </c>
      <c r="G1717" s="666">
        <f t="shared" ref="G1717:H1717" si="336">G1718</f>
        <v>347</v>
      </c>
      <c r="H1717" s="666">
        <f t="shared" si="336"/>
        <v>347</v>
      </c>
      <c r="I1717" s="667">
        <f t="shared" si="334"/>
        <v>100</v>
      </c>
    </row>
    <row r="1718" spans="1:9" ht="14.25" x14ac:dyDescent="0.2">
      <c r="A1718" s="921"/>
      <c r="B1718" s="2722"/>
      <c r="C1718" s="2722"/>
      <c r="D1718" s="2742" t="s">
        <v>1891</v>
      </c>
      <c r="E1718" s="938" t="s">
        <v>1952</v>
      </c>
      <c r="F1718" s="665">
        <v>0</v>
      </c>
      <c r="G1718" s="665">
        <v>347</v>
      </c>
      <c r="H1718" s="665">
        <v>347</v>
      </c>
      <c r="I1718" s="661">
        <f t="shared" si="334"/>
        <v>100</v>
      </c>
    </row>
    <row r="1719" spans="1:9" ht="15" x14ac:dyDescent="0.25">
      <c r="A1719" s="921">
        <v>1204</v>
      </c>
      <c r="B1719" s="2722">
        <v>3127</v>
      </c>
      <c r="C1719" s="1350">
        <v>5336</v>
      </c>
      <c r="D1719" s="2725"/>
      <c r="E1719" s="602" t="s">
        <v>856</v>
      </c>
      <c r="F1719" s="666">
        <f>F1720+F1721+F1722+F1725+F1726+F1727+F1728</f>
        <v>0</v>
      </c>
      <c r="G1719" s="666">
        <f t="shared" ref="G1719:H1719" si="337">G1720+G1721+G1722+G1725+G1726+G1727+G1728</f>
        <v>3613</v>
      </c>
      <c r="H1719" s="666">
        <f t="shared" si="337"/>
        <v>3613</v>
      </c>
      <c r="I1719" s="667">
        <f t="shared" si="334"/>
        <v>100</v>
      </c>
    </row>
    <row r="1720" spans="1:9" ht="14.25" hidden="1" x14ac:dyDescent="0.2">
      <c r="A1720" s="921"/>
      <c r="B1720" s="2722"/>
      <c r="C1720" s="1350"/>
      <c r="D1720" s="2725" t="s">
        <v>920</v>
      </c>
      <c r="E1720" s="1352" t="s">
        <v>769</v>
      </c>
      <c r="F1720" s="665"/>
      <c r="G1720" s="665"/>
      <c r="H1720" s="665"/>
      <c r="I1720" s="661" t="e">
        <f t="shared" si="334"/>
        <v>#DIV/0!</v>
      </c>
    </row>
    <row r="1721" spans="1:9" ht="14.25" x14ac:dyDescent="0.2">
      <c r="A1721" s="921"/>
      <c r="B1721" s="2722"/>
      <c r="C1721" s="1350"/>
      <c r="D1721" s="2725" t="s">
        <v>912</v>
      </c>
      <c r="E1721" s="1598" t="s">
        <v>817</v>
      </c>
      <c r="F1721" s="665">
        <v>0</v>
      </c>
      <c r="G1721" s="665">
        <v>1085</v>
      </c>
      <c r="H1721" s="665">
        <v>1085</v>
      </c>
      <c r="I1721" s="661">
        <f t="shared" si="334"/>
        <v>100</v>
      </c>
    </row>
    <row r="1722" spans="1:9" ht="14.25" x14ac:dyDescent="0.2">
      <c r="A1722" s="921"/>
      <c r="B1722" s="2722"/>
      <c r="C1722" s="1350"/>
      <c r="D1722" s="2725" t="s">
        <v>921</v>
      </c>
      <c r="E1722" s="3249" t="s">
        <v>860</v>
      </c>
      <c r="F1722" s="665">
        <v>0</v>
      </c>
      <c r="G1722" s="665">
        <v>299</v>
      </c>
      <c r="H1722" s="665">
        <v>299</v>
      </c>
      <c r="I1722" s="661">
        <f t="shared" si="334"/>
        <v>100</v>
      </c>
    </row>
    <row r="1723" spans="1:9" ht="12.75" customHeight="1" x14ac:dyDescent="0.2">
      <c r="A1723" s="921"/>
      <c r="B1723" s="2722"/>
      <c r="C1723" s="1350"/>
      <c r="D1723" s="2725"/>
      <c r="E1723" s="3249"/>
      <c r="F1723" s="665"/>
      <c r="G1723" s="665"/>
      <c r="H1723" s="665"/>
      <c r="I1723" s="661"/>
    </row>
    <row r="1724" spans="1:9" ht="4.5" hidden="1" customHeight="1" x14ac:dyDescent="0.2">
      <c r="A1724" s="921"/>
      <c r="B1724" s="2722"/>
      <c r="C1724" s="1350"/>
      <c r="D1724" s="2725"/>
      <c r="E1724" s="3249"/>
      <c r="F1724" s="665"/>
      <c r="G1724" s="665"/>
      <c r="H1724" s="665"/>
      <c r="I1724" s="661"/>
    </row>
    <row r="1725" spans="1:9" ht="14.25" customHeight="1" x14ac:dyDescent="0.2">
      <c r="A1725" s="921"/>
      <c r="B1725" s="2722"/>
      <c r="C1725" s="1350"/>
      <c r="D1725" s="2725" t="s">
        <v>902</v>
      </c>
      <c r="E1725" s="1352" t="s">
        <v>855</v>
      </c>
      <c r="F1725" s="665">
        <v>0</v>
      </c>
      <c r="G1725" s="665">
        <v>937</v>
      </c>
      <c r="H1725" s="665">
        <v>937</v>
      </c>
      <c r="I1725" s="661">
        <f t="shared" si="334"/>
        <v>100</v>
      </c>
    </row>
    <row r="1726" spans="1:9" ht="14.25" x14ac:dyDescent="0.2">
      <c r="A1726" s="921"/>
      <c r="B1726" s="2722"/>
      <c r="C1726" s="1350"/>
      <c r="D1726" s="2725" t="s">
        <v>1896</v>
      </c>
      <c r="E1726" s="2216" t="s">
        <v>1951</v>
      </c>
      <c r="F1726" s="665">
        <v>0</v>
      </c>
      <c r="G1726" s="870">
        <v>417</v>
      </c>
      <c r="H1726" s="870">
        <v>417</v>
      </c>
      <c r="I1726" s="874">
        <f t="shared" si="334"/>
        <v>100</v>
      </c>
    </row>
    <row r="1727" spans="1:9" ht="14.25" x14ac:dyDescent="0.2">
      <c r="A1727" s="921"/>
      <c r="B1727" s="2722"/>
      <c r="C1727" s="1350"/>
      <c r="D1727" s="2726" t="s">
        <v>1144</v>
      </c>
      <c r="E1727" s="938" t="s">
        <v>1515</v>
      </c>
      <c r="F1727" s="665">
        <v>0</v>
      </c>
      <c r="G1727" s="870">
        <v>131</v>
      </c>
      <c r="H1727" s="870">
        <v>131</v>
      </c>
      <c r="I1727" s="874">
        <f t="shared" si="334"/>
        <v>100</v>
      </c>
    </row>
    <row r="1728" spans="1:9" ht="14.25" x14ac:dyDescent="0.2">
      <c r="A1728" s="921"/>
      <c r="B1728" s="2722"/>
      <c r="C1728" s="1350"/>
      <c r="D1728" s="2726" t="s">
        <v>1145</v>
      </c>
      <c r="E1728" s="938" t="s">
        <v>1515</v>
      </c>
      <c r="F1728" s="665">
        <v>0</v>
      </c>
      <c r="G1728" s="870">
        <v>744</v>
      </c>
      <c r="H1728" s="870">
        <v>744</v>
      </c>
      <c r="I1728" s="874">
        <f t="shared" si="334"/>
        <v>100</v>
      </c>
    </row>
    <row r="1729" spans="1:27" ht="15" hidden="1" x14ac:dyDescent="0.25">
      <c r="A1729" s="2754">
        <v>1204</v>
      </c>
      <c r="B1729" s="2755">
        <v>3127</v>
      </c>
      <c r="C1729" s="2755">
        <v>5331</v>
      </c>
      <c r="D1729" s="2756"/>
      <c r="E1729" s="845" t="s">
        <v>481</v>
      </c>
      <c r="F1729" s="665"/>
      <c r="G1729" s="675">
        <f>G1730</f>
        <v>0</v>
      </c>
      <c r="H1729" s="675">
        <f>H1730</f>
        <v>0</v>
      </c>
      <c r="I1729" s="669" t="e">
        <f t="shared" si="334"/>
        <v>#DIV/0!</v>
      </c>
    </row>
    <row r="1730" spans="1:27" ht="28.5" hidden="1" x14ac:dyDescent="0.2">
      <c r="A1730" s="2754"/>
      <c r="B1730" s="2755"/>
      <c r="C1730" s="2761"/>
      <c r="D1730" s="2768" t="s">
        <v>1134</v>
      </c>
      <c r="E1730" s="2623" t="s">
        <v>1527</v>
      </c>
      <c r="F1730" s="665"/>
      <c r="G1730" s="870"/>
      <c r="H1730" s="870"/>
      <c r="I1730" s="874" t="e">
        <f t="shared" si="334"/>
        <v>#DIV/0!</v>
      </c>
    </row>
    <row r="1731" spans="1:27" ht="15" x14ac:dyDescent="0.25">
      <c r="A1731" s="921">
        <v>1204</v>
      </c>
      <c r="B1731" s="2722">
        <v>3141</v>
      </c>
      <c r="C1731" s="1350">
        <v>5336</v>
      </c>
      <c r="D1731" s="2724"/>
      <c r="E1731" s="602" t="s">
        <v>856</v>
      </c>
      <c r="F1731" s="675">
        <f>F1732</f>
        <v>0</v>
      </c>
      <c r="G1731" s="675">
        <f>G1732</f>
        <v>2106</v>
      </c>
      <c r="H1731" s="675">
        <f>H1732</f>
        <v>2106</v>
      </c>
      <c r="I1731" s="669">
        <f t="shared" si="334"/>
        <v>100</v>
      </c>
    </row>
    <row r="1732" spans="1:27" ht="14.25" x14ac:dyDescent="0.2">
      <c r="A1732" s="921"/>
      <c r="B1732" s="2722"/>
      <c r="C1732" s="1350"/>
      <c r="D1732" s="2726" t="s">
        <v>901</v>
      </c>
      <c r="E1732" s="436" t="s">
        <v>1637</v>
      </c>
      <c r="F1732" s="665">
        <v>0</v>
      </c>
      <c r="G1732" s="665">
        <v>2106</v>
      </c>
      <c r="H1732" s="665">
        <v>2106</v>
      </c>
      <c r="I1732" s="661">
        <f t="shared" si="334"/>
        <v>100</v>
      </c>
    </row>
    <row r="1733" spans="1:27" ht="15" x14ac:dyDescent="0.25">
      <c r="A1733" s="921">
        <v>1204</v>
      </c>
      <c r="B1733" s="2427">
        <v>3147</v>
      </c>
      <c r="C1733" s="2427">
        <v>5336</v>
      </c>
      <c r="D1733" s="2726"/>
      <c r="E1733" s="602" t="s">
        <v>856</v>
      </c>
      <c r="F1733" s="678">
        <f>F1734</f>
        <v>0</v>
      </c>
      <c r="G1733" s="678">
        <f>G1734</f>
        <v>4908</v>
      </c>
      <c r="H1733" s="678">
        <f>H1734</f>
        <v>4908</v>
      </c>
      <c r="I1733" s="680">
        <f t="shared" si="334"/>
        <v>100</v>
      </c>
    </row>
    <row r="1734" spans="1:27" ht="14.25" x14ac:dyDescent="0.2">
      <c r="A1734" s="921"/>
      <c r="B1734" s="2427"/>
      <c r="C1734" s="2719"/>
      <c r="D1734" s="2726" t="s">
        <v>901</v>
      </c>
      <c r="E1734" s="436" t="s">
        <v>1637</v>
      </c>
      <c r="F1734" s="660">
        <v>0</v>
      </c>
      <c r="G1734" s="660">
        <v>4908</v>
      </c>
      <c r="H1734" s="660">
        <v>4908</v>
      </c>
      <c r="I1734" s="656">
        <f t="shared" si="334"/>
        <v>100</v>
      </c>
    </row>
    <row r="1735" spans="1:27" ht="15" x14ac:dyDescent="0.25">
      <c r="A1735" s="921">
        <v>1204</v>
      </c>
      <c r="B1735" s="2427">
        <v>3293</v>
      </c>
      <c r="C1735" s="1350">
        <v>5336</v>
      </c>
      <c r="D1735" s="2726"/>
      <c r="E1735" s="602" t="s">
        <v>856</v>
      </c>
      <c r="F1735" s="675">
        <f>F1736</f>
        <v>0</v>
      </c>
      <c r="G1735" s="675">
        <f>G1736</f>
        <v>21</v>
      </c>
      <c r="H1735" s="675">
        <f>H1736</f>
        <v>21</v>
      </c>
      <c r="I1735" s="680">
        <f t="shared" si="334"/>
        <v>100</v>
      </c>
    </row>
    <row r="1736" spans="1:27" ht="14.25" x14ac:dyDescent="0.2">
      <c r="A1736" s="921"/>
      <c r="B1736" s="2427"/>
      <c r="C1736" s="1350"/>
      <c r="D1736" s="2726" t="s">
        <v>913</v>
      </c>
      <c r="E1736" s="436" t="s">
        <v>768</v>
      </c>
      <c r="F1736" s="351">
        <v>0</v>
      </c>
      <c r="G1736" s="665">
        <v>21</v>
      </c>
      <c r="H1736" s="665">
        <v>21</v>
      </c>
      <c r="I1736" s="656">
        <f t="shared" si="334"/>
        <v>100</v>
      </c>
    </row>
    <row r="1737" spans="1:27" ht="15" x14ac:dyDescent="0.25">
      <c r="A1737" s="921">
        <v>1204</v>
      </c>
      <c r="B1737" s="2722">
        <v>3299</v>
      </c>
      <c r="C1737" s="2722">
        <v>5331</v>
      </c>
      <c r="D1737" s="2732"/>
      <c r="E1737" s="602" t="s">
        <v>481</v>
      </c>
      <c r="F1737" s="678">
        <f>F1738</f>
        <v>0</v>
      </c>
      <c r="G1737" s="678">
        <f t="shared" ref="G1737:H1737" si="338">G1738</f>
        <v>282</v>
      </c>
      <c r="H1737" s="678">
        <f t="shared" si="338"/>
        <v>282</v>
      </c>
      <c r="I1737" s="680">
        <f t="shared" si="334"/>
        <v>100</v>
      </c>
    </row>
    <row r="1738" spans="1:27" ht="15" thickBot="1" x14ac:dyDescent="0.25">
      <c r="A1738" s="921"/>
      <c r="B1738" s="2722"/>
      <c r="C1738" s="2722"/>
      <c r="D1738" s="2742" t="s">
        <v>1891</v>
      </c>
      <c r="E1738" s="938" t="s">
        <v>1952</v>
      </c>
      <c r="F1738" s="351">
        <v>0</v>
      </c>
      <c r="G1738" s="665">
        <v>282</v>
      </c>
      <c r="H1738" s="665">
        <v>282</v>
      </c>
      <c r="I1738" s="656">
        <f t="shared" si="334"/>
        <v>100</v>
      </c>
    </row>
    <row r="1739" spans="1:27" ht="16.5" thickTop="1" thickBot="1" x14ac:dyDescent="0.3">
      <c r="A1739" s="3233" t="s">
        <v>522</v>
      </c>
      <c r="B1739" s="3234"/>
      <c r="C1739" s="3234"/>
      <c r="D1739" s="3234"/>
      <c r="E1739" s="3234"/>
      <c r="F1739" s="657">
        <f>F1733+F1731+F1719+F1717+F1715+F1713+F1709+F1729+F1735</f>
        <v>0</v>
      </c>
      <c r="G1739" s="657">
        <f>G1733+G1731+G1719+G1717+G1715+G1713+G1709+G1729+G1735+G1711+G1737</f>
        <v>50097</v>
      </c>
      <c r="H1739" s="657">
        <f>H1733+H1731+H1719+H1717+H1715+H1713+H1709+H1729+H1735+H1711+H1737</f>
        <v>50097</v>
      </c>
      <c r="I1739" s="658">
        <f>(H1739/G1739)*100</f>
        <v>100</v>
      </c>
      <c r="J1739" s="373">
        <f>F1739</f>
        <v>0</v>
      </c>
      <c r="K1739" s="373" t="e">
        <f>G1739+#REF!</f>
        <v>#REF!</v>
      </c>
      <c r="L1739" s="373" t="e">
        <f>H1739+#REF!</f>
        <v>#REF!</v>
      </c>
      <c r="R1739" s="373">
        <f>F1739</f>
        <v>0</v>
      </c>
      <c r="S1739" s="373">
        <f>G1739</f>
        <v>50097</v>
      </c>
      <c r="T1739" s="373">
        <f>H1739</f>
        <v>50097</v>
      </c>
      <c r="U1739" s="373"/>
      <c r="V1739" s="373"/>
      <c r="W1739" s="373"/>
      <c r="Y1739" s="373"/>
      <c r="Z1739" s="373"/>
      <c r="AA1739" s="373"/>
    </row>
    <row r="1740" spans="1:27" s="106" customFormat="1" ht="13.5" thickTop="1" x14ac:dyDescent="0.2">
      <c r="A1740" s="372"/>
      <c r="B1740" s="584"/>
      <c r="C1740" s="372"/>
      <c r="D1740" s="648"/>
      <c r="E1740" s="372"/>
      <c r="F1740" s="373"/>
      <c r="G1740" s="373"/>
      <c r="H1740" s="373"/>
      <c r="I1740" s="915"/>
    </row>
    <row r="1741" spans="1:27" s="106" customFormat="1" x14ac:dyDescent="0.2">
      <c r="A1741" s="372"/>
      <c r="B1741" s="584"/>
      <c r="C1741" s="372"/>
      <c r="D1741" s="648"/>
      <c r="E1741" s="372"/>
      <c r="F1741" s="373"/>
      <c r="G1741" s="373"/>
      <c r="H1741" s="373"/>
      <c r="I1741" s="915"/>
    </row>
    <row r="1742" spans="1:27" s="106" customFormat="1" x14ac:dyDescent="0.2">
      <c r="A1742" s="372"/>
      <c r="B1742" s="584"/>
      <c r="C1742" s="372"/>
      <c r="D1742" s="648"/>
      <c r="E1742" s="372"/>
      <c r="F1742" s="373"/>
      <c r="G1742" s="373"/>
      <c r="H1742" s="373"/>
      <c r="I1742" s="915"/>
    </row>
    <row r="1743" spans="1:27" s="106" customFormat="1" x14ac:dyDescent="0.2">
      <c r="A1743" s="372"/>
      <c r="B1743" s="584"/>
      <c r="C1743" s="372"/>
      <c r="D1743" s="648"/>
      <c r="E1743" s="372"/>
      <c r="F1743" s="373"/>
      <c r="G1743" s="373"/>
      <c r="H1743" s="373"/>
      <c r="I1743" s="915"/>
    </row>
    <row r="1744" spans="1:27" ht="13.5" thickBot="1" x14ac:dyDescent="0.25">
      <c r="A1744" s="419" t="s">
        <v>175</v>
      </c>
      <c r="I1744" s="915" t="s">
        <v>92</v>
      </c>
    </row>
    <row r="1745" spans="1:9" ht="14.25" thickTop="1" thickBot="1" x14ac:dyDescent="0.25">
      <c r="A1745" s="572" t="s">
        <v>324</v>
      </c>
      <c r="B1745" s="639" t="s">
        <v>93</v>
      </c>
      <c r="C1745" s="573" t="s">
        <v>94</v>
      </c>
      <c r="D1745" s="575" t="s">
        <v>364</v>
      </c>
      <c r="E1745" s="575" t="s">
        <v>95</v>
      </c>
      <c r="F1745" s="575" t="s">
        <v>328</v>
      </c>
      <c r="G1745" s="575" t="s">
        <v>329</v>
      </c>
      <c r="H1745" s="575" t="s">
        <v>448</v>
      </c>
      <c r="I1745" s="651" t="s">
        <v>449</v>
      </c>
    </row>
    <row r="1746" spans="1:9" ht="14.25" thickTop="1" thickBot="1" x14ac:dyDescent="0.25">
      <c r="A1746" s="511">
        <v>1</v>
      </c>
      <c r="B1746" s="512">
        <v>2</v>
      </c>
      <c r="C1746" s="512">
        <v>3</v>
      </c>
      <c r="D1746" s="512">
        <v>4</v>
      </c>
      <c r="E1746" s="512">
        <v>5</v>
      </c>
      <c r="F1746" s="499">
        <v>6</v>
      </c>
      <c r="G1746" s="499">
        <v>7</v>
      </c>
      <c r="H1746" s="500">
        <v>8</v>
      </c>
      <c r="I1746" s="577" t="s">
        <v>393</v>
      </c>
    </row>
    <row r="1747" spans="1:9" ht="15.75" thickTop="1" x14ac:dyDescent="0.25">
      <c r="A1747" s="2773">
        <v>1205</v>
      </c>
      <c r="B1747" s="2774">
        <v>3122</v>
      </c>
      <c r="C1747" s="2774">
        <v>5336</v>
      </c>
      <c r="D1747" s="2775"/>
      <c r="E1747" s="602" t="s">
        <v>856</v>
      </c>
      <c r="F1747" s="674">
        <f>F1748</f>
        <v>0</v>
      </c>
      <c r="G1747" s="674">
        <f>G1748</f>
        <v>4017</v>
      </c>
      <c r="H1747" s="674">
        <f>H1748</f>
        <v>4017</v>
      </c>
      <c r="I1747" s="677">
        <f t="shared" ref="I1747:I1762" si="339">(H1747/G1747)*100</f>
        <v>100</v>
      </c>
    </row>
    <row r="1748" spans="1:9" ht="14.25" x14ac:dyDescent="0.2">
      <c r="A1748" s="921"/>
      <c r="B1748" s="2427"/>
      <c r="C1748" s="2427"/>
      <c r="D1748" s="2726" t="s">
        <v>901</v>
      </c>
      <c r="E1748" s="436" t="s">
        <v>1637</v>
      </c>
      <c r="F1748" s="660">
        <v>0</v>
      </c>
      <c r="G1748" s="660">
        <v>4017</v>
      </c>
      <c r="H1748" s="660">
        <v>4017</v>
      </c>
      <c r="I1748" s="656">
        <f t="shared" si="339"/>
        <v>100</v>
      </c>
    </row>
    <row r="1749" spans="1:9" ht="15" x14ac:dyDescent="0.25">
      <c r="A1749" s="921">
        <v>1205</v>
      </c>
      <c r="B1749" s="2722">
        <v>3123</v>
      </c>
      <c r="C1749" s="2722">
        <v>5336</v>
      </c>
      <c r="D1749" s="2726"/>
      <c r="E1749" s="602" t="s">
        <v>856</v>
      </c>
      <c r="F1749" s="675">
        <f>F1750</f>
        <v>0</v>
      </c>
      <c r="G1749" s="675">
        <f>G1750</f>
        <v>15830</v>
      </c>
      <c r="H1749" s="675">
        <f>H1750</f>
        <v>15830</v>
      </c>
      <c r="I1749" s="680">
        <f t="shared" si="339"/>
        <v>100</v>
      </c>
    </row>
    <row r="1750" spans="1:9" ht="14.25" x14ac:dyDescent="0.2">
      <c r="A1750" s="921"/>
      <c r="B1750" s="2722"/>
      <c r="C1750" s="2722"/>
      <c r="D1750" s="2726" t="s">
        <v>901</v>
      </c>
      <c r="E1750" s="436" t="s">
        <v>1637</v>
      </c>
      <c r="F1750" s="665">
        <v>0</v>
      </c>
      <c r="G1750" s="665">
        <v>15830</v>
      </c>
      <c r="H1750" s="665">
        <v>15830</v>
      </c>
      <c r="I1750" s="656">
        <f t="shared" si="339"/>
        <v>100</v>
      </c>
    </row>
    <row r="1751" spans="1:9" ht="15" x14ac:dyDescent="0.25">
      <c r="A1751" s="921">
        <v>1205</v>
      </c>
      <c r="B1751" s="2722">
        <v>3127</v>
      </c>
      <c r="C1751" s="2722">
        <v>5331</v>
      </c>
      <c r="D1751" s="2732"/>
      <c r="E1751" s="602" t="s">
        <v>481</v>
      </c>
      <c r="F1751" s="675">
        <f>F1752</f>
        <v>0</v>
      </c>
      <c r="G1751" s="675">
        <f t="shared" ref="G1751:H1751" si="340">G1752</f>
        <v>15</v>
      </c>
      <c r="H1751" s="675">
        <f t="shared" si="340"/>
        <v>15</v>
      </c>
      <c r="I1751" s="680">
        <f t="shared" si="339"/>
        <v>100</v>
      </c>
    </row>
    <row r="1752" spans="1:9" ht="14.25" x14ac:dyDescent="0.2">
      <c r="A1752" s="921"/>
      <c r="B1752" s="2722"/>
      <c r="C1752" s="2722"/>
      <c r="D1752" s="2742" t="s">
        <v>917</v>
      </c>
      <c r="E1752" s="938" t="s">
        <v>1956</v>
      </c>
      <c r="F1752" s="665">
        <v>0</v>
      </c>
      <c r="G1752" s="665">
        <v>15</v>
      </c>
      <c r="H1752" s="665">
        <v>15</v>
      </c>
      <c r="I1752" s="656">
        <f t="shared" si="339"/>
        <v>100</v>
      </c>
    </row>
    <row r="1753" spans="1:9" ht="15" x14ac:dyDescent="0.25">
      <c r="A1753" s="921">
        <v>1205</v>
      </c>
      <c r="B1753" s="2722">
        <v>3127</v>
      </c>
      <c r="C1753" s="2722">
        <v>5336</v>
      </c>
      <c r="D1753" s="2726"/>
      <c r="E1753" s="602" t="s">
        <v>856</v>
      </c>
      <c r="F1753" s="675">
        <f>F1754+F1756+F1757+F1758+F1759+F1760+F1755</f>
        <v>0</v>
      </c>
      <c r="G1753" s="675">
        <f t="shared" ref="G1753:H1753" si="341">G1754+G1756+G1757+G1758+G1759+G1760+G1755</f>
        <v>1064</v>
      </c>
      <c r="H1753" s="675">
        <f t="shared" si="341"/>
        <v>1064</v>
      </c>
      <c r="I1753" s="667">
        <f t="shared" si="339"/>
        <v>100</v>
      </c>
    </row>
    <row r="1754" spans="1:9" ht="14.25" x14ac:dyDescent="0.2">
      <c r="A1754" s="921"/>
      <c r="B1754" s="2722"/>
      <c r="C1754" s="2722"/>
      <c r="D1754" s="2725" t="s">
        <v>920</v>
      </c>
      <c r="E1754" s="1352" t="s">
        <v>769</v>
      </c>
      <c r="F1754" s="665">
        <v>0</v>
      </c>
      <c r="G1754" s="665">
        <v>4</v>
      </c>
      <c r="H1754" s="665">
        <v>4</v>
      </c>
      <c r="I1754" s="656">
        <f t="shared" si="339"/>
        <v>100</v>
      </c>
    </row>
    <row r="1755" spans="1:9" ht="14.25" x14ac:dyDescent="0.2">
      <c r="A1755" s="921"/>
      <c r="B1755" s="2722"/>
      <c r="C1755" s="2722"/>
      <c r="D1755" s="2725" t="s">
        <v>912</v>
      </c>
      <c r="E1755" s="1598" t="s">
        <v>817</v>
      </c>
      <c r="F1755" s="665">
        <v>0</v>
      </c>
      <c r="G1755" s="665">
        <v>45</v>
      </c>
      <c r="H1755" s="665">
        <v>45</v>
      </c>
      <c r="I1755" s="656">
        <f t="shared" si="339"/>
        <v>100</v>
      </c>
    </row>
    <row r="1756" spans="1:9" ht="14.25" x14ac:dyDescent="0.2">
      <c r="A1756" s="921"/>
      <c r="B1756" s="2722"/>
      <c r="C1756" s="2722"/>
      <c r="D1756" s="2725" t="s">
        <v>902</v>
      </c>
      <c r="E1756" s="1352" t="s">
        <v>855</v>
      </c>
      <c r="F1756" s="665">
        <v>0</v>
      </c>
      <c r="G1756" s="665">
        <v>395</v>
      </c>
      <c r="H1756" s="665">
        <v>395</v>
      </c>
      <c r="I1756" s="656">
        <f t="shared" si="339"/>
        <v>100</v>
      </c>
    </row>
    <row r="1757" spans="1:9" ht="14.25" x14ac:dyDescent="0.2">
      <c r="A1757" s="921"/>
      <c r="B1757" s="2722"/>
      <c r="C1757" s="2722"/>
      <c r="D1757" s="2725" t="s">
        <v>1896</v>
      </c>
      <c r="E1757" s="2220" t="s">
        <v>1951</v>
      </c>
      <c r="F1757" s="665">
        <v>0</v>
      </c>
      <c r="G1757" s="870">
        <v>123</v>
      </c>
      <c r="H1757" s="870">
        <v>123</v>
      </c>
      <c r="I1757" s="871">
        <f t="shared" si="339"/>
        <v>100</v>
      </c>
    </row>
    <row r="1758" spans="1:9" ht="14.25" x14ac:dyDescent="0.2">
      <c r="A1758" s="921"/>
      <c r="B1758" s="2722"/>
      <c r="C1758" s="2722"/>
      <c r="D1758" s="2726" t="s">
        <v>938</v>
      </c>
      <c r="E1758" s="938" t="s">
        <v>867</v>
      </c>
      <c r="F1758" s="665">
        <v>0</v>
      </c>
      <c r="G1758" s="665">
        <v>22</v>
      </c>
      <c r="H1758" s="665">
        <v>22</v>
      </c>
      <c r="I1758" s="656">
        <f t="shared" si="339"/>
        <v>100</v>
      </c>
    </row>
    <row r="1759" spans="1:9" ht="14.25" x14ac:dyDescent="0.2">
      <c r="A1759" s="921"/>
      <c r="B1759" s="2722"/>
      <c r="C1759" s="2722"/>
      <c r="D1759" s="2726" t="s">
        <v>1144</v>
      </c>
      <c r="E1759" s="938" t="s">
        <v>1515</v>
      </c>
      <c r="F1759" s="665">
        <v>0</v>
      </c>
      <c r="G1759" s="665">
        <v>71</v>
      </c>
      <c r="H1759" s="665">
        <v>71</v>
      </c>
      <c r="I1759" s="656">
        <f t="shared" si="339"/>
        <v>100</v>
      </c>
    </row>
    <row r="1760" spans="1:9" ht="14.25" x14ac:dyDescent="0.2">
      <c r="A1760" s="921"/>
      <c r="B1760" s="2722"/>
      <c r="C1760" s="2722"/>
      <c r="D1760" s="2726" t="s">
        <v>1145</v>
      </c>
      <c r="E1760" s="938" t="s">
        <v>1515</v>
      </c>
      <c r="F1760" s="665">
        <v>0</v>
      </c>
      <c r="G1760" s="665">
        <v>404</v>
      </c>
      <c r="H1760" s="665">
        <v>404</v>
      </c>
      <c r="I1760" s="656">
        <f t="shared" si="339"/>
        <v>100</v>
      </c>
    </row>
    <row r="1761" spans="1:27" ht="15" x14ac:dyDescent="0.25">
      <c r="A1761" s="921">
        <v>1205</v>
      </c>
      <c r="B1761" s="2722">
        <v>3141</v>
      </c>
      <c r="C1761" s="2722">
        <v>5336</v>
      </c>
      <c r="D1761" s="2726"/>
      <c r="E1761" s="602" t="s">
        <v>856</v>
      </c>
      <c r="F1761" s="675">
        <f>F1762</f>
        <v>0</v>
      </c>
      <c r="G1761" s="675">
        <f>G1762</f>
        <v>154</v>
      </c>
      <c r="H1761" s="675">
        <f>H1762</f>
        <v>154</v>
      </c>
      <c r="I1761" s="669">
        <f t="shared" si="339"/>
        <v>100</v>
      </c>
    </row>
    <row r="1762" spans="1:27" ht="15" thickBot="1" x14ac:dyDescent="0.25">
      <c r="A1762" s="921"/>
      <c r="B1762" s="2722"/>
      <c r="C1762" s="1350"/>
      <c r="D1762" s="2726" t="s">
        <v>901</v>
      </c>
      <c r="E1762" s="436" t="s">
        <v>1637</v>
      </c>
      <c r="F1762" s="665">
        <v>0</v>
      </c>
      <c r="G1762" s="665">
        <v>154</v>
      </c>
      <c r="H1762" s="665">
        <v>154</v>
      </c>
      <c r="I1762" s="661">
        <f t="shared" si="339"/>
        <v>100</v>
      </c>
    </row>
    <row r="1763" spans="1:27" ht="16.5" thickTop="1" thickBot="1" x14ac:dyDescent="0.3">
      <c r="A1763" s="3233" t="s">
        <v>522</v>
      </c>
      <c r="B1763" s="3234"/>
      <c r="C1763" s="3234"/>
      <c r="D1763" s="3234"/>
      <c r="E1763" s="3234"/>
      <c r="F1763" s="657">
        <f>F1751</f>
        <v>0</v>
      </c>
      <c r="G1763" s="657">
        <f>G1761+G1753+G1751+G1749+G1747</f>
        <v>21080</v>
      </c>
      <c r="H1763" s="657">
        <f>H1761+H1753+H1751+H1749+H1747</f>
        <v>21080</v>
      </c>
      <c r="I1763" s="658">
        <f>(H1763/G1763)*100</f>
        <v>100</v>
      </c>
      <c r="J1763" s="373">
        <f>F1763</f>
        <v>0</v>
      </c>
      <c r="K1763" s="373" t="e">
        <f>G1763+#REF!</f>
        <v>#REF!</v>
      </c>
      <c r="L1763" s="373" t="e">
        <f>H1763+#REF!</f>
        <v>#REF!</v>
      </c>
      <c r="R1763" s="373">
        <f>F1763</f>
        <v>0</v>
      </c>
      <c r="S1763" s="373">
        <f>G1763</f>
        <v>21080</v>
      </c>
      <c r="T1763" s="373">
        <f>H1763</f>
        <v>21080</v>
      </c>
      <c r="U1763" s="373"/>
      <c r="V1763" s="373"/>
      <c r="W1763" s="373"/>
      <c r="Y1763" s="373"/>
      <c r="Z1763" s="373"/>
      <c r="AA1763" s="373"/>
    </row>
    <row r="1764" spans="1:27" s="374" customFormat="1" ht="13.5" thickTop="1" x14ac:dyDescent="0.2">
      <c r="A1764" s="372"/>
      <c r="B1764" s="584"/>
      <c r="C1764" s="372"/>
      <c r="D1764" s="648"/>
      <c r="E1764" s="372"/>
      <c r="F1764" s="373"/>
      <c r="G1764" s="373"/>
      <c r="H1764" s="373"/>
      <c r="I1764" s="915"/>
    </row>
    <row r="1765" spans="1:27" s="374" customFormat="1" x14ac:dyDescent="0.2">
      <c r="A1765" s="372"/>
      <c r="B1765" s="584"/>
      <c r="C1765" s="372"/>
      <c r="D1765" s="648"/>
      <c r="E1765" s="372"/>
      <c r="F1765" s="373"/>
      <c r="G1765" s="373"/>
      <c r="H1765" s="373"/>
      <c r="I1765" s="915"/>
    </row>
    <row r="1766" spans="1:27" ht="13.5" thickBot="1" x14ac:dyDescent="0.25">
      <c r="A1766" s="419" t="s">
        <v>176</v>
      </c>
      <c r="I1766" s="915" t="s">
        <v>92</v>
      </c>
    </row>
    <row r="1767" spans="1:27" ht="14.25" thickTop="1" thickBot="1" x14ac:dyDescent="0.25">
      <c r="A1767" s="572" t="s">
        <v>324</v>
      </c>
      <c r="B1767" s="639" t="s">
        <v>93</v>
      </c>
      <c r="C1767" s="573" t="s">
        <v>94</v>
      </c>
      <c r="D1767" s="575" t="s">
        <v>364</v>
      </c>
      <c r="E1767" s="575" t="s">
        <v>95</v>
      </c>
      <c r="F1767" s="575" t="s">
        <v>328</v>
      </c>
      <c r="G1767" s="575" t="s">
        <v>329</v>
      </c>
      <c r="H1767" s="575" t="s">
        <v>448</v>
      </c>
      <c r="I1767" s="651" t="s">
        <v>449</v>
      </c>
    </row>
    <row r="1768" spans="1:27" ht="14.25" thickTop="1" thickBot="1" x14ac:dyDescent="0.25">
      <c r="A1768" s="511">
        <v>1</v>
      </c>
      <c r="B1768" s="512">
        <v>2</v>
      </c>
      <c r="C1768" s="512">
        <v>3</v>
      </c>
      <c r="D1768" s="512">
        <v>4</v>
      </c>
      <c r="E1768" s="512">
        <v>5</v>
      </c>
      <c r="F1768" s="499">
        <v>6</v>
      </c>
      <c r="G1768" s="499">
        <v>7</v>
      </c>
      <c r="H1768" s="500">
        <v>8</v>
      </c>
      <c r="I1768" s="577" t="s">
        <v>393</v>
      </c>
    </row>
    <row r="1769" spans="1:27" ht="15.75" thickTop="1" x14ac:dyDescent="0.25">
      <c r="A1769" s="2773">
        <v>1206</v>
      </c>
      <c r="B1769" s="2774">
        <v>3122</v>
      </c>
      <c r="C1769" s="2774">
        <v>5336</v>
      </c>
      <c r="D1769" s="2775"/>
      <c r="E1769" s="602" t="s">
        <v>856</v>
      </c>
      <c r="F1769" s="674">
        <f>F1770</f>
        <v>0</v>
      </c>
      <c r="G1769" s="674">
        <f>G1770</f>
        <v>3455</v>
      </c>
      <c r="H1769" s="674">
        <f>H1770</f>
        <v>3455</v>
      </c>
      <c r="I1769" s="677">
        <f t="shared" ref="I1769:I1788" si="342">(H1769/G1769)*100</f>
        <v>100</v>
      </c>
    </row>
    <row r="1770" spans="1:27" ht="14.25" x14ac:dyDescent="0.2">
      <c r="A1770" s="921"/>
      <c r="B1770" s="2427"/>
      <c r="C1770" s="2427"/>
      <c r="D1770" s="2726" t="s">
        <v>901</v>
      </c>
      <c r="E1770" s="436" t="s">
        <v>1637</v>
      </c>
      <c r="F1770" s="660">
        <v>0</v>
      </c>
      <c r="G1770" s="660">
        <v>3455</v>
      </c>
      <c r="H1770" s="660">
        <v>3455</v>
      </c>
      <c r="I1770" s="656">
        <f t="shared" si="342"/>
        <v>100</v>
      </c>
    </row>
    <row r="1771" spans="1:27" ht="15" x14ac:dyDescent="0.25">
      <c r="A1771" s="921">
        <v>1206</v>
      </c>
      <c r="B1771" s="2427">
        <v>3123</v>
      </c>
      <c r="C1771" s="2427">
        <v>5336</v>
      </c>
      <c r="D1771" s="2725"/>
      <c r="E1771" s="602" t="s">
        <v>856</v>
      </c>
      <c r="F1771" s="678">
        <f>F1772</f>
        <v>0</v>
      </c>
      <c r="G1771" s="678">
        <f>G1772</f>
        <v>22973</v>
      </c>
      <c r="H1771" s="678">
        <f>H1772</f>
        <v>22973</v>
      </c>
      <c r="I1771" s="680">
        <f t="shared" si="342"/>
        <v>100</v>
      </c>
    </row>
    <row r="1772" spans="1:27" ht="14.25" x14ac:dyDescent="0.2">
      <c r="A1772" s="921"/>
      <c r="B1772" s="2427"/>
      <c r="C1772" s="2427"/>
      <c r="D1772" s="2726" t="s">
        <v>901</v>
      </c>
      <c r="E1772" s="436" t="s">
        <v>1637</v>
      </c>
      <c r="F1772" s="660">
        <v>0</v>
      </c>
      <c r="G1772" s="660">
        <v>22973</v>
      </c>
      <c r="H1772" s="660">
        <v>22973</v>
      </c>
      <c r="I1772" s="656">
        <f t="shared" si="342"/>
        <v>100</v>
      </c>
    </row>
    <row r="1773" spans="1:27" ht="15" x14ac:dyDescent="0.25">
      <c r="A1773" s="921">
        <v>1206</v>
      </c>
      <c r="B1773" s="2427">
        <v>3127</v>
      </c>
      <c r="C1773" s="2722">
        <v>5331</v>
      </c>
      <c r="D1773" s="2732"/>
      <c r="E1773" s="602" t="s">
        <v>481</v>
      </c>
      <c r="F1773" s="678">
        <f>F1774</f>
        <v>0</v>
      </c>
      <c r="G1773" s="678">
        <f t="shared" ref="G1773:H1773" si="343">G1774</f>
        <v>55</v>
      </c>
      <c r="H1773" s="678">
        <f t="shared" si="343"/>
        <v>55</v>
      </c>
      <c r="I1773" s="680">
        <f t="shared" si="342"/>
        <v>100</v>
      </c>
    </row>
    <row r="1774" spans="1:27" ht="14.25" x14ac:dyDescent="0.2">
      <c r="A1774" s="921"/>
      <c r="B1774" s="2722"/>
      <c r="C1774" s="2722"/>
      <c r="D1774" s="2742" t="s">
        <v>1891</v>
      </c>
      <c r="E1774" s="938" t="s">
        <v>1952</v>
      </c>
      <c r="F1774" s="665">
        <v>0</v>
      </c>
      <c r="G1774" s="665">
        <v>55</v>
      </c>
      <c r="H1774" s="665">
        <v>55</v>
      </c>
      <c r="I1774" s="656">
        <f t="shared" si="342"/>
        <v>100</v>
      </c>
    </row>
    <row r="1775" spans="1:27" ht="15" x14ac:dyDescent="0.25">
      <c r="A1775" s="921">
        <v>1206</v>
      </c>
      <c r="B1775" s="2722">
        <v>3127</v>
      </c>
      <c r="C1775" s="2722">
        <v>5336</v>
      </c>
      <c r="D1775" s="2726"/>
      <c r="E1775" s="602" t="s">
        <v>856</v>
      </c>
      <c r="F1775" s="666">
        <f>F1776+F1777+F1778+F1779+F1780</f>
        <v>0</v>
      </c>
      <c r="G1775" s="666">
        <f t="shared" ref="G1775:H1775" si="344">G1776+G1777+G1778+G1779+G1780</f>
        <v>1466</v>
      </c>
      <c r="H1775" s="666">
        <f t="shared" si="344"/>
        <v>1466</v>
      </c>
      <c r="I1775" s="667">
        <f t="shared" si="342"/>
        <v>100</v>
      </c>
    </row>
    <row r="1776" spans="1:27" ht="28.5" hidden="1" x14ac:dyDescent="0.25">
      <c r="A1776" s="921"/>
      <c r="B1776" s="2722"/>
      <c r="C1776" s="2722"/>
      <c r="D1776" s="2723" t="s">
        <v>915</v>
      </c>
      <c r="E1776" s="2617" t="s">
        <v>1517</v>
      </c>
      <c r="F1776" s="666"/>
      <c r="G1776" s="978"/>
      <c r="H1776" s="978"/>
      <c r="I1776" s="871" t="e">
        <f t="shared" si="342"/>
        <v>#DIV/0!</v>
      </c>
    </row>
    <row r="1777" spans="1:20" ht="14.25" x14ac:dyDescent="0.2">
      <c r="A1777" s="921"/>
      <c r="B1777" s="2722"/>
      <c r="C1777" s="2722"/>
      <c r="D1777" s="2725" t="s">
        <v>902</v>
      </c>
      <c r="E1777" s="1352" t="s">
        <v>855</v>
      </c>
      <c r="F1777" s="668">
        <v>0</v>
      </c>
      <c r="G1777" s="668">
        <v>556</v>
      </c>
      <c r="H1777" s="668">
        <v>556</v>
      </c>
      <c r="I1777" s="656">
        <f t="shared" si="342"/>
        <v>100</v>
      </c>
    </row>
    <row r="1778" spans="1:20" ht="14.25" x14ac:dyDescent="0.2">
      <c r="A1778" s="921"/>
      <c r="B1778" s="2722"/>
      <c r="C1778" s="2722"/>
      <c r="D1778" s="2725" t="s">
        <v>1896</v>
      </c>
      <c r="E1778" s="2220" t="s">
        <v>1951</v>
      </c>
      <c r="F1778" s="668">
        <v>0</v>
      </c>
      <c r="G1778" s="870">
        <v>211</v>
      </c>
      <c r="H1778" s="870">
        <v>211</v>
      </c>
      <c r="I1778" s="871">
        <f t="shared" si="342"/>
        <v>100</v>
      </c>
    </row>
    <row r="1779" spans="1:20" ht="14.25" x14ac:dyDescent="0.2">
      <c r="A1779" s="921"/>
      <c r="B1779" s="2722"/>
      <c r="C1779" s="2722"/>
      <c r="D1779" s="2726" t="s">
        <v>1144</v>
      </c>
      <c r="E1779" s="938" t="s">
        <v>1515</v>
      </c>
      <c r="F1779" s="665">
        <v>0</v>
      </c>
      <c r="G1779" s="870">
        <v>105</v>
      </c>
      <c r="H1779" s="870">
        <v>105</v>
      </c>
      <c r="I1779" s="871">
        <f t="shared" si="342"/>
        <v>100</v>
      </c>
    </row>
    <row r="1780" spans="1:20" ht="14.25" x14ac:dyDescent="0.2">
      <c r="A1780" s="921"/>
      <c r="B1780" s="2722"/>
      <c r="C1780" s="2722"/>
      <c r="D1780" s="2726" t="s">
        <v>1145</v>
      </c>
      <c r="E1780" s="938" t="s">
        <v>1515</v>
      </c>
      <c r="F1780" s="665">
        <v>0</v>
      </c>
      <c r="G1780" s="870">
        <v>594</v>
      </c>
      <c r="H1780" s="870">
        <v>594</v>
      </c>
      <c r="I1780" s="871">
        <f t="shared" si="342"/>
        <v>100</v>
      </c>
    </row>
    <row r="1781" spans="1:20" ht="15" hidden="1" x14ac:dyDescent="0.25">
      <c r="A1781" s="2754">
        <v>1206</v>
      </c>
      <c r="B1781" s="2755">
        <v>3127</v>
      </c>
      <c r="C1781" s="2755">
        <v>5331</v>
      </c>
      <c r="D1781" s="2756"/>
      <c r="E1781" s="845" t="s">
        <v>481</v>
      </c>
      <c r="F1781" s="660"/>
      <c r="G1781" s="675">
        <f>G1782</f>
        <v>0</v>
      </c>
      <c r="H1781" s="675">
        <f>H1782</f>
        <v>0</v>
      </c>
      <c r="I1781" s="680" t="e">
        <f t="shared" si="342"/>
        <v>#DIV/0!</v>
      </c>
    </row>
    <row r="1782" spans="1:20" ht="28.5" hidden="1" x14ac:dyDescent="0.2">
      <c r="A1782" s="2754"/>
      <c r="B1782" s="2755"/>
      <c r="C1782" s="2761"/>
      <c r="D1782" s="2768" t="s">
        <v>1134</v>
      </c>
      <c r="E1782" s="2623" t="s">
        <v>1527</v>
      </c>
      <c r="F1782" s="880"/>
      <c r="G1782" s="2776"/>
      <c r="H1782" s="893"/>
      <c r="I1782" s="871" t="e">
        <f t="shared" si="342"/>
        <v>#DIV/0!</v>
      </c>
    </row>
    <row r="1783" spans="1:20" ht="15" x14ac:dyDescent="0.25">
      <c r="A1783" s="921">
        <v>1206</v>
      </c>
      <c r="B1783" s="2722">
        <v>3141</v>
      </c>
      <c r="C1783" s="2722">
        <v>5336</v>
      </c>
      <c r="D1783" s="2726"/>
      <c r="E1783" s="602" t="s">
        <v>856</v>
      </c>
      <c r="F1783" s="675">
        <f>F1784</f>
        <v>0</v>
      </c>
      <c r="G1783" s="675">
        <f>G1784</f>
        <v>1354</v>
      </c>
      <c r="H1783" s="675">
        <f>H1784</f>
        <v>1354</v>
      </c>
      <c r="I1783" s="669">
        <f t="shared" si="342"/>
        <v>100</v>
      </c>
    </row>
    <row r="1784" spans="1:20" ht="14.25" x14ac:dyDescent="0.2">
      <c r="A1784" s="921"/>
      <c r="B1784" s="2722"/>
      <c r="C1784" s="1350"/>
      <c r="D1784" s="2726" t="s">
        <v>901</v>
      </c>
      <c r="E1784" s="436" t="s">
        <v>1637</v>
      </c>
      <c r="F1784" s="665">
        <v>0</v>
      </c>
      <c r="G1784" s="665">
        <v>1354</v>
      </c>
      <c r="H1784" s="665">
        <v>1354</v>
      </c>
      <c r="I1784" s="661">
        <f t="shared" si="342"/>
        <v>100</v>
      </c>
    </row>
    <row r="1785" spans="1:20" ht="15" x14ac:dyDescent="0.25">
      <c r="A1785" s="921">
        <v>1206</v>
      </c>
      <c r="B1785" s="2427">
        <v>3293</v>
      </c>
      <c r="C1785" s="2719">
        <v>5336</v>
      </c>
      <c r="D1785" s="2740"/>
      <c r="E1785" s="602" t="s">
        <v>856</v>
      </c>
      <c r="F1785" s="675">
        <f>F1786</f>
        <v>0</v>
      </c>
      <c r="G1785" s="675">
        <f>G1786</f>
        <v>39</v>
      </c>
      <c r="H1785" s="675">
        <f>H1786</f>
        <v>39</v>
      </c>
      <c r="I1785" s="669">
        <f t="shared" si="342"/>
        <v>100</v>
      </c>
    </row>
    <row r="1786" spans="1:20" ht="14.25" x14ac:dyDescent="0.2">
      <c r="A1786" s="921"/>
      <c r="B1786" s="2722"/>
      <c r="C1786" s="1350"/>
      <c r="D1786" s="2726" t="s">
        <v>913</v>
      </c>
      <c r="E1786" s="949" t="s">
        <v>768</v>
      </c>
      <c r="F1786" s="665">
        <v>0</v>
      </c>
      <c r="G1786" s="665">
        <v>39</v>
      </c>
      <c r="H1786" s="665">
        <v>39</v>
      </c>
      <c r="I1786" s="661">
        <f t="shared" si="342"/>
        <v>100</v>
      </c>
    </row>
    <row r="1787" spans="1:20" ht="15" x14ac:dyDescent="0.25">
      <c r="A1787" s="921">
        <v>1206</v>
      </c>
      <c r="B1787" s="2427">
        <v>3299</v>
      </c>
      <c r="C1787" s="2722">
        <v>5331</v>
      </c>
      <c r="D1787" s="2732"/>
      <c r="E1787" s="602" t="s">
        <v>481</v>
      </c>
      <c r="F1787" s="675">
        <f>F1788</f>
        <v>0</v>
      </c>
      <c r="G1787" s="675">
        <f t="shared" ref="G1787:H1787" si="345">G1788</f>
        <v>28</v>
      </c>
      <c r="H1787" s="675">
        <f t="shared" si="345"/>
        <v>28</v>
      </c>
      <c r="I1787" s="669">
        <f t="shared" si="342"/>
        <v>100</v>
      </c>
    </row>
    <row r="1788" spans="1:20" ht="15" thickBot="1" x14ac:dyDescent="0.25">
      <c r="A1788" s="921"/>
      <c r="B1788" s="2722"/>
      <c r="C1788" s="2722"/>
      <c r="D1788" s="2742" t="s">
        <v>1891</v>
      </c>
      <c r="E1788" s="938" t="s">
        <v>1952</v>
      </c>
      <c r="F1788" s="665">
        <v>0</v>
      </c>
      <c r="G1788" s="665">
        <v>28</v>
      </c>
      <c r="H1788" s="665">
        <v>28</v>
      </c>
      <c r="I1788" s="661">
        <f t="shared" si="342"/>
        <v>100</v>
      </c>
    </row>
    <row r="1789" spans="1:20" s="106" customFormat="1" ht="16.5" thickTop="1" thickBot="1" x14ac:dyDescent="0.3">
      <c r="A1789" s="3233" t="s">
        <v>522</v>
      </c>
      <c r="B1789" s="3234"/>
      <c r="C1789" s="3234"/>
      <c r="D1789" s="3234"/>
      <c r="E1789" s="3234"/>
      <c r="F1789" s="657">
        <f>F1773</f>
        <v>0</v>
      </c>
      <c r="G1789" s="657">
        <f>G1785+G1783+G1775+G1773+G1771+G1769+G1781+G1787</f>
        <v>29370</v>
      </c>
      <c r="H1789" s="657">
        <f>H1785+H1783+H1775+H1773+H1771+H1769+H1781+H1787</f>
        <v>29370</v>
      </c>
      <c r="I1789" s="658">
        <f>(H1789/G1789)*100</f>
        <v>100</v>
      </c>
      <c r="R1789" s="373">
        <f>F1789</f>
        <v>0</v>
      </c>
      <c r="S1789" s="373">
        <f>G1789</f>
        <v>29370</v>
      </c>
      <c r="T1789" s="373">
        <f>H1789</f>
        <v>29370</v>
      </c>
    </row>
    <row r="1790" spans="1:20" s="374" customFormat="1" ht="13.5" thickTop="1" x14ac:dyDescent="0.2">
      <c r="A1790" s="372"/>
      <c r="B1790" s="584"/>
      <c r="C1790" s="372"/>
      <c r="D1790" s="648"/>
      <c r="E1790" s="372"/>
      <c r="F1790" s="373"/>
      <c r="G1790" s="373"/>
      <c r="H1790" s="373"/>
      <c r="I1790" s="915"/>
    </row>
    <row r="1791" spans="1:20" s="374" customFormat="1" x14ac:dyDescent="0.2">
      <c r="A1791" s="372"/>
      <c r="B1791" s="584"/>
      <c r="C1791" s="372"/>
      <c r="D1791" s="648"/>
      <c r="E1791" s="372"/>
      <c r="F1791" s="373"/>
      <c r="G1791" s="373"/>
      <c r="H1791" s="373"/>
      <c r="I1791" s="915"/>
    </row>
    <row r="1792" spans="1:20" ht="13.5" thickBot="1" x14ac:dyDescent="0.25">
      <c r="A1792" s="419" t="s">
        <v>177</v>
      </c>
      <c r="I1792" s="915" t="s">
        <v>92</v>
      </c>
    </row>
    <row r="1793" spans="1:9" ht="14.25" thickTop="1" thickBot="1" x14ac:dyDescent="0.25">
      <c r="A1793" s="572" t="s">
        <v>324</v>
      </c>
      <c r="B1793" s="639" t="s">
        <v>93</v>
      </c>
      <c r="C1793" s="573" t="s">
        <v>94</v>
      </c>
      <c r="D1793" s="575" t="s">
        <v>364</v>
      </c>
      <c r="E1793" s="575" t="s">
        <v>95</v>
      </c>
      <c r="F1793" s="575" t="s">
        <v>328</v>
      </c>
      <c r="G1793" s="575" t="s">
        <v>329</v>
      </c>
      <c r="H1793" s="575" t="s">
        <v>448</v>
      </c>
      <c r="I1793" s="651" t="s">
        <v>449</v>
      </c>
    </row>
    <row r="1794" spans="1:9" ht="14.25" thickTop="1" thickBot="1" x14ac:dyDescent="0.25">
      <c r="A1794" s="511">
        <v>1</v>
      </c>
      <c r="B1794" s="512">
        <v>2</v>
      </c>
      <c r="C1794" s="512">
        <v>3</v>
      </c>
      <c r="D1794" s="512">
        <v>4</v>
      </c>
      <c r="E1794" s="512">
        <v>5</v>
      </c>
      <c r="F1794" s="499">
        <v>6</v>
      </c>
      <c r="G1794" s="499">
        <v>7</v>
      </c>
      <c r="H1794" s="500">
        <v>8</v>
      </c>
      <c r="I1794" s="577" t="s">
        <v>393</v>
      </c>
    </row>
    <row r="1795" spans="1:9" ht="14.25" customHeight="1" thickTop="1" x14ac:dyDescent="0.25">
      <c r="A1795" s="921">
        <v>1207</v>
      </c>
      <c r="B1795" s="2722">
        <v>3122</v>
      </c>
      <c r="C1795" s="2722">
        <v>5336</v>
      </c>
      <c r="D1795" s="2765"/>
      <c r="E1795" s="602" t="s">
        <v>856</v>
      </c>
      <c r="F1795" s="678">
        <f>F1796</f>
        <v>0</v>
      </c>
      <c r="G1795" s="678">
        <f>G1796</f>
        <v>6001</v>
      </c>
      <c r="H1795" s="678">
        <f>H1796</f>
        <v>6001</v>
      </c>
      <c r="I1795" s="654">
        <f t="shared" ref="I1795:I1820" si="346">(H1795/G1795)*100</f>
        <v>100</v>
      </c>
    </row>
    <row r="1796" spans="1:9" ht="14.25" x14ac:dyDescent="0.2">
      <c r="A1796" s="921"/>
      <c r="B1796" s="2722"/>
      <c r="C1796" s="2722"/>
      <c r="D1796" s="2726" t="s">
        <v>901</v>
      </c>
      <c r="E1796" s="436" t="s">
        <v>1637</v>
      </c>
      <c r="F1796" s="660">
        <v>0</v>
      </c>
      <c r="G1796" s="660">
        <v>6001</v>
      </c>
      <c r="H1796" s="660">
        <v>6001</v>
      </c>
      <c r="I1796" s="656">
        <f t="shared" si="346"/>
        <v>100</v>
      </c>
    </row>
    <row r="1797" spans="1:9" ht="15" x14ac:dyDescent="0.25">
      <c r="A1797" s="921">
        <v>1207</v>
      </c>
      <c r="B1797" s="2427">
        <v>3123</v>
      </c>
      <c r="C1797" s="2427">
        <v>5336</v>
      </c>
      <c r="D1797" s="2765"/>
      <c r="E1797" s="602" t="s">
        <v>856</v>
      </c>
      <c r="F1797" s="678">
        <f>F1798</f>
        <v>0</v>
      </c>
      <c r="G1797" s="678">
        <f>G1798</f>
        <v>21590</v>
      </c>
      <c r="H1797" s="678">
        <f>H1798</f>
        <v>21590</v>
      </c>
      <c r="I1797" s="680">
        <f t="shared" si="346"/>
        <v>100</v>
      </c>
    </row>
    <row r="1798" spans="1:9" ht="14.25" x14ac:dyDescent="0.2">
      <c r="A1798" s="921"/>
      <c r="B1798" s="2427"/>
      <c r="C1798" s="2719"/>
      <c r="D1798" s="2726" t="s">
        <v>901</v>
      </c>
      <c r="E1798" s="436" t="s">
        <v>1637</v>
      </c>
      <c r="F1798" s="660">
        <v>0</v>
      </c>
      <c r="G1798" s="660">
        <v>21590</v>
      </c>
      <c r="H1798" s="660">
        <v>21590</v>
      </c>
      <c r="I1798" s="656">
        <f t="shared" si="346"/>
        <v>100</v>
      </c>
    </row>
    <row r="1799" spans="1:9" ht="15" x14ac:dyDescent="0.25">
      <c r="A1799" s="921">
        <v>1207</v>
      </c>
      <c r="B1799" s="2722">
        <v>3127</v>
      </c>
      <c r="C1799" s="2722">
        <v>5331</v>
      </c>
      <c r="D1799" s="2732"/>
      <c r="E1799" s="602" t="s">
        <v>481</v>
      </c>
      <c r="F1799" s="666">
        <f>F1800</f>
        <v>0</v>
      </c>
      <c r="G1799" s="666">
        <f t="shared" ref="G1799:H1799" si="347">G1800</f>
        <v>65</v>
      </c>
      <c r="H1799" s="666">
        <f t="shared" si="347"/>
        <v>65</v>
      </c>
      <c r="I1799" s="667">
        <f t="shared" si="346"/>
        <v>100</v>
      </c>
    </row>
    <row r="1800" spans="1:9" ht="14.25" x14ac:dyDescent="0.2">
      <c r="A1800" s="921"/>
      <c r="B1800" s="2722"/>
      <c r="C1800" s="2722"/>
      <c r="D1800" s="2742" t="s">
        <v>1891</v>
      </c>
      <c r="E1800" s="938" t="s">
        <v>1952</v>
      </c>
      <c r="F1800" s="668">
        <v>0</v>
      </c>
      <c r="G1800" s="668">
        <v>65</v>
      </c>
      <c r="H1800" s="668">
        <v>65</v>
      </c>
      <c r="I1800" s="661">
        <f t="shared" si="346"/>
        <v>100</v>
      </c>
    </row>
    <row r="1801" spans="1:9" ht="15" x14ac:dyDescent="0.25">
      <c r="A1801" s="921">
        <v>1207</v>
      </c>
      <c r="B1801" s="2722">
        <v>3127</v>
      </c>
      <c r="C1801" s="2427">
        <v>5336</v>
      </c>
      <c r="D1801" s="2765"/>
      <c r="E1801" s="602" t="s">
        <v>856</v>
      </c>
      <c r="F1801" s="666">
        <f>F1802+F1805+F1806+F1807+F1808+F1809+F1810</f>
        <v>0</v>
      </c>
      <c r="G1801" s="666">
        <f t="shared" ref="G1801:H1801" si="348">G1802+G1805+G1806+G1807+G1808+G1809+G1810</f>
        <v>2218</v>
      </c>
      <c r="H1801" s="666">
        <f t="shared" si="348"/>
        <v>2218</v>
      </c>
      <c r="I1801" s="667">
        <f t="shared" si="346"/>
        <v>100</v>
      </c>
    </row>
    <row r="1802" spans="1:9" ht="14.25" x14ac:dyDescent="0.2">
      <c r="A1802" s="921"/>
      <c r="B1802" s="2722"/>
      <c r="C1802" s="2722"/>
      <c r="D1802" s="3238" t="s">
        <v>934</v>
      </c>
      <c r="E1802" s="3236" t="s">
        <v>704</v>
      </c>
      <c r="F1802" s="665">
        <v>0</v>
      </c>
      <c r="G1802" s="665">
        <v>88</v>
      </c>
      <c r="H1802" s="665">
        <v>88</v>
      </c>
      <c r="I1802" s="661">
        <f t="shared" si="346"/>
        <v>100</v>
      </c>
    </row>
    <row r="1803" spans="1:9" ht="14.25" x14ac:dyDescent="0.2">
      <c r="A1803" s="921"/>
      <c r="B1803" s="2722"/>
      <c r="C1803" s="2722"/>
      <c r="D1803" s="3239"/>
      <c r="E1803" s="3237"/>
      <c r="F1803" s="665"/>
      <c r="G1803" s="665"/>
      <c r="H1803" s="665"/>
      <c r="I1803" s="661"/>
    </row>
    <row r="1804" spans="1:9" ht="14.25" x14ac:dyDescent="0.2">
      <c r="A1804" s="921"/>
      <c r="B1804" s="2722"/>
      <c r="C1804" s="2722"/>
      <c r="D1804" s="3239"/>
      <c r="E1804" s="3237"/>
      <c r="F1804" s="665"/>
      <c r="G1804" s="665"/>
      <c r="H1804" s="665"/>
      <c r="I1804" s="661"/>
    </row>
    <row r="1805" spans="1:9" ht="14.25" hidden="1" customHeight="1" x14ac:dyDescent="0.2">
      <c r="A1805" s="921"/>
      <c r="B1805" s="2722"/>
      <c r="C1805" s="2722"/>
      <c r="D1805" s="2726" t="s">
        <v>920</v>
      </c>
      <c r="E1805" s="1352" t="s">
        <v>769</v>
      </c>
      <c r="F1805" s="665"/>
      <c r="G1805" s="665"/>
      <c r="H1805" s="665"/>
      <c r="I1805" s="661" t="e">
        <f t="shared" si="346"/>
        <v>#DIV/0!</v>
      </c>
    </row>
    <row r="1806" spans="1:9" ht="14.25" customHeight="1" x14ac:dyDescent="0.2">
      <c r="A1806" s="921"/>
      <c r="B1806" s="2722"/>
      <c r="C1806" s="2722"/>
      <c r="D1806" s="2725" t="s">
        <v>912</v>
      </c>
      <c r="E1806" s="1598" t="s">
        <v>817</v>
      </c>
      <c r="F1806" s="665">
        <v>0</v>
      </c>
      <c r="G1806" s="665">
        <v>737</v>
      </c>
      <c r="H1806" s="665">
        <v>737</v>
      </c>
      <c r="I1806" s="661">
        <f t="shared" si="346"/>
        <v>100</v>
      </c>
    </row>
    <row r="1807" spans="1:9" ht="14.25" customHeight="1" x14ac:dyDescent="0.2">
      <c r="A1807" s="921"/>
      <c r="B1807" s="2722"/>
      <c r="C1807" s="2722"/>
      <c r="D1807" s="2725" t="s">
        <v>902</v>
      </c>
      <c r="E1807" s="1352" t="s">
        <v>855</v>
      </c>
      <c r="F1807" s="665">
        <v>0</v>
      </c>
      <c r="G1807" s="665">
        <v>555</v>
      </c>
      <c r="H1807" s="665">
        <v>555</v>
      </c>
      <c r="I1807" s="661">
        <f t="shared" si="346"/>
        <v>100</v>
      </c>
    </row>
    <row r="1808" spans="1:9" ht="14.25" customHeight="1" x14ac:dyDescent="0.2">
      <c r="A1808" s="921"/>
      <c r="B1808" s="2722"/>
      <c r="C1808" s="2722"/>
      <c r="D1808" s="2725" t="s">
        <v>1896</v>
      </c>
      <c r="E1808" s="2220" t="s">
        <v>1951</v>
      </c>
      <c r="F1808" s="665">
        <v>0</v>
      </c>
      <c r="G1808" s="665">
        <v>193</v>
      </c>
      <c r="H1808" s="665">
        <v>193</v>
      </c>
      <c r="I1808" s="661">
        <f t="shared" si="346"/>
        <v>100</v>
      </c>
    </row>
    <row r="1809" spans="1:20" ht="14.25" customHeight="1" x14ac:dyDescent="0.2">
      <c r="A1809" s="921"/>
      <c r="B1809" s="2722"/>
      <c r="C1809" s="2722"/>
      <c r="D1809" s="2726" t="s">
        <v>1144</v>
      </c>
      <c r="E1809" s="938" t="s">
        <v>1515</v>
      </c>
      <c r="F1809" s="665">
        <v>0</v>
      </c>
      <c r="G1809" s="665">
        <v>97</v>
      </c>
      <c r="H1809" s="665">
        <v>97</v>
      </c>
      <c r="I1809" s="661">
        <f t="shared" si="346"/>
        <v>100</v>
      </c>
    </row>
    <row r="1810" spans="1:20" ht="14.25" customHeight="1" x14ac:dyDescent="0.2">
      <c r="A1810" s="921"/>
      <c r="B1810" s="2722"/>
      <c r="C1810" s="2722"/>
      <c r="D1810" s="2726" t="s">
        <v>1145</v>
      </c>
      <c r="E1810" s="938" t="s">
        <v>1515</v>
      </c>
      <c r="F1810" s="665">
        <v>0</v>
      </c>
      <c r="G1810" s="665">
        <v>548</v>
      </c>
      <c r="H1810" s="665">
        <v>548</v>
      </c>
      <c r="I1810" s="661">
        <f t="shared" si="346"/>
        <v>100</v>
      </c>
    </row>
    <row r="1811" spans="1:20" ht="15" hidden="1" x14ac:dyDescent="0.25">
      <c r="A1811" s="2754">
        <v>1207</v>
      </c>
      <c r="B1811" s="2755">
        <v>3127</v>
      </c>
      <c r="C1811" s="2755">
        <v>5331</v>
      </c>
      <c r="D1811" s="2756"/>
      <c r="E1811" s="845" t="s">
        <v>481</v>
      </c>
      <c r="F1811" s="665"/>
      <c r="G1811" s="675">
        <f>G1812</f>
        <v>0</v>
      </c>
      <c r="H1811" s="675">
        <f>H1812</f>
        <v>0</v>
      </c>
      <c r="I1811" s="669" t="e">
        <f t="shared" si="346"/>
        <v>#DIV/0!</v>
      </c>
    </row>
    <row r="1812" spans="1:20" ht="28.5" hidden="1" x14ac:dyDescent="0.2">
      <c r="A1812" s="2754"/>
      <c r="B1812" s="2755"/>
      <c r="C1812" s="2761"/>
      <c r="D1812" s="2768" t="s">
        <v>1134</v>
      </c>
      <c r="E1812" s="2623" t="s">
        <v>1527</v>
      </c>
      <c r="F1812" s="665"/>
      <c r="G1812" s="870"/>
      <c r="H1812" s="870"/>
      <c r="I1812" s="874" t="e">
        <f t="shared" si="346"/>
        <v>#DIV/0!</v>
      </c>
    </row>
    <row r="1813" spans="1:20" ht="18" customHeight="1" x14ac:dyDescent="0.25">
      <c r="A1813" s="921">
        <v>1207</v>
      </c>
      <c r="B1813" s="2722">
        <v>3141</v>
      </c>
      <c r="C1813" s="2722">
        <v>5336</v>
      </c>
      <c r="D1813" s="2726"/>
      <c r="E1813" s="602" t="s">
        <v>856</v>
      </c>
      <c r="F1813" s="675">
        <f>F1814</f>
        <v>0</v>
      </c>
      <c r="G1813" s="675">
        <f>G1814</f>
        <v>21</v>
      </c>
      <c r="H1813" s="675">
        <f>H1814</f>
        <v>21</v>
      </c>
      <c r="I1813" s="669">
        <f t="shared" si="346"/>
        <v>100</v>
      </c>
    </row>
    <row r="1814" spans="1:20" ht="14.25" x14ac:dyDescent="0.2">
      <c r="A1814" s="921"/>
      <c r="B1814" s="2722"/>
      <c r="C1814" s="1350"/>
      <c r="D1814" s="2726" t="s">
        <v>901</v>
      </c>
      <c r="E1814" s="436" t="s">
        <v>1637</v>
      </c>
      <c r="F1814" s="665">
        <v>0</v>
      </c>
      <c r="G1814" s="665">
        <v>21</v>
      </c>
      <c r="H1814" s="665">
        <v>21</v>
      </c>
      <c r="I1814" s="661">
        <f t="shared" si="346"/>
        <v>100</v>
      </c>
    </row>
    <row r="1815" spans="1:20" ht="15" x14ac:dyDescent="0.25">
      <c r="A1815" s="921">
        <v>1207</v>
      </c>
      <c r="B1815" s="2722">
        <v>3147</v>
      </c>
      <c r="C1815" s="2722">
        <v>5336</v>
      </c>
      <c r="D1815" s="2726"/>
      <c r="E1815" s="602" t="s">
        <v>856</v>
      </c>
      <c r="F1815" s="675">
        <f>F1816</f>
        <v>0</v>
      </c>
      <c r="G1815" s="675">
        <f>G1816</f>
        <v>1982</v>
      </c>
      <c r="H1815" s="675">
        <f>H1816</f>
        <v>1982</v>
      </c>
      <c r="I1815" s="669">
        <f t="shared" si="346"/>
        <v>100</v>
      </c>
    </row>
    <row r="1816" spans="1:20" ht="14.25" x14ac:dyDescent="0.2">
      <c r="A1816" s="921"/>
      <c r="B1816" s="2722"/>
      <c r="C1816" s="1350"/>
      <c r="D1816" s="2726" t="s">
        <v>901</v>
      </c>
      <c r="E1816" s="436" t="s">
        <v>1637</v>
      </c>
      <c r="F1816" s="665">
        <v>0</v>
      </c>
      <c r="G1816" s="665">
        <v>1982</v>
      </c>
      <c r="H1816" s="665">
        <v>1982</v>
      </c>
      <c r="I1816" s="661">
        <f t="shared" si="346"/>
        <v>100</v>
      </c>
    </row>
    <row r="1817" spans="1:20" ht="15" x14ac:dyDescent="0.25">
      <c r="A1817" s="921">
        <v>1207</v>
      </c>
      <c r="B1817" s="2722">
        <v>3299</v>
      </c>
      <c r="C1817" s="2722">
        <v>5331</v>
      </c>
      <c r="D1817" s="2732"/>
      <c r="E1817" s="602" t="s">
        <v>481</v>
      </c>
      <c r="F1817" s="666">
        <f>F1818</f>
        <v>0</v>
      </c>
      <c r="G1817" s="666">
        <f>G1818</f>
        <v>60</v>
      </c>
      <c r="H1817" s="666">
        <f t="shared" ref="H1817" si="349">H1818</f>
        <v>60</v>
      </c>
      <c r="I1817" s="667">
        <f t="shared" ref="I1817:I1818" si="350">(H1817/G1817)*100</f>
        <v>100</v>
      </c>
    </row>
    <row r="1818" spans="1:20" ht="14.25" x14ac:dyDescent="0.2">
      <c r="A1818" s="921"/>
      <c r="B1818" s="2722"/>
      <c r="C1818" s="2722"/>
      <c r="D1818" s="2742" t="s">
        <v>1891</v>
      </c>
      <c r="E1818" s="938" t="s">
        <v>1952</v>
      </c>
      <c r="F1818" s="668">
        <v>0</v>
      </c>
      <c r="G1818" s="668">
        <v>60</v>
      </c>
      <c r="H1818" s="668">
        <v>60</v>
      </c>
      <c r="I1818" s="661">
        <f t="shared" si="350"/>
        <v>100</v>
      </c>
    </row>
    <row r="1819" spans="1:20" ht="15" x14ac:dyDescent="0.25">
      <c r="A1819" s="921">
        <v>1207</v>
      </c>
      <c r="B1819" s="2722">
        <v>5399</v>
      </c>
      <c r="C1819" s="2722">
        <v>5336</v>
      </c>
      <c r="D1819" s="2726"/>
      <c r="E1819" s="602" t="s">
        <v>856</v>
      </c>
      <c r="F1819" s="675">
        <f>F1820</f>
        <v>0</v>
      </c>
      <c r="G1819" s="675">
        <f>G1820</f>
        <v>79</v>
      </c>
      <c r="H1819" s="675">
        <f>H1820</f>
        <v>79</v>
      </c>
      <c r="I1819" s="669">
        <f t="shared" ref="I1819" si="351">(H1819/G1819)*100</f>
        <v>100</v>
      </c>
    </row>
    <row r="1820" spans="1:20" ht="15" thickBot="1" x14ac:dyDescent="0.25">
      <c r="A1820" s="921"/>
      <c r="B1820" s="2722"/>
      <c r="C1820" s="1350"/>
      <c r="D1820" s="2726" t="s">
        <v>937</v>
      </c>
      <c r="E1820" s="436" t="s">
        <v>1954</v>
      </c>
      <c r="F1820" s="665">
        <v>0</v>
      </c>
      <c r="G1820" s="665">
        <v>79</v>
      </c>
      <c r="H1820" s="665">
        <v>79</v>
      </c>
      <c r="I1820" s="661">
        <f t="shared" si="346"/>
        <v>100</v>
      </c>
    </row>
    <row r="1821" spans="1:20" s="106" customFormat="1" ht="16.5" thickTop="1" thickBot="1" x14ac:dyDescent="0.3">
      <c r="A1821" s="3233" t="s">
        <v>522</v>
      </c>
      <c r="B1821" s="3234"/>
      <c r="C1821" s="3234"/>
      <c r="D1821" s="3234"/>
      <c r="E1821" s="3234"/>
      <c r="F1821" s="657">
        <f>F1799</f>
        <v>0</v>
      </c>
      <c r="G1821" s="657">
        <f>G1815+G1813+G1801+G1799+G1797+G1795+G1811+G1819+G1817</f>
        <v>32016</v>
      </c>
      <c r="H1821" s="657">
        <f>H1815+H1813+H1801+H1799+H1797+H1795+H1811+H1819+H1817</f>
        <v>32016</v>
      </c>
      <c r="I1821" s="658">
        <f>(H1821/G1821)*100</f>
        <v>100</v>
      </c>
      <c r="R1821" s="373">
        <f>F1821</f>
        <v>0</v>
      </c>
      <c r="S1821" s="373">
        <f>G1821</f>
        <v>32016</v>
      </c>
      <c r="T1821" s="373">
        <f>H1821</f>
        <v>32016</v>
      </c>
    </row>
    <row r="1822" spans="1:20" s="374" customFormat="1" ht="15.75" thickTop="1" x14ac:dyDescent="0.25">
      <c r="A1822" s="360"/>
      <c r="B1822" s="360"/>
      <c r="C1822" s="360"/>
      <c r="D1822" s="360"/>
      <c r="E1822" s="360"/>
      <c r="F1822" s="177"/>
      <c r="G1822" s="177"/>
      <c r="H1822" s="177"/>
      <c r="I1822" s="206"/>
    </row>
    <row r="1823" spans="1:20" s="374" customFormat="1" ht="15" x14ac:dyDescent="0.25">
      <c r="A1823" s="360"/>
      <c r="B1823" s="360"/>
      <c r="C1823" s="360"/>
      <c r="D1823" s="360"/>
      <c r="E1823" s="360"/>
      <c r="F1823" s="177"/>
      <c r="G1823" s="177"/>
      <c r="H1823" s="177"/>
      <c r="I1823" s="206"/>
    </row>
    <row r="1824" spans="1:20" s="374" customFormat="1" ht="15" x14ac:dyDescent="0.25">
      <c r="A1824" s="360"/>
      <c r="B1824" s="360"/>
      <c r="C1824" s="360"/>
      <c r="D1824" s="360"/>
      <c r="E1824" s="360"/>
      <c r="F1824" s="177"/>
      <c r="G1824" s="177"/>
      <c r="H1824" s="177"/>
      <c r="I1824" s="206"/>
    </row>
    <row r="1825" spans="1:9" s="374" customFormat="1" ht="15" x14ac:dyDescent="0.25">
      <c r="A1825" s="360"/>
      <c r="B1825" s="360"/>
      <c r="C1825" s="360"/>
      <c r="D1825" s="360"/>
      <c r="E1825" s="360"/>
      <c r="F1825" s="177"/>
      <c r="G1825" s="177"/>
      <c r="H1825" s="177"/>
      <c r="I1825" s="206"/>
    </row>
    <row r="1826" spans="1:9" s="374" customFormat="1" ht="15" x14ac:dyDescent="0.25">
      <c r="A1826" s="360"/>
      <c r="B1826" s="360"/>
      <c r="C1826" s="360"/>
      <c r="D1826" s="360"/>
      <c r="E1826" s="360"/>
      <c r="F1826" s="177"/>
      <c r="G1826" s="177"/>
      <c r="H1826" s="177"/>
      <c r="I1826" s="206"/>
    </row>
    <row r="1827" spans="1:9" s="374" customFormat="1" ht="15" x14ac:dyDescent="0.25">
      <c r="A1827" s="360"/>
      <c r="B1827" s="360"/>
      <c r="C1827" s="360"/>
      <c r="D1827" s="360"/>
      <c r="E1827" s="360"/>
      <c r="F1827" s="177"/>
      <c r="G1827" s="177"/>
      <c r="H1827" s="177"/>
      <c r="I1827" s="206"/>
    </row>
    <row r="1828" spans="1:9" ht="13.5" thickBot="1" x14ac:dyDescent="0.25">
      <c r="A1828" s="419" t="s">
        <v>707</v>
      </c>
      <c r="I1828" s="915" t="s">
        <v>92</v>
      </c>
    </row>
    <row r="1829" spans="1:9" ht="14.25" thickTop="1" thickBot="1" x14ac:dyDescent="0.25">
      <c r="A1829" s="572" t="s">
        <v>324</v>
      </c>
      <c r="B1829" s="639" t="s">
        <v>93</v>
      </c>
      <c r="C1829" s="573" t="s">
        <v>94</v>
      </c>
      <c r="D1829" s="575" t="s">
        <v>364</v>
      </c>
      <c r="E1829" s="575" t="s">
        <v>95</v>
      </c>
      <c r="F1829" s="575" t="s">
        <v>328</v>
      </c>
      <c r="G1829" s="575" t="s">
        <v>329</v>
      </c>
      <c r="H1829" s="575" t="s">
        <v>448</v>
      </c>
      <c r="I1829" s="651" t="s">
        <v>449</v>
      </c>
    </row>
    <row r="1830" spans="1:9" ht="14.25" thickTop="1" thickBot="1" x14ac:dyDescent="0.25">
      <c r="A1830" s="511">
        <v>1</v>
      </c>
      <c r="B1830" s="512">
        <v>2</v>
      </c>
      <c r="C1830" s="512">
        <v>3</v>
      </c>
      <c r="D1830" s="512">
        <v>4</v>
      </c>
      <c r="E1830" s="512">
        <v>5</v>
      </c>
      <c r="F1830" s="499">
        <v>6</v>
      </c>
      <c r="G1830" s="499">
        <v>7</v>
      </c>
      <c r="H1830" s="500">
        <v>8</v>
      </c>
      <c r="I1830" s="577" t="s">
        <v>393</v>
      </c>
    </row>
    <row r="1831" spans="1:9" ht="15.75" thickTop="1" x14ac:dyDescent="0.25">
      <c r="A1831" s="2773">
        <v>1208</v>
      </c>
      <c r="B1831" s="2774">
        <v>3122</v>
      </c>
      <c r="C1831" s="2774">
        <v>5336</v>
      </c>
      <c r="D1831" s="2775"/>
      <c r="E1831" s="602" t="s">
        <v>856</v>
      </c>
      <c r="F1831" s="674">
        <f>F1832</f>
        <v>0</v>
      </c>
      <c r="G1831" s="674">
        <f>G1832</f>
        <v>1873</v>
      </c>
      <c r="H1831" s="674">
        <f>H1832</f>
        <v>1873</v>
      </c>
      <c r="I1831" s="677">
        <f>(H1831/G1831)*100</f>
        <v>100</v>
      </c>
    </row>
    <row r="1832" spans="1:9" ht="14.25" x14ac:dyDescent="0.2">
      <c r="A1832" s="921"/>
      <c r="B1832" s="2427"/>
      <c r="C1832" s="2427"/>
      <c r="D1832" s="2726" t="s">
        <v>901</v>
      </c>
      <c r="E1832" s="436" t="s">
        <v>1637</v>
      </c>
      <c r="F1832" s="660">
        <v>0</v>
      </c>
      <c r="G1832" s="660">
        <v>1873</v>
      </c>
      <c r="H1832" s="660">
        <v>1873</v>
      </c>
      <c r="I1832" s="656">
        <f>(H1832/G1832)*100</f>
        <v>100</v>
      </c>
    </row>
    <row r="1833" spans="1:9" ht="15" x14ac:dyDescent="0.25">
      <c r="A1833" s="921">
        <v>1208</v>
      </c>
      <c r="B1833" s="2722">
        <v>3123</v>
      </c>
      <c r="C1833" s="2722">
        <v>5336</v>
      </c>
      <c r="D1833" s="2725"/>
      <c r="E1833" s="602" t="s">
        <v>856</v>
      </c>
      <c r="F1833" s="675">
        <f>F1834</f>
        <v>0</v>
      </c>
      <c r="G1833" s="675">
        <f>G1834</f>
        <v>15341</v>
      </c>
      <c r="H1833" s="675">
        <f>H1834</f>
        <v>15341</v>
      </c>
      <c r="I1833" s="669">
        <f t="shared" ref="I1833:I1846" si="352">(H1833/G1833)*100</f>
        <v>100</v>
      </c>
    </row>
    <row r="1834" spans="1:9" ht="14.25" x14ac:dyDescent="0.2">
      <c r="A1834" s="921"/>
      <c r="B1834" s="2722"/>
      <c r="C1834" s="1350"/>
      <c r="D1834" s="2726" t="s">
        <v>901</v>
      </c>
      <c r="E1834" s="436" t="s">
        <v>1637</v>
      </c>
      <c r="F1834" s="665">
        <v>0</v>
      </c>
      <c r="G1834" s="665">
        <v>15341</v>
      </c>
      <c r="H1834" s="665">
        <v>15341</v>
      </c>
      <c r="I1834" s="661">
        <f t="shared" si="352"/>
        <v>100</v>
      </c>
    </row>
    <row r="1835" spans="1:9" ht="15" x14ac:dyDescent="0.25">
      <c r="A1835" s="921">
        <v>1208</v>
      </c>
      <c r="B1835" s="2722">
        <v>3127</v>
      </c>
      <c r="C1835" s="2722">
        <v>5331</v>
      </c>
      <c r="D1835" s="2732"/>
      <c r="E1835" s="602" t="s">
        <v>481</v>
      </c>
      <c r="F1835" s="666">
        <f>F1836</f>
        <v>0</v>
      </c>
      <c r="G1835" s="666">
        <f t="shared" ref="G1835:H1835" si="353">G1836</f>
        <v>58</v>
      </c>
      <c r="H1835" s="666">
        <f t="shared" si="353"/>
        <v>58</v>
      </c>
      <c r="I1835" s="667">
        <f t="shared" si="352"/>
        <v>100</v>
      </c>
    </row>
    <row r="1836" spans="1:9" ht="14.25" x14ac:dyDescent="0.2">
      <c r="A1836" s="921"/>
      <c r="B1836" s="2722"/>
      <c r="C1836" s="1350"/>
      <c r="D1836" s="2742" t="s">
        <v>1891</v>
      </c>
      <c r="E1836" s="938" t="s">
        <v>1952</v>
      </c>
      <c r="F1836" s="665">
        <v>0</v>
      </c>
      <c r="G1836" s="665">
        <v>58</v>
      </c>
      <c r="H1836" s="665">
        <v>58</v>
      </c>
      <c r="I1836" s="661">
        <f t="shared" si="352"/>
        <v>100</v>
      </c>
    </row>
    <row r="1837" spans="1:9" ht="15" x14ac:dyDescent="0.25">
      <c r="A1837" s="921">
        <v>1208</v>
      </c>
      <c r="B1837" s="2722">
        <v>3127</v>
      </c>
      <c r="C1837" s="2722">
        <v>5336</v>
      </c>
      <c r="D1837" s="2725"/>
      <c r="E1837" s="602" t="s">
        <v>856</v>
      </c>
      <c r="F1837" s="666">
        <f>F1838+F1839+F1840+F1842+F1841</f>
        <v>0</v>
      </c>
      <c r="G1837" s="666">
        <f t="shared" ref="G1837:H1837" si="354">G1838+G1839+G1840+G1842+G1841</f>
        <v>1260</v>
      </c>
      <c r="H1837" s="666">
        <f t="shared" si="354"/>
        <v>1260</v>
      </c>
      <c r="I1837" s="667">
        <f t="shared" si="352"/>
        <v>100</v>
      </c>
    </row>
    <row r="1838" spans="1:9" ht="14.25" x14ac:dyDescent="0.2">
      <c r="A1838" s="921"/>
      <c r="B1838" s="2722"/>
      <c r="C1838" s="1350"/>
      <c r="D1838" s="2725" t="s">
        <v>912</v>
      </c>
      <c r="E1838" s="1598" t="s">
        <v>817</v>
      </c>
      <c r="F1838" s="665">
        <v>0</v>
      </c>
      <c r="G1838" s="665">
        <v>275</v>
      </c>
      <c r="H1838" s="665">
        <v>275</v>
      </c>
      <c r="I1838" s="661">
        <f t="shared" si="352"/>
        <v>100</v>
      </c>
    </row>
    <row r="1839" spans="1:9" ht="14.25" x14ac:dyDescent="0.2">
      <c r="A1839" s="921"/>
      <c r="B1839" s="2722"/>
      <c r="C1839" s="1350"/>
      <c r="D1839" s="2725" t="s">
        <v>902</v>
      </c>
      <c r="E1839" s="1352" t="s">
        <v>855</v>
      </c>
      <c r="F1839" s="665">
        <v>0</v>
      </c>
      <c r="G1839" s="665">
        <v>407</v>
      </c>
      <c r="H1839" s="665">
        <v>407</v>
      </c>
      <c r="I1839" s="661">
        <f t="shared" si="352"/>
        <v>100</v>
      </c>
    </row>
    <row r="1840" spans="1:9" ht="14.25" x14ac:dyDescent="0.2">
      <c r="A1840" s="921"/>
      <c r="B1840" s="2722"/>
      <c r="C1840" s="1350"/>
      <c r="D1840" s="2725" t="s">
        <v>1896</v>
      </c>
      <c r="E1840" s="2220" t="s">
        <v>1951</v>
      </c>
      <c r="F1840" s="665">
        <v>0</v>
      </c>
      <c r="G1840" s="870">
        <v>170</v>
      </c>
      <c r="H1840" s="870">
        <v>170</v>
      </c>
      <c r="I1840" s="874">
        <f t="shared" si="352"/>
        <v>100</v>
      </c>
    </row>
    <row r="1841" spans="1:20" ht="14.25" x14ac:dyDescent="0.2">
      <c r="A1841" s="921"/>
      <c r="B1841" s="2722"/>
      <c r="C1841" s="1350"/>
      <c r="D1841" s="2726" t="s">
        <v>1144</v>
      </c>
      <c r="E1841" s="938" t="s">
        <v>1515</v>
      </c>
      <c r="F1841" s="665">
        <v>0</v>
      </c>
      <c r="G1841" s="870">
        <v>61</v>
      </c>
      <c r="H1841" s="870">
        <v>61</v>
      </c>
      <c r="I1841" s="874">
        <f t="shared" si="352"/>
        <v>100</v>
      </c>
    </row>
    <row r="1842" spans="1:20" ht="14.25" x14ac:dyDescent="0.2">
      <c r="A1842" s="921"/>
      <c r="B1842" s="2722"/>
      <c r="C1842" s="1350"/>
      <c r="D1842" s="2726" t="s">
        <v>1145</v>
      </c>
      <c r="E1842" s="938" t="s">
        <v>1515</v>
      </c>
      <c r="F1842" s="665">
        <v>0</v>
      </c>
      <c r="G1842" s="870">
        <v>347</v>
      </c>
      <c r="H1842" s="870">
        <v>347</v>
      </c>
      <c r="I1842" s="874">
        <f t="shared" si="352"/>
        <v>100</v>
      </c>
    </row>
    <row r="1843" spans="1:20" ht="15" hidden="1" x14ac:dyDescent="0.25">
      <c r="A1843" s="2754">
        <v>1208</v>
      </c>
      <c r="B1843" s="2755">
        <v>3127</v>
      </c>
      <c r="C1843" s="2755">
        <v>5331</v>
      </c>
      <c r="D1843" s="2756"/>
      <c r="E1843" s="845" t="s">
        <v>481</v>
      </c>
      <c r="F1843" s="665"/>
      <c r="G1843" s="675">
        <f>G1844</f>
        <v>0</v>
      </c>
      <c r="H1843" s="675">
        <f>H1844</f>
        <v>0</v>
      </c>
      <c r="I1843" s="669" t="e">
        <f t="shared" si="352"/>
        <v>#DIV/0!</v>
      </c>
    </row>
    <row r="1844" spans="1:20" ht="28.5" hidden="1" x14ac:dyDescent="0.2">
      <c r="A1844" s="2754"/>
      <c r="B1844" s="2755"/>
      <c r="C1844" s="2761"/>
      <c r="D1844" s="2768" t="s">
        <v>1134</v>
      </c>
      <c r="E1844" s="2623" t="s">
        <v>1527</v>
      </c>
      <c r="F1844" s="665"/>
      <c r="G1844" s="870"/>
      <c r="H1844" s="870"/>
      <c r="I1844" s="874" t="e">
        <f t="shared" si="352"/>
        <v>#DIV/0!</v>
      </c>
    </row>
    <row r="1845" spans="1:20" ht="14.25" customHeight="1" x14ac:dyDescent="0.25">
      <c r="A1845" s="921">
        <v>1208</v>
      </c>
      <c r="B1845" s="2722">
        <v>3141</v>
      </c>
      <c r="C1845" s="1350">
        <v>5336</v>
      </c>
      <c r="D1845" s="2724"/>
      <c r="E1845" s="602" t="s">
        <v>856</v>
      </c>
      <c r="F1845" s="675">
        <f>F1846</f>
        <v>0</v>
      </c>
      <c r="G1845" s="675">
        <f>G1846</f>
        <v>2057</v>
      </c>
      <c r="H1845" s="675">
        <f>H1846</f>
        <v>2057</v>
      </c>
      <c r="I1845" s="669">
        <f t="shared" si="352"/>
        <v>100</v>
      </c>
    </row>
    <row r="1846" spans="1:20" ht="14.25" x14ac:dyDescent="0.2">
      <c r="A1846" s="921"/>
      <c r="B1846" s="2722"/>
      <c r="C1846" s="1350"/>
      <c r="D1846" s="2726" t="s">
        <v>901</v>
      </c>
      <c r="E1846" s="436" t="s">
        <v>1637</v>
      </c>
      <c r="F1846" s="665">
        <v>0</v>
      </c>
      <c r="G1846" s="665">
        <v>2057</v>
      </c>
      <c r="H1846" s="665">
        <v>2057</v>
      </c>
      <c r="I1846" s="661">
        <f t="shared" si="352"/>
        <v>100</v>
      </c>
    </row>
    <row r="1847" spans="1:20" ht="18" customHeight="1" x14ac:dyDescent="0.25">
      <c r="A1847" s="921">
        <v>1208</v>
      </c>
      <c r="B1847" s="2722">
        <v>3147</v>
      </c>
      <c r="C1847" s="2722">
        <v>5336</v>
      </c>
      <c r="D1847" s="2725"/>
      <c r="E1847" s="602" t="s">
        <v>856</v>
      </c>
      <c r="F1847" s="675">
        <f>F1848</f>
        <v>0</v>
      </c>
      <c r="G1847" s="675">
        <f>G1848</f>
        <v>2852</v>
      </c>
      <c r="H1847" s="675">
        <f>H1848</f>
        <v>2852</v>
      </c>
      <c r="I1847" s="669">
        <f t="shared" ref="I1847:I1852" si="355">(H1847/G1847)*100</f>
        <v>100</v>
      </c>
    </row>
    <row r="1848" spans="1:20" ht="14.25" x14ac:dyDescent="0.2">
      <c r="A1848" s="921"/>
      <c r="B1848" s="2722"/>
      <c r="C1848" s="2722"/>
      <c r="D1848" s="2726" t="s">
        <v>901</v>
      </c>
      <c r="E1848" s="436" t="s">
        <v>1637</v>
      </c>
      <c r="F1848" s="665">
        <v>0</v>
      </c>
      <c r="G1848" s="665">
        <v>2852</v>
      </c>
      <c r="H1848" s="665">
        <v>2852</v>
      </c>
      <c r="I1848" s="661">
        <f t="shared" si="355"/>
        <v>100</v>
      </c>
    </row>
    <row r="1849" spans="1:20" ht="15" x14ac:dyDescent="0.25">
      <c r="A1849" s="921">
        <v>1208</v>
      </c>
      <c r="B1849" s="2427">
        <v>3293</v>
      </c>
      <c r="C1849" s="2719">
        <v>5336</v>
      </c>
      <c r="D1849" s="2758"/>
      <c r="E1849" s="602" t="s">
        <v>856</v>
      </c>
      <c r="F1849" s="675">
        <f>F1850</f>
        <v>0</v>
      </c>
      <c r="G1849" s="675">
        <f>G1850</f>
        <v>6</v>
      </c>
      <c r="H1849" s="675">
        <f>H1850</f>
        <v>6</v>
      </c>
      <c r="I1849" s="669">
        <f t="shared" si="355"/>
        <v>100</v>
      </c>
    </row>
    <row r="1850" spans="1:20" ht="14.25" x14ac:dyDescent="0.2">
      <c r="A1850" s="921"/>
      <c r="B1850" s="2722"/>
      <c r="C1850" s="2722"/>
      <c r="D1850" s="2726" t="s">
        <v>913</v>
      </c>
      <c r="E1850" s="949" t="s">
        <v>768</v>
      </c>
      <c r="F1850" s="665">
        <v>0</v>
      </c>
      <c r="G1850" s="665">
        <v>6</v>
      </c>
      <c r="H1850" s="665">
        <v>6</v>
      </c>
      <c r="I1850" s="661">
        <f t="shared" si="355"/>
        <v>100</v>
      </c>
    </row>
    <row r="1851" spans="1:20" ht="15" x14ac:dyDescent="0.25">
      <c r="A1851" s="418">
        <v>1208</v>
      </c>
      <c r="B1851" s="634">
        <v>3299</v>
      </c>
      <c r="C1851" s="2722">
        <v>5331</v>
      </c>
      <c r="D1851" s="684"/>
      <c r="E1851" s="602" t="s">
        <v>481</v>
      </c>
      <c r="F1851" s="675">
        <f>F1852</f>
        <v>0</v>
      </c>
      <c r="G1851" s="675">
        <f>G1852</f>
        <v>32</v>
      </c>
      <c r="H1851" s="675">
        <f>H1852</f>
        <v>32</v>
      </c>
      <c r="I1851" s="669">
        <f t="shared" si="355"/>
        <v>100</v>
      </c>
      <c r="J1851" s="675"/>
      <c r="K1851" s="675"/>
      <c r="L1851" s="669"/>
      <c r="M1851" s="675"/>
      <c r="N1851" s="675"/>
      <c r="O1851" s="669"/>
      <c r="P1851" s="2226"/>
    </row>
    <row r="1852" spans="1:20" ht="15" thickBot="1" x14ac:dyDescent="0.25">
      <c r="A1852" s="418"/>
      <c r="B1852" s="634"/>
      <c r="C1852" s="634"/>
      <c r="D1852" s="802" t="s">
        <v>1891</v>
      </c>
      <c r="E1852" s="852" t="s">
        <v>1952</v>
      </c>
      <c r="F1852" s="665">
        <v>0</v>
      </c>
      <c r="G1852" s="665">
        <v>32</v>
      </c>
      <c r="H1852" s="665">
        <v>32</v>
      </c>
      <c r="I1852" s="661">
        <f t="shared" si="355"/>
        <v>100</v>
      </c>
    </row>
    <row r="1853" spans="1:20" ht="16.5" thickTop="1" thickBot="1" x14ac:dyDescent="0.3">
      <c r="A1853" s="3233" t="s">
        <v>522</v>
      </c>
      <c r="B1853" s="3234"/>
      <c r="C1853" s="3234"/>
      <c r="D1853" s="3234"/>
      <c r="E1853" s="3234"/>
      <c r="F1853" s="657">
        <f>F1835</f>
        <v>0</v>
      </c>
      <c r="G1853" s="657">
        <f>G1851+G1849+G1847+G1845+G1837+G1835+G1833+G1831+G1843</f>
        <v>23479</v>
      </c>
      <c r="H1853" s="657">
        <f>H1851+H1849+H1847+H1845+H1837+H1835+H1833+H1831+H1843</f>
        <v>23479</v>
      </c>
      <c r="I1853" s="658">
        <f>(H1853/G1853)*100</f>
        <v>100</v>
      </c>
      <c r="R1853" s="373">
        <f>F1853</f>
        <v>0</v>
      </c>
      <c r="S1853" s="373">
        <f>G1853</f>
        <v>23479</v>
      </c>
      <c r="T1853" s="373">
        <f>H1853</f>
        <v>23479</v>
      </c>
    </row>
    <row r="1854" spans="1:20" s="374" customFormat="1" ht="12" customHeight="1" thickTop="1" x14ac:dyDescent="0.2">
      <c r="A1854" s="372"/>
      <c r="B1854" s="584"/>
      <c r="C1854" s="372"/>
      <c r="D1854" s="648"/>
      <c r="E1854" s="372"/>
      <c r="F1854" s="373"/>
      <c r="G1854" s="373"/>
      <c r="H1854" s="373"/>
      <c r="I1854" s="915"/>
    </row>
    <row r="1855" spans="1:20" s="374" customFormat="1" ht="12" customHeight="1" x14ac:dyDescent="0.2">
      <c r="A1855" s="372"/>
      <c r="B1855" s="584"/>
      <c r="C1855" s="372"/>
      <c r="D1855" s="648"/>
      <c r="E1855" s="372"/>
      <c r="F1855" s="373"/>
      <c r="G1855" s="373"/>
      <c r="H1855" s="373"/>
      <c r="I1855" s="915"/>
    </row>
    <row r="1856" spans="1:20" ht="13.5" thickBot="1" x14ac:dyDescent="0.25">
      <c r="A1856" s="419" t="s">
        <v>1985</v>
      </c>
      <c r="I1856" s="915" t="s">
        <v>92</v>
      </c>
    </row>
    <row r="1857" spans="1:9" ht="14.25" thickTop="1" thickBot="1" x14ac:dyDescent="0.25">
      <c r="A1857" s="572" t="s">
        <v>324</v>
      </c>
      <c r="B1857" s="639" t="s">
        <v>93</v>
      </c>
      <c r="C1857" s="573" t="s">
        <v>94</v>
      </c>
      <c r="D1857" s="575" t="s">
        <v>364</v>
      </c>
      <c r="E1857" s="575" t="s">
        <v>95</v>
      </c>
      <c r="F1857" s="575" t="s">
        <v>328</v>
      </c>
      <c r="G1857" s="575" t="s">
        <v>329</v>
      </c>
      <c r="H1857" s="575" t="s">
        <v>448</v>
      </c>
      <c r="I1857" s="651" t="s">
        <v>449</v>
      </c>
    </row>
    <row r="1858" spans="1:9" ht="14.25" thickTop="1" thickBot="1" x14ac:dyDescent="0.25">
      <c r="A1858" s="511">
        <v>1</v>
      </c>
      <c r="B1858" s="512">
        <v>2</v>
      </c>
      <c r="C1858" s="512">
        <v>3</v>
      </c>
      <c r="D1858" s="512">
        <v>4</v>
      </c>
      <c r="E1858" s="512">
        <v>5</v>
      </c>
      <c r="F1858" s="499">
        <v>6</v>
      </c>
      <c r="G1858" s="499">
        <v>7</v>
      </c>
      <c r="H1858" s="500">
        <v>8</v>
      </c>
      <c r="I1858" s="577" t="s">
        <v>393</v>
      </c>
    </row>
    <row r="1859" spans="1:9" ht="15.75" thickTop="1" x14ac:dyDescent="0.25">
      <c r="A1859" s="2773">
        <v>1212</v>
      </c>
      <c r="B1859" s="2774">
        <v>3122</v>
      </c>
      <c r="C1859" s="2774">
        <v>5336</v>
      </c>
      <c r="D1859" s="2775"/>
      <c r="E1859" s="602" t="s">
        <v>856</v>
      </c>
      <c r="F1859" s="674">
        <f>F1860</f>
        <v>0</v>
      </c>
      <c r="G1859" s="674">
        <f>G1860</f>
        <v>2136</v>
      </c>
      <c r="H1859" s="674">
        <f>H1860</f>
        <v>2136</v>
      </c>
      <c r="I1859" s="677">
        <f>(H1859/G1859)*100</f>
        <v>100</v>
      </c>
    </row>
    <row r="1860" spans="1:9" ht="14.25" x14ac:dyDescent="0.2">
      <c r="A1860" s="921"/>
      <c r="B1860" s="2427"/>
      <c r="C1860" s="2427"/>
      <c r="D1860" s="2726" t="s">
        <v>901</v>
      </c>
      <c r="E1860" s="436" t="s">
        <v>1637</v>
      </c>
      <c r="F1860" s="660">
        <v>0</v>
      </c>
      <c r="G1860" s="660">
        <v>2136</v>
      </c>
      <c r="H1860" s="660">
        <v>2136</v>
      </c>
      <c r="I1860" s="656">
        <f>(H1860/G1860)*100</f>
        <v>100</v>
      </c>
    </row>
    <row r="1861" spans="1:9" ht="15" x14ac:dyDescent="0.25">
      <c r="A1861" s="921">
        <v>1212</v>
      </c>
      <c r="B1861" s="2427">
        <v>3123</v>
      </c>
      <c r="C1861" s="2427">
        <v>5336</v>
      </c>
      <c r="D1861" s="2725"/>
      <c r="E1861" s="602" t="s">
        <v>856</v>
      </c>
      <c r="F1861" s="678">
        <f>F1862</f>
        <v>0</v>
      </c>
      <c r="G1861" s="678">
        <f>G1862</f>
        <v>16328</v>
      </c>
      <c r="H1861" s="678">
        <f>H1862</f>
        <v>16328</v>
      </c>
      <c r="I1861" s="680">
        <f t="shared" ref="I1861:I1874" si="356">(H1861/G1861)*100</f>
        <v>100</v>
      </c>
    </row>
    <row r="1862" spans="1:9" ht="14.25" x14ac:dyDescent="0.2">
      <c r="A1862" s="921"/>
      <c r="B1862" s="2427"/>
      <c r="C1862" s="2427"/>
      <c r="D1862" s="2726" t="s">
        <v>901</v>
      </c>
      <c r="E1862" s="436" t="s">
        <v>1637</v>
      </c>
      <c r="F1862" s="660">
        <v>0</v>
      </c>
      <c r="G1862" s="660">
        <v>16328</v>
      </c>
      <c r="H1862" s="660">
        <v>16328</v>
      </c>
      <c r="I1862" s="656">
        <f t="shared" si="356"/>
        <v>100</v>
      </c>
    </row>
    <row r="1863" spans="1:9" ht="15" x14ac:dyDescent="0.25">
      <c r="A1863" s="921">
        <v>1212</v>
      </c>
      <c r="B1863" s="2427">
        <v>3127</v>
      </c>
      <c r="C1863" s="2722">
        <v>5331</v>
      </c>
      <c r="D1863" s="2732"/>
      <c r="E1863" s="602" t="s">
        <v>481</v>
      </c>
      <c r="F1863" s="678">
        <f>F1864</f>
        <v>0</v>
      </c>
      <c r="G1863" s="678">
        <f t="shared" ref="G1863:H1863" si="357">G1864</f>
        <v>39</v>
      </c>
      <c r="H1863" s="678">
        <f t="shared" si="357"/>
        <v>39</v>
      </c>
      <c r="I1863" s="680">
        <f t="shared" si="356"/>
        <v>100</v>
      </c>
    </row>
    <row r="1864" spans="1:9" ht="14.25" x14ac:dyDescent="0.2">
      <c r="A1864" s="921"/>
      <c r="B1864" s="2722"/>
      <c r="C1864" s="2722"/>
      <c r="D1864" s="2742" t="s">
        <v>1891</v>
      </c>
      <c r="E1864" s="938" t="s">
        <v>1952</v>
      </c>
      <c r="F1864" s="665">
        <v>0</v>
      </c>
      <c r="G1864" s="665">
        <v>39</v>
      </c>
      <c r="H1864" s="665">
        <v>39</v>
      </c>
      <c r="I1864" s="656">
        <f t="shared" si="356"/>
        <v>100</v>
      </c>
    </row>
    <row r="1865" spans="1:9" ht="15" x14ac:dyDescent="0.25">
      <c r="A1865" s="921">
        <v>1212</v>
      </c>
      <c r="B1865" s="2427">
        <v>3127</v>
      </c>
      <c r="C1865" s="2427">
        <v>5336</v>
      </c>
      <c r="D1865" s="2725"/>
      <c r="E1865" s="602" t="s">
        <v>856</v>
      </c>
      <c r="F1865" s="678">
        <f>F1866+F1867+F1868+F1869+F1870</f>
        <v>0</v>
      </c>
      <c r="G1865" s="678">
        <f t="shared" ref="G1865:H1865" si="358">G1866+G1867+G1868+G1869+G1870</f>
        <v>1163</v>
      </c>
      <c r="H1865" s="678">
        <f t="shared" si="358"/>
        <v>1163</v>
      </c>
      <c r="I1865" s="680">
        <f t="shared" si="356"/>
        <v>100</v>
      </c>
    </row>
    <row r="1866" spans="1:9" ht="14.25" x14ac:dyDescent="0.2">
      <c r="A1866" s="921"/>
      <c r="B1866" s="2722"/>
      <c r="C1866" s="2722"/>
      <c r="D1866" s="2725" t="s">
        <v>912</v>
      </c>
      <c r="E1866" s="1598" t="s">
        <v>817</v>
      </c>
      <c r="F1866" s="665">
        <v>0</v>
      </c>
      <c r="G1866" s="665">
        <v>175</v>
      </c>
      <c r="H1866" s="665">
        <v>175</v>
      </c>
      <c r="I1866" s="656">
        <f t="shared" si="356"/>
        <v>100</v>
      </c>
    </row>
    <row r="1867" spans="1:9" ht="14.25" x14ac:dyDescent="0.2">
      <c r="A1867" s="921"/>
      <c r="B1867" s="2722"/>
      <c r="C1867" s="2722"/>
      <c r="D1867" s="2725" t="s">
        <v>902</v>
      </c>
      <c r="E1867" s="1352" t="s">
        <v>855</v>
      </c>
      <c r="F1867" s="665">
        <v>0</v>
      </c>
      <c r="G1867" s="665">
        <v>403</v>
      </c>
      <c r="H1867" s="665">
        <v>403</v>
      </c>
      <c r="I1867" s="656">
        <f t="shared" si="356"/>
        <v>100</v>
      </c>
    </row>
    <row r="1868" spans="1:9" ht="14.25" x14ac:dyDescent="0.2">
      <c r="A1868" s="921"/>
      <c r="B1868" s="2722"/>
      <c r="C1868" s="2722"/>
      <c r="D1868" s="2725" t="s">
        <v>1896</v>
      </c>
      <c r="E1868" s="1598" t="s">
        <v>1951</v>
      </c>
      <c r="F1868" s="665">
        <v>0</v>
      </c>
      <c r="G1868" s="665">
        <v>84</v>
      </c>
      <c r="H1868" s="665">
        <v>84</v>
      </c>
      <c r="I1868" s="656">
        <f t="shared" si="356"/>
        <v>100</v>
      </c>
    </row>
    <row r="1869" spans="1:9" ht="14.25" x14ac:dyDescent="0.2">
      <c r="A1869" s="921"/>
      <c r="B1869" s="2722"/>
      <c r="C1869" s="2722"/>
      <c r="D1869" s="2726" t="s">
        <v>1144</v>
      </c>
      <c r="E1869" s="938" t="s">
        <v>1515</v>
      </c>
      <c r="F1869" s="665">
        <v>0</v>
      </c>
      <c r="G1869" s="665">
        <v>75</v>
      </c>
      <c r="H1869" s="665">
        <v>75</v>
      </c>
      <c r="I1869" s="656">
        <f t="shared" si="356"/>
        <v>100</v>
      </c>
    </row>
    <row r="1870" spans="1:9" ht="14.25" x14ac:dyDescent="0.2">
      <c r="A1870" s="921"/>
      <c r="B1870" s="2722"/>
      <c r="C1870" s="2722"/>
      <c r="D1870" s="2726" t="s">
        <v>1145</v>
      </c>
      <c r="E1870" s="938" t="s">
        <v>1515</v>
      </c>
      <c r="F1870" s="665">
        <v>0</v>
      </c>
      <c r="G1870" s="665">
        <v>426</v>
      </c>
      <c r="H1870" s="665">
        <v>426</v>
      </c>
      <c r="I1870" s="656">
        <f t="shared" si="356"/>
        <v>100</v>
      </c>
    </row>
    <row r="1871" spans="1:9" ht="15" hidden="1" x14ac:dyDescent="0.25">
      <c r="A1871" s="2754">
        <v>1212</v>
      </c>
      <c r="B1871" s="2755">
        <v>3127</v>
      </c>
      <c r="C1871" s="2755">
        <v>5331</v>
      </c>
      <c r="D1871" s="2756"/>
      <c r="E1871" s="845" t="s">
        <v>481</v>
      </c>
      <c r="F1871" s="665"/>
      <c r="G1871" s="675">
        <f>G1872</f>
        <v>0</v>
      </c>
      <c r="H1871" s="675">
        <f>H1872</f>
        <v>0</v>
      </c>
      <c r="I1871" s="871" t="e">
        <f t="shared" si="356"/>
        <v>#DIV/0!</v>
      </c>
    </row>
    <row r="1872" spans="1:9" ht="28.5" hidden="1" x14ac:dyDescent="0.2">
      <c r="A1872" s="2754"/>
      <c r="B1872" s="2755"/>
      <c r="C1872" s="2761"/>
      <c r="D1872" s="2768" t="s">
        <v>1134</v>
      </c>
      <c r="E1872" s="2623" t="s">
        <v>1527</v>
      </c>
      <c r="F1872" s="665"/>
      <c r="G1872" s="870"/>
      <c r="H1872" s="870"/>
      <c r="I1872" s="871" t="e">
        <f t="shared" si="356"/>
        <v>#DIV/0!</v>
      </c>
    </row>
    <row r="1873" spans="1:20" ht="15" x14ac:dyDescent="0.25">
      <c r="A1873" s="921">
        <v>1212</v>
      </c>
      <c r="B1873" s="2722">
        <v>3293</v>
      </c>
      <c r="C1873" s="2427">
        <v>5336</v>
      </c>
      <c r="D1873" s="2725"/>
      <c r="E1873" s="602" t="s">
        <v>856</v>
      </c>
      <c r="F1873" s="675">
        <f>F1874</f>
        <v>0</v>
      </c>
      <c r="G1873" s="675">
        <f>G1874</f>
        <v>28</v>
      </c>
      <c r="H1873" s="675">
        <f>H1874</f>
        <v>28</v>
      </c>
      <c r="I1873" s="669">
        <f t="shared" si="356"/>
        <v>100</v>
      </c>
    </row>
    <row r="1874" spans="1:20" ht="13.5" customHeight="1" x14ac:dyDescent="0.2">
      <c r="A1874" s="921"/>
      <c r="B1874" s="2722"/>
      <c r="C1874" s="2722"/>
      <c r="D1874" s="2726" t="s">
        <v>913</v>
      </c>
      <c r="E1874" s="949" t="s">
        <v>768</v>
      </c>
      <c r="F1874" s="665">
        <v>0</v>
      </c>
      <c r="G1874" s="665">
        <v>28</v>
      </c>
      <c r="H1874" s="665">
        <v>28</v>
      </c>
      <c r="I1874" s="661">
        <f t="shared" si="356"/>
        <v>100</v>
      </c>
    </row>
    <row r="1875" spans="1:20" ht="13.5" customHeight="1" x14ac:dyDescent="0.25">
      <c r="A1875" s="921">
        <v>1212</v>
      </c>
      <c r="B1875" s="2427">
        <v>3299</v>
      </c>
      <c r="C1875" s="2722">
        <v>5331</v>
      </c>
      <c r="D1875" s="2732"/>
      <c r="E1875" s="602" t="s">
        <v>481</v>
      </c>
      <c r="F1875" s="678">
        <f>F1876</f>
        <v>0</v>
      </c>
      <c r="G1875" s="678">
        <f t="shared" ref="G1875" si="359">G1876</f>
        <v>31</v>
      </c>
      <c r="H1875" s="678">
        <f t="shared" ref="H1875" si="360">H1876</f>
        <v>31</v>
      </c>
      <c r="I1875" s="680">
        <f t="shared" ref="I1875:I1876" si="361">(H1875/G1875)*100</f>
        <v>100</v>
      </c>
    </row>
    <row r="1876" spans="1:20" ht="13.5" customHeight="1" thickBot="1" x14ac:dyDescent="0.25">
      <c r="A1876" s="921"/>
      <c r="B1876" s="2722"/>
      <c r="C1876" s="2722"/>
      <c r="D1876" s="2742" t="s">
        <v>1891</v>
      </c>
      <c r="E1876" s="938" t="s">
        <v>1952</v>
      </c>
      <c r="F1876" s="665">
        <v>0</v>
      </c>
      <c r="G1876" s="665">
        <v>31</v>
      </c>
      <c r="H1876" s="665">
        <v>31</v>
      </c>
      <c r="I1876" s="656">
        <f t="shared" si="361"/>
        <v>100</v>
      </c>
    </row>
    <row r="1877" spans="1:20" ht="16.5" thickTop="1" thickBot="1" x14ac:dyDescent="0.3">
      <c r="A1877" s="3233" t="s">
        <v>522</v>
      </c>
      <c r="B1877" s="3234"/>
      <c r="C1877" s="3234"/>
      <c r="D1877" s="3234"/>
      <c r="E1877" s="3234"/>
      <c r="F1877" s="657">
        <f>F1863</f>
        <v>0</v>
      </c>
      <c r="G1877" s="657">
        <f>G1873+G1865+G1863+G1861+G1859+G1871+G1875</f>
        <v>19725</v>
      </c>
      <c r="H1877" s="657">
        <f>H1873+H1865+H1863+H1861+H1859+H1871+H1875</f>
        <v>19725</v>
      </c>
      <c r="I1877" s="658">
        <f>(H1877/G1877)*100</f>
        <v>100</v>
      </c>
      <c r="R1877" s="373">
        <f>F1877</f>
        <v>0</v>
      </c>
      <c r="S1877" s="373">
        <f>G1877</f>
        <v>19725</v>
      </c>
      <c r="T1877" s="373">
        <f>H1877</f>
        <v>19725</v>
      </c>
    </row>
    <row r="1878" spans="1:20" s="106" customFormat="1" ht="13.5" thickTop="1" x14ac:dyDescent="0.2">
      <c r="A1878" s="372"/>
      <c r="B1878" s="584"/>
      <c r="C1878" s="372"/>
      <c r="D1878" s="648"/>
      <c r="E1878" s="372"/>
      <c r="F1878" s="373"/>
      <c r="G1878" s="373"/>
      <c r="H1878" s="373"/>
      <c r="I1878" s="915"/>
    </row>
    <row r="1880" spans="1:20" ht="13.5" thickBot="1" x14ac:dyDescent="0.25">
      <c r="A1880" s="419" t="s">
        <v>178</v>
      </c>
      <c r="I1880" s="915" t="s">
        <v>92</v>
      </c>
    </row>
    <row r="1881" spans="1:20" ht="14.25" thickTop="1" thickBot="1" x14ac:dyDescent="0.25">
      <c r="A1881" s="572" t="s">
        <v>324</v>
      </c>
      <c r="B1881" s="639" t="s">
        <v>93</v>
      </c>
      <c r="C1881" s="573" t="s">
        <v>94</v>
      </c>
      <c r="D1881" s="575" t="s">
        <v>364</v>
      </c>
      <c r="E1881" s="575" t="s">
        <v>95</v>
      </c>
      <c r="F1881" s="575" t="s">
        <v>328</v>
      </c>
      <c r="G1881" s="575" t="s">
        <v>329</v>
      </c>
      <c r="H1881" s="575" t="s">
        <v>448</v>
      </c>
      <c r="I1881" s="651" t="s">
        <v>449</v>
      </c>
    </row>
    <row r="1882" spans="1:20" ht="14.25" thickTop="1" thickBot="1" x14ac:dyDescent="0.25">
      <c r="A1882" s="511">
        <v>1</v>
      </c>
      <c r="B1882" s="512">
        <v>2</v>
      </c>
      <c r="C1882" s="512">
        <v>3</v>
      </c>
      <c r="D1882" s="512">
        <v>4</v>
      </c>
      <c r="E1882" s="512">
        <v>5</v>
      </c>
      <c r="F1882" s="499">
        <v>6</v>
      </c>
      <c r="G1882" s="499">
        <v>7</v>
      </c>
      <c r="H1882" s="500">
        <v>8</v>
      </c>
      <c r="I1882" s="577" t="s">
        <v>393</v>
      </c>
    </row>
    <row r="1883" spans="1:20" ht="15.75" thickTop="1" x14ac:dyDescent="0.25">
      <c r="A1883" s="921">
        <v>1216</v>
      </c>
      <c r="B1883" s="2427">
        <v>3123</v>
      </c>
      <c r="C1883" s="2427">
        <v>5336</v>
      </c>
      <c r="D1883" s="2763"/>
      <c r="E1883" s="602" t="s">
        <v>856</v>
      </c>
      <c r="F1883" s="678">
        <f>F1884</f>
        <v>0</v>
      </c>
      <c r="G1883" s="678">
        <f>G1884</f>
        <v>9529</v>
      </c>
      <c r="H1883" s="678">
        <f>H1884</f>
        <v>9529</v>
      </c>
      <c r="I1883" s="680">
        <f t="shared" ref="I1883:I1898" si="362">(H1883/G1883)*100</f>
        <v>100</v>
      </c>
    </row>
    <row r="1884" spans="1:20" ht="14.25" x14ac:dyDescent="0.2">
      <c r="A1884" s="921"/>
      <c r="B1884" s="2427"/>
      <c r="C1884" s="2427"/>
      <c r="D1884" s="2726" t="s">
        <v>901</v>
      </c>
      <c r="E1884" s="436" t="s">
        <v>1637</v>
      </c>
      <c r="F1884" s="660">
        <v>0</v>
      </c>
      <c r="G1884" s="660">
        <v>9529</v>
      </c>
      <c r="H1884" s="660">
        <v>9529</v>
      </c>
      <c r="I1884" s="656">
        <f t="shared" si="362"/>
        <v>100</v>
      </c>
    </row>
    <row r="1885" spans="1:20" ht="15" x14ac:dyDescent="0.25">
      <c r="A1885" s="921">
        <v>1216</v>
      </c>
      <c r="B1885" s="2722">
        <v>3124</v>
      </c>
      <c r="C1885" s="2722">
        <v>5336</v>
      </c>
      <c r="D1885" s="2725"/>
      <c r="E1885" s="602" t="s">
        <v>856</v>
      </c>
      <c r="F1885" s="675">
        <f>F1886</f>
        <v>0</v>
      </c>
      <c r="G1885" s="675">
        <f>G1886</f>
        <v>2829</v>
      </c>
      <c r="H1885" s="675">
        <f>H1886</f>
        <v>2829</v>
      </c>
      <c r="I1885" s="669">
        <f t="shared" si="362"/>
        <v>100</v>
      </c>
    </row>
    <row r="1886" spans="1:20" ht="14.25" x14ac:dyDescent="0.2">
      <c r="A1886" s="921"/>
      <c r="B1886" s="2722"/>
      <c r="C1886" s="1350"/>
      <c r="D1886" s="2726" t="s">
        <v>901</v>
      </c>
      <c r="E1886" s="436" t="s">
        <v>1637</v>
      </c>
      <c r="F1886" s="665">
        <v>0</v>
      </c>
      <c r="G1886" s="665">
        <v>2829</v>
      </c>
      <c r="H1886" s="665">
        <v>2829</v>
      </c>
      <c r="I1886" s="661">
        <f t="shared" si="362"/>
        <v>100</v>
      </c>
    </row>
    <row r="1887" spans="1:20" ht="15" x14ac:dyDescent="0.25">
      <c r="A1887" s="921">
        <v>1216</v>
      </c>
      <c r="B1887" s="2722">
        <v>3127</v>
      </c>
      <c r="C1887" s="2722">
        <v>5331</v>
      </c>
      <c r="D1887" s="2732"/>
      <c r="E1887" s="602" t="s">
        <v>481</v>
      </c>
      <c r="F1887" s="666">
        <f>F1888</f>
        <v>0</v>
      </c>
      <c r="G1887" s="666">
        <f t="shared" ref="G1887:H1887" si="363">G1888</f>
        <v>138</v>
      </c>
      <c r="H1887" s="666">
        <f t="shared" si="363"/>
        <v>138</v>
      </c>
      <c r="I1887" s="667">
        <f t="shared" si="362"/>
        <v>100</v>
      </c>
    </row>
    <row r="1888" spans="1:20" ht="14.25" x14ac:dyDescent="0.2">
      <c r="A1888" s="921"/>
      <c r="B1888" s="2722"/>
      <c r="C1888" s="1350"/>
      <c r="D1888" s="2742" t="s">
        <v>1891</v>
      </c>
      <c r="E1888" s="938" t="s">
        <v>1952</v>
      </c>
      <c r="F1888" s="665">
        <v>0</v>
      </c>
      <c r="G1888" s="665">
        <v>138</v>
      </c>
      <c r="H1888" s="665">
        <v>138</v>
      </c>
      <c r="I1888" s="661">
        <f t="shared" si="362"/>
        <v>100</v>
      </c>
    </row>
    <row r="1889" spans="1:23" ht="15" x14ac:dyDescent="0.25">
      <c r="A1889" s="921">
        <v>1216</v>
      </c>
      <c r="B1889" s="2722">
        <v>3127</v>
      </c>
      <c r="C1889" s="2722">
        <v>5336</v>
      </c>
      <c r="D1889" s="2725"/>
      <c r="E1889" s="602" t="s">
        <v>856</v>
      </c>
      <c r="F1889" s="666">
        <f>F1890+F1891+F1892+F1893+F1894</f>
        <v>0</v>
      </c>
      <c r="G1889" s="666">
        <f t="shared" ref="G1889:H1889" si="364">G1890+G1891+G1892+G1893+G1894</f>
        <v>755</v>
      </c>
      <c r="H1889" s="666">
        <f t="shared" si="364"/>
        <v>755</v>
      </c>
      <c r="I1889" s="667">
        <f t="shared" si="362"/>
        <v>100</v>
      </c>
    </row>
    <row r="1890" spans="1:23" ht="14.25" x14ac:dyDescent="0.2">
      <c r="A1890" s="921"/>
      <c r="B1890" s="2722"/>
      <c r="C1890" s="2722"/>
      <c r="D1890" s="2725" t="s">
        <v>912</v>
      </c>
      <c r="E1890" s="1598" t="s">
        <v>817</v>
      </c>
      <c r="F1890" s="665">
        <v>0</v>
      </c>
      <c r="G1890" s="665">
        <v>128</v>
      </c>
      <c r="H1890" s="665">
        <v>128</v>
      </c>
      <c r="I1890" s="661">
        <f t="shared" si="362"/>
        <v>100</v>
      </c>
    </row>
    <row r="1891" spans="1:23" ht="14.25" x14ac:dyDescent="0.2">
      <c r="A1891" s="921"/>
      <c r="B1891" s="2722"/>
      <c r="C1891" s="2722"/>
      <c r="D1891" s="2725" t="s">
        <v>902</v>
      </c>
      <c r="E1891" s="1352" t="s">
        <v>855</v>
      </c>
      <c r="F1891" s="665">
        <v>0</v>
      </c>
      <c r="G1891" s="665">
        <v>251</v>
      </c>
      <c r="H1891" s="665">
        <v>251</v>
      </c>
      <c r="I1891" s="661">
        <f t="shared" si="362"/>
        <v>100</v>
      </c>
    </row>
    <row r="1892" spans="1:23" ht="14.25" x14ac:dyDescent="0.2">
      <c r="A1892" s="921"/>
      <c r="B1892" s="2722"/>
      <c r="C1892" s="1350"/>
      <c r="D1892" s="2725" t="s">
        <v>1896</v>
      </c>
      <c r="E1892" s="2220" t="s">
        <v>1951</v>
      </c>
      <c r="F1892" s="665">
        <v>0</v>
      </c>
      <c r="G1892" s="870">
        <v>75</v>
      </c>
      <c r="H1892" s="870">
        <v>75</v>
      </c>
      <c r="I1892" s="874">
        <f t="shared" si="362"/>
        <v>100</v>
      </c>
    </row>
    <row r="1893" spans="1:23" ht="14.25" x14ac:dyDescent="0.2">
      <c r="A1893" s="921"/>
      <c r="B1893" s="2722"/>
      <c r="C1893" s="1350"/>
      <c r="D1893" s="2726" t="s">
        <v>1144</v>
      </c>
      <c r="E1893" s="938" t="s">
        <v>1515</v>
      </c>
      <c r="F1893" s="665">
        <v>0</v>
      </c>
      <c r="G1893" s="870">
        <v>45</v>
      </c>
      <c r="H1893" s="870">
        <v>45</v>
      </c>
      <c r="I1893" s="874">
        <f t="shared" si="362"/>
        <v>100</v>
      </c>
    </row>
    <row r="1894" spans="1:23" ht="14.25" x14ac:dyDescent="0.2">
      <c r="A1894" s="921"/>
      <c r="B1894" s="2722"/>
      <c r="C1894" s="1350"/>
      <c r="D1894" s="2726" t="s">
        <v>1145</v>
      </c>
      <c r="E1894" s="938" t="s">
        <v>1515</v>
      </c>
      <c r="F1894" s="665">
        <v>0</v>
      </c>
      <c r="G1894" s="870">
        <v>256</v>
      </c>
      <c r="H1894" s="870">
        <v>256</v>
      </c>
      <c r="I1894" s="874">
        <f t="shared" si="362"/>
        <v>100</v>
      </c>
    </row>
    <row r="1895" spans="1:23" ht="15" hidden="1" x14ac:dyDescent="0.25">
      <c r="A1895" s="2754">
        <v>1216</v>
      </c>
      <c r="B1895" s="2755">
        <v>3127</v>
      </c>
      <c r="C1895" s="2755">
        <v>5331</v>
      </c>
      <c r="D1895" s="2756"/>
      <c r="E1895" s="845" t="s">
        <v>481</v>
      </c>
      <c r="F1895" s="665"/>
      <c r="G1895" s="675">
        <f>G1896</f>
        <v>0</v>
      </c>
      <c r="H1895" s="675">
        <f>H1896</f>
        <v>0</v>
      </c>
      <c r="I1895" s="874" t="e">
        <f t="shared" si="362"/>
        <v>#DIV/0!</v>
      </c>
    </row>
    <row r="1896" spans="1:23" ht="28.5" hidden="1" x14ac:dyDescent="0.2">
      <c r="A1896" s="2754"/>
      <c r="B1896" s="2755"/>
      <c r="C1896" s="2761"/>
      <c r="D1896" s="2768" t="s">
        <v>1134</v>
      </c>
      <c r="E1896" s="2623" t="s">
        <v>1527</v>
      </c>
      <c r="F1896" s="665"/>
      <c r="G1896" s="870"/>
      <c r="H1896" s="870"/>
      <c r="I1896" s="874" t="e">
        <f t="shared" si="362"/>
        <v>#DIV/0!</v>
      </c>
    </row>
    <row r="1897" spans="1:23" ht="15.75" customHeight="1" x14ac:dyDescent="0.25">
      <c r="A1897" s="921">
        <v>1216</v>
      </c>
      <c r="B1897" s="2722">
        <v>3141</v>
      </c>
      <c r="C1897" s="2722">
        <v>5336</v>
      </c>
      <c r="D1897" s="2726"/>
      <c r="E1897" s="602" t="s">
        <v>856</v>
      </c>
      <c r="F1897" s="675">
        <f>F1898</f>
        <v>0</v>
      </c>
      <c r="G1897" s="675">
        <f>G1898</f>
        <v>48</v>
      </c>
      <c r="H1897" s="675">
        <f>H1898</f>
        <v>48</v>
      </c>
      <c r="I1897" s="669">
        <f t="shared" si="362"/>
        <v>100</v>
      </c>
    </row>
    <row r="1898" spans="1:23" ht="15.75" customHeight="1" x14ac:dyDescent="0.2">
      <c r="A1898" s="921"/>
      <c r="B1898" s="2722"/>
      <c r="C1898" s="2722"/>
      <c r="D1898" s="2726" t="s">
        <v>901</v>
      </c>
      <c r="E1898" s="436" t="s">
        <v>1637</v>
      </c>
      <c r="F1898" s="665">
        <v>0</v>
      </c>
      <c r="G1898" s="665">
        <v>48</v>
      </c>
      <c r="H1898" s="665">
        <v>48</v>
      </c>
      <c r="I1898" s="661">
        <f t="shared" si="362"/>
        <v>100</v>
      </c>
    </row>
    <row r="1899" spans="1:23" ht="15.75" customHeight="1" x14ac:dyDescent="0.25">
      <c r="A1899" s="921">
        <v>1216</v>
      </c>
      <c r="B1899" s="2722">
        <v>3299</v>
      </c>
      <c r="C1899" s="2722">
        <v>5331</v>
      </c>
      <c r="D1899" s="2732"/>
      <c r="E1899" s="602" t="s">
        <v>481</v>
      </c>
      <c r="F1899" s="666">
        <f>F1900</f>
        <v>0</v>
      </c>
      <c r="G1899" s="666">
        <f t="shared" ref="G1899" si="365">G1900</f>
        <v>110</v>
      </c>
      <c r="H1899" s="666">
        <f t="shared" ref="H1899" si="366">H1900</f>
        <v>110</v>
      </c>
      <c r="I1899" s="667">
        <f t="shared" ref="I1899:I1900" si="367">(H1899/G1899)*100</f>
        <v>100</v>
      </c>
    </row>
    <row r="1900" spans="1:23" ht="15.75" customHeight="1" thickBot="1" x14ac:dyDescent="0.25">
      <c r="A1900" s="921"/>
      <c r="B1900" s="2722"/>
      <c r="C1900" s="1350"/>
      <c r="D1900" s="2742" t="s">
        <v>1891</v>
      </c>
      <c r="E1900" s="938" t="s">
        <v>1952</v>
      </c>
      <c r="F1900" s="665">
        <v>0</v>
      </c>
      <c r="G1900" s="665">
        <v>110</v>
      </c>
      <c r="H1900" s="665">
        <v>110</v>
      </c>
      <c r="I1900" s="661">
        <f t="shared" si="367"/>
        <v>100</v>
      </c>
    </row>
    <row r="1901" spans="1:23" ht="16.5" thickTop="1" thickBot="1" x14ac:dyDescent="0.3">
      <c r="A1901" s="3233" t="s">
        <v>522</v>
      </c>
      <c r="B1901" s="3234"/>
      <c r="C1901" s="3234"/>
      <c r="D1901" s="3234"/>
      <c r="E1901" s="3234"/>
      <c r="F1901" s="657">
        <f>F1887</f>
        <v>0</v>
      </c>
      <c r="G1901" s="657">
        <f>G1897+G1889+G1887+G1885+G1883+G1895+G1899</f>
        <v>13409</v>
      </c>
      <c r="H1901" s="657">
        <f>H1897+H1889+H1887+H1885+H1883+H1895+H1899</f>
        <v>13409</v>
      </c>
      <c r="I1901" s="658">
        <f>(H1901/G1901)*100</f>
        <v>100</v>
      </c>
      <c r="J1901" s="373">
        <f>F1901</f>
        <v>0</v>
      </c>
      <c r="K1901" s="373" t="e">
        <f>G1901+#REF!</f>
        <v>#REF!</v>
      </c>
      <c r="L1901" s="373" t="e">
        <f>H1901+#REF!</f>
        <v>#REF!</v>
      </c>
      <c r="R1901" s="373">
        <f>F1901</f>
        <v>0</v>
      </c>
      <c r="S1901" s="373">
        <f>G1901</f>
        <v>13409</v>
      </c>
      <c r="T1901" s="373">
        <f>H1901</f>
        <v>13409</v>
      </c>
      <c r="U1901" s="373"/>
      <c r="V1901" s="373"/>
      <c r="W1901" s="373"/>
    </row>
    <row r="1902" spans="1:23" s="374" customFormat="1" ht="13.5" thickTop="1" x14ac:dyDescent="0.2">
      <c r="A1902" s="372"/>
      <c r="B1902" s="584"/>
      <c r="C1902" s="372"/>
      <c r="D1902" s="648"/>
      <c r="E1902" s="372"/>
      <c r="F1902" s="373"/>
      <c r="G1902" s="373"/>
      <c r="H1902" s="373"/>
      <c r="I1902" s="915"/>
    </row>
    <row r="1903" spans="1:23" s="374" customFormat="1" x14ac:dyDescent="0.2">
      <c r="A1903" s="372"/>
      <c r="B1903" s="584"/>
      <c r="C1903" s="372"/>
      <c r="D1903" s="648"/>
      <c r="E1903" s="372"/>
      <c r="F1903" s="373"/>
      <c r="G1903" s="373"/>
      <c r="H1903" s="373"/>
      <c r="I1903" s="915"/>
    </row>
    <row r="1904" spans="1:23" s="374" customFormat="1" x14ac:dyDescent="0.2">
      <c r="A1904" s="372"/>
      <c r="B1904" s="584"/>
      <c r="C1904" s="372"/>
      <c r="D1904" s="648"/>
      <c r="E1904" s="372"/>
      <c r="F1904" s="373"/>
      <c r="G1904" s="373"/>
      <c r="H1904" s="373"/>
      <c r="I1904" s="915"/>
    </row>
    <row r="1905" spans="1:9" s="374" customFormat="1" x14ac:dyDescent="0.2">
      <c r="A1905" s="372"/>
      <c r="B1905" s="584"/>
      <c r="C1905" s="372"/>
      <c r="D1905" s="648"/>
      <c r="E1905" s="372"/>
      <c r="F1905" s="373"/>
      <c r="G1905" s="373"/>
      <c r="H1905" s="373"/>
      <c r="I1905" s="915"/>
    </row>
    <row r="1906" spans="1:9" s="374" customFormat="1" x14ac:dyDescent="0.2">
      <c r="A1906" s="372"/>
      <c r="B1906" s="584"/>
      <c r="C1906" s="372"/>
      <c r="D1906" s="648"/>
      <c r="E1906" s="372"/>
      <c r="F1906" s="373"/>
      <c r="G1906" s="373"/>
      <c r="H1906" s="373"/>
      <c r="I1906" s="915"/>
    </row>
    <row r="1907" spans="1:9" s="374" customFormat="1" x14ac:dyDescent="0.2">
      <c r="A1907" s="372"/>
      <c r="B1907" s="584"/>
      <c r="C1907" s="372"/>
      <c r="D1907" s="648"/>
      <c r="E1907" s="372"/>
      <c r="F1907" s="373"/>
      <c r="G1907" s="373"/>
      <c r="H1907" s="373"/>
      <c r="I1907" s="915"/>
    </row>
    <row r="1908" spans="1:9" s="374" customFormat="1" x14ac:dyDescent="0.2">
      <c r="A1908" s="372"/>
      <c r="B1908" s="584"/>
      <c r="C1908" s="372"/>
      <c r="D1908" s="648"/>
      <c r="E1908" s="372"/>
      <c r="F1908" s="373"/>
      <c r="G1908" s="373"/>
      <c r="H1908" s="373"/>
      <c r="I1908" s="915"/>
    </row>
    <row r="1909" spans="1:9" s="374" customFormat="1" x14ac:dyDescent="0.2">
      <c r="A1909" s="372"/>
      <c r="B1909" s="584"/>
      <c r="C1909" s="372"/>
      <c r="D1909" s="648"/>
      <c r="E1909" s="372"/>
      <c r="F1909" s="373"/>
      <c r="G1909" s="373"/>
      <c r="H1909" s="373"/>
      <c r="I1909" s="915"/>
    </row>
    <row r="1910" spans="1:9" s="374" customFormat="1" x14ac:dyDescent="0.2">
      <c r="A1910" s="372"/>
      <c r="B1910" s="584"/>
      <c r="C1910" s="372"/>
      <c r="D1910" s="648"/>
      <c r="E1910" s="372"/>
      <c r="F1910" s="373"/>
      <c r="G1910" s="373"/>
      <c r="H1910" s="373"/>
      <c r="I1910" s="915"/>
    </row>
    <row r="1911" spans="1:9" s="374" customFormat="1" x14ac:dyDescent="0.2">
      <c r="A1911" s="372"/>
      <c r="B1911" s="584"/>
      <c r="C1911" s="372"/>
      <c r="D1911" s="648"/>
      <c r="E1911" s="372"/>
      <c r="F1911" s="373"/>
      <c r="G1911" s="373"/>
      <c r="H1911" s="373"/>
      <c r="I1911" s="915"/>
    </row>
    <row r="1912" spans="1:9" s="374" customFormat="1" x14ac:dyDescent="0.2">
      <c r="A1912" s="372"/>
      <c r="B1912" s="584"/>
      <c r="C1912" s="372"/>
      <c r="D1912" s="648"/>
      <c r="E1912" s="372"/>
      <c r="F1912" s="373"/>
      <c r="G1912" s="373"/>
      <c r="H1912" s="373"/>
      <c r="I1912" s="915"/>
    </row>
    <row r="1913" spans="1:9" ht="13.5" thickBot="1" x14ac:dyDescent="0.25">
      <c r="A1913" s="419" t="s">
        <v>1986</v>
      </c>
      <c r="I1913" s="915" t="s">
        <v>92</v>
      </c>
    </row>
    <row r="1914" spans="1:9" ht="14.25" thickTop="1" thickBot="1" x14ac:dyDescent="0.25">
      <c r="A1914" s="572" t="s">
        <v>324</v>
      </c>
      <c r="B1914" s="639" t="s">
        <v>93</v>
      </c>
      <c r="C1914" s="573" t="s">
        <v>94</v>
      </c>
      <c r="D1914" s="575" t="s">
        <v>364</v>
      </c>
      <c r="E1914" s="575" t="s">
        <v>95</v>
      </c>
      <c r="F1914" s="575" t="s">
        <v>328</v>
      </c>
      <c r="G1914" s="575" t="s">
        <v>329</v>
      </c>
      <c r="H1914" s="575" t="s">
        <v>448</v>
      </c>
      <c r="I1914" s="651" t="s">
        <v>449</v>
      </c>
    </row>
    <row r="1915" spans="1:9" ht="14.25" thickTop="1" thickBot="1" x14ac:dyDescent="0.25">
      <c r="A1915" s="511">
        <v>1</v>
      </c>
      <c r="B1915" s="512">
        <v>2</v>
      </c>
      <c r="C1915" s="512">
        <v>3</v>
      </c>
      <c r="D1915" s="512">
        <v>4</v>
      </c>
      <c r="E1915" s="512">
        <v>5</v>
      </c>
      <c r="F1915" s="499">
        <v>6</v>
      </c>
      <c r="G1915" s="499">
        <v>7</v>
      </c>
      <c r="H1915" s="500">
        <v>8</v>
      </c>
      <c r="I1915" s="577" t="s">
        <v>393</v>
      </c>
    </row>
    <row r="1916" spans="1:9" ht="15.75" thickTop="1" x14ac:dyDescent="0.25">
      <c r="A1916" s="924">
        <v>1218</v>
      </c>
      <c r="B1916" s="676">
        <v>3114</v>
      </c>
      <c r="C1916" s="2427">
        <v>5336</v>
      </c>
      <c r="D1916" s="2725"/>
      <c r="E1916" s="602" t="s">
        <v>856</v>
      </c>
      <c r="F1916" s="674">
        <f>F1917</f>
        <v>0</v>
      </c>
      <c r="G1916" s="674">
        <f>G1917</f>
        <v>2502</v>
      </c>
      <c r="H1916" s="674">
        <f>H1917</f>
        <v>2502</v>
      </c>
      <c r="I1916" s="677">
        <f t="shared" ref="I1916:I1933" si="368">(H1916/G1916)*100</f>
        <v>100</v>
      </c>
    </row>
    <row r="1917" spans="1:9" ht="14.25" x14ac:dyDescent="0.2">
      <c r="A1917" s="418"/>
      <c r="B1917" s="603"/>
      <c r="C1917" s="603"/>
      <c r="D1917" s="2726" t="s">
        <v>901</v>
      </c>
      <c r="E1917" s="436" t="s">
        <v>1637</v>
      </c>
      <c r="F1917" s="660">
        <v>0</v>
      </c>
      <c r="G1917" s="660">
        <v>2502</v>
      </c>
      <c r="H1917" s="660">
        <v>2502</v>
      </c>
      <c r="I1917" s="661">
        <f t="shared" si="368"/>
        <v>100</v>
      </c>
    </row>
    <row r="1918" spans="1:9" ht="15" x14ac:dyDescent="0.25">
      <c r="A1918" s="921">
        <v>1218</v>
      </c>
      <c r="B1918" s="2722">
        <v>3124</v>
      </c>
      <c r="C1918" s="2722">
        <v>5331</v>
      </c>
      <c r="D1918" s="2732"/>
      <c r="E1918" s="602" t="s">
        <v>481</v>
      </c>
      <c r="F1918" s="666">
        <f>F1919</f>
        <v>0</v>
      </c>
      <c r="G1918" s="666">
        <f t="shared" ref="G1918" si="369">G1919</f>
        <v>17</v>
      </c>
      <c r="H1918" s="666">
        <f t="shared" ref="H1918" si="370">H1919</f>
        <v>17</v>
      </c>
      <c r="I1918" s="667">
        <f t="shared" si="368"/>
        <v>100</v>
      </c>
    </row>
    <row r="1919" spans="1:9" ht="14.25" x14ac:dyDescent="0.2">
      <c r="A1919" s="921"/>
      <c r="B1919" s="2722"/>
      <c r="C1919" s="1350"/>
      <c r="D1919" s="2742" t="s">
        <v>1891</v>
      </c>
      <c r="E1919" s="938" t="s">
        <v>1952</v>
      </c>
      <c r="F1919" s="665">
        <v>0</v>
      </c>
      <c r="G1919" s="665">
        <v>17</v>
      </c>
      <c r="H1919" s="665">
        <v>17</v>
      </c>
      <c r="I1919" s="661">
        <f t="shared" si="368"/>
        <v>100</v>
      </c>
    </row>
    <row r="1920" spans="1:9" ht="15" x14ac:dyDescent="0.25">
      <c r="A1920" s="921">
        <v>1218</v>
      </c>
      <c r="B1920" s="2427">
        <v>3124</v>
      </c>
      <c r="C1920" s="2427">
        <v>5336</v>
      </c>
      <c r="D1920" s="2725"/>
      <c r="E1920" s="602" t="s">
        <v>856</v>
      </c>
      <c r="F1920" s="678">
        <f>F1921+F1922+F1923</f>
        <v>0</v>
      </c>
      <c r="G1920" s="678">
        <f t="shared" ref="G1920:H1920" si="371">G1921+G1922+G1923</f>
        <v>16388</v>
      </c>
      <c r="H1920" s="678">
        <f t="shared" si="371"/>
        <v>16388</v>
      </c>
      <c r="I1920" s="669">
        <f t="shared" si="368"/>
        <v>100</v>
      </c>
    </row>
    <row r="1921" spans="1:20" ht="14.25" x14ac:dyDescent="0.2">
      <c r="A1921" s="921"/>
      <c r="B1921" s="2427"/>
      <c r="C1921" s="2427"/>
      <c r="D1921" s="2725" t="s">
        <v>902</v>
      </c>
      <c r="E1921" s="1352" t="s">
        <v>855</v>
      </c>
      <c r="F1921" s="1600">
        <v>0</v>
      </c>
      <c r="G1921" s="1600">
        <v>382</v>
      </c>
      <c r="H1921" s="1600">
        <v>382</v>
      </c>
      <c r="I1921" s="367">
        <f t="shared" ref="I1921:I1922" si="372">(H1921/G1921)*100</f>
        <v>100</v>
      </c>
    </row>
    <row r="1922" spans="1:20" ht="14.25" x14ac:dyDescent="0.2">
      <c r="A1922" s="921"/>
      <c r="B1922" s="2427"/>
      <c r="C1922" s="2427"/>
      <c r="D1922" s="2725" t="s">
        <v>1896</v>
      </c>
      <c r="E1922" s="2220" t="s">
        <v>1951</v>
      </c>
      <c r="F1922" s="1643">
        <v>0</v>
      </c>
      <c r="G1922" s="1643">
        <v>125</v>
      </c>
      <c r="H1922" s="1643">
        <v>125</v>
      </c>
      <c r="I1922" s="982">
        <f t="shared" si="372"/>
        <v>100</v>
      </c>
    </row>
    <row r="1923" spans="1:20" ht="14.25" x14ac:dyDescent="0.2">
      <c r="A1923" s="921"/>
      <c r="B1923" s="2427"/>
      <c r="C1923" s="2427"/>
      <c r="D1923" s="2726" t="s">
        <v>901</v>
      </c>
      <c r="E1923" s="436" t="s">
        <v>1637</v>
      </c>
      <c r="F1923" s="660">
        <v>0</v>
      </c>
      <c r="G1923" s="660">
        <v>15881</v>
      </c>
      <c r="H1923" s="660">
        <v>15881</v>
      </c>
      <c r="I1923" s="661">
        <f t="shared" si="368"/>
        <v>100</v>
      </c>
    </row>
    <row r="1924" spans="1:20" ht="15" hidden="1" x14ac:dyDescent="0.25">
      <c r="A1924" s="2754">
        <v>1218</v>
      </c>
      <c r="B1924" s="2755">
        <v>3124</v>
      </c>
      <c r="C1924" s="2755">
        <v>5331</v>
      </c>
      <c r="D1924" s="2756"/>
      <c r="E1924" s="845" t="s">
        <v>481</v>
      </c>
      <c r="F1924" s="665"/>
      <c r="G1924" s="675">
        <f>G1925</f>
        <v>0</v>
      </c>
      <c r="H1924" s="675">
        <f>H1925</f>
        <v>0</v>
      </c>
      <c r="I1924" s="669" t="e">
        <f t="shared" si="368"/>
        <v>#DIV/0!</v>
      </c>
    </row>
    <row r="1925" spans="1:20" ht="28.5" hidden="1" x14ac:dyDescent="0.2">
      <c r="A1925" s="2754"/>
      <c r="B1925" s="2755"/>
      <c r="C1925" s="2761"/>
      <c r="D1925" s="2768" t="s">
        <v>1134</v>
      </c>
      <c r="E1925" s="2623" t="s">
        <v>1527</v>
      </c>
      <c r="F1925" s="665"/>
      <c r="G1925" s="665"/>
      <c r="H1925" s="665"/>
      <c r="I1925" s="661" t="e">
        <f t="shared" si="368"/>
        <v>#DIV/0!</v>
      </c>
    </row>
    <row r="1926" spans="1:20" ht="15" x14ac:dyDescent="0.25">
      <c r="A1926" s="921">
        <v>1218</v>
      </c>
      <c r="B1926" s="2722">
        <v>3141</v>
      </c>
      <c r="C1926" s="2722">
        <v>5336</v>
      </c>
      <c r="D1926" s="2724"/>
      <c r="E1926" s="602" t="s">
        <v>856</v>
      </c>
      <c r="F1926" s="675">
        <f>F1927</f>
        <v>0</v>
      </c>
      <c r="G1926" s="675">
        <f>G1927</f>
        <v>707</v>
      </c>
      <c r="H1926" s="675">
        <f>H1927</f>
        <v>707</v>
      </c>
      <c r="I1926" s="669">
        <f t="shared" si="368"/>
        <v>100</v>
      </c>
    </row>
    <row r="1927" spans="1:20" ht="14.25" x14ac:dyDescent="0.2">
      <c r="A1927" s="921"/>
      <c r="B1927" s="2722"/>
      <c r="C1927" s="2722"/>
      <c r="D1927" s="2726" t="s">
        <v>901</v>
      </c>
      <c r="E1927" s="436" t="s">
        <v>1637</v>
      </c>
      <c r="F1927" s="665">
        <v>0</v>
      </c>
      <c r="G1927" s="665">
        <v>707</v>
      </c>
      <c r="H1927" s="665">
        <v>707</v>
      </c>
      <c r="I1927" s="661">
        <f t="shared" si="368"/>
        <v>100</v>
      </c>
    </row>
    <row r="1928" spans="1:20" ht="15" x14ac:dyDescent="0.25">
      <c r="A1928" s="921">
        <v>1218</v>
      </c>
      <c r="B1928" s="2722">
        <v>3143</v>
      </c>
      <c r="C1928" s="2722">
        <v>5336</v>
      </c>
      <c r="D1928" s="2726"/>
      <c r="E1928" s="602" t="s">
        <v>856</v>
      </c>
      <c r="F1928" s="675">
        <f>F1929</f>
        <v>0</v>
      </c>
      <c r="G1928" s="675">
        <f>G1929</f>
        <v>159</v>
      </c>
      <c r="H1928" s="675">
        <f>H1929</f>
        <v>159</v>
      </c>
      <c r="I1928" s="669">
        <f t="shared" ref="I1928:I1929" si="373">(H1928/G1928)*100</f>
        <v>100</v>
      </c>
    </row>
    <row r="1929" spans="1:20" ht="14.25" x14ac:dyDescent="0.2">
      <c r="A1929" s="921"/>
      <c r="B1929" s="2722"/>
      <c r="C1929" s="2722"/>
      <c r="D1929" s="2726" t="s">
        <v>901</v>
      </c>
      <c r="E1929" s="436" t="s">
        <v>1637</v>
      </c>
      <c r="F1929" s="665">
        <v>0</v>
      </c>
      <c r="G1929" s="665">
        <v>159</v>
      </c>
      <c r="H1929" s="665">
        <v>159</v>
      </c>
      <c r="I1929" s="661">
        <f t="shared" si="373"/>
        <v>100</v>
      </c>
    </row>
    <row r="1930" spans="1:20" ht="15" x14ac:dyDescent="0.25">
      <c r="A1930" s="921">
        <v>1218</v>
      </c>
      <c r="B1930" s="2722">
        <v>3145</v>
      </c>
      <c r="C1930" s="2722">
        <v>5336</v>
      </c>
      <c r="D1930" s="2726"/>
      <c r="E1930" s="602" t="s">
        <v>856</v>
      </c>
      <c r="F1930" s="675">
        <f>F1931</f>
        <v>0</v>
      </c>
      <c r="G1930" s="675">
        <f>G1931</f>
        <v>2581</v>
      </c>
      <c r="H1930" s="675">
        <f>H1931</f>
        <v>2581</v>
      </c>
      <c r="I1930" s="669">
        <f t="shared" si="368"/>
        <v>100</v>
      </c>
    </row>
    <row r="1931" spans="1:20" ht="14.25" x14ac:dyDescent="0.2">
      <c r="A1931" s="921"/>
      <c r="B1931" s="2722"/>
      <c r="C1931" s="2722"/>
      <c r="D1931" s="2726" t="s">
        <v>901</v>
      </c>
      <c r="E1931" s="436" t="s">
        <v>1637</v>
      </c>
      <c r="F1931" s="665">
        <v>0</v>
      </c>
      <c r="G1931" s="665">
        <v>2581</v>
      </c>
      <c r="H1931" s="665">
        <v>2581</v>
      </c>
      <c r="I1931" s="661">
        <f t="shared" si="368"/>
        <v>100</v>
      </c>
    </row>
    <row r="1932" spans="1:20" ht="15" x14ac:dyDescent="0.25">
      <c r="A1932" s="921">
        <v>1218</v>
      </c>
      <c r="B1932" s="2427">
        <v>3293</v>
      </c>
      <c r="C1932" s="2722">
        <v>5336</v>
      </c>
      <c r="D1932" s="2726"/>
      <c r="E1932" s="602" t="s">
        <v>856</v>
      </c>
      <c r="F1932" s="675">
        <f>F1933</f>
        <v>0</v>
      </c>
      <c r="G1932" s="675">
        <f>G1933</f>
        <v>428</v>
      </c>
      <c r="H1932" s="675">
        <f>H1933</f>
        <v>428</v>
      </c>
      <c r="I1932" s="669">
        <f t="shared" si="368"/>
        <v>100</v>
      </c>
    </row>
    <row r="1933" spans="1:20" ht="14.25" x14ac:dyDescent="0.2">
      <c r="A1933" s="921"/>
      <c r="B1933" s="2722"/>
      <c r="C1933" s="2722"/>
      <c r="D1933" s="2726" t="s">
        <v>913</v>
      </c>
      <c r="E1933" s="949" t="s">
        <v>768</v>
      </c>
      <c r="F1933" s="665">
        <v>0</v>
      </c>
      <c r="G1933" s="665">
        <v>428</v>
      </c>
      <c r="H1933" s="665">
        <v>428</v>
      </c>
      <c r="I1933" s="661">
        <f t="shared" si="368"/>
        <v>100</v>
      </c>
    </row>
    <row r="1934" spans="1:20" ht="15" x14ac:dyDescent="0.25">
      <c r="A1934" s="921">
        <v>1218</v>
      </c>
      <c r="B1934" s="2722">
        <v>3299</v>
      </c>
      <c r="C1934" s="2722">
        <v>5331</v>
      </c>
      <c r="D1934" s="2732"/>
      <c r="E1934" s="602" t="s">
        <v>481</v>
      </c>
      <c r="F1934" s="666">
        <f>F1935</f>
        <v>0</v>
      </c>
      <c r="G1934" s="666">
        <f t="shared" ref="G1934" si="374">G1935</f>
        <v>18</v>
      </c>
      <c r="H1934" s="666">
        <f t="shared" ref="H1934" si="375">H1935</f>
        <v>18</v>
      </c>
      <c r="I1934" s="667">
        <f t="shared" ref="I1934:I1935" si="376">(H1934/G1934)*100</f>
        <v>100</v>
      </c>
    </row>
    <row r="1935" spans="1:20" ht="15" thickBot="1" x14ac:dyDescent="0.25">
      <c r="A1935" s="921"/>
      <c r="B1935" s="2722"/>
      <c r="C1935" s="1350"/>
      <c r="D1935" s="2742" t="s">
        <v>1891</v>
      </c>
      <c r="E1935" s="938" t="s">
        <v>1952</v>
      </c>
      <c r="F1935" s="665">
        <v>0</v>
      </c>
      <c r="G1935" s="665">
        <v>18</v>
      </c>
      <c r="H1935" s="665">
        <v>18</v>
      </c>
      <c r="I1935" s="661">
        <f t="shared" si="376"/>
        <v>100</v>
      </c>
    </row>
    <row r="1936" spans="1:20" ht="16.5" thickTop="1" thickBot="1" x14ac:dyDescent="0.3">
      <c r="A1936" s="3233" t="s">
        <v>522</v>
      </c>
      <c r="B1936" s="3234"/>
      <c r="C1936" s="3234"/>
      <c r="D1936" s="3234"/>
      <c r="E1936" s="3234"/>
      <c r="F1936" s="657">
        <f>F1916</f>
        <v>0</v>
      </c>
      <c r="G1936" s="657">
        <f>G1932+G1930+G1926+G1920+G1916+G1924+G1928+G1918+G1934</f>
        <v>22800</v>
      </c>
      <c r="H1936" s="657">
        <f>H1932+H1930+H1926+H1920+H1916+H1924+H1928+H1918+H1934</f>
        <v>22800</v>
      </c>
      <c r="I1936" s="658">
        <f>(H1936/G1936)*100</f>
        <v>100</v>
      </c>
      <c r="R1936" s="373">
        <f>F1936</f>
        <v>0</v>
      </c>
      <c r="S1936" s="373">
        <f>G1936</f>
        <v>22800</v>
      </c>
      <c r="T1936" s="373">
        <f>H1936</f>
        <v>22800</v>
      </c>
    </row>
    <row r="1937" spans="1:20" ht="15.75" thickTop="1" x14ac:dyDescent="0.25">
      <c r="A1937" s="360"/>
      <c r="B1937" s="360"/>
      <c r="C1937" s="360"/>
      <c r="D1937" s="360"/>
      <c r="E1937" s="360"/>
      <c r="F1937" s="177"/>
      <c r="G1937" s="177"/>
      <c r="H1937" s="177"/>
      <c r="I1937" s="206"/>
      <c r="R1937" s="373"/>
      <c r="S1937" s="373"/>
      <c r="T1937" s="373"/>
    </row>
    <row r="1938" spans="1:20" ht="15" x14ac:dyDescent="0.25">
      <c r="A1938" s="360"/>
      <c r="B1938" s="360"/>
      <c r="C1938" s="360"/>
      <c r="D1938" s="360"/>
      <c r="E1938" s="360"/>
      <c r="F1938" s="177"/>
      <c r="G1938" s="177"/>
      <c r="H1938" s="177"/>
      <c r="I1938" s="206"/>
      <c r="R1938" s="373"/>
      <c r="S1938" s="373"/>
      <c r="T1938" s="373"/>
    </row>
    <row r="1939" spans="1:20" ht="13.5" thickBot="1" x14ac:dyDescent="0.25">
      <c r="A1939" s="419" t="s">
        <v>80</v>
      </c>
      <c r="I1939" s="915" t="s">
        <v>92</v>
      </c>
    </row>
    <row r="1940" spans="1:20" ht="14.25" thickTop="1" thickBot="1" x14ac:dyDescent="0.25">
      <c r="A1940" s="572" t="s">
        <v>324</v>
      </c>
      <c r="B1940" s="639" t="s">
        <v>93</v>
      </c>
      <c r="C1940" s="573" t="s">
        <v>94</v>
      </c>
      <c r="D1940" s="575" t="s">
        <v>364</v>
      </c>
      <c r="E1940" s="575" t="s">
        <v>95</v>
      </c>
      <c r="F1940" s="575" t="s">
        <v>328</v>
      </c>
      <c r="G1940" s="575" t="s">
        <v>329</v>
      </c>
      <c r="H1940" s="575" t="s">
        <v>448</v>
      </c>
      <c r="I1940" s="651" t="s">
        <v>449</v>
      </c>
    </row>
    <row r="1941" spans="1:20" ht="14.25" thickTop="1" thickBot="1" x14ac:dyDescent="0.25">
      <c r="A1941" s="511">
        <v>1</v>
      </c>
      <c r="B1941" s="512">
        <v>2</v>
      </c>
      <c r="C1941" s="512">
        <v>3</v>
      </c>
      <c r="D1941" s="512">
        <v>4</v>
      </c>
      <c r="E1941" s="512">
        <v>5</v>
      </c>
      <c r="F1941" s="499">
        <v>6</v>
      </c>
      <c r="G1941" s="499">
        <v>7</v>
      </c>
      <c r="H1941" s="500">
        <v>8</v>
      </c>
      <c r="I1941" s="577" t="s">
        <v>393</v>
      </c>
    </row>
    <row r="1942" spans="1:20" ht="15.75" thickTop="1" x14ac:dyDescent="0.25">
      <c r="A1942" s="924">
        <v>1222</v>
      </c>
      <c r="B1942" s="676">
        <v>3124</v>
      </c>
      <c r="C1942" s="2774">
        <v>5331</v>
      </c>
      <c r="D1942" s="679"/>
      <c r="E1942" s="703" t="s">
        <v>481</v>
      </c>
      <c r="F1942" s="674">
        <f>F1943</f>
        <v>0</v>
      </c>
      <c r="G1942" s="674">
        <f t="shared" ref="G1942:H1942" si="377">G1943</f>
        <v>29</v>
      </c>
      <c r="H1942" s="674">
        <f t="shared" si="377"/>
        <v>29</v>
      </c>
      <c r="I1942" s="677">
        <f t="shared" ref="I1942:I1949" si="378">(H1942/G1942)*100</f>
        <v>100</v>
      </c>
    </row>
    <row r="1943" spans="1:20" ht="14.25" x14ac:dyDescent="0.2">
      <c r="A1943" s="418"/>
      <c r="B1943" s="603"/>
      <c r="C1943" s="603"/>
      <c r="D1943" s="620" t="s">
        <v>1891</v>
      </c>
      <c r="E1943" s="938" t="s">
        <v>1952</v>
      </c>
      <c r="F1943" s="660">
        <v>0</v>
      </c>
      <c r="G1943" s="660">
        <v>29</v>
      </c>
      <c r="H1943" s="660">
        <v>29</v>
      </c>
      <c r="I1943" s="656">
        <f t="shared" si="378"/>
        <v>100</v>
      </c>
    </row>
    <row r="1944" spans="1:20" ht="15" x14ac:dyDescent="0.25">
      <c r="A1944" s="921">
        <v>1222</v>
      </c>
      <c r="B1944" s="2427">
        <v>3124</v>
      </c>
      <c r="C1944" s="2427">
        <v>5336</v>
      </c>
      <c r="D1944" s="2725"/>
      <c r="E1944" s="602" t="s">
        <v>856</v>
      </c>
      <c r="F1944" s="678">
        <f>F1945+F1946+F1947</f>
        <v>0</v>
      </c>
      <c r="G1944" s="678">
        <f>G1945+G1946+G1947</f>
        <v>13951</v>
      </c>
      <c r="H1944" s="678">
        <f>H1945+H1946+H1947</f>
        <v>13951</v>
      </c>
      <c r="I1944" s="680">
        <f t="shared" si="378"/>
        <v>100</v>
      </c>
    </row>
    <row r="1945" spans="1:20" ht="14.25" x14ac:dyDescent="0.2">
      <c r="A1945" s="921"/>
      <c r="B1945" s="2427"/>
      <c r="C1945" s="2427"/>
      <c r="D1945" s="2725" t="s">
        <v>902</v>
      </c>
      <c r="E1945" s="1352" t="s">
        <v>855</v>
      </c>
      <c r="F1945" s="1600">
        <v>0</v>
      </c>
      <c r="G1945" s="1600">
        <v>235</v>
      </c>
      <c r="H1945" s="1600">
        <v>235</v>
      </c>
      <c r="I1945" s="367">
        <f t="shared" ref="I1945:I1946" si="379">(H1945/G1945)*100</f>
        <v>100</v>
      </c>
    </row>
    <row r="1946" spans="1:20" ht="14.25" x14ac:dyDescent="0.2">
      <c r="A1946" s="921"/>
      <c r="B1946" s="2427"/>
      <c r="C1946" s="2427"/>
      <c r="D1946" s="2725" t="s">
        <v>1896</v>
      </c>
      <c r="E1946" s="2220" t="s">
        <v>1951</v>
      </c>
      <c r="F1946" s="1643">
        <v>0</v>
      </c>
      <c r="G1946" s="1643">
        <v>59</v>
      </c>
      <c r="H1946" s="1643">
        <v>59</v>
      </c>
      <c r="I1946" s="982">
        <f t="shared" si="379"/>
        <v>100</v>
      </c>
    </row>
    <row r="1947" spans="1:20" ht="14.25" x14ac:dyDescent="0.2">
      <c r="A1947" s="921"/>
      <c r="B1947" s="2427"/>
      <c r="C1947" s="2427"/>
      <c r="D1947" s="2726" t="s">
        <v>901</v>
      </c>
      <c r="E1947" s="436" t="s">
        <v>1637</v>
      </c>
      <c r="F1947" s="660">
        <v>0</v>
      </c>
      <c r="G1947" s="660">
        <v>13657</v>
      </c>
      <c r="H1947" s="660">
        <v>13657</v>
      </c>
      <c r="I1947" s="656">
        <f t="shared" si="378"/>
        <v>100</v>
      </c>
    </row>
    <row r="1948" spans="1:20" ht="15" hidden="1" x14ac:dyDescent="0.25">
      <c r="A1948" s="2754">
        <v>1222</v>
      </c>
      <c r="B1948" s="2755">
        <v>3124</v>
      </c>
      <c r="C1948" s="2755">
        <v>5331</v>
      </c>
      <c r="D1948" s="2756"/>
      <c r="E1948" s="845" t="s">
        <v>481</v>
      </c>
      <c r="F1948" s="660"/>
      <c r="G1948" s="678">
        <f>G1949</f>
        <v>0</v>
      </c>
      <c r="H1948" s="678">
        <f>H1949</f>
        <v>0</v>
      </c>
      <c r="I1948" s="680" t="e">
        <f t="shared" si="378"/>
        <v>#DIV/0!</v>
      </c>
    </row>
    <row r="1949" spans="1:20" ht="28.5" hidden="1" x14ac:dyDescent="0.2">
      <c r="A1949" s="2754"/>
      <c r="B1949" s="2755"/>
      <c r="C1949" s="2761"/>
      <c r="D1949" s="2768" t="s">
        <v>1134</v>
      </c>
      <c r="E1949" s="2623" t="s">
        <v>1527</v>
      </c>
      <c r="F1949" s="660"/>
      <c r="G1949" s="875"/>
      <c r="H1949" s="875"/>
      <c r="I1949" s="871" t="e">
        <f t="shared" si="378"/>
        <v>#DIV/0!</v>
      </c>
    </row>
    <row r="1950" spans="1:20" ht="15" x14ac:dyDescent="0.25">
      <c r="A1950" s="921">
        <v>1222</v>
      </c>
      <c r="B1950" s="2427">
        <v>3145</v>
      </c>
      <c r="C1950" s="2427">
        <v>5336</v>
      </c>
      <c r="D1950" s="2725"/>
      <c r="E1950" s="602" t="s">
        <v>856</v>
      </c>
      <c r="F1950" s="678">
        <f>F1951</f>
        <v>0</v>
      </c>
      <c r="G1950" s="678">
        <f>G1951</f>
        <v>1868</v>
      </c>
      <c r="H1950" s="678">
        <f>H1951</f>
        <v>1868</v>
      </c>
      <c r="I1950" s="680">
        <f t="shared" ref="I1950:I1955" si="380">(H1950/G1950)*100</f>
        <v>100</v>
      </c>
    </row>
    <row r="1951" spans="1:20" ht="14.25" x14ac:dyDescent="0.2">
      <c r="A1951" s="921"/>
      <c r="B1951" s="2427"/>
      <c r="C1951" s="2427"/>
      <c r="D1951" s="2726" t="s">
        <v>901</v>
      </c>
      <c r="E1951" s="436" t="s">
        <v>1637</v>
      </c>
      <c r="F1951" s="660">
        <v>0</v>
      </c>
      <c r="G1951" s="660">
        <v>1868</v>
      </c>
      <c r="H1951" s="660">
        <v>1868</v>
      </c>
      <c r="I1951" s="656">
        <f t="shared" si="380"/>
        <v>100</v>
      </c>
    </row>
    <row r="1952" spans="1:20" ht="15" x14ac:dyDescent="0.25">
      <c r="A1952" s="921">
        <v>1222</v>
      </c>
      <c r="B1952" s="2427">
        <v>3293</v>
      </c>
      <c r="C1952" s="2722">
        <v>5336</v>
      </c>
      <c r="D1952" s="2726"/>
      <c r="E1952" s="602" t="s">
        <v>856</v>
      </c>
      <c r="F1952" s="678">
        <f>F1953</f>
        <v>0</v>
      </c>
      <c r="G1952" s="678">
        <f>G1953</f>
        <v>22</v>
      </c>
      <c r="H1952" s="678">
        <f>H1953</f>
        <v>22</v>
      </c>
      <c r="I1952" s="680">
        <f t="shared" si="380"/>
        <v>100</v>
      </c>
    </row>
    <row r="1953" spans="1:20" ht="14.25" x14ac:dyDescent="0.2">
      <c r="A1953" s="921"/>
      <c r="B1953" s="2722"/>
      <c r="C1953" s="2722"/>
      <c r="D1953" s="2726" t="s">
        <v>913</v>
      </c>
      <c r="E1953" s="949" t="s">
        <v>768</v>
      </c>
      <c r="F1953" s="660">
        <v>0</v>
      </c>
      <c r="G1953" s="660">
        <v>22</v>
      </c>
      <c r="H1953" s="660">
        <v>22</v>
      </c>
      <c r="I1953" s="656">
        <f t="shared" si="380"/>
        <v>100</v>
      </c>
    </row>
    <row r="1954" spans="1:20" ht="15" x14ac:dyDescent="0.25">
      <c r="A1954" s="418">
        <v>1222</v>
      </c>
      <c r="B1954" s="603">
        <v>3299</v>
      </c>
      <c r="C1954" s="2427">
        <v>5331</v>
      </c>
      <c r="D1954" s="652"/>
      <c r="E1954" s="644" t="s">
        <v>481</v>
      </c>
      <c r="F1954" s="653">
        <f>F1955</f>
        <v>0</v>
      </c>
      <c r="G1954" s="653">
        <f t="shared" ref="G1954" si="381">G1955</f>
        <v>16</v>
      </c>
      <c r="H1954" s="653">
        <f t="shared" ref="H1954" si="382">H1955</f>
        <v>16</v>
      </c>
      <c r="I1954" s="654">
        <f t="shared" si="380"/>
        <v>100</v>
      </c>
    </row>
    <row r="1955" spans="1:20" ht="15" thickBot="1" x14ac:dyDescent="0.25">
      <c r="A1955" s="919"/>
      <c r="B1955" s="604"/>
      <c r="C1955" s="604"/>
      <c r="D1955" s="3118" t="s">
        <v>1891</v>
      </c>
      <c r="E1955" s="3119" t="s">
        <v>1952</v>
      </c>
      <c r="F1955" s="693">
        <v>0</v>
      </c>
      <c r="G1955" s="693">
        <v>16</v>
      </c>
      <c r="H1955" s="693">
        <v>16</v>
      </c>
      <c r="I1955" s="682">
        <f t="shared" si="380"/>
        <v>100</v>
      </c>
    </row>
    <row r="1956" spans="1:20" ht="16.5" thickTop="1" thickBot="1" x14ac:dyDescent="0.3">
      <c r="A1956" s="3233" t="s">
        <v>522</v>
      </c>
      <c r="B1956" s="3234"/>
      <c r="C1956" s="3234"/>
      <c r="D1956" s="3234"/>
      <c r="E1956" s="3234"/>
      <c r="F1956" s="657">
        <f>F1942</f>
        <v>0</v>
      </c>
      <c r="G1956" s="657">
        <f>G1952+G1950+G1944+G1942+G1948+G1954</f>
        <v>15886</v>
      </c>
      <c r="H1956" s="657">
        <f>H1952+H1950+H1944+H1942+H1948+H1954</f>
        <v>15886</v>
      </c>
      <c r="I1956" s="658">
        <f>(H1956/G1956)*100</f>
        <v>100</v>
      </c>
      <c r="R1956" s="373">
        <f>F1956</f>
        <v>0</v>
      </c>
      <c r="S1956" s="373">
        <f>G1956</f>
        <v>15886</v>
      </c>
      <c r="T1956" s="373">
        <f>H1956</f>
        <v>15886</v>
      </c>
    </row>
    <row r="1957" spans="1:20" ht="15.75" thickTop="1" x14ac:dyDescent="0.25">
      <c r="A1957" s="360"/>
      <c r="B1957" s="360"/>
      <c r="C1957" s="360"/>
      <c r="D1957" s="360"/>
      <c r="E1957" s="360"/>
      <c r="F1957" s="177"/>
      <c r="G1957" s="177"/>
      <c r="H1957" s="177"/>
      <c r="I1957" s="206"/>
      <c r="R1957" s="373"/>
      <c r="S1957" s="373"/>
      <c r="T1957" s="373"/>
    </row>
    <row r="1958" spans="1:20" ht="13.5" thickBot="1" x14ac:dyDescent="0.25">
      <c r="A1958" s="419" t="s">
        <v>81</v>
      </c>
      <c r="I1958" s="915" t="s">
        <v>92</v>
      </c>
    </row>
    <row r="1959" spans="1:20" ht="18" customHeight="1" thickTop="1" thickBot="1" x14ac:dyDescent="0.25">
      <c r="A1959" s="572" t="s">
        <v>324</v>
      </c>
      <c r="B1959" s="639" t="s">
        <v>93</v>
      </c>
      <c r="C1959" s="573" t="s">
        <v>94</v>
      </c>
      <c r="D1959" s="575" t="s">
        <v>364</v>
      </c>
      <c r="E1959" s="575" t="s">
        <v>95</v>
      </c>
      <c r="F1959" s="575" t="s">
        <v>328</v>
      </c>
      <c r="G1959" s="575" t="s">
        <v>329</v>
      </c>
      <c r="H1959" s="575" t="s">
        <v>448</v>
      </c>
      <c r="I1959" s="651" t="s">
        <v>449</v>
      </c>
    </row>
    <row r="1960" spans="1:20" ht="14.25" thickTop="1" thickBot="1" x14ac:dyDescent="0.25">
      <c r="A1960" s="511">
        <v>1</v>
      </c>
      <c r="B1960" s="512">
        <v>2</v>
      </c>
      <c r="C1960" s="512">
        <v>3</v>
      </c>
      <c r="D1960" s="512">
        <v>4</v>
      </c>
      <c r="E1960" s="512">
        <v>5</v>
      </c>
      <c r="F1960" s="499">
        <v>6</v>
      </c>
      <c r="G1960" s="499">
        <v>7</v>
      </c>
      <c r="H1960" s="500">
        <v>8</v>
      </c>
      <c r="I1960" s="577" t="s">
        <v>393</v>
      </c>
    </row>
    <row r="1961" spans="1:20" ht="15.75" thickTop="1" x14ac:dyDescent="0.25">
      <c r="A1961" s="921">
        <v>1223</v>
      </c>
      <c r="B1961" s="2722">
        <v>3122</v>
      </c>
      <c r="C1961" s="2722">
        <v>5336</v>
      </c>
      <c r="D1961" s="2777"/>
      <c r="E1961" s="602" t="s">
        <v>856</v>
      </c>
      <c r="F1961" s="675">
        <f>F1962</f>
        <v>0</v>
      </c>
      <c r="G1961" s="675">
        <f>G1962</f>
        <v>12658</v>
      </c>
      <c r="H1961" s="675">
        <f>H1962</f>
        <v>12658</v>
      </c>
      <c r="I1961" s="680">
        <f t="shared" ref="I1961:I1981" si="383">(H1961/G1961)*100</f>
        <v>100</v>
      </c>
    </row>
    <row r="1962" spans="1:20" ht="13.5" customHeight="1" x14ac:dyDescent="0.2">
      <c r="A1962" s="921"/>
      <c r="B1962" s="2722"/>
      <c r="C1962" s="2722"/>
      <c r="D1962" s="2726" t="s">
        <v>901</v>
      </c>
      <c r="E1962" s="436" t="s">
        <v>1637</v>
      </c>
      <c r="F1962" s="668">
        <v>0</v>
      </c>
      <c r="G1962" s="665">
        <v>12658</v>
      </c>
      <c r="H1962" s="665">
        <v>12658</v>
      </c>
      <c r="I1962" s="656">
        <f t="shared" si="383"/>
        <v>100</v>
      </c>
    </row>
    <row r="1963" spans="1:20" ht="15" x14ac:dyDescent="0.25">
      <c r="A1963" s="921">
        <v>1223</v>
      </c>
      <c r="B1963" s="2722">
        <v>3123</v>
      </c>
      <c r="C1963" s="2722">
        <v>5336</v>
      </c>
      <c r="D1963" s="2765"/>
      <c r="E1963" s="602" t="s">
        <v>856</v>
      </c>
      <c r="F1963" s="675">
        <f>F1964</f>
        <v>0</v>
      </c>
      <c r="G1963" s="675">
        <f>G1964</f>
        <v>10577</v>
      </c>
      <c r="H1963" s="675">
        <f>H1964</f>
        <v>10577</v>
      </c>
      <c r="I1963" s="669">
        <f t="shared" si="383"/>
        <v>100</v>
      </c>
    </row>
    <row r="1964" spans="1:20" ht="14.25" x14ac:dyDescent="0.2">
      <c r="A1964" s="921"/>
      <c r="B1964" s="2722"/>
      <c r="C1964" s="2722"/>
      <c r="D1964" s="2726" t="s">
        <v>901</v>
      </c>
      <c r="E1964" s="436" t="s">
        <v>1637</v>
      </c>
      <c r="F1964" s="665">
        <v>0</v>
      </c>
      <c r="G1964" s="665">
        <v>10577</v>
      </c>
      <c r="H1964" s="665">
        <v>10577</v>
      </c>
      <c r="I1964" s="661">
        <f t="shared" si="383"/>
        <v>100</v>
      </c>
      <c r="R1964" s="2222"/>
      <c r="S1964" s="2223"/>
    </row>
    <row r="1965" spans="1:20" ht="15" x14ac:dyDescent="0.25">
      <c r="A1965" s="921">
        <v>1223</v>
      </c>
      <c r="B1965" s="2722">
        <v>3124</v>
      </c>
      <c r="C1965" s="2722">
        <v>5336</v>
      </c>
      <c r="D1965" s="2726"/>
      <c r="E1965" s="602" t="s">
        <v>856</v>
      </c>
      <c r="F1965" s="675">
        <f>F1966</f>
        <v>0</v>
      </c>
      <c r="G1965" s="675">
        <f>G1966</f>
        <v>8250</v>
      </c>
      <c r="H1965" s="675">
        <f>H1966</f>
        <v>8250</v>
      </c>
      <c r="I1965" s="669">
        <f t="shared" si="383"/>
        <v>100</v>
      </c>
      <c r="R1965" s="1608"/>
      <c r="S1965" s="1609"/>
    </row>
    <row r="1966" spans="1:20" ht="14.25" x14ac:dyDescent="0.2">
      <c r="A1966" s="921"/>
      <c r="B1966" s="2722"/>
      <c r="C1966" s="1350"/>
      <c r="D1966" s="2726" t="s">
        <v>901</v>
      </c>
      <c r="E1966" s="436" t="s">
        <v>1637</v>
      </c>
      <c r="F1966" s="665">
        <v>0</v>
      </c>
      <c r="G1966" s="665">
        <v>8250</v>
      </c>
      <c r="H1966" s="665">
        <v>8250</v>
      </c>
      <c r="I1966" s="661">
        <f t="shared" si="383"/>
        <v>100</v>
      </c>
    </row>
    <row r="1967" spans="1:20" ht="15" x14ac:dyDescent="0.25">
      <c r="A1967" s="921">
        <v>1223</v>
      </c>
      <c r="B1967" s="2722">
        <v>3127</v>
      </c>
      <c r="C1967" s="2722">
        <v>5331</v>
      </c>
      <c r="D1967" s="2732"/>
      <c r="E1967" s="644" t="s">
        <v>481</v>
      </c>
      <c r="F1967" s="675">
        <f>F1968</f>
        <v>0</v>
      </c>
      <c r="G1967" s="675">
        <f t="shared" ref="G1967:H1967" si="384">G1968</f>
        <v>47</v>
      </c>
      <c r="H1967" s="675">
        <f t="shared" si="384"/>
        <v>47</v>
      </c>
      <c r="I1967" s="669">
        <f t="shared" si="383"/>
        <v>100</v>
      </c>
    </row>
    <row r="1968" spans="1:20" ht="14.25" x14ac:dyDescent="0.2">
      <c r="A1968" s="921"/>
      <c r="B1968" s="2722"/>
      <c r="C1968" s="1350"/>
      <c r="D1968" s="2742" t="s">
        <v>1891</v>
      </c>
      <c r="E1968" s="938" t="s">
        <v>1952</v>
      </c>
      <c r="F1968" s="665">
        <v>0</v>
      </c>
      <c r="G1968" s="665">
        <v>47</v>
      </c>
      <c r="H1968" s="665">
        <v>47</v>
      </c>
      <c r="I1968" s="661">
        <f t="shared" si="383"/>
        <v>100</v>
      </c>
    </row>
    <row r="1969" spans="1:20" ht="15" x14ac:dyDescent="0.25">
      <c r="A1969" s="921">
        <v>1223</v>
      </c>
      <c r="B1969" s="2722">
        <v>3127</v>
      </c>
      <c r="C1969" s="2722">
        <v>5336</v>
      </c>
      <c r="D1969" s="2726"/>
      <c r="E1969" s="602" t="s">
        <v>856</v>
      </c>
      <c r="F1969" s="675">
        <f>F1970+F1971+F1972+F1973+F1974+F1975</f>
        <v>0</v>
      </c>
      <c r="G1969" s="675">
        <f>G1970+G1971+G1972+G1973+G1974+G1975</f>
        <v>1994</v>
      </c>
      <c r="H1969" s="675">
        <f>H1970+H1971+H1972+H1973+H1974+H1975</f>
        <v>1994</v>
      </c>
      <c r="I1969" s="669">
        <f t="shared" si="383"/>
        <v>100</v>
      </c>
    </row>
    <row r="1970" spans="1:20" ht="28.5" hidden="1" x14ac:dyDescent="0.2">
      <c r="A1970" s="921"/>
      <c r="B1970" s="2722"/>
      <c r="C1970" s="1350"/>
      <c r="D1970" s="2753" t="s">
        <v>915</v>
      </c>
      <c r="E1970" s="2225" t="s">
        <v>916</v>
      </c>
      <c r="F1970" s="665"/>
      <c r="G1970" s="870"/>
      <c r="H1970" s="870"/>
      <c r="I1970" s="874" t="e">
        <f t="shared" si="383"/>
        <v>#DIV/0!</v>
      </c>
    </row>
    <row r="1971" spans="1:20" ht="14.25" x14ac:dyDescent="0.2">
      <c r="A1971" s="921"/>
      <c r="B1971" s="2722"/>
      <c r="C1971" s="1350"/>
      <c r="D1971" s="2725" t="s">
        <v>912</v>
      </c>
      <c r="E1971" s="1598" t="s">
        <v>817</v>
      </c>
      <c r="F1971" s="665">
        <v>0</v>
      </c>
      <c r="G1971" s="665">
        <v>293</v>
      </c>
      <c r="H1971" s="665">
        <v>293</v>
      </c>
      <c r="I1971" s="661">
        <f t="shared" si="383"/>
        <v>100</v>
      </c>
    </row>
    <row r="1972" spans="1:20" ht="14.25" x14ac:dyDescent="0.2">
      <c r="A1972" s="921"/>
      <c r="B1972" s="2722"/>
      <c r="C1972" s="1350"/>
      <c r="D1972" s="2725" t="s">
        <v>902</v>
      </c>
      <c r="E1972" s="1352" t="s">
        <v>855</v>
      </c>
      <c r="F1972" s="665">
        <v>0</v>
      </c>
      <c r="G1972" s="665">
        <v>681</v>
      </c>
      <c r="H1972" s="665">
        <v>681</v>
      </c>
      <c r="I1972" s="661">
        <f t="shared" si="383"/>
        <v>100</v>
      </c>
    </row>
    <row r="1973" spans="1:20" ht="14.25" x14ac:dyDescent="0.2">
      <c r="A1973" s="921"/>
      <c r="B1973" s="2722"/>
      <c r="C1973" s="1350"/>
      <c r="D1973" s="2725" t="s">
        <v>1896</v>
      </c>
      <c r="E1973" s="2220" t="s">
        <v>1951</v>
      </c>
      <c r="F1973" s="665">
        <v>0</v>
      </c>
      <c r="G1973" s="870">
        <v>245</v>
      </c>
      <c r="H1973" s="870">
        <v>245</v>
      </c>
      <c r="I1973" s="874">
        <f t="shared" si="383"/>
        <v>100</v>
      </c>
    </row>
    <row r="1974" spans="1:20" ht="14.25" x14ac:dyDescent="0.2">
      <c r="A1974" s="921"/>
      <c r="B1974" s="2722"/>
      <c r="C1974" s="1350"/>
      <c r="D1974" s="2726" t="s">
        <v>1144</v>
      </c>
      <c r="E1974" s="938" t="s">
        <v>1515</v>
      </c>
      <c r="F1974" s="665">
        <v>0</v>
      </c>
      <c r="G1974" s="665">
        <v>116</v>
      </c>
      <c r="H1974" s="665">
        <v>116</v>
      </c>
      <c r="I1974" s="661">
        <f t="shared" si="383"/>
        <v>100</v>
      </c>
    </row>
    <row r="1975" spans="1:20" ht="14.25" x14ac:dyDescent="0.2">
      <c r="A1975" s="921"/>
      <c r="B1975" s="2722"/>
      <c r="C1975" s="1350"/>
      <c r="D1975" s="2726" t="s">
        <v>1145</v>
      </c>
      <c r="E1975" s="938" t="s">
        <v>1515</v>
      </c>
      <c r="F1975" s="665">
        <v>0</v>
      </c>
      <c r="G1975" s="665">
        <v>659</v>
      </c>
      <c r="H1975" s="665">
        <v>659</v>
      </c>
      <c r="I1975" s="661">
        <f t="shared" si="383"/>
        <v>100</v>
      </c>
    </row>
    <row r="1976" spans="1:20" ht="15" x14ac:dyDescent="0.25">
      <c r="A1976" s="921">
        <v>1223</v>
      </c>
      <c r="B1976" s="2722">
        <v>3141</v>
      </c>
      <c r="C1976" s="2722">
        <v>5336</v>
      </c>
      <c r="D1976" s="2726"/>
      <c r="E1976" s="602" t="s">
        <v>856</v>
      </c>
      <c r="F1976" s="675">
        <f>F1977</f>
        <v>0</v>
      </c>
      <c r="G1976" s="675">
        <f>G1977</f>
        <v>610</v>
      </c>
      <c r="H1976" s="675">
        <f>H1977</f>
        <v>610</v>
      </c>
      <c r="I1976" s="669">
        <f t="shared" si="383"/>
        <v>100</v>
      </c>
    </row>
    <row r="1977" spans="1:20" ht="13.5" customHeight="1" x14ac:dyDescent="0.2">
      <c r="A1977" s="921"/>
      <c r="B1977" s="2722"/>
      <c r="C1977" s="1350"/>
      <c r="D1977" s="2726" t="s">
        <v>901</v>
      </c>
      <c r="E1977" s="436" t="s">
        <v>1637</v>
      </c>
      <c r="F1977" s="665">
        <v>0</v>
      </c>
      <c r="G1977" s="665">
        <v>610</v>
      </c>
      <c r="H1977" s="665">
        <v>610</v>
      </c>
      <c r="I1977" s="661">
        <f t="shared" si="383"/>
        <v>100</v>
      </c>
    </row>
    <row r="1978" spans="1:20" ht="15" x14ac:dyDescent="0.25">
      <c r="A1978" s="921">
        <v>1223</v>
      </c>
      <c r="B1978" s="2722">
        <v>3147</v>
      </c>
      <c r="C1978" s="2722">
        <v>5336</v>
      </c>
      <c r="D1978" s="2726"/>
      <c r="E1978" s="602" t="s">
        <v>856</v>
      </c>
      <c r="F1978" s="675">
        <f>F1979</f>
        <v>0</v>
      </c>
      <c r="G1978" s="675">
        <f>G1979</f>
        <v>2065</v>
      </c>
      <c r="H1978" s="675">
        <f>H1979</f>
        <v>2065</v>
      </c>
      <c r="I1978" s="669">
        <f t="shared" si="383"/>
        <v>100</v>
      </c>
    </row>
    <row r="1979" spans="1:20" ht="15.75" customHeight="1" x14ac:dyDescent="0.2">
      <c r="A1979" s="921"/>
      <c r="B1979" s="2722"/>
      <c r="C1979" s="1350"/>
      <c r="D1979" s="2726" t="s">
        <v>901</v>
      </c>
      <c r="E1979" s="436" t="s">
        <v>1637</v>
      </c>
      <c r="F1979" s="665">
        <v>0</v>
      </c>
      <c r="G1979" s="665">
        <v>2065</v>
      </c>
      <c r="H1979" s="665">
        <v>2065</v>
      </c>
      <c r="I1979" s="661">
        <f t="shared" si="383"/>
        <v>100</v>
      </c>
    </row>
    <row r="1980" spans="1:20" ht="15.75" customHeight="1" x14ac:dyDescent="0.25">
      <c r="A1980" s="921">
        <v>1223</v>
      </c>
      <c r="B1980" s="2427">
        <v>3293</v>
      </c>
      <c r="C1980" s="2722">
        <v>5336</v>
      </c>
      <c r="D1980" s="2726"/>
      <c r="E1980" s="602" t="s">
        <v>856</v>
      </c>
      <c r="F1980" s="678">
        <f>F1981</f>
        <v>0</v>
      </c>
      <c r="G1980" s="678">
        <f>G1981</f>
        <v>28</v>
      </c>
      <c r="H1980" s="678">
        <f>H1981</f>
        <v>28</v>
      </c>
      <c r="I1980" s="669">
        <f t="shared" si="383"/>
        <v>100</v>
      </c>
    </row>
    <row r="1981" spans="1:20" ht="15.75" customHeight="1" x14ac:dyDescent="0.2">
      <c r="A1981" s="921"/>
      <c r="B1981" s="2722"/>
      <c r="C1981" s="2722"/>
      <c r="D1981" s="2726" t="s">
        <v>913</v>
      </c>
      <c r="E1981" s="949" t="s">
        <v>768</v>
      </c>
      <c r="F1981" s="660">
        <v>0</v>
      </c>
      <c r="G1981" s="660">
        <v>28</v>
      </c>
      <c r="H1981" s="660">
        <v>28</v>
      </c>
      <c r="I1981" s="661">
        <f t="shared" si="383"/>
        <v>100</v>
      </c>
    </row>
    <row r="1982" spans="1:20" ht="15.75" customHeight="1" x14ac:dyDescent="0.25">
      <c r="A1982" s="921">
        <v>1223</v>
      </c>
      <c r="B1982" s="2722">
        <v>3299</v>
      </c>
      <c r="C1982" s="2722">
        <v>5331</v>
      </c>
      <c r="D1982" s="2732"/>
      <c r="E1982" s="644" t="s">
        <v>481</v>
      </c>
      <c r="F1982" s="675">
        <f>F1983</f>
        <v>0</v>
      </c>
      <c r="G1982" s="675">
        <f t="shared" ref="G1982" si="385">G1983</f>
        <v>35</v>
      </c>
      <c r="H1982" s="675">
        <f t="shared" ref="H1982" si="386">H1983</f>
        <v>35</v>
      </c>
      <c r="I1982" s="669">
        <f t="shared" ref="I1982:I1983" si="387">(H1982/G1982)*100</f>
        <v>100</v>
      </c>
    </row>
    <row r="1983" spans="1:20" ht="15.75" customHeight="1" thickBot="1" x14ac:dyDescent="0.25">
      <c r="A1983" s="921"/>
      <c r="B1983" s="2722"/>
      <c r="C1983" s="1350"/>
      <c r="D1983" s="2742" t="s">
        <v>1891</v>
      </c>
      <c r="E1983" s="938" t="s">
        <v>1952</v>
      </c>
      <c r="F1983" s="665">
        <v>0</v>
      </c>
      <c r="G1983" s="665">
        <v>35</v>
      </c>
      <c r="H1983" s="665">
        <v>35</v>
      </c>
      <c r="I1983" s="661">
        <f t="shared" si="387"/>
        <v>100</v>
      </c>
    </row>
    <row r="1984" spans="1:20" ht="16.5" thickTop="1" thickBot="1" x14ac:dyDescent="0.3">
      <c r="A1984" s="3233" t="s">
        <v>522</v>
      </c>
      <c r="B1984" s="3234"/>
      <c r="C1984" s="3234"/>
      <c r="D1984" s="3234"/>
      <c r="E1984" s="3234"/>
      <c r="F1984" s="657">
        <f>F1961+F1963+F1965+F1969+F1976+F1978+F1980</f>
        <v>0</v>
      </c>
      <c r="G1984" s="657">
        <f>G1961+G1963+G1965+G1969+G1976+G1978+G1980+G1967+G1982</f>
        <v>36264</v>
      </c>
      <c r="H1984" s="657">
        <f>H1961+H1963+H1965+H1969+H1976+H1978+H1980+H1967+H1982</f>
        <v>36264</v>
      </c>
      <c r="I1984" s="658">
        <f>(H1984/G1984)*100</f>
        <v>100</v>
      </c>
      <c r="R1984" s="373">
        <f>F1984</f>
        <v>0</v>
      </c>
      <c r="S1984" s="373">
        <f>G1984</f>
        <v>36264</v>
      </c>
      <c r="T1984" s="373">
        <f>H1984</f>
        <v>36264</v>
      </c>
    </row>
    <row r="1985" spans="1:9" s="106" customFormat="1" ht="13.5" thickTop="1" x14ac:dyDescent="0.2">
      <c r="A1985" s="372"/>
      <c r="B1985" s="584"/>
      <c r="C1985" s="372"/>
      <c r="D1985" s="648"/>
      <c r="E1985" s="372"/>
      <c r="F1985" s="373"/>
      <c r="G1985" s="373"/>
      <c r="H1985" s="373"/>
      <c r="I1985" s="915"/>
    </row>
    <row r="1986" spans="1:9" s="106" customFormat="1" x14ac:dyDescent="0.2">
      <c r="A1986" s="372"/>
      <c r="B1986" s="584"/>
      <c r="C1986" s="372"/>
      <c r="D1986" s="648"/>
      <c r="E1986" s="372"/>
      <c r="F1986" s="373"/>
      <c r="G1986" s="373"/>
      <c r="H1986" s="373"/>
      <c r="I1986" s="915"/>
    </row>
    <row r="1987" spans="1:9" s="106" customFormat="1" x14ac:dyDescent="0.2">
      <c r="A1987" s="372"/>
      <c r="B1987" s="584"/>
      <c r="C1987" s="372"/>
      <c r="D1987" s="648"/>
      <c r="E1987" s="372"/>
      <c r="F1987" s="373"/>
      <c r="G1987" s="373"/>
      <c r="H1987" s="373"/>
      <c r="I1987" s="915"/>
    </row>
    <row r="1988" spans="1:9" s="106" customFormat="1" x14ac:dyDescent="0.2">
      <c r="A1988" s="372"/>
      <c r="B1988" s="584"/>
      <c r="C1988" s="372"/>
      <c r="D1988" s="648"/>
      <c r="E1988" s="372"/>
      <c r="F1988" s="373"/>
      <c r="G1988" s="373"/>
      <c r="H1988" s="373"/>
      <c r="I1988" s="915"/>
    </row>
    <row r="1989" spans="1:9" s="106" customFormat="1" x14ac:dyDescent="0.2">
      <c r="A1989" s="372"/>
      <c r="B1989" s="584"/>
      <c r="C1989" s="372"/>
      <c r="D1989" s="648"/>
      <c r="E1989" s="372"/>
      <c r="F1989" s="373"/>
      <c r="G1989" s="373"/>
      <c r="H1989" s="373"/>
      <c r="I1989" s="915"/>
    </row>
    <row r="1990" spans="1:9" s="106" customFormat="1" x14ac:dyDescent="0.2">
      <c r="A1990" s="372"/>
      <c r="B1990" s="584"/>
      <c r="C1990" s="372"/>
      <c r="D1990" s="648"/>
      <c r="E1990" s="372"/>
      <c r="F1990" s="373"/>
      <c r="G1990" s="373"/>
      <c r="H1990" s="373"/>
      <c r="I1990" s="915"/>
    </row>
    <row r="1991" spans="1:9" s="106" customFormat="1" x14ac:dyDescent="0.2">
      <c r="A1991" s="372"/>
      <c r="B1991" s="584"/>
      <c r="C1991" s="372"/>
      <c r="D1991" s="648"/>
      <c r="E1991" s="372"/>
      <c r="F1991" s="373"/>
      <c r="G1991" s="373"/>
      <c r="H1991" s="373"/>
      <c r="I1991" s="915"/>
    </row>
    <row r="1992" spans="1:9" s="106" customFormat="1" x14ac:dyDescent="0.2">
      <c r="A1992" s="372"/>
      <c r="B1992" s="584"/>
      <c r="C1992" s="372"/>
      <c r="D1992" s="648"/>
      <c r="E1992" s="372"/>
      <c r="F1992" s="373"/>
      <c r="G1992" s="373"/>
      <c r="H1992" s="373"/>
      <c r="I1992" s="915"/>
    </row>
    <row r="1993" spans="1:9" s="106" customFormat="1" x14ac:dyDescent="0.2">
      <c r="A1993" s="372"/>
      <c r="B1993" s="584"/>
      <c r="C1993" s="372"/>
      <c r="D1993" s="648"/>
      <c r="E1993" s="372"/>
      <c r="F1993" s="373"/>
      <c r="G1993" s="373"/>
      <c r="H1993" s="373"/>
      <c r="I1993" s="915"/>
    </row>
    <row r="1994" spans="1:9" s="106" customFormat="1" x14ac:dyDescent="0.2">
      <c r="A1994" s="372"/>
      <c r="B1994" s="584"/>
      <c r="C1994" s="372"/>
      <c r="D1994" s="648"/>
      <c r="E1994" s="372"/>
      <c r="F1994" s="373"/>
      <c r="G1994" s="373"/>
      <c r="H1994" s="373"/>
      <c r="I1994" s="915"/>
    </row>
    <row r="1995" spans="1:9" s="106" customFormat="1" x14ac:dyDescent="0.2">
      <c r="A1995" s="372"/>
      <c r="B1995" s="584"/>
      <c r="C1995" s="372"/>
      <c r="D1995" s="648"/>
      <c r="E1995" s="372"/>
      <c r="F1995" s="373"/>
      <c r="G1995" s="373"/>
      <c r="H1995" s="373"/>
      <c r="I1995" s="915"/>
    </row>
    <row r="1996" spans="1:9" s="106" customFormat="1" x14ac:dyDescent="0.2">
      <c r="A1996" s="372"/>
      <c r="B1996" s="584"/>
      <c r="C1996" s="372"/>
      <c r="D1996" s="648"/>
      <c r="E1996" s="372"/>
      <c r="F1996" s="373"/>
      <c r="G1996" s="373"/>
      <c r="H1996" s="373"/>
      <c r="I1996" s="915"/>
    </row>
    <row r="1997" spans="1:9" s="106" customFormat="1" x14ac:dyDescent="0.2">
      <c r="A1997" s="372"/>
      <c r="B1997" s="584"/>
      <c r="C1997" s="372"/>
      <c r="D1997" s="648"/>
      <c r="E1997" s="372"/>
      <c r="F1997" s="373"/>
      <c r="G1997" s="373"/>
      <c r="H1997" s="373"/>
      <c r="I1997" s="915"/>
    </row>
    <row r="1998" spans="1:9" ht="13.5" thickBot="1" x14ac:dyDescent="0.25">
      <c r="A1998" s="419" t="s">
        <v>1066</v>
      </c>
      <c r="I1998" s="915" t="s">
        <v>92</v>
      </c>
    </row>
    <row r="1999" spans="1:9" ht="14.25" thickTop="1" thickBot="1" x14ac:dyDescent="0.25">
      <c r="A1999" s="572" t="s">
        <v>324</v>
      </c>
      <c r="B1999" s="639" t="s">
        <v>93</v>
      </c>
      <c r="C1999" s="573" t="s">
        <v>94</v>
      </c>
      <c r="D1999" s="575" t="s">
        <v>364</v>
      </c>
      <c r="E1999" s="575" t="s">
        <v>95</v>
      </c>
      <c r="F1999" s="575" t="s">
        <v>328</v>
      </c>
      <c r="G1999" s="575" t="s">
        <v>329</v>
      </c>
      <c r="H1999" s="575" t="s">
        <v>448</v>
      </c>
      <c r="I1999" s="651" t="s">
        <v>449</v>
      </c>
    </row>
    <row r="2000" spans="1:9" ht="14.25" thickTop="1" thickBot="1" x14ac:dyDescent="0.25">
      <c r="A2000" s="511">
        <v>1</v>
      </c>
      <c r="B2000" s="512">
        <v>2</v>
      </c>
      <c r="C2000" s="512">
        <v>3</v>
      </c>
      <c r="D2000" s="512">
        <v>4</v>
      </c>
      <c r="E2000" s="512">
        <v>5</v>
      </c>
      <c r="F2000" s="499">
        <v>6</v>
      </c>
      <c r="G2000" s="499">
        <v>7</v>
      </c>
      <c r="H2000" s="500">
        <v>8</v>
      </c>
      <c r="I2000" s="577" t="s">
        <v>393</v>
      </c>
    </row>
    <row r="2001" spans="1:9" ht="15.75" thickTop="1" x14ac:dyDescent="0.25">
      <c r="A2001" s="924">
        <v>1225</v>
      </c>
      <c r="B2001" s="676">
        <v>3124</v>
      </c>
      <c r="C2001" s="2774">
        <v>5331</v>
      </c>
      <c r="D2001" s="679"/>
      <c r="E2001" s="703" t="s">
        <v>481</v>
      </c>
      <c r="F2001" s="674">
        <f>F2002</f>
        <v>0</v>
      </c>
      <c r="G2001" s="674">
        <f t="shared" ref="G2001:H2001" si="388">G2002</f>
        <v>103</v>
      </c>
      <c r="H2001" s="674">
        <f t="shared" si="388"/>
        <v>103</v>
      </c>
      <c r="I2001" s="677">
        <f t="shared" ref="I2001:I2021" si="389">(H2001/G2001)*100</f>
        <v>100</v>
      </c>
    </row>
    <row r="2002" spans="1:9" ht="14.25" x14ac:dyDescent="0.2">
      <c r="A2002" s="418"/>
      <c r="B2002" s="603"/>
      <c r="C2002" s="603"/>
      <c r="D2002" s="620" t="s">
        <v>1891</v>
      </c>
      <c r="E2002" s="938" t="s">
        <v>1952</v>
      </c>
      <c r="F2002" s="351">
        <v>0</v>
      </c>
      <c r="G2002" s="660">
        <v>103</v>
      </c>
      <c r="H2002" s="660">
        <v>103</v>
      </c>
      <c r="I2002" s="656">
        <f t="shared" si="389"/>
        <v>100</v>
      </c>
    </row>
    <row r="2003" spans="1:9" ht="15" x14ac:dyDescent="0.25">
      <c r="A2003" s="921">
        <v>1225</v>
      </c>
      <c r="B2003" s="2722">
        <v>3124</v>
      </c>
      <c r="C2003" s="2722">
        <v>5336</v>
      </c>
      <c r="D2003" s="2725"/>
      <c r="E2003" s="602" t="s">
        <v>856</v>
      </c>
      <c r="F2003" s="675">
        <f>F2004+F2005+F2006+F2007+F2008+F2009+F2010</f>
        <v>0</v>
      </c>
      <c r="G2003" s="675">
        <f t="shared" ref="G2003:H2003" si="390">G2004+G2005+G2006+G2007+G2008+G2009+G2010</f>
        <v>26703</v>
      </c>
      <c r="H2003" s="675">
        <f t="shared" si="390"/>
        <v>26703</v>
      </c>
      <c r="I2003" s="680">
        <f t="shared" si="389"/>
        <v>100</v>
      </c>
    </row>
    <row r="2004" spans="1:9" ht="28.5" hidden="1" x14ac:dyDescent="0.2">
      <c r="A2004" s="921"/>
      <c r="B2004" s="2722"/>
      <c r="C2004" s="2722"/>
      <c r="D2004" s="2724" t="s">
        <v>915</v>
      </c>
      <c r="E2004" s="2225" t="s">
        <v>916</v>
      </c>
      <c r="F2004" s="700"/>
      <c r="G2004" s="893"/>
      <c r="H2004" s="893"/>
      <c r="I2004" s="903" t="e">
        <f t="shared" si="389"/>
        <v>#DIV/0!</v>
      </c>
    </row>
    <row r="2005" spans="1:9" ht="13.5" customHeight="1" x14ac:dyDescent="0.2">
      <c r="A2005" s="921"/>
      <c r="B2005" s="2722"/>
      <c r="C2005" s="2722"/>
      <c r="D2005" s="2725" t="s">
        <v>912</v>
      </c>
      <c r="E2005" s="1598" t="s">
        <v>817</v>
      </c>
      <c r="F2005" s="311">
        <v>0</v>
      </c>
      <c r="G2005" s="311">
        <v>243</v>
      </c>
      <c r="H2005" s="311">
        <v>243</v>
      </c>
      <c r="I2005" s="816">
        <f t="shared" si="389"/>
        <v>100</v>
      </c>
    </row>
    <row r="2006" spans="1:9" ht="13.5" customHeight="1" x14ac:dyDescent="0.2">
      <c r="A2006" s="921"/>
      <c r="B2006" s="2722"/>
      <c r="C2006" s="2722"/>
      <c r="D2006" s="2725" t="s">
        <v>902</v>
      </c>
      <c r="E2006" s="1352" t="s">
        <v>855</v>
      </c>
      <c r="F2006" s="1600">
        <v>0</v>
      </c>
      <c r="G2006" s="1600">
        <v>463</v>
      </c>
      <c r="H2006" s="1600">
        <v>463</v>
      </c>
      <c r="I2006" s="367">
        <f t="shared" ref="I2006:I2007" si="391">(H2006/G2006)*100</f>
        <v>100</v>
      </c>
    </row>
    <row r="2007" spans="1:9" ht="13.5" customHeight="1" x14ac:dyDescent="0.2">
      <c r="A2007" s="921"/>
      <c r="B2007" s="2722"/>
      <c r="C2007" s="2722"/>
      <c r="D2007" s="2725" t="s">
        <v>1896</v>
      </c>
      <c r="E2007" s="2220" t="s">
        <v>1951</v>
      </c>
      <c r="F2007" s="1600">
        <v>0</v>
      </c>
      <c r="G2007" s="1600">
        <v>186</v>
      </c>
      <c r="H2007" s="1600">
        <v>186</v>
      </c>
      <c r="I2007" s="367">
        <f t="shared" si="391"/>
        <v>100</v>
      </c>
    </row>
    <row r="2008" spans="1:9" ht="13.5" customHeight="1" x14ac:dyDescent="0.2">
      <c r="A2008" s="921"/>
      <c r="B2008" s="2722"/>
      <c r="C2008" s="2722"/>
      <c r="D2008" s="2726" t="s">
        <v>901</v>
      </c>
      <c r="E2008" s="436" t="s">
        <v>1637</v>
      </c>
      <c r="F2008" s="665">
        <v>0</v>
      </c>
      <c r="G2008" s="665">
        <v>25461</v>
      </c>
      <c r="H2008" s="665">
        <v>25461</v>
      </c>
      <c r="I2008" s="656">
        <f t="shared" si="389"/>
        <v>100</v>
      </c>
    </row>
    <row r="2009" spans="1:9" ht="13.5" customHeight="1" x14ac:dyDescent="0.2">
      <c r="A2009" s="921"/>
      <c r="B2009" s="2722"/>
      <c r="C2009" s="2722"/>
      <c r="D2009" s="2726" t="s">
        <v>1144</v>
      </c>
      <c r="E2009" s="938" t="s">
        <v>1515</v>
      </c>
      <c r="F2009" s="665">
        <v>0</v>
      </c>
      <c r="G2009" s="665">
        <v>53</v>
      </c>
      <c r="H2009" s="665">
        <v>53</v>
      </c>
      <c r="I2009" s="656">
        <f t="shared" si="389"/>
        <v>100</v>
      </c>
    </row>
    <row r="2010" spans="1:9" ht="13.5" customHeight="1" x14ac:dyDescent="0.2">
      <c r="A2010" s="921"/>
      <c r="B2010" s="2722"/>
      <c r="C2010" s="2722"/>
      <c r="D2010" s="2726" t="s">
        <v>1145</v>
      </c>
      <c r="E2010" s="938" t="s">
        <v>1515</v>
      </c>
      <c r="F2010" s="665">
        <v>0</v>
      </c>
      <c r="G2010" s="665">
        <v>297</v>
      </c>
      <c r="H2010" s="665">
        <v>297</v>
      </c>
      <c r="I2010" s="656">
        <f t="shared" si="389"/>
        <v>100</v>
      </c>
    </row>
    <row r="2011" spans="1:9" ht="13.5" hidden="1" customHeight="1" x14ac:dyDescent="0.25">
      <c r="A2011" s="2754">
        <v>1225</v>
      </c>
      <c r="B2011" s="2755">
        <v>3124</v>
      </c>
      <c r="C2011" s="2755">
        <v>5331</v>
      </c>
      <c r="D2011" s="2756"/>
      <c r="E2011" s="845" t="s">
        <v>481</v>
      </c>
      <c r="F2011" s="666"/>
      <c r="G2011" s="675">
        <f>G2012</f>
        <v>0</v>
      </c>
      <c r="H2011" s="675">
        <f>H2012</f>
        <v>0</v>
      </c>
      <c r="I2011" s="680" t="e">
        <f t="shared" si="389"/>
        <v>#DIV/0!</v>
      </c>
    </row>
    <row r="2012" spans="1:9" ht="29.25" hidden="1" x14ac:dyDescent="0.25">
      <c r="A2012" s="2754"/>
      <c r="B2012" s="2755"/>
      <c r="C2012" s="2761"/>
      <c r="D2012" s="2768" t="s">
        <v>1134</v>
      </c>
      <c r="E2012" s="2623" t="s">
        <v>1527</v>
      </c>
      <c r="F2012" s="666"/>
      <c r="G2012" s="870"/>
      <c r="H2012" s="870"/>
      <c r="I2012" s="871" t="e">
        <f t="shared" si="389"/>
        <v>#DIV/0!</v>
      </c>
    </row>
    <row r="2013" spans="1:9" ht="15.75" customHeight="1" x14ac:dyDescent="0.25">
      <c r="A2013" s="921">
        <v>1225</v>
      </c>
      <c r="B2013" s="2722">
        <v>3141</v>
      </c>
      <c r="C2013" s="2722">
        <v>5336</v>
      </c>
      <c r="D2013" s="2726"/>
      <c r="E2013" s="602" t="s">
        <v>856</v>
      </c>
      <c r="F2013" s="675">
        <f>F2014</f>
        <v>0</v>
      </c>
      <c r="G2013" s="675">
        <f>G2014</f>
        <v>648</v>
      </c>
      <c r="H2013" s="675">
        <f>H2014</f>
        <v>648</v>
      </c>
      <c r="I2013" s="669">
        <f t="shared" si="389"/>
        <v>100</v>
      </c>
    </row>
    <row r="2014" spans="1:9" ht="14.25" x14ac:dyDescent="0.2">
      <c r="A2014" s="921"/>
      <c r="B2014" s="2722"/>
      <c r="C2014" s="2722"/>
      <c r="D2014" s="2726" t="s">
        <v>901</v>
      </c>
      <c r="E2014" s="436" t="s">
        <v>1637</v>
      </c>
      <c r="F2014" s="665">
        <v>0</v>
      </c>
      <c r="G2014" s="665">
        <v>648</v>
      </c>
      <c r="H2014" s="665">
        <v>648</v>
      </c>
      <c r="I2014" s="661">
        <f t="shared" si="389"/>
        <v>100</v>
      </c>
    </row>
    <row r="2015" spans="1:9" ht="15" x14ac:dyDescent="0.25">
      <c r="A2015" s="921">
        <v>1225</v>
      </c>
      <c r="B2015" s="2722">
        <v>3145</v>
      </c>
      <c r="C2015" s="1350">
        <v>5336</v>
      </c>
      <c r="D2015" s="2726"/>
      <c r="E2015" s="602" t="s">
        <v>856</v>
      </c>
      <c r="F2015" s="675">
        <f>F2016</f>
        <v>0</v>
      </c>
      <c r="G2015" s="675">
        <f>G2016</f>
        <v>3786</v>
      </c>
      <c r="H2015" s="675">
        <f>H2016</f>
        <v>3786</v>
      </c>
      <c r="I2015" s="669">
        <f t="shared" si="389"/>
        <v>100</v>
      </c>
    </row>
    <row r="2016" spans="1:9" s="941" customFormat="1" ht="14.25" x14ac:dyDescent="0.2">
      <c r="A2016" s="921"/>
      <c r="B2016" s="2722"/>
      <c r="C2016" s="1350"/>
      <c r="D2016" s="2726" t="s">
        <v>901</v>
      </c>
      <c r="E2016" s="971" t="s">
        <v>1637</v>
      </c>
      <c r="F2016" s="870">
        <v>0</v>
      </c>
      <c r="G2016" s="870">
        <v>3786</v>
      </c>
      <c r="H2016" s="870">
        <v>3786</v>
      </c>
      <c r="I2016" s="874">
        <f t="shared" si="389"/>
        <v>100</v>
      </c>
    </row>
    <row r="2017" spans="1:20" ht="15" x14ac:dyDescent="0.25">
      <c r="A2017" s="921">
        <v>1225</v>
      </c>
      <c r="B2017" s="2427">
        <v>3293</v>
      </c>
      <c r="C2017" s="1350">
        <v>5336</v>
      </c>
      <c r="D2017" s="2726"/>
      <c r="E2017" s="602" t="s">
        <v>856</v>
      </c>
      <c r="F2017" s="675">
        <f>F2018</f>
        <v>0</v>
      </c>
      <c r="G2017" s="675">
        <f>G2018</f>
        <v>349</v>
      </c>
      <c r="H2017" s="675">
        <f>H2018</f>
        <v>349</v>
      </c>
      <c r="I2017" s="669">
        <f t="shared" si="389"/>
        <v>100</v>
      </c>
    </row>
    <row r="2018" spans="1:20" ht="14.25" x14ac:dyDescent="0.2">
      <c r="A2018" s="921"/>
      <c r="B2018" s="2722"/>
      <c r="C2018" s="1350"/>
      <c r="D2018" s="2726" t="s">
        <v>913</v>
      </c>
      <c r="E2018" s="949" t="s">
        <v>768</v>
      </c>
      <c r="F2018" s="665">
        <v>0</v>
      </c>
      <c r="G2018" s="665">
        <v>349</v>
      </c>
      <c r="H2018" s="665">
        <v>349</v>
      </c>
      <c r="I2018" s="661">
        <f t="shared" si="389"/>
        <v>100</v>
      </c>
    </row>
    <row r="2019" spans="1:20" ht="15" x14ac:dyDescent="0.25">
      <c r="A2019" s="418">
        <v>1225</v>
      </c>
      <c r="B2019" s="603">
        <v>3299</v>
      </c>
      <c r="C2019" s="2427">
        <v>5331</v>
      </c>
      <c r="D2019" s="652"/>
      <c r="E2019" s="644" t="s">
        <v>481</v>
      </c>
      <c r="F2019" s="653">
        <f>F2020</f>
        <v>0</v>
      </c>
      <c r="G2019" s="653">
        <f t="shared" ref="G2019" si="392">G2020</f>
        <v>58</v>
      </c>
      <c r="H2019" s="653">
        <f t="shared" ref="H2019" si="393">H2020</f>
        <v>58</v>
      </c>
      <c r="I2019" s="654">
        <f t="shared" ref="I2019:I2020" si="394">(H2019/G2019)*100</f>
        <v>100</v>
      </c>
    </row>
    <row r="2020" spans="1:20" ht="15" thickBot="1" x14ac:dyDescent="0.25">
      <c r="A2020" s="418"/>
      <c r="B2020" s="603"/>
      <c r="C2020" s="603"/>
      <c r="D2020" s="620" t="s">
        <v>1891</v>
      </c>
      <c r="E2020" s="938" t="s">
        <v>1952</v>
      </c>
      <c r="F2020" s="351">
        <v>0</v>
      </c>
      <c r="G2020" s="660">
        <v>58</v>
      </c>
      <c r="H2020" s="660">
        <v>58</v>
      </c>
      <c r="I2020" s="656">
        <f t="shared" si="394"/>
        <v>100</v>
      </c>
    </row>
    <row r="2021" spans="1:20" ht="16.5" thickTop="1" thickBot="1" x14ac:dyDescent="0.3">
      <c r="A2021" s="3233" t="s">
        <v>522</v>
      </c>
      <c r="B2021" s="3234"/>
      <c r="C2021" s="3234"/>
      <c r="D2021" s="3234"/>
      <c r="E2021" s="3234"/>
      <c r="F2021" s="657">
        <f>F2001</f>
        <v>0</v>
      </c>
      <c r="G2021" s="657">
        <f>G2017+G2015+G2013+G2003+G2001+G2011+G2019</f>
        <v>31647</v>
      </c>
      <c r="H2021" s="657">
        <f>H2017+H2015+H2013+H2003+H2001+H2011+H2019</f>
        <v>31647</v>
      </c>
      <c r="I2021" s="658">
        <f t="shared" si="389"/>
        <v>100</v>
      </c>
      <c r="R2021" s="373">
        <f>F2021</f>
        <v>0</v>
      </c>
      <c r="S2021" s="373">
        <f>G2021</f>
        <v>31647</v>
      </c>
      <c r="T2021" s="373">
        <f>H2021</f>
        <v>31647</v>
      </c>
    </row>
    <row r="2022" spans="1:20" ht="13.5" thickTop="1" x14ac:dyDescent="0.2"/>
    <row r="2023" spans="1:20" s="941" customFormat="1" ht="13.5" thickBot="1" x14ac:dyDescent="0.25">
      <c r="A2023" s="965" t="s">
        <v>1987</v>
      </c>
      <c r="B2023" s="953"/>
      <c r="D2023" s="954"/>
      <c r="F2023" s="952"/>
      <c r="G2023" s="952"/>
      <c r="H2023" s="952"/>
      <c r="I2023" s="955" t="s">
        <v>92</v>
      </c>
    </row>
    <row r="2024" spans="1:20" ht="14.25" thickTop="1" thickBot="1" x14ac:dyDescent="0.25">
      <c r="A2024" s="572" t="s">
        <v>324</v>
      </c>
      <c r="B2024" s="639" t="s">
        <v>93</v>
      </c>
      <c r="C2024" s="573" t="s">
        <v>94</v>
      </c>
      <c r="D2024" s="575" t="s">
        <v>364</v>
      </c>
      <c r="E2024" s="575" t="s">
        <v>95</v>
      </c>
      <c r="F2024" s="575" t="s">
        <v>328</v>
      </c>
      <c r="G2024" s="575" t="s">
        <v>329</v>
      </c>
      <c r="H2024" s="575" t="s">
        <v>448</v>
      </c>
      <c r="I2024" s="651" t="s">
        <v>449</v>
      </c>
    </row>
    <row r="2025" spans="1:20" ht="14.25" thickTop="1" thickBot="1" x14ac:dyDescent="0.25">
      <c r="A2025" s="511">
        <v>1</v>
      </c>
      <c r="B2025" s="512">
        <v>2</v>
      </c>
      <c r="C2025" s="512">
        <v>3</v>
      </c>
      <c r="D2025" s="512">
        <v>4</v>
      </c>
      <c r="E2025" s="512">
        <v>5</v>
      </c>
      <c r="F2025" s="499">
        <v>6</v>
      </c>
      <c r="G2025" s="499">
        <v>7</v>
      </c>
      <c r="H2025" s="500">
        <v>8</v>
      </c>
      <c r="I2025" s="577" t="s">
        <v>393</v>
      </c>
    </row>
    <row r="2026" spans="1:20" ht="15.75" thickTop="1" x14ac:dyDescent="0.25">
      <c r="A2026" s="2773">
        <v>1226</v>
      </c>
      <c r="B2026" s="2774">
        <v>3122</v>
      </c>
      <c r="C2026" s="2774">
        <v>5336</v>
      </c>
      <c r="D2026" s="2775"/>
      <c r="E2026" s="602" t="s">
        <v>856</v>
      </c>
      <c r="F2026" s="674">
        <f>F2027</f>
        <v>0</v>
      </c>
      <c r="G2026" s="674">
        <f>G2027</f>
        <v>2296</v>
      </c>
      <c r="H2026" s="674">
        <f>H2027</f>
        <v>2296</v>
      </c>
      <c r="I2026" s="677">
        <f>(H2026/G2026)*100</f>
        <v>100</v>
      </c>
    </row>
    <row r="2027" spans="1:20" ht="14.25" x14ac:dyDescent="0.2">
      <c r="A2027" s="921"/>
      <c r="B2027" s="2427"/>
      <c r="C2027" s="2427"/>
      <c r="D2027" s="2726" t="s">
        <v>901</v>
      </c>
      <c r="E2027" s="436" t="s">
        <v>1637</v>
      </c>
      <c r="F2027" s="660">
        <v>0</v>
      </c>
      <c r="G2027" s="660">
        <v>2296</v>
      </c>
      <c r="H2027" s="660">
        <v>2296</v>
      </c>
      <c r="I2027" s="656">
        <v>100</v>
      </c>
    </row>
    <row r="2028" spans="1:20" ht="15" x14ac:dyDescent="0.25">
      <c r="A2028" s="921">
        <v>1226</v>
      </c>
      <c r="B2028" s="2427">
        <v>3123</v>
      </c>
      <c r="C2028" s="2427">
        <v>5336</v>
      </c>
      <c r="D2028" s="2763"/>
      <c r="E2028" s="602" t="s">
        <v>856</v>
      </c>
      <c r="F2028" s="678">
        <f>F2029</f>
        <v>0</v>
      </c>
      <c r="G2028" s="678">
        <f>G2029</f>
        <v>17380</v>
      </c>
      <c r="H2028" s="678">
        <f>H2029</f>
        <v>17380</v>
      </c>
      <c r="I2028" s="680">
        <v>100</v>
      </c>
    </row>
    <row r="2029" spans="1:20" ht="14.25" customHeight="1" x14ac:dyDescent="0.2">
      <c r="A2029" s="921"/>
      <c r="B2029" s="2427"/>
      <c r="C2029" s="2427"/>
      <c r="D2029" s="2726" t="s">
        <v>901</v>
      </c>
      <c r="E2029" s="436" t="s">
        <v>1637</v>
      </c>
      <c r="F2029" s="660">
        <v>0</v>
      </c>
      <c r="G2029" s="660">
        <v>17380</v>
      </c>
      <c r="H2029" s="660">
        <v>17380</v>
      </c>
      <c r="I2029" s="656">
        <v>100</v>
      </c>
    </row>
    <row r="2030" spans="1:20" ht="14.25" customHeight="1" x14ac:dyDescent="0.25">
      <c r="A2030" s="921">
        <v>1226</v>
      </c>
      <c r="B2030" s="2427">
        <v>3127</v>
      </c>
      <c r="C2030" s="2722">
        <v>5331</v>
      </c>
      <c r="D2030" s="2732"/>
      <c r="E2030" s="602" t="s">
        <v>481</v>
      </c>
      <c r="F2030" s="666">
        <f>F2031+F2032</f>
        <v>0</v>
      </c>
      <c r="G2030" s="666">
        <f t="shared" ref="G2030:H2030" si="395">G2031+G2032</f>
        <v>125</v>
      </c>
      <c r="H2030" s="666">
        <f t="shared" si="395"/>
        <v>125</v>
      </c>
      <c r="I2030" s="667">
        <v>100</v>
      </c>
    </row>
    <row r="2031" spans="1:20" ht="14.25" customHeight="1" x14ac:dyDescent="0.2">
      <c r="A2031" s="921"/>
      <c r="B2031" s="2722"/>
      <c r="C2031" s="2722"/>
      <c r="D2031" s="2726" t="s">
        <v>917</v>
      </c>
      <c r="E2031" s="436" t="s">
        <v>1956</v>
      </c>
      <c r="F2031" s="665">
        <v>0</v>
      </c>
      <c r="G2031" s="665">
        <v>15</v>
      </c>
      <c r="H2031" s="665">
        <v>15</v>
      </c>
      <c r="I2031" s="656">
        <v>100</v>
      </c>
    </row>
    <row r="2032" spans="1:20" ht="14.25" customHeight="1" x14ac:dyDescent="0.2">
      <c r="A2032" s="921"/>
      <c r="B2032" s="2722"/>
      <c r="C2032" s="2722"/>
      <c r="D2032" s="2726" t="s">
        <v>1891</v>
      </c>
      <c r="E2032" s="436" t="s">
        <v>1952</v>
      </c>
      <c r="F2032" s="665">
        <v>0</v>
      </c>
      <c r="G2032" s="665">
        <v>110</v>
      </c>
      <c r="H2032" s="665">
        <v>110</v>
      </c>
      <c r="I2032" s="656">
        <v>100</v>
      </c>
    </row>
    <row r="2033" spans="1:9" ht="14.25" customHeight="1" x14ac:dyDescent="0.25">
      <c r="A2033" s="921">
        <v>1226</v>
      </c>
      <c r="B2033" s="2427">
        <v>3127</v>
      </c>
      <c r="C2033" s="2427">
        <v>5336</v>
      </c>
      <c r="D2033" s="2763"/>
      <c r="E2033" s="602" t="s">
        <v>856</v>
      </c>
      <c r="F2033" s="666">
        <f>F2034+F2035+F2036+F2037+F2038</f>
        <v>0</v>
      </c>
      <c r="G2033" s="666">
        <f t="shared" ref="G2033:H2033" si="396">G2034+G2035+G2036+G2037+G2038</f>
        <v>1544</v>
      </c>
      <c r="H2033" s="666">
        <f t="shared" si="396"/>
        <v>1544</v>
      </c>
      <c r="I2033" s="667">
        <v>100</v>
      </c>
    </row>
    <row r="2034" spans="1:9" ht="14.25" customHeight="1" x14ac:dyDescent="0.2">
      <c r="A2034" s="921"/>
      <c r="B2034" s="2722"/>
      <c r="C2034" s="2722"/>
      <c r="D2034" s="2725" t="s">
        <v>912</v>
      </c>
      <c r="E2034" s="1598" t="s">
        <v>817</v>
      </c>
      <c r="F2034" s="665">
        <v>0</v>
      </c>
      <c r="G2034" s="665">
        <v>464</v>
      </c>
      <c r="H2034" s="665">
        <v>464</v>
      </c>
      <c r="I2034" s="656">
        <v>100</v>
      </c>
    </row>
    <row r="2035" spans="1:9" ht="14.25" customHeight="1" x14ac:dyDescent="0.2">
      <c r="A2035" s="921"/>
      <c r="B2035" s="2722"/>
      <c r="C2035" s="2722"/>
      <c r="D2035" s="2725" t="s">
        <v>902</v>
      </c>
      <c r="E2035" s="1352" t="s">
        <v>855</v>
      </c>
      <c r="F2035" s="665">
        <v>0</v>
      </c>
      <c r="G2035" s="665">
        <v>495</v>
      </c>
      <c r="H2035" s="665">
        <v>495</v>
      </c>
      <c r="I2035" s="656">
        <v>100</v>
      </c>
    </row>
    <row r="2036" spans="1:9" ht="14.25" x14ac:dyDescent="0.2">
      <c r="A2036" s="921"/>
      <c r="B2036" s="2722"/>
      <c r="C2036" s="2722"/>
      <c r="D2036" s="2725" t="s">
        <v>1896</v>
      </c>
      <c r="E2036" s="2220" t="s">
        <v>1951</v>
      </c>
      <c r="F2036" s="665">
        <v>0</v>
      </c>
      <c r="G2036" s="665">
        <v>211</v>
      </c>
      <c r="H2036" s="665">
        <v>211</v>
      </c>
      <c r="I2036" s="656">
        <v>100</v>
      </c>
    </row>
    <row r="2037" spans="1:9" ht="14.25" x14ac:dyDescent="0.2">
      <c r="A2037" s="921"/>
      <c r="B2037" s="2722"/>
      <c r="C2037" s="2722"/>
      <c r="D2037" s="2726" t="s">
        <v>1144</v>
      </c>
      <c r="E2037" s="938" t="s">
        <v>1515</v>
      </c>
      <c r="F2037" s="665">
        <v>0</v>
      </c>
      <c r="G2037" s="665">
        <v>56</v>
      </c>
      <c r="H2037" s="665">
        <v>56</v>
      </c>
      <c r="I2037" s="656">
        <v>100</v>
      </c>
    </row>
    <row r="2038" spans="1:9" ht="14.25" x14ac:dyDescent="0.2">
      <c r="A2038" s="921"/>
      <c r="B2038" s="2722"/>
      <c r="C2038" s="2722"/>
      <c r="D2038" s="2726" t="s">
        <v>1145</v>
      </c>
      <c r="E2038" s="938" t="s">
        <v>1515</v>
      </c>
      <c r="F2038" s="665">
        <v>0</v>
      </c>
      <c r="G2038" s="665">
        <v>318</v>
      </c>
      <c r="H2038" s="665">
        <v>318</v>
      </c>
      <c r="I2038" s="656">
        <v>100</v>
      </c>
    </row>
    <row r="2039" spans="1:9" ht="15" hidden="1" x14ac:dyDescent="0.25">
      <c r="A2039" s="2754">
        <v>1226</v>
      </c>
      <c r="B2039" s="2755">
        <v>3127</v>
      </c>
      <c r="C2039" s="2755">
        <v>5331</v>
      </c>
      <c r="D2039" s="2756"/>
      <c r="E2039" s="845" t="s">
        <v>481</v>
      </c>
      <c r="F2039" s="665"/>
      <c r="G2039" s="675">
        <f>G2040</f>
        <v>0</v>
      </c>
      <c r="H2039" s="675">
        <f>H2040</f>
        <v>0</v>
      </c>
      <c r="I2039" s="680">
        <v>100</v>
      </c>
    </row>
    <row r="2040" spans="1:9" ht="28.5" hidden="1" x14ac:dyDescent="0.2">
      <c r="A2040" s="2754"/>
      <c r="B2040" s="2755"/>
      <c r="C2040" s="2761"/>
      <c r="D2040" s="2768" t="s">
        <v>1134</v>
      </c>
      <c r="E2040" s="2623" t="s">
        <v>1527</v>
      </c>
      <c r="F2040" s="665"/>
      <c r="G2040" s="665"/>
      <c r="H2040" s="665"/>
      <c r="I2040" s="656">
        <v>100</v>
      </c>
    </row>
    <row r="2041" spans="1:9" ht="15" x14ac:dyDescent="0.25">
      <c r="A2041" s="921">
        <v>1226</v>
      </c>
      <c r="B2041" s="2722">
        <v>3141</v>
      </c>
      <c r="C2041" s="2722">
        <v>5336</v>
      </c>
      <c r="D2041" s="2726"/>
      <c r="E2041" s="602" t="s">
        <v>856</v>
      </c>
      <c r="F2041" s="675">
        <f>F2042</f>
        <v>0</v>
      </c>
      <c r="G2041" s="675">
        <f>G2042</f>
        <v>1042</v>
      </c>
      <c r="H2041" s="675">
        <f>H2042</f>
        <v>1042</v>
      </c>
      <c r="I2041" s="669">
        <v>100</v>
      </c>
    </row>
    <row r="2042" spans="1:9" ht="14.25" x14ac:dyDescent="0.2">
      <c r="A2042" s="921"/>
      <c r="B2042" s="2722"/>
      <c r="C2042" s="2722"/>
      <c r="D2042" s="2726" t="s">
        <v>901</v>
      </c>
      <c r="E2042" s="436" t="s">
        <v>1637</v>
      </c>
      <c r="F2042" s="665">
        <v>0</v>
      </c>
      <c r="G2042" s="665">
        <v>1042</v>
      </c>
      <c r="H2042" s="665">
        <v>1042</v>
      </c>
      <c r="I2042" s="661">
        <v>100</v>
      </c>
    </row>
    <row r="2043" spans="1:9" ht="15" x14ac:dyDescent="0.25">
      <c r="A2043" s="921">
        <v>1226</v>
      </c>
      <c r="B2043" s="2722">
        <v>3147</v>
      </c>
      <c r="C2043" s="2722">
        <v>5336</v>
      </c>
      <c r="D2043" s="2726"/>
      <c r="E2043" s="602" t="s">
        <v>856</v>
      </c>
      <c r="F2043" s="675">
        <f>F2044</f>
        <v>0</v>
      </c>
      <c r="G2043" s="675">
        <f>G2044</f>
        <v>3093</v>
      </c>
      <c r="H2043" s="675">
        <f>H2044</f>
        <v>3093</v>
      </c>
      <c r="I2043" s="669">
        <f t="shared" ref="I2043:I2049" si="397">(H2043/G2043)*100</f>
        <v>100</v>
      </c>
    </row>
    <row r="2044" spans="1:9" ht="14.25" x14ac:dyDescent="0.2">
      <c r="A2044" s="921"/>
      <c r="B2044" s="2722"/>
      <c r="C2044" s="1350"/>
      <c r="D2044" s="2726" t="s">
        <v>901</v>
      </c>
      <c r="E2044" s="436" t="s">
        <v>1637</v>
      </c>
      <c r="F2044" s="665">
        <v>0</v>
      </c>
      <c r="G2044" s="665">
        <v>3093</v>
      </c>
      <c r="H2044" s="665">
        <v>3093</v>
      </c>
      <c r="I2044" s="661">
        <f t="shared" si="397"/>
        <v>100</v>
      </c>
    </row>
    <row r="2045" spans="1:9" ht="15" x14ac:dyDescent="0.25">
      <c r="A2045" s="921">
        <v>1226</v>
      </c>
      <c r="B2045" s="2722">
        <v>3293</v>
      </c>
      <c r="C2045" s="2722">
        <v>5336</v>
      </c>
      <c r="D2045" s="2726"/>
      <c r="E2045" s="602" t="s">
        <v>856</v>
      </c>
      <c r="F2045" s="666">
        <f>F2046</f>
        <v>0</v>
      </c>
      <c r="G2045" s="666">
        <f>G2046</f>
        <v>58</v>
      </c>
      <c r="H2045" s="666">
        <f>H2046</f>
        <v>58</v>
      </c>
      <c r="I2045" s="667">
        <f t="shared" si="397"/>
        <v>100</v>
      </c>
    </row>
    <row r="2046" spans="1:9" ht="14.25" x14ac:dyDescent="0.2">
      <c r="A2046" s="921"/>
      <c r="B2046" s="2722"/>
      <c r="C2046" s="2722"/>
      <c r="D2046" s="2726" t="s">
        <v>913</v>
      </c>
      <c r="E2046" s="949" t="s">
        <v>768</v>
      </c>
      <c r="F2046" s="665">
        <v>0</v>
      </c>
      <c r="G2046" s="665">
        <v>58</v>
      </c>
      <c r="H2046" s="665">
        <v>58</v>
      </c>
      <c r="I2046" s="661">
        <f t="shared" si="397"/>
        <v>100</v>
      </c>
    </row>
    <row r="2047" spans="1:9" ht="15" x14ac:dyDescent="0.25">
      <c r="A2047" s="921">
        <v>1226</v>
      </c>
      <c r="B2047" s="2427">
        <v>3299</v>
      </c>
      <c r="C2047" s="2722">
        <v>5331</v>
      </c>
      <c r="D2047" s="2732"/>
      <c r="E2047" s="602" t="s">
        <v>481</v>
      </c>
      <c r="F2047" s="666">
        <f>F2048</f>
        <v>0</v>
      </c>
      <c r="G2047" s="666">
        <f t="shared" ref="G2047:H2047" si="398">G2048</f>
        <v>33</v>
      </c>
      <c r="H2047" s="666">
        <f t="shared" si="398"/>
        <v>33</v>
      </c>
      <c r="I2047" s="667">
        <v>100</v>
      </c>
    </row>
    <row r="2048" spans="1:9" ht="15" thickBot="1" x14ac:dyDescent="0.25">
      <c r="A2048" s="921"/>
      <c r="B2048" s="2722"/>
      <c r="C2048" s="2722"/>
      <c r="D2048" s="2726" t="s">
        <v>1891</v>
      </c>
      <c r="E2048" s="436" t="s">
        <v>1952</v>
      </c>
      <c r="F2048" s="665">
        <v>0</v>
      </c>
      <c r="G2048" s="665">
        <v>33</v>
      </c>
      <c r="H2048" s="665">
        <v>33</v>
      </c>
      <c r="I2048" s="656">
        <v>100</v>
      </c>
    </row>
    <row r="2049" spans="1:20" ht="16.5" thickTop="1" thickBot="1" x14ac:dyDescent="0.3">
      <c r="A2049" s="3233" t="s">
        <v>522</v>
      </c>
      <c r="B2049" s="3234"/>
      <c r="C2049" s="3234"/>
      <c r="D2049" s="3234"/>
      <c r="E2049" s="3234"/>
      <c r="F2049" s="657">
        <f>F2030</f>
        <v>0</v>
      </c>
      <c r="G2049" s="657">
        <f>G2045+G2043+G2041+G2033+G2030+G2028+G2026+G2039+G2047</f>
        <v>25571</v>
      </c>
      <c r="H2049" s="657">
        <f>H2045+H2043+H2041+H2033+H2030+H2028+H2026+H2039+H2047</f>
        <v>25571</v>
      </c>
      <c r="I2049" s="658">
        <f t="shared" si="397"/>
        <v>100</v>
      </c>
      <c r="R2049" s="373">
        <f>F2049</f>
        <v>0</v>
      </c>
      <c r="S2049" s="373">
        <f>G2049</f>
        <v>25571</v>
      </c>
      <c r="T2049" s="373">
        <f>H2049</f>
        <v>25571</v>
      </c>
    </row>
    <row r="2050" spans="1:20" ht="15.75" thickTop="1" x14ac:dyDescent="0.25">
      <c r="A2050" s="360"/>
      <c r="B2050" s="360"/>
      <c r="C2050" s="360"/>
      <c r="D2050" s="360"/>
      <c r="E2050" s="360"/>
      <c r="F2050" s="177"/>
      <c r="G2050" s="177"/>
      <c r="H2050" s="177"/>
      <c r="I2050" s="206"/>
      <c r="R2050" s="373"/>
      <c r="S2050" s="373"/>
      <c r="T2050" s="373"/>
    </row>
    <row r="2051" spans="1:20" ht="9.75" customHeight="1" x14ac:dyDescent="0.25">
      <c r="A2051" s="360"/>
      <c r="B2051" s="360"/>
      <c r="C2051" s="360"/>
      <c r="D2051" s="360"/>
      <c r="E2051" s="360"/>
      <c r="F2051" s="177"/>
      <c r="G2051" s="177"/>
      <c r="H2051" s="177"/>
      <c r="I2051" s="206"/>
      <c r="R2051" s="373"/>
      <c r="S2051" s="373"/>
      <c r="T2051" s="373"/>
    </row>
    <row r="2052" spans="1:20" ht="13.5" thickBot="1" x14ac:dyDescent="0.25">
      <c r="A2052" s="419" t="s">
        <v>511</v>
      </c>
      <c r="I2052" s="915" t="s">
        <v>92</v>
      </c>
    </row>
    <row r="2053" spans="1:20" ht="14.25" thickTop="1" thickBot="1" x14ac:dyDescent="0.25">
      <c r="A2053" s="572" t="s">
        <v>324</v>
      </c>
      <c r="B2053" s="639" t="s">
        <v>93</v>
      </c>
      <c r="C2053" s="573" t="s">
        <v>94</v>
      </c>
      <c r="D2053" s="575" t="s">
        <v>364</v>
      </c>
      <c r="E2053" s="575" t="s">
        <v>95</v>
      </c>
      <c r="F2053" s="575" t="s">
        <v>328</v>
      </c>
      <c r="G2053" s="575" t="s">
        <v>329</v>
      </c>
      <c r="H2053" s="575" t="s">
        <v>448</v>
      </c>
      <c r="I2053" s="651" t="s">
        <v>449</v>
      </c>
    </row>
    <row r="2054" spans="1:20" ht="14.25" thickTop="1" thickBot="1" x14ac:dyDescent="0.25">
      <c r="A2054" s="511">
        <v>1</v>
      </c>
      <c r="B2054" s="512">
        <v>2</v>
      </c>
      <c r="C2054" s="512">
        <v>3</v>
      </c>
      <c r="D2054" s="512">
        <v>4</v>
      </c>
      <c r="E2054" s="512">
        <v>5</v>
      </c>
      <c r="F2054" s="499">
        <v>6</v>
      </c>
      <c r="G2054" s="499">
        <v>7</v>
      </c>
      <c r="H2054" s="500">
        <v>8</v>
      </c>
      <c r="I2054" s="577" t="s">
        <v>393</v>
      </c>
    </row>
    <row r="2055" spans="1:20" ht="18" hidden="1" customHeight="1" thickTop="1" x14ac:dyDescent="0.25">
      <c r="A2055" s="924">
        <v>1300</v>
      </c>
      <c r="B2055" s="676">
        <v>3231</v>
      </c>
      <c r="C2055" s="676">
        <v>5331</v>
      </c>
      <c r="D2055" s="679"/>
      <c r="E2055" s="703" t="s">
        <v>481</v>
      </c>
      <c r="F2055" s="674">
        <f>F2056</f>
        <v>0</v>
      </c>
      <c r="G2055" s="674">
        <f t="shared" ref="G2055:H2055" si="399">G2056</f>
        <v>0</v>
      </c>
      <c r="H2055" s="674">
        <f t="shared" si="399"/>
        <v>0</v>
      </c>
      <c r="I2055" s="677" t="e">
        <f t="shared" ref="I2055:I2061" si="400">(H2055/G2055)*100</f>
        <v>#DIV/0!</v>
      </c>
    </row>
    <row r="2056" spans="1:20" ht="15" hidden="1" thickTop="1" x14ac:dyDescent="0.2">
      <c r="A2056" s="418"/>
      <c r="B2056" s="603"/>
      <c r="C2056" s="603"/>
      <c r="D2056" s="620" t="s">
        <v>905</v>
      </c>
      <c r="E2056" s="938" t="s">
        <v>408</v>
      </c>
      <c r="F2056" s="660"/>
      <c r="G2056" s="660"/>
      <c r="H2056" s="660"/>
      <c r="I2056" s="656" t="e">
        <f t="shared" si="400"/>
        <v>#DIV/0!</v>
      </c>
      <c r="R2056" s="373"/>
      <c r="S2056" s="373"/>
      <c r="T2056" s="373"/>
    </row>
    <row r="2057" spans="1:20" ht="15.75" thickTop="1" x14ac:dyDescent="0.25">
      <c r="A2057" s="921">
        <v>1300</v>
      </c>
      <c r="B2057" s="2427">
        <v>3231</v>
      </c>
      <c r="C2057" s="2427">
        <v>5336</v>
      </c>
      <c r="D2057" s="2725"/>
      <c r="E2057" s="602" t="s">
        <v>856</v>
      </c>
      <c r="F2057" s="678">
        <f>F2058+F2059+F2060</f>
        <v>0</v>
      </c>
      <c r="G2057" s="678">
        <f>G2058+G2059+G2060</f>
        <v>16206</v>
      </c>
      <c r="H2057" s="678">
        <f>H2058+H2059+H2060</f>
        <v>16206</v>
      </c>
      <c r="I2057" s="680">
        <f t="shared" si="400"/>
        <v>100</v>
      </c>
      <c r="R2057" s="373"/>
      <c r="S2057" s="373"/>
      <c r="T2057" s="373"/>
    </row>
    <row r="2058" spans="1:20" ht="14.25" x14ac:dyDescent="0.2">
      <c r="A2058" s="921"/>
      <c r="B2058" s="2427"/>
      <c r="C2058" s="2427"/>
      <c r="D2058" s="2725" t="s">
        <v>902</v>
      </c>
      <c r="E2058" s="1352" t="s">
        <v>855</v>
      </c>
      <c r="F2058" s="1600">
        <v>0</v>
      </c>
      <c r="G2058" s="1600">
        <v>322</v>
      </c>
      <c r="H2058" s="1600">
        <v>322</v>
      </c>
      <c r="I2058" s="367">
        <f t="shared" ref="I2058:I2059" si="401">(H2058/G2058)*100</f>
        <v>100</v>
      </c>
      <c r="R2058" s="373"/>
      <c r="S2058" s="373"/>
      <c r="T2058" s="373"/>
    </row>
    <row r="2059" spans="1:20" ht="14.25" x14ac:dyDescent="0.2">
      <c r="A2059" s="921"/>
      <c r="B2059" s="2427"/>
      <c r="C2059" s="2427"/>
      <c r="D2059" s="2725" t="s">
        <v>1896</v>
      </c>
      <c r="E2059" s="2220" t="s">
        <v>1951</v>
      </c>
      <c r="F2059" s="1643">
        <v>0</v>
      </c>
      <c r="G2059" s="1643">
        <v>45</v>
      </c>
      <c r="H2059" s="1643">
        <v>45</v>
      </c>
      <c r="I2059" s="982">
        <f t="shared" si="401"/>
        <v>100</v>
      </c>
      <c r="R2059" s="373"/>
      <c r="S2059" s="373"/>
      <c r="T2059" s="373"/>
    </row>
    <row r="2060" spans="1:20" ht="15" thickBot="1" x14ac:dyDescent="0.25">
      <c r="A2060" s="921"/>
      <c r="B2060" s="2427"/>
      <c r="C2060" s="2719"/>
      <c r="D2060" s="2726" t="s">
        <v>901</v>
      </c>
      <c r="E2060" s="436" t="s">
        <v>1637</v>
      </c>
      <c r="F2060" s="660">
        <v>0</v>
      </c>
      <c r="G2060" s="660">
        <v>15839</v>
      </c>
      <c r="H2060" s="660">
        <v>15839</v>
      </c>
      <c r="I2060" s="656">
        <f t="shared" si="400"/>
        <v>100</v>
      </c>
    </row>
    <row r="2061" spans="1:20" ht="16.5" thickTop="1" thickBot="1" x14ac:dyDescent="0.3">
      <c r="A2061" s="3233" t="s">
        <v>522</v>
      </c>
      <c r="B2061" s="3234"/>
      <c r="C2061" s="3234"/>
      <c r="D2061" s="3234"/>
      <c r="E2061" s="3234"/>
      <c r="F2061" s="657">
        <f>SUM(F2055)</f>
        <v>0</v>
      </c>
      <c r="G2061" s="657">
        <f>G2055+G2057</f>
        <v>16206</v>
      </c>
      <c r="H2061" s="657">
        <f>H2055+H2057</f>
        <v>16206</v>
      </c>
      <c r="I2061" s="658">
        <f t="shared" si="400"/>
        <v>100</v>
      </c>
      <c r="R2061" s="373">
        <f>F2061</f>
        <v>0</v>
      </c>
      <c r="S2061" s="373">
        <f>G2061</f>
        <v>16206</v>
      </c>
      <c r="T2061" s="373">
        <f>H2061</f>
        <v>16206</v>
      </c>
    </row>
    <row r="2062" spans="1:20" ht="15.75" thickTop="1" x14ac:dyDescent="0.25">
      <c r="A2062" s="360"/>
      <c r="B2062" s="360"/>
      <c r="C2062" s="360"/>
      <c r="D2062" s="360"/>
      <c r="E2062" s="360"/>
      <c r="F2062" s="177"/>
      <c r="G2062" s="177"/>
      <c r="H2062" s="177"/>
      <c r="I2062" s="206"/>
      <c r="R2062" s="373"/>
      <c r="S2062" s="373"/>
      <c r="T2062" s="373"/>
    </row>
    <row r="2063" spans="1:20" ht="15" customHeight="1" thickBot="1" x14ac:dyDescent="0.25">
      <c r="A2063" s="419" t="s">
        <v>512</v>
      </c>
      <c r="I2063" s="915" t="s">
        <v>92</v>
      </c>
    </row>
    <row r="2064" spans="1:20" ht="14.25" thickTop="1" thickBot="1" x14ac:dyDescent="0.25">
      <c r="A2064" s="572" t="s">
        <v>324</v>
      </c>
      <c r="B2064" s="639" t="s">
        <v>93</v>
      </c>
      <c r="C2064" s="573" t="s">
        <v>94</v>
      </c>
      <c r="D2064" s="575" t="s">
        <v>364</v>
      </c>
      <c r="E2064" s="575" t="s">
        <v>95</v>
      </c>
      <c r="F2064" s="575" t="s">
        <v>328</v>
      </c>
      <c r="G2064" s="575" t="s">
        <v>329</v>
      </c>
      <c r="H2064" s="575" t="s">
        <v>448</v>
      </c>
      <c r="I2064" s="651" t="s">
        <v>449</v>
      </c>
    </row>
    <row r="2065" spans="1:20" ht="14.25" thickTop="1" thickBot="1" x14ac:dyDescent="0.25">
      <c r="A2065" s="511">
        <v>1</v>
      </c>
      <c r="B2065" s="512">
        <v>2</v>
      </c>
      <c r="C2065" s="512">
        <v>3</v>
      </c>
      <c r="D2065" s="512">
        <v>4</v>
      </c>
      <c r="E2065" s="512">
        <v>5</v>
      </c>
      <c r="F2065" s="499">
        <v>6</v>
      </c>
      <c r="G2065" s="499">
        <v>7</v>
      </c>
      <c r="H2065" s="500">
        <v>8</v>
      </c>
      <c r="I2065" s="577" t="s">
        <v>393</v>
      </c>
    </row>
    <row r="2066" spans="1:20" ht="15.75" hidden="1" thickTop="1" x14ac:dyDescent="0.25">
      <c r="A2066" s="924">
        <v>1301</v>
      </c>
      <c r="B2066" s="676">
        <v>3231</v>
      </c>
      <c r="C2066" s="676">
        <v>5331</v>
      </c>
      <c r="D2066" s="679"/>
      <c r="E2066" s="703" t="s">
        <v>481</v>
      </c>
      <c r="F2066" s="674">
        <f>F2067</f>
        <v>0</v>
      </c>
      <c r="G2066" s="674">
        <f t="shared" ref="G2066:H2066" si="402">G2067</f>
        <v>0</v>
      </c>
      <c r="H2066" s="674">
        <f t="shared" si="402"/>
        <v>0</v>
      </c>
      <c r="I2066" s="677" t="e">
        <f t="shared" ref="I2066:I2077" si="403">(H2066/G2066)*100</f>
        <v>#DIV/0!</v>
      </c>
    </row>
    <row r="2067" spans="1:20" ht="15" hidden="1" thickTop="1" x14ac:dyDescent="0.2">
      <c r="A2067" s="418"/>
      <c r="B2067" s="603"/>
      <c r="C2067" s="603"/>
      <c r="D2067" s="620" t="s">
        <v>905</v>
      </c>
      <c r="E2067" s="938" t="s">
        <v>408</v>
      </c>
      <c r="F2067" s="660"/>
      <c r="G2067" s="660"/>
      <c r="H2067" s="660"/>
      <c r="I2067" s="656" t="e">
        <f t="shared" si="403"/>
        <v>#DIV/0!</v>
      </c>
    </row>
    <row r="2068" spans="1:20" ht="18" customHeight="1" thickTop="1" x14ac:dyDescent="0.25">
      <c r="A2068" s="921">
        <v>1301</v>
      </c>
      <c r="B2068" s="2427">
        <v>3231</v>
      </c>
      <c r="C2068" s="2427">
        <v>5336</v>
      </c>
      <c r="D2068" s="2725"/>
      <c r="E2068" s="602" t="s">
        <v>856</v>
      </c>
      <c r="F2068" s="678">
        <f>F2069+F2070+F2071+F2072</f>
        <v>0</v>
      </c>
      <c r="G2068" s="678">
        <f>G2069+G2070+G2071+G2072</f>
        <v>32080</v>
      </c>
      <c r="H2068" s="678">
        <f>H2069+H2070+H2071+H2072</f>
        <v>32080</v>
      </c>
      <c r="I2068" s="680">
        <f t="shared" si="403"/>
        <v>100</v>
      </c>
    </row>
    <row r="2069" spans="1:20" ht="14.25" customHeight="1" x14ac:dyDescent="0.2">
      <c r="A2069" s="921"/>
      <c r="B2069" s="2427"/>
      <c r="C2069" s="2427"/>
      <c r="D2069" s="2725" t="s">
        <v>902</v>
      </c>
      <c r="E2069" s="1352" t="s">
        <v>855</v>
      </c>
      <c r="F2069" s="1600">
        <v>0</v>
      </c>
      <c r="G2069" s="1600">
        <v>678</v>
      </c>
      <c r="H2069" s="1600">
        <v>678</v>
      </c>
      <c r="I2069" s="367">
        <f t="shared" ref="I2069:I2071" si="404">(H2069/G2069)*100</f>
        <v>100</v>
      </c>
    </row>
    <row r="2070" spans="1:20" ht="14.25" x14ac:dyDescent="0.2">
      <c r="A2070" s="921"/>
      <c r="B2070" s="2427"/>
      <c r="C2070" s="2427"/>
      <c r="D2070" s="2725" t="s">
        <v>1896</v>
      </c>
      <c r="E2070" s="2220" t="s">
        <v>1951</v>
      </c>
      <c r="F2070" s="1643">
        <v>0</v>
      </c>
      <c r="G2070" s="1643">
        <v>76</v>
      </c>
      <c r="H2070" s="1643">
        <v>76</v>
      </c>
      <c r="I2070" s="982">
        <f t="shared" si="404"/>
        <v>100</v>
      </c>
    </row>
    <row r="2071" spans="1:20" ht="14.25" hidden="1" x14ac:dyDescent="0.2">
      <c r="A2071" s="921"/>
      <c r="B2071" s="2427"/>
      <c r="C2071" s="2427"/>
      <c r="D2071" s="2725" t="s">
        <v>938</v>
      </c>
      <c r="E2071" s="949" t="s">
        <v>867</v>
      </c>
      <c r="F2071" s="1643"/>
      <c r="G2071" s="1643"/>
      <c r="H2071" s="1643"/>
      <c r="I2071" s="982" t="e">
        <f t="shared" si="404"/>
        <v>#DIV/0!</v>
      </c>
    </row>
    <row r="2072" spans="1:20" ht="14.25" x14ac:dyDescent="0.2">
      <c r="A2072" s="921"/>
      <c r="B2072" s="2427"/>
      <c r="C2072" s="2427"/>
      <c r="D2072" s="2726" t="s">
        <v>901</v>
      </c>
      <c r="E2072" s="436" t="s">
        <v>1637</v>
      </c>
      <c r="F2072" s="660">
        <v>0</v>
      </c>
      <c r="G2072" s="660">
        <v>31326</v>
      </c>
      <c r="H2072" s="660">
        <v>31326</v>
      </c>
      <c r="I2072" s="656">
        <f t="shared" si="403"/>
        <v>100</v>
      </c>
    </row>
    <row r="2073" spans="1:20" ht="15" x14ac:dyDescent="0.25">
      <c r="A2073" s="921">
        <v>1301</v>
      </c>
      <c r="B2073" s="2427">
        <v>3299</v>
      </c>
      <c r="C2073" s="2427">
        <v>5331</v>
      </c>
      <c r="D2073" s="2726"/>
      <c r="E2073" s="602" t="s">
        <v>481</v>
      </c>
      <c r="F2073" s="678">
        <f>F2074</f>
        <v>0</v>
      </c>
      <c r="G2073" s="678">
        <f>G2074</f>
        <v>15</v>
      </c>
      <c r="H2073" s="678">
        <f>H2074</f>
        <v>15</v>
      </c>
      <c r="I2073" s="680">
        <f t="shared" si="403"/>
        <v>100</v>
      </c>
    </row>
    <row r="2074" spans="1:20" ht="15" thickBot="1" x14ac:dyDescent="0.25">
      <c r="A2074" s="921"/>
      <c r="B2074" s="2427"/>
      <c r="C2074" s="2427"/>
      <c r="D2074" s="2756" t="s">
        <v>923</v>
      </c>
      <c r="E2074" s="2627" t="s">
        <v>653</v>
      </c>
      <c r="F2074" s="672">
        <v>0</v>
      </c>
      <c r="G2074" s="432">
        <v>15</v>
      </c>
      <c r="H2074" s="311">
        <v>15</v>
      </c>
      <c r="I2074" s="816">
        <f t="shared" si="403"/>
        <v>100</v>
      </c>
    </row>
    <row r="2075" spans="1:20" ht="15.75" hidden="1" thickBot="1" x14ac:dyDescent="0.3">
      <c r="A2075" s="921">
        <v>1301</v>
      </c>
      <c r="B2075" s="2427">
        <v>3312</v>
      </c>
      <c r="C2075" s="2427">
        <v>5331</v>
      </c>
      <c r="D2075" s="2726"/>
      <c r="E2075" s="602" t="s">
        <v>481</v>
      </c>
      <c r="F2075" s="672"/>
      <c r="G2075" s="678">
        <f>G2076</f>
        <v>0</v>
      </c>
      <c r="H2075" s="678">
        <f>H2076</f>
        <v>0</v>
      </c>
      <c r="I2075" s="680" t="e">
        <f t="shared" si="403"/>
        <v>#DIV/0!</v>
      </c>
    </row>
    <row r="2076" spans="1:20" ht="15" hidden="1" thickBot="1" x14ac:dyDescent="0.25">
      <c r="A2076" s="921"/>
      <c r="B2076" s="2427"/>
      <c r="C2076" s="2427"/>
      <c r="D2076" s="2756" t="s">
        <v>1140</v>
      </c>
      <c r="E2076" s="2627" t="s">
        <v>1532</v>
      </c>
      <c r="F2076" s="672"/>
      <c r="G2076" s="432"/>
      <c r="H2076" s="311"/>
      <c r="I2076" s="816" t="e">
        <f t="shared" si="403"/>
        <v>#DIV/0!</v>
      </c>
    </row>
    <row r="2077" spans="1:20" ht="16.5" thickTop="1" thickBot="1" x14ac:dyDescent="0.3">
      <c r="A2077" s="3233" t="s">
        <v>522</v>
      </c>
      <c r="B2077" s="3234"/>
      <c r="C2077" s="3234"/>
      <c r="D2077" s="3234"/>
      <c r="E2077" s="3234"/>
      <c r="F2077" s="657">
        <f>SUM(F2066)</f>
        <v>0</v>
      </c>
      <c r="G2077" s="657">
        <f>G2066+G2068+G2073+G2075</f>
        <v>32095</v>
      </c>
      <c r="H2077" s="657">
        <f>H2066+H2068+H2073+H2075</f>
        <v>32095</v>
      </c>
      <c r="I2077" s="658">
        <f t="shared" si="403"/>
        <v>100</v>
      </c>
      <c r="R2077" s="373">
        <f>F2077</f>
        <v>0</v>
      </c>
      <c r="S2077" s="373">
        <f>G2077</f>
        <v>32095</v>
      </c>
      <c r="T2077" s="373">
        <f>H2077</f>
        <v>32095</v>
      </c>
    </row>
    <row r="2078" spans="1:20" s="106" customFormat="1" ht="13.5" thickTop="1" x14ac:dyDescent="0.2">
      <c r="A2078" s="372"/>
      <c r="B2078" s="584"/>
      <c r="C2078" s="372"/>
      <c r="D2078" s="648"/>
      <c r="E2078" s="372"/>
      <c r="F2078" s="373"/>
      <c r="G2078" s="373"/>
      <c r="H2078" s="373"/>
      <c r="I2078" s="915"/>
    </row>
    <row r="2079" spans="1:20" s="374" customFormat="1" x14ac:dyDescent="0.2">
      <c r="A2079" s="372"/>
      <c r="B2079" s="584"/>
      <c r="C2079" s="372"/>
      <c r="D2079" s="648"/>
      <c r="E2079" s="372"/>
      <c r="F2079" s="373"/>
      <c r="G2079" s="373"/>
      <c r="H2079" s="373"/>
      <c r="I2079" s="915"/>
    </row>
    <row r="2080" spans="1:20" ht="13.5" thickBot="1" x14ac:dyDescent="0.25">
      <c r="A2080" s="419" t="s">
        <v>83</v>
      </c>
      <c r="I2080" s="915" t="s">
        <v>92</v>
      </c>
    </row>
    <row r="2081" spans="1:20" ht="14.25" thickTop="1" thickBot="1" x14ac:dyDescent="0.25">
      <c r="A2081" s="572" t="s">
        <v>324</v>
      </c>
      <c r="B2081" s="639" t="s">
        <v>93</v>
      </c>
      <c r="C2081" s="573" t="s">
        <v>94</v>
      </c>
      <c r="D2081" s="575" t="s">
        <v>364</v>
      </c>
      <c r="E2081" s="575" t="s">
        <v>95</v>
      </c>
      <c r="F2081" s="575" t="s">
        <v>328</v>
      </c>
      <c r="G2081" s="575" t="s">
        <v>329</v>
      </c>
      <c r="H2081" s="575" t="s">
        <v>448</v>
      </c>
      <c r="I2081" s="651" t="s">
        <v>449</v>
      </c>
    </row>
    <row r="2082" spans="1:20" ht="14.25" thickTop="1" thickBot="1" x14ac:dyDescent="0.25">
      <c r="A2082" s="511">
        <v>1</v>
      </c>
      <c r="B2082" s="512">
        <v>2</v>
      </c>
      <c r="C2082" s="512">
        <v>3</v>
      </c>
      <c r="D2082" s="512">
        <v>4</v>
      </c>
      <c r="E2082" s="512">
        <v>5</v>
      </c>
      <c r="F2082" s="499">
        <v>6</v>
      </c>
      <c r="G2082" s="499">
        <v>7</v>
      </c>
      <c r="H2082" s="500">
        <v>8</v>
      </c>
      <c r="I2082" s="577" t="s">
        <v>393</v>
      </c>
    </row>
    <row r="2083" spans="1:20" ht="15.75" hidden="1" thickTop="1" x14ac:dyDescent="0.25">
      <c r="A2083" s="924">
        <v>1302</v>
      </c>
      <c r="B2083" s="676">
        <v>3231</v>
      </c>
      <c r="C2083" s="676">
        <v>5331</v>
      </c>
      <c r="D2083" s="679"/>
      <c r="E2083" s="703" t="s">
        <v>481</v>
      </c>
      <c r="F2083" s="674">
        <f>F2084</f>
        <v>0</v>
      </c>
      <c r="G2083" s="674">
        <f t="shared" ref="G2083:H2083" si="405">G2084</f>
        <v>0</v>
      </c>
      <c r="H2083" s="674">
        <f t="shared" si="405"/>
        <v>0</v>
      </c>
      <c r="I2083" s="677" t="e">
        <f t="shared" ref="I2083:I2090" si="406">(H2083/G2083)*100</f>
        <v>#DIV/0!</v>
      </c>
    </row>
    <row r="2084" spans="1:20" ht="15" hidden="1" thickTop="1" x14ac:dyDescent="0.2">
      <c r="A2084" s="418"/>
      <c r="B2084" s="603"/>
      <c r="C2084" s="603"/>
      <c r="D2084" s="620" t="s">
        <v>905</v>
      </c>
      <c r="E2084" s="938" t="s">
        <v>408</v>
      </c>
      <c r="F2084" s="660"/>
      <c r="G2084" s="660"/>
      <c r="H2084" s="660"/>
      <c r="I2084" s="656" t="e">
        <f t="shared" si="406"/>
        <v>#DIV/0!</v>
      </c>
    </row>
    <row r="2085" spans="1:20" ht="15.75" thickTop="1" x14ac:dyDescent="0.25">
      <c r="A2085" s="921">
        <v>1302</v>
      </c>
      <c r="B2085" s="2722">
        <v>3231</v>
      </c>
      <c r="C2085" s="2722">
        <v>5336</v>
      </c>
      <c r="D2085" s="2725"/>
      <c r="E2085" s="602" t="s">
        <v>856</v>
      </c>
      <c r="F2085" s="675">
        <f>F2086+F2087+F2089+F2088</f>
        <v>0</v>
      </c>
      <c r="G2085" s="675">
        <f t="shared" ref="G2085:H2085" si="407">G2086+G2087+G2089+G2088</f>
        <v>4907</v>
      </c>
      <c r="H2085" s="675">
        <f t="shared" si="407"/>
        <v>4907</v>
      </c>
      <c r="I2085" s="680">
        <f t="shared" si="406"/>
        <v>100</v>
      </c>
    </row>
    <row r="2086" spans="1:20" ht="14.25" x14ac:dyDescent="0.2">
      <c r="A2086" s="921"/>
      <c r="B2086" s="2722"/>
      <c r="C2086" s="2722"/>
      <c r="D2086" s="2725" t="s">
        <v>902</v>
      </c>
      <c r="E2086" s="1352" t="s">
        <v>855</v>
      </c>
      <c r="F2086" s="1600">
        <v>0</v>
      </c>
      <c r="G2086" s="1600">
        <v>93</v>
      </c>
      <c r="H2086" s="1600">
        <v>93</v>
      </c>
      <c r="I2086" s="367">
        <f t="shared" ref="I2086:I2088" si="408">(H2086/G2086)*100</f>
        <v>100</v>
      </c>
    </row>
    <row r="2087" spans="1:20" ht="14.25" x14ac:dyDescent="0.2">
      <c r="A2087" s="921"/>
      <c r="B2087" s="2722"/>
      <c r="C2087" s="2722"/>
      <c r="D2087" s="2725" t="s">
        <v>1896</v>
      </c>
      <c r="E2087" s="2220" t="s">
        <v>1951</v>
      </c>
      <c r="F2087" s="1643">
        <v>0</v>
      </c>
      <c r="G2087" s="1643">
        <v>17</v>
      </c>
      <c r="H2087" s="1643">
        <v>17</v>
      </c>
      <c r="I2087" s="982">
        <f t="shared" si="408"/>
        <v>100</v>
      </c>
    </row>
    <row r="2088" spans="1:20" ht="14.25" x14ac:dyDescent="0.2">
      <c r="A2088" s="921"/>
      <c r="B2088" s="2722"/>
      <c r="C2088" s="2722"/>
      <c r="D2088" s="2725" t="s">
        <v>938</v>
      </c>
      <c r="E2088" s="3102" t="s">
        <v>867</v>
      </c>
      <c r="F2088" s="1643">
        <v>0</v>
      </c>
      <c r="G2088" s="1643">
        <v>150</v>
      </c>
      <c r="H2088" s="1643">
        <v>150</v>
      </c>
      <c r="I2088" s="982">
        <f t="shared" si="408"/>
        <v>100</v>
      </c>
    </row>
    <row r="2089" spans="1:20" ht="15" thickBot="1" x14ac:dyDescent="0.25">
      <c r="A2089" s="921"/>
      <c r="B2089" s="2722"/>
      <c r="C2089" s="1350"/>
      <c r="D2089" s="2726" t="s">
        <v>901</v>
      </c>
      <c r="E2089" s="436" t="s">
        <v>1637</v>
      </c>
      <c r="F2089" s="665">
        <v>0</v>
      </c>
      <c r="G2089" s="665">
        <v>4647</v>
      </c>
      <c r="H2089" s="665">
        <v>4647</v>
      </c>
      <c r="I2089" s="661">
        <f t="shared" si="406"/>
        <v>100</v>
      </c>
    </row>
    <row r="2090" spans="1:20" ht="16.5" thickTop="1" thickBot="1" x14ac:dyDescent="0.3">
      <c r="A2090" s="3233" t="s">
        <v>522</v>
      </c>
      <c r="B2090" s="3234"/>
      <c r="C2090" s="3234"/>
      <c r="D2090" s="3234"/>
      <c r="E2090" s="3234"/>
      <c r="F2090" s="657">
        <f>F2083</f>
        <v>0</v>
      </c>
      <c r="G2090" s="657">
        <f>G2083+G2085</f>
        <v>4907</v>
      </c>
      <c r="H2090" s="657">
        <f>H2083+H2085</f>
        <v>4907</v>
      </c>
      <c r="I2090" s="658">
        <f t="shared" si="406"/>
        <v>100</v>
      </c>
      <c r="R2090" s="373">
        <f>F2090</f>
        <v>0</v>
      </c>
      <c r="S2090" s="373">
        <f>G2090</f>
        <v>4907</v>
      </c>
      <c r="T2090" s="373">
        <f>H2090</f>
        <v>4907</v>
      </c>
    </row>
    <row r="2091" spans="1:20" s="374" customFormat="1" ht="13.5" thickTop="1" x14ac:dyDescent="0.2">
      <c r="A2091" s="372"/>
      <c r="B2091" s="584"/>
      <c r="C2091" s="372"/>
      <c r="D2091" s="648"/>
      <c r="E2091" s="372"/>
      <c r="F2091" s="373"/>
      <c r="G2091" s="373"/>
      <c r="H2091" s="373"/>
      <c r="I2091" s="915"/>
    </row>
    <row r="2092" spans="1:20" s="374" customFormat="1" ht="9" customHeight="1" x14ac:dyDescent="0.2">
      <c r="A2092" s="372"/>
      <c r="B2092" s="584"/>
      <c r="C2092" s="372"/>
      <c r="D2092" s="648"/>
      <c r="E2092" s="372"/>
      <c r="F2092" s="373"/>
      <c r="G2092" s="373"/>
      <c r="H2092" s="373"/>
      <c r="I2092" s="915"/>
    </row>
    <row r="2093" spans="1:20" ht="13.5" customHeight="1" thickBot="1" x14ac:dyDescent="0.25">
      <c r="A2093" s="419" t="s">
        <v>342</v>
      </c>
      <c r="I2093" s="915" t="s">
        <v>92</v>
      </c>
    </row>
    <row r="2094" spans="1:20" ht="13.5" customHeight="1" thickTop="1" thickBot="1" x14ac:dyDescent="0.25">
      <c r="A2094" s="572" t="s">
        <v>324</v>
      </c>
      <c r="B2094" s="639" t="s">
        <v>93</v>
      </c>
      <c r="C2094" s="573" t="s">
        <v>94</v>
      </c>
      <c r="D2094" s="575" t="s">
        <v>364</v>
      </c>
      <c r="E2094" s="575" t="s">
        <v>95</v>
      </c>
      <c r="F2094" s="575" t="s">
        <v>328</v>
      </c>
      <c r="G2094" s="575" t="s">
        <v>329</v>
      </c>
      <c r="H2094" s="575" t="s">
        <v>448</v>
      </c>
      <c r="I2094" s="651" t="s">
        <v>449</v>
      </c>
    </row>
    <row r="2095" spans="1:20" ht="14.25" thickTop="1" thickBot="1" x14ac:dyDescent="0.25">
      <c r="A2095" s="511">
        <v>1</v>
      </c>
      <c r="B2095" s="512">
        <v>2</v>
      </c>
      <c r="C2095" s="512">
        <v>3</v>
      </c>
      <c r="D2095" s="512">
        <v>4</v>
      </c>
      <c r="E2095" s="512">
        <v>5</v>
      </c>
      <c r="F2095" s="499">
        <v>6</v>
      </c>
      <c r="G2095" s="499">
        <v>7</v>
      </c>
      <c r="H2095" s="500">
        <v>8</v>
      </c>
      <c r="I2095" s="577" t="s">
        <v>393</v>
      </c>
    </row>
    <row r="2096" spans="1:20" ht="15.75" hidden="1" thickTop="1" x14ac:dyDescent="0.25">
      <c r="A2096" s="924">
        <v>1303</v>
      </c>
      <c r="B2096" s="676">
        <v>3231</v>
      </c>
      <c r="C2096" s="676">
        <v>5331</v>
      </c>
      <c r="D2096" s="679"/>
      <c r="E2096" s="703" t="s">
        <v>481</v>
      </c>
      <c r="F2096" s="674">
        <f>F2097</f>
        <v>0</v>
      </c>
      <c r="G2096" s="674">
        <f t="shared" ref="G2096:H2096" si="409">G2097</f>
        <v>0</v>
      </c>
      <c r="H2096" s="674">
        <f t="shared" si="409"/>
        <v>0</v>
      </c>
      <c r="I2096" s="677" t="e">
        <f>(H2096/G2096)*100</f>
        <v>#DIV/0!</v>
      </c>
    </row>
    <row r="2097" spans="1:20" ht="15" hidden="1" thickTop="1" x14ac:dyDescent="0.2">
      <c r="A2097" s="418"/>
      <c r="B2097" s="603"/>
      <c r="C2097" s="603"/>
      <c r="D2097" s="620" t="s">
        <v>905</v>
      </c>
      <c r="E2097" s="938" t="s">
        <v>408</v>
      </c>
      <c r="F2097" s="660"/>
      <c r="G2097" s="660"/>
      <c r="H2097" s="660"/>
      <c r="I2097" s="656" t="e">
        <f>(H2097/G2097)*100</f>
        <v>#DIV/0!</v>
      </c>
    </row>
    <row r="2098" spans="1:20" ht="15.75" thickTop="1" x14ac:dyDescent="0.25">
      <c r="A2098" s="921">
        <v>1303</v>
      </c>
      <c r="B2098" s="2427">
        <v>3231</v>
      </c>
      <c r="C2098" s="2730">
        <v>5336</v>
      </c>
      <c r="D2098" s="2725"/>
      <c r="E2098" s="602" t="s">
        <v>856</v>
      </c>
      <c r="F2098" s="678">
        <f>F2099+F2100+F2101</f>
        <v>0</v>
      </c>
      <c r="G2098" s="678">
        <f>G2099+G2100+G2101</f>
        <v>8416</v>
      </c>
      <c r="H2098" s="678">
        <f>H2099+H2100+H2101</f>
        <v>8416</v>
      </c>
      <c r="I2098" s="680">
        <f>(H2098/G2098)*100</f>
        <v>100</v>
      </c>
    </row>
    <row r="2099" spans="1:20" ht="12.75" customHeight="1" x14ac:dyDescent="0.2">
      <c r="A2099" s="921"/>
      <c r="B2099" s="2427"/>
      <c r="C2099" s="2730"/>
      <c r="D2099" s="2725" t="s">
        <v>902</v>
      </c>
      <c r="E2099" s="1352" t="s">
        <v>855</v>
      </c>
      <c r="F2099" s="1600">
        <v>0</v>
      </c>
      <c r="G2099" s="1600">
        <v>171</v>
      </c>
      <c r="H2099" s="1600">
        <v>171</v>
      </c>
      <c r="I2099" s="367">
        <f t="shared" ref="I2099:I2100" si="410">(H2099/G2099)*100</f>
        <v>100</v>
      </c>
    </row>
    <row r="2100" spans="1:20" ht="14.25" x14ac:dyDescent="0.2">
      <c r="A2100" s="921"/>
      <c r="B2100" s="2427"/>
      <c r="C2100" s="2730"/>
      <c r="D2100" s="2725" t="s">
        <v>1896</v>
      </c>
      <c r="E2100" s="2220" t="s">
        <v>1951</v>
      </c>
      <c r="F2100" s="1643">
        <v>0</v>
      </c>
      <c r="G2100" s="1643">
        <v>26</v>
      </c>
      <c r="H2100" s="1643">
        <v>26</v>
      </c>
      <c r="I2100" s="982">
        <f t="shared" si="410"/>
        <v>100</v>
      </c>
    </row>
    <row r="2101" spans="1:20" ht="14.25" customHeight="1" thickBot="1" x14ac:dyDescent="0.25">
      <c r="A2101" s="2778"/>
      <c r="B2101" s="2779"/>
      <c r="C2101" s="2780"/>
      <c r="D2101" s="2726" t="s">
        <v>901</v>
      </c>
      <c r="E2101" s="436" t="s">
        <v>1637</v>
      </c>
      <c r="F2101" s="663">
        <v>0</v>
      </c>
      <c r="G2101" s="663">
        <v>8219</v>
      </c>
      <c r="H2101" s="663">
        <v>8219</v>
      </c>
      <c r="I2101" s="664">
        <f>(H2101/G2101)*100</f>
        <v>100</v>
      </c>
    </row>
    <row r="2102" spans="1:20" ht="16.5" thickTop="1" thickBot="1" x14ac:dyDescent="0.3">
      <c r="A2102" s="3233" t="s">
        <v>522</v>
      </c>
      <c r="B2102" s="3234"/>
      <c r="C2102" s="3234"/>
      <c r="D2102" s="3234"/>
      <c r="E2102" s="3234"/>
      <c r="F2102" s="657">
        <f>F2096+F2098</f>
        <v>0</v>
      </c>
      <c r="G2102" s="657">
        <f>G2096+G2098</f>
        <v>8416</v>
      </c>
      <c r="H2102" s="657">
        <f>H2096+H2098</f>
        <v>8416</v>
      </c>
      <c r="I2102" s="658">
        <f>(H2102/G2102)*100</f>
        <v>100</v>
      </c>
      <c r="R2102" s="373">
        <f>F2102</f>
        <v>0</v>
      </c>
      <c r="S2102" s="373">
        <f>G2102</f>
        <v>8416</v>
      </c>
      <c r="T2102" s="373">
        <f>H2102</f>
        <v>8416</v>
      </c>
    </row>
    <row r="2103" spans="1:20" ht="15.75" thickTop="1" x14ac:dyDescent="0.25">
      <c r="A2103" s="360"/>
      <c r="B2103" s="360"/>
      <c r="C2103" s="360"/>
      <c r="D2103" s="360"/>
      <c r="E2103" s="360"/>
      <c r="F2103" s="177"/>
      <c r="G2103" s="177"/>
      <c r="H2103" s="177"/>
      <c r="I2103" s="206"/>
      <c r="R2103" s="373"/>
      <c r="S2103" s="373"/>
      <c r="T2103" s="373"/>
    </row>
    <row r="2104" spans="1:20" ht="13.5" thickBot="1" x14ac:dyDescent="0.25">
      <c r="A2104" s="419" t="s">
        <v>84</v>
      </c>
      <c r="I2104" s="915" t="s">
        <v>92</v>
      </c>
    </row>
    <row r="2105" spans="1:20" ht="14.25" thickTop="1" thickBot="1" x14ac:dyDescent="0.25">
      <c r="A2105" s="572" t="s">
        <v>324</v>
      </c>
      <c r="B2105" s="639" t="s">
        <v>93</v>
      </c>
      <c r="C2105" s="573" t="s">
        <v>94</v>
      </c>
      <c r="D2105" s="575" t="s">
        <v>364</v>
      </c>
      <c r="E2105" s="575" t="s">
        <v>95</v>
      </c>
      <c r="F2105" s="575" t="s">
        <v>328</v>
      </c>
      <c r="G2105" s="575" t="s">
        <v>329</v>
      </c>
      <c r="H2105" s="575" t="s">
        <v>448</v>
      </c>
      <c r="I2105" s="651" t="s">
        <v>449</v>
      </c>
    </row>
    <row r="2106" spans="1:20" ht="14.25" thickTop="1" thickBot="1" x14ac:dyDescent="0.25">
      <c r="A2106" s="511">
        <v>1</v>
      </c>
      <c r="B2106" s="512">
        <v>2</v>
      </c>
      <c r="C2106" s="512">
        <v>3</v>
      </c>
      <c r="D2106" s="512">
        <v>4</v>
      </c>
      <c r="E2106" s="512">
        <v>5</v>
      </c>
      <c r="F2106" s="499">
        <v>6</v>
      </c>
      <c r="G2106" s="499">
        <v>7</v>
      </c>
      <c r="H2106" s="500">
        <v>8</v>
      </c>
      <c r="I2106" s="577" t="s">
        <v>393</v>
      </c>
    </row>
    <row r="2107" spans="1:20" ht="18" hidden="1" customHeight="1" thickTop="1" x14ac:dyDescent="0.25">
      <c r="A2107" s="924">
        <v>1304</v>
      </c>
      <c r="B2107" s="676">
        <v>3231</v>
      </c>
      <c r="C2107" s="676">
        <v>5331</v>
      </c>
      <c r="D2107" s="679"/>
      <c r="E2107" s="703" t="s">
        <v>481</v>
      </c>
      <c r="F2107" s="674">
        <f>F2108+F2109</f>
        <v>0</v>
      </c>
      <c r="G2107" s="674">
        <f>G2108+G2109</f>
        <v>0</v>
      </c>
      <c r="H2107" s="674">
        <f>H2108+H2109</f>
        <v>0</v>
      </c>
      <c r="I2107" s="677" t="e">
        <f t="shared" ref="I2107:I2114" si="411">(H2107/G2107)*100</f>
        <v>#DIV/0!</v>
      </c>
    </row>
    <row r="2108" spans="1:20" ht="15" hidden="1" thickTop="1" x14ac:dyDescent="0.2">
      <c r="A2108" s="418"/>
      <c r="B2108" s="603"/>
      <c r="C2108" s="603"/>
      <c r="D2108" s="620" t="s">
        <v>905</v>
      </c>
      <c r="E2108" s="938" t="s">
        <v>408</v>
      </c>
      <c r="F2108" s="660"/>
      <c r="G2108" s="660"/>
      <c r="H2108" s="660"/>
      <c r="I2108" s="656" t="e">
        <f t="shared" si="411"/>
        <v>#DIV/0!</v>
      </c>
    </row>
    <row r="2109" spans="1:20" ht="15" hidden="1" thickTop="1" x14ac:dyDescent="0.2">
      <c r="A2109" s="418"/>
      <c r="B2109" s="603"/>
      <c r="C2109" s="603"/>
      <c r="D2109" s="505" t="s">
        <v>906</v>
      </c>
      <c r="E2109" s="436" t="s">
        <v>38</v>
      </c>
      <c r="F2109" s="660"/>
      <c r="G2109" s="660"/>
      <c r="H2109" s="660"/>
      <c r="I2109" s="656" t="e">
        <f t="shared" si="411"/>
        <v>#DIV/0!</v>
      </c>
    </row>
    <row r="2110" spans="1:20" ht="15.75" thickTop="1" x14ac:dyDescent="0.25">
      <c r="A2110" s="921">
        <v>1304</v>
      </c>
      <c r="B2110" s="2427">
        <v>3231</v>
      </c>
      <c r="C2110" s="2427">
        <v>5336</v>
      </c>
      <c r="D2110" s="2726"/>
      <c r="E2110" s="602" t="s">
        <v>856</v>
      </c>
      <c r="F2110" s="678">
        <f>F2111+F2112+F2113</f>
        <v>0</v>
      </c>
      <c r="G2110" s="678">
        <f>G2111+G2112+G2113</f>
        <v>13191</v>
      </c>
      <c r="H2110" s="678">
        <f>H2111+H2112+H2113</f>
        <v>13191</v>
      </c>
      <c r="I2110" s="680">
        <f t="shared" si="411"/>
        <v>100</v>
      </c>
    </row>
    <row r="2111" spans="1:20" ht="14.25" x14ac:dyDescent="0.2">
      <c r="A2111" s="921"/>
      <c r="B2111" s="2427"/>
      <c r="C2111" s="2427"/>
      <c r="D2111" s="2725" t="s">
        <v>902</v>
      </c>
      <c r="E2111" s="1352" t="s">
        <v>855</v>
      </c>
      <c r="F2111" s="1600">
        <v>0</v>
      </c>
      <c r="G2111" s="1600">
        <v>251</v>
      </c>
      <c r="H2111" s="1600">
        <v>251</v>
      </c>
      <c r="I2111" s="367">
        <f t="shared" ref="I2111:I2112" si="412">(H2111/G2111)*100</f>
        <v>100</v>
      </c>
    </row>
    <row r="2112" spans="1:20" ht="14.25" x14ac:dyDescent="0.2">
      <c r="A2112" s="921"/>
      <c r="B2112" s="2427"/>
      <c r="C2112" s="2427"/>
      <c r="D2112" s="2725" t="s">
        <v>1896</v>
      </c>
      <c r="E2112" s="2220" t="s">
        <v>1951</v>
      </c>
      <c r="F2112" s="1643">
        <v>0</v>
      </c>
      <c r="G2112" s="1643">
        <v>37</v>
      </c>
      <c r="H2112" s="1643">
        <v>37</v>
      </c>
      <c r="I2112" s="982">
        <f t="shared" si="412"/>
        <v>100</v>
      </c>
    </row>
    <row r="2113" spans="1:20" ht="15" thickBot="1" x14ac:dyDescent="0.25">
      <c r="A2113" s="921"/>
      <c r="B2113" s="2427"/>
      <c r="C2113" s="2719"/>
      <c r="D2113" s="2726" t="s">
        <v>901</v>
      </c>
      <c r="E2113" s="436" t="s">
        <v>1637</v>
      </c>
      <c r="F2113" s="660">
        <v>0</v>
      </c>
      <c r="G2113" s="660">
        <v>12903</v>
      </c>
      <c r="H2113" s="660">
        <v>12903</v>
      </c>
      <c r="I2113" s="656">
        <f t="shared" si="411"/>
        <v>100</v>
      </c>
    </row>
    <row r="2114" spans="1:20" ht="16.5" thickTop="1" thickBot="1" x14ac:dyDescent="0.3">
      <c r="A2114" s="3233" t="s">
        <v>522</v>
      </c>
      <c r="B2114" s="3234"/>
      <c r="C2114" s="3234"/>
      <c r="D2114" s="3234"/>
      <c r="E2114" s="3234"/>
      <c r="F2114" s="657">
        <f>F2107+F2110</f>
        <v>0</v>
      </c>
      <c r="G2114" s="657">
        <f>G2110+G2107</f>
        <v>13191</v>
      </c>
      <c r="H2114" s="657">
        <f>H2110+H2107</f>
        <v>13191</v>
      </c>
      <c r="I2114" s="658">
        <f t="shared" si="411"/>
        <v>100</v>
      </c>
      <c r="R2114" s="373">
        <f>F2114</f>
        <v>0</v>
      </c>
      <c r="S2114" s="373">
        <f>G2114</f>
        <v>13191</v>
      </c>
      <c r="T2114" s="373">
        <f>H2114</f>
        <v>13191</v>
      </c>
    </row>
    <row r="2115" spans="1:20" s="374" customFormat="1" ht="13.5" thickTop="1" x14ac:dyDescent="0.2">
      <c r="A2115" s="372"/>
      <c r="B2115" s="584"/>
      <c r="C2115" s="372"/>
      <c r="D2115" s="648"/>
      <c r="E2115" s="372"/>
      <c r="F2115" s="373"/>
      <c r="G2115" s="373"/>
      <c r="H2115" s="373"/>
      <c r="I2115" s="915"/>
    </row>
    <row r="2116" spans="1:20" s="374" customFormat="1" ht="7.5" customHeight="1" x14ac:dyDescent="0.2">
      <c r="A2116" s="372"/>
      <c r="B2116" s="584"/>
      <c r="C2116" s="372"/>
      <c r="D2116" s="648"/>
      <c r="E2116" s="372"/>
      <c r="F2116" s="373"/>
      <c r="G2116" s="373"/>
      <c r="H2116" s="373"/>
      <c r="I2116" s="915"/>
    </row>
    <row r="2117" spans="1:20" ht="13.5" thickBot="1" x14ac:dyDescent="0.25">
      <c r="A2117" s="419" t="s">
        <v>85</v>
      </c>
      <c r="I2117" s="915" t="s">
        <v>92</v>
      </c>
    </row>
    <row r="2118" spans="1:20" ht="14.25" thickTop="1" thickBot="1" x14ac:dyDescent="0.25">
      <c r="A2118" s="572" t="s">
        <v>324</v>
      </c>
      <c r="B2118" s="639" t="s">
        <v>93</v>
      </c>
      <c r="C2118" s="573" t="s">
        <v>94</v>
      </c>
      <c r="D2118" s="575" t="s">
        <v>364</v>
      </c>
      <c r="E2118" s="575" t="s">
        <v>95</v>
      </c>
      <c r="F2118" s="575" t="s">
        <v>328</v>
      </c>
      <c r="G2118" s="575" t="s">
        <v>329</v>
      </c>
      <c r="H2118" s="575" t="s">
        <v>448</v>
      </c>
      <c r="I2118" s="651" t="s">
        <v>449</v>
      </c>
    </row>
    <row r="2119" spans="1:20" ht="14.25" thickTop="1" thickBot="1" x14ac:dyDescent="0.25">
      <c r="A2119" s="511">
        <v>1</v>
      </c>
      <c r="B2119" s="512">
        <v>2</v>
      </c>
      <c r="C2119" s="512">
        <v>3</v>
      </c>
      <c r="D2119" s="512">
        <v>4</v>
      </c>
      <c r="E2119" s="512">
        <v>5</v>
      </c>
      <c r="F2119" s="499">
        <v>6</v>
      </c>
      <c r="G2119" s="499">
        <v>7</v>
      </c>
      <c r="H2119" s="500">
        <v>8</v>
      </c>
      <c r="I2119" s="577" t="s">
        <v>393</v>
      </c>
    </row>
    <row r="2120" spans="1:20" ht="15.75" hidden="1" thickTop="1" x14ac:dyDescent="0.25">
      <c r="A2120" s="924">
        <v>1305</v>
      </c>
      <c r="B2120" s="676">
        <v>3231</v>
      </c>
      <c r="C2120" s="676">
        <v>5331</v>
      </c>
      <c r="D2120" s="679"/>
      <c r="E2120" s="703" t="s">
        <v>481</v>
      </c>
      <c r="F2120" s="674">
        <f>F2121+F2122</f>
        <v>0</v>
      </c>
      <c r="G2120" s="674">
        <f>G2121+G2122</f>
        <v>0</v>
      </c>
      <c r="H2120" s="674">
        <f>H2121+H2122</f>
        <v>0</v>
      </c>
      <c r="I2120" s="677" t="e">
        <f t="shared" ref="I2120:I2127" si="413">(H2120/G2120)*100</f>
        <v>#DIV/0!</v>
      </c>
    </row>
    <row r="2121" spans="1:20" ht="15" hidden="1" thickTop="1" x14ac:dyDescent="0.2">
      <c r="A2121" s="418"/>
      <c r="B2121" s="603"/>
      <c r="C2121" s="603"/>
      <c r="D2121" s="620" t="s">
        <v>905</v>
      </c>
      <c r="E2121" s="938" t="s">
        <v>408</v>
      </c>
      <c r="F2121" s="660"/>
      <c r="G2121" s="660"/>
      <c r="H2121" s="660"/>
      <c r="I2121" s="656">
        <v>0</v>
      </c>
    </row>
    <row r="2122" spans="1:20" ht="12.75" hidden="1" customHeight="1" x14ac:dyDescent="0.2">
      <c r="A2122" s="418"/>
      <c r="B2122" s="603"/>
      <c r="C2122" s="603"/>
      <c r="D2122" s="505" t="s">
        <v>906</v>
      </c>
      <c r="E2122" s="436" t="s">
        <v>38</v>
      </c>
      <c r="F2122" s="660"/>
      <c r="G2122" s="660"/>
      <c r="H2122" s="660"/>
      <c r="I2122" s="656" t="e">
        <f t="shared" si="413"/>
        <v>#DIV/0!</v>
      </c>
    </row>
    <row r="2123" spans="1:20" ht="15" customHeight="1" thickTop="1" x14ac:dyDescent="0.25">
      <c r="A2123" s="921">
        <v>1305</v>
      </c>
      <c r="B2123" s="2427">
        <v>3231</v>
      </c>
      <c r="C2123" s="2427">
        <v>5336</v>
      </c>
      <c r="D2123" s="2725"/>
      <c r="E2123" s="602" t="s">
        <v>856</v>
      </c>
      <c r="F2123" s="678">
        <f>F2124+F2125+F2126</f>
        <v>0</v>
      </c>
      <c r="G2123" s="678">
        <f>G2124+G2125+G2126</f>
        <v>7978</v>
      </c>
      <c r="H2123" s="678">
        <f>H2124+H2125+H2126</f>
        <v>7978</v>
      </c>
      <c r="I2123" s="680">
        <f t="shared" si="413"/>
        <v>100</v>
      </c>
    </row>
    <row r="2124" spans="1:20" ht="15" customHeight="1" x14ac:dyDescent="0.2">
      <c r="A2124" s="921"/>
      <c r="B2124" s="2427"/>
      <c r="C2124" s="2427"/>
      <c r="D2124" s="2725" t="s">
        <v>902</v>
      </c>
      <c r="E2124" s="1352" t="s">
        <v>855</v>
      </c>
      <c r="F2124" s="1600">
        <v>0</v>
      </c>
      <c r="G2124" s="1600">
        <v>147</v>
      </c>
      <c r="H2124" s="1600">
        <v>147</v>
      </c>
      <c r="I2124" s="367">
        <f t="shared" ref="I2124:I2125" si="414">(H2124/G2124)*100</f>
        <v>100</v>
      </c>
    </row>
    <row r="2125" spans="1:20" ht="14.25" x14ac:dyDescent="0.2">
      <c r="A2125" s="921"/>
      <c r="B2125" s="2427"/>
      <c r="C2125" s="2427"/>
      <c r="D2125" s="2725" t="s">
        <v>1896</v>
      </c>
      <c r="E2125" s="2220" t="s">
        <v>1951</v>
      </c>
      <c r="F2125" s="1643">
        <v>0</v>
      </c>
      <c r="G2125" s="1643">
        <v>27</v>
      </c>
      <c r="H2125" s="1643">
        <v>27</v>
      </c>
      <c r="I2125" s="982">
        <f t="shared" si="414"/>
        <v>100</v>
      </c>
    </row>
    <row r="2126" spans="1:20" ht="15" customHeight="1" thickBot="1" x14ac:dyDescent="0.25">
      <c r="A2126" s="921"/>
      <c r="B2126" s="2427"/>
      <c r="C2126" s="2719"/>
      <c r="D2126" s="2726" t="s">
        <v>901</v>
      </c>
      <c r="E2126" s="436" t="s">
        <v>1637</v>
      </c>
      <c r="F2126" s="660">
        <v>0</v>
      </c>
      <c r="G2126" s="660">
        <v>7804</v>
      </c>
      <c r="H2126" s="660">
        <v>7804</v>
      </c>
      <c r="I2126" s="656">
        <f t="shared" si="413"/>
        <v>100</v>
      </c>
    </row>
    <row r="2127" spans="1:20" ht="16.5" thickTop="1" thickBot="1" x14ac:dyDescent="0.3">
      <c r="A2127" s="3233" t="s">
        <v>522</v>
      </c>
      <c r="B2127" s="3234"/>
      <c r="C2127" s="3234"/>
      <c r="D2127" s="3234"/>
      <c r="E2127" s="3234"/>
      <c r="F2127" s="657">
        <f>F2120</f>
        <v>0</v>
      </c>
      <c r="G2127" s="657">
        <f>G2120+G2123</f>
        <v>7978</v>
      </c>
      <c r="H2127" s="657">
        <f>H2120+H2123</f>
        <v>7978</v>
      </c>
      <c r="I2127" s="658">
        <f t="shared" si="413"/>
        <v>100</v>
      </c>
      <c r="R2127" s="373">
        <f>F2127</f>
        <v>0</v>
      </c>
      <c r="S2127" s="373">
        <f>G2127</f>
        <v>7978</v>
      </c>
      <c r="T2127" s="373">
        <f>H2127</f>
        <v>7978</v>
      </c>
    </row>
    <row r="2128" spans="1:20" s="374" customFormat="1" ht="13.5" thickTop="1" x14ac:dyDescent="0.2">
      <c r="A2128" s="372"/>
      <c r="B2128" s="584"/>
      <c r="C2128" s="372"/>
      <c r="D2128" s="648"/>
      <c r="E2128" s="372"/>
      <c r="F2128" s="373"/>
      <c r="G2128" s="373"/>
      <c r="H2128" s="373"/>
      <c r="I2128" s="915"/>
    </row>
    <row r="2129" spans="1:20" ht="13.5" thickBot="1" x14ac:dyDescent="0.25">
      <c r="A2129" s="419" t="s">
        <v>513</v>
      </c>
      <c r="I2129" s="915" t="s">
        <v>92</v>
      </c>
    </row>
    <row r="2130" spans="1:20" ht="14.25" thickTop="1" thickBot="1" x14ac:dyDescent="0.25">
      <c r="A2130" s="572" t="s">
        <v>324</v>
      </c>
      <c r="B2130" s="639" t="s">
        <v>93</v>
      </c>
      <c r="C2130" s="573" t="s">
        <v>94</v>
      </c>
      <c r="D2130" s="575" t="s">
        <v>364</v>
      </c>
      <c r="E2130" s="575" t="s">
        <v>95</v>
      </c>
      <c r="F2130" s="575" t="s">
        <v>328</v>
      </c>
      <c r="G2130" s="575" t="s">
        <v>329</v>
      </c>
      <c r="H2130" s="575" t="s">
        <v>448</v>
      </c>
      <c r="I2130" s="651" t="s">
        <v>449</v>
      </c>
    </row>
    <row r="2131" spans="1:20" ht="14.25" thickTop="1" thickBot="1" x14ac:dyDescent="0.25">
      <c r="A2131" s="511">
        <v>1</v>
      </c>
      <c r="B2131" s="512">
        <v>2</v>
      </c>
      <c r="C2131" s="512">
        <v>3</v>
      </c>
      <c r="D2131" s="512">
        <v>4</v>
      </c>
      <c r="E2131" s="512">
        <v>5</v>
      </c>
      <c r="F2131" s="499">
        <v>6</v>
      </c>
      <c r="G2131" s="499">
        <v>7</v>
      </c>
      <c r="H2131" s="500">
        <v>8</v>
      </c>
      <c r="I2131" s="577" t="s">
        <v>393</v>
      </c>
    </row>
    <row r="2132" spans="1:20" ht="15.75" thickTop="1" x14ac:dyDescent="0.25">
      <c r="A2132" s="924">
        <v>1306</v>
      </c>
      <c r="B2132" s="676">
        <v>3231</v>
      </c>
      <c r="C2132" s="2774">
        <v>5331</v>
      </c>
      <c r="D2132" s="679"/>
      <c r="E2132" s="703" t="s">
        <v>481</v>
      </c>
      <c r="F2132" s="674">
        <f>F2133</f>
        <v>0</v>
      </c>
      <c r="G2132" s="674">
        <f t="shared" ref="G2132:H2132" si="415">G2133</f>
        <v>5</v>
      </c>
      <c r="H2132" s="674">
        <f t="shared" si="415"/>
        <v>5</v>
      </c>
      <c r="I2132" s="677">
        <f t="shared" ref="I2132:I2140" si="416">(H2132/G2132)*100</f>
        <v>100</v>
      </c>
    </row>
    <row r="2133" spans="1:20" ht="14.25" x14ac:dyDescent="0.2">
      <c r="A2133" s="418"/>
      <c r="B2133" s="603"/>
      <c r="C2133" s="603"/>
      <c r="D2133" s="505" t="s">
        <v>917</v>
      </c>
      <c r="E2133" s="436" t="s">
        <v>1956</v>
      </c>
      <c r="F2133" s="660">
        <v>0</v>
      </c>
      <c r="G2133" s="660">
        <v>5</v>
      </c>
      <c r="H2133" s="660">
        <v>5</v>
      </c>
      <c r="I2133" s="656">
        <f t="shared" si="416"/>
        <v>100</v>
      </c>
    </row>
    <row r="2134" spans="1:20" ht="15" x14ac:dyDescent="0.25">
      <c r="A2134" s="921">
        <v>1306</v>
      </c>
      <c r="B2134" s="2722">
        <v>3231</v>
      </c>
      <c r="C2134" s="2722">
        <v>5336</v>
      </c>
      <c r="D2134" s="2725"/>
      <c r="E2134" s="602" t="s">
        <v>856</v>
      </c>
      <c r="F2134" s="675">
        <f>F2135+F2136+F2137</f>
        <v>0</v>
      </c>
      <c r="G2134" s="675">
        <f>G2135+G2136+G2137</f>
        <v>3879</v>
      </c>
      <c r="H2134" s="675">
        <f>H2135+H2136+H2137</f>
        <v>3879</v>
      </c>
      <c r="I2134" s="680">
        <f t="shared" si="416"/>
        <v>100</v>
      </c>
    </row>
    <row r="2135" spans="1:20" ht="14.25" x14ac:dyDescent="0.2">
      <c r="A2135" s="921"/>
      <c r="B2135" s="2722"/>
      <c r="C2135" s="2722"/>
      <c r="D2135" s="2725" t="s">
        <v>902</v>
      </c>
      <c r="E2135" s="1352" t="s">
        <v>855</v>
      </c>
      <c r="F2135" s="1600">
        <v>0</v>
      </c>
      <c r="G2135" s="1600">
        <v>69</v>
      </c>
      <c r="H2135" s="1600">
        <v>69</v>
      </c>
      <c r="I2135" s="367">
        <f t="shared" ref="I2135:I2136" si="417">(H2135/G2135)*100</f>
        <v>100</v>
      </c>
    </row>
    <row r="2136" spans="1:20" ht="14.25" x14ac:dyDescent="0.2">
      <c r="A2136" s="921"/>
      <c r="B2136" s="2722"/>
      <c r="C2136" s="2722"/>
      <c r="D2136" s="2725" t="s">
        <v>1896</v>
      </c>
      <c r="E2136" s="2220" t="s">
        <v>1951</v>
      </c>
      <c r="F2136" s="1643">
        <v>0</v>
      </c>
      <c r="G2136" s="1643">
        <v>9</v>
      </c>
      <c r="H2136" s="1643">
        <v>9</v>
      </c>
      <c r="I2136" s="982">
        <f t="shared" si="417"/>
        <v>100</v>
      </c>
    </row>
    <row r="2137" spans="1:20" ht="15" thickBot="1" x14ac:dyDescent="0.25">
      <c r="A2137" s="921"/>
      <c r="B2137" s="2722"/>
      <c r="C2137" s="1350"/>
      <c r="D2137" s="2726" t="s">
        <v>901</v>
      </c>
      <c r="E2137" s="436" t="s">
        <v>1637</v>
      </c>
      <c r="F2137" s="665">
        <v>0</v>
      </c>
      <c r="G2137" s="665">
        <v>3801</v>
      </c>
      <c r="H2137" s="665">
        <v>3801</v>
      </c>
      <c r="I2137" s="661">
        <f t="shared" si="416"/>
        <v>100</v>
      </c>
    </row>
    <row r="2138" spans="1:20" ht="15.75" hidden="1" thickBot="1" x14ac:dyDescent="0.3">
      <c r="A2138" s="921">
        <v>1306</v>
      </c>
      <c r="B2138" s="2755">
        <v>3231</v>
      </c>
      <c r="C2138" s="2755">
        <v>5331</v>
      </c>
      <c r="D2138" s="2756"/>
      <c r="E2138" s="845" t="s">
        <v>481</v>
      </c>
      <c r="F2138" s="665"/>
      <c r="G2138" s="675">
        <f>G2139</f>
        <v>0</v>
      </c>
      <c r="H2138" s="675">
        <f>H2139</f>
        <v>0</v>
      </c>
      <c r="I2138" s="680" t="e">
        <f t="shared" si="416"/>
        <v>#DIV/0!</v>
      </c>
    </row>
    <row r="2139" spans="1:20" ht="15" hidden="1" thickBot="1" x14ac:dyDescent="0.25">
      <c r="A2139" s="921"/>
      <c r="B2139" s="2755"/>
      <c r="C2139" s="2755"/>
      <c r="D2139" s="2756" t="s">
        <v>1135</v>
      </c>
      <c r="E2139" s="2627" t="s">
        <v>1528</v>
      </c>
      <c r="F2139" s="665"/>
      <c r="G2139" s="870"/>
      <c r="H2139" s="870"/>
      <c r="I2139" s="874" t="e">
        <f t="shared" si="416"/>
        <v>#DIV/0!</v>
      </c>
    </row>
    <row r="2140" spans="1:20" ht="16.5" thickTop="1" thickBot="1" x14ac:dyDescent="0.3">
      <c r="A2140" s="3233" t="s">
        <v>522</v>
      </c>
      <c r="B2140" s="3234"/>
      <c r="C2140" s="3234"/>
      <c r="D2140" s="3234"/>
      <c r="E2140" s="3234"/>
      <c r="F2140" s="657">
        <f>F2132+F2134</f>
        <v>0</v>
      </c>
      <c r="G2140" s="657">
        <f>G2132+G2134+G2138</f>
        <v>3884</v>
      </c>
      <c r="H2140" s="657">
        <f>H2132+H2134+H2138</f>
        <v>3884</v>
      </c>
      <c r="I2140" s="658">
        <f t="shared" si="416"/>
        <v>100</v>
      </c>
      <c r="R2140" s="373">
        <f>F2140</f>
        <v>0</v>
      </c>
      <c r="S2140" s="373">
        <f>G2140</f>
        <v>3884</v>
      </c>
      <c r="T2140" s="373">
        <f>H2140</f>
        <v>3884</v>
      </c>
    </row>
    <row r="2141" spans="1:20" s="374" customFormat="1" ht="13.5" thickTop="1" x14ac:dyDescent="0.2">
      <c r="A2141" s="372"/>
      <c r="B2141" s="584"/>
      <c r="C2141" s="372"/>
      <c r="D2141" s="648"/>
      <c r="E2141" s="372"/>
      <c r="F2141" s="373"/>
      <c r="G2141" s="373"/>
      <c r="H2141" s="373"/>
      <c r="I2141" s="915"/>
    </row>
    <row r="2142" spans="1:20" s="374" customFormat="1" ht="6.75" customHeight="1" x14ac:dyDescent="0.2">
      <c r="A2142" s="372"/>
      <c r="B2142" s="584"/>
      <c r="C2142" s="372"/>
      <c r="D2142" s="648"/>
      <c r="E2142" s="372"/>
      <c r="F2142" s="373"/>
      <c r="G2142" s="373"/>
      <c r="H2142" s="373"/>
      <c r="I2142" s="915"/>
    </row>
    <row r="2143" spans="1:20" ht="13.5" thickBot="1" x14ac:dyDescent="0.25">
      <c r="A2143" s="419" t="s">
        <v>514</v>
      </c>
      <c r="I2143" s="915" t="s">
        <v>92</v>
      </c>
    </row>
    <row r="2144" spans="1:20" ht="14.25" thickTop="1" thickBot="1" x14ac:dyDescent="0.25">
      <c r="A2144" s="572" t="s">
        <v>324</v>
      </c>
      <c r="B2144" s="639" t="s">
        <v>93</v>
      </c>
      <c r="C2144" s="573" t="s">
        <v>94</v>
      </c>
      <c r="D2144" s="575" t="s">
        <v>364</v>
      </c>
      <c r="E2144" s="575" t="s">
        <v>95</v>
      </c>
      <c r="F2144" s="575" t="s">
        <v>328</v>
      </c>
      <c r="G2144" s="575" t="s">
        <v>329</v>
      </c>
      <c r="H2144" s="575" t="s">
        <v>448</v>
      </c>
      <c r="I2144" s="651" t="s">
        <v>449</v>
      </c>
    </row>
    <row r="2145" spans="1:20" ht="14.25" thickTop="1" thickBot="1" x14ac:dyDescent="0.25">
      <c r="A2145" s="511">
        <v>1</v>
      </c>
      <c r="B2145" s="512">
        <v>2</v>
      </c>
      <c r="C2145" s="512">
        <v>3</v>
      </c>
      <c r="D2145" s="512">
        <v>4</v>
      </c>
      <c r="E2145" s="512">
        <v>5</v>
      </c>
      <c r="F2145" s="499">
        <v>6</v>
      </c>
      <c r="G2145" s="499">
        <v>7</v>
      </c>
      <c r="H2145" s="500">
        <v>8</v>
      </c>
      <c r="I2145" s="577" t="s">
        <v>393</v>
      </c>
    </row>
    <row r="2146" spans="1:20" ht="15.75" hidden="1" thickTop="1" x14ac:dyDescent="0.25">
      <c r="A2146" s="924">
        <v>1307</v>
      </c>
      <c r="B2146" s="676">
        <v>3231</v>
      </c>
      <c r="C2146" s="676">
        <v>5331</v>
      </c>
      <c r="D2146" s="679"/>
      <c r="E2146" s="703" t="s">
        <v>481</v>
      </c>
      <c r="F2146" s="674">
        <f>F2147+F2148</f>
        <v>0</v>
      </c>
      <c r="G2146" s="674">
        <f>G2147+G2148</f>
        <v>0</v>
      </c>
      <c r="H2146" s="674">
        <f>H2147+H2148</f>
        <v>0</v>
      </c>
      <c r="I2146" s="677" t="e">
        <f t="shared" ref="I2146:I2154" si="418">(H2146/G2146)*100</f>
        <v>#DIV/0!</v>
      </c>
    </row>
    <row r="2147" spans="1:20" ht="15" hidden="1" thickTop="1" x14ac:dyDescent="0.2">
      <c r="A2147" s="418"/>
      <c r="B2147" s="603"/>
      <c r="C2147" s="603"/>
      <c r="D2147" s="620" t="s">
        <v>905</v>
      </c>
      <c r="E2147" s="938" t="s">
        <v>408</v>
      </c>
      <c r="F2147" s="660"/>
      <c r="G2147" s="660"/>
      <c r="H2147" s="660"/>
      <c r="I2147" s="656" t="e">
        <f t="shared" si="418"/>
        <v>#DIV/0!</v>
      </c>
    </row>
    <row r="2148" spans="1:20" ht="15" hidden="1" thickTop="1" x14ac:dyDescent="0.2">
      <c r="A2148" s="418"/>
      <c r="B2148" s="603"/>
      <c r="C2148" s="603"/>
      <c r="D2148" s="505" t="s">
        <v>906</v>
      </c>
      <c r="E2148" s="436" t="s">
        <v>38</v>
      </c>
      <c r="F2148" s="660"/>
      <c r="G2148" s="660"/>
      <c r="H2148" s="660"/>
      <c r="I2148" s="656" t="e">
        <f t="shared" si="418"/>
        <v>#DIV/0!</v>
      </c>
    </row>
    <row r="2149" spans="1:20" ht="15.75" thickTop="1" x14ac:dyDescent="0.25">
      <c r="A2149" s="921">
        <v>1307</v>
      </c>
      <c r="B2149" s="2427">
        <v>3231</v>
      </c>
      <c r="C2149" s="2427">
        <v>5336</v>
      </c>
      <c r="D2149" s="2726"/>
      <c r="E2149" s="602" t="s">
        <v>856</v>
      </c>
      <c r="F2149" s="678">
        <f>F2150+F2151+F2152+F2153</f>
        <v>0</v>
      </c>
      <c r="G2149" s="678">
        <f>G2150+G2151+G2152+G2153</f>
        <v>16641</v>
      </c>
      <c r="H2149" s="678">
        <f>H2150+H2151+H2152+H2153</f>
        <v>16641</v>
      </c>
      <c r="I2149" s="680">
        <f t="shared" si="418"/>
        <v>100</v>
      </c>
    </row>
    <row r="2150" spans="1:20" ht="14.25" x14ac:dyDescent="0.2">
      <c r="A2150" s="921"/>
      <c r="B2150" s="2427"/>
      <c r="C2150" s="2427"/>
      <c r="D2150" s="2725" t="s">
        <v>902</v>
      </c>
      <c r="E2150" s="1352" t="s">
        <v>855</v>
      </c>
      <c r="F2150" s="1600">
        <v>0</v>
      </c>
      <c r="G2150" s="1600">
        <v>305</v>
      </c>
      <c r="H2150" s="1600">
        <v>305</v>
      </c>
      <c r="I2150" s="367">
        <f t="shared" ref="I2150:I2151" si="419">(H2150/G2150)*100</f>
        <v>100</v>
      </c>
    </row>
    <row r="2151" spans="1:20" ht="14.25" x14ac:dyDescent="0.2">
      <c r="A2151" s="921"/>
      <c r="B2151" s="2427"/>
      <c r="C2151" s="2427"/>
      <c r="D2151" s="2725" t="s">
        <v>1896</v>
      </c>
      <c r="E2151" s="2220" t="s">
        <v>1951</v>
      </c>
      <c r="F2151" s="1643">
        <v>0</v>
      </c>
      <c r="G2151" s="1643">
        <v>19</v>
      </c>
      <c r="H2151" s="1643">
        <v>19</v>
      </c>
      <c r="I2151" s="982">
        <f t="shared" si="419"/>
        <v>100</v>
      </c>
    </row>
    <row r="2152" spans="1:20" ht="14.25" x14ac:dyDescent="0.2">
      <c r="A2152" s="921"/>
      <c r="B2152" s="2427"/>
      <c r="C2152" s="2427"/>
      <c r="D2152" s="2726" t="s">
        <v>938</v>
      </c>
      <c r="E2152" s="972" t="s">
        <v>867</v>
      </c>
      <c r="F2152" s="660">
        <v>0</v>
      </c>
      <c r="G2152" s="660">
        <v>207</v>
      </c>
      <c r="H2152" s="660">
        <v>207</v>
      </c>
      <c r="I2152" s="656">
        <f t="shared" ref="I2152" si="420">(H2152/G2152)*100</f>
        <v>100</v>
      </c>
    </row>
    <row r="2153" spans="1:20" ht="18" customHeight="1" thickBot="1" x14ac:dyDescent="0.25">
      <c r="A2153" s="921"/>
      <c r="B2153" s="2427"/>
      <c r="C2153" s="2719"/>
      <c r="D2153" s="2726" t="s">
        <v>901</v>
      </c>
      <c r="E2153" s="436" t="s">
        <v>1637</v>
      </c>
      <c r="F2153" s="660">
        <v>0</v>
      </c>
      <c r="G2153" s="660">
        <v>16110</v>
      </c>
      <c r="H2153" s="660">
        <v>16110</v>
      </c>
      <c r="I2153" s="656">
        <f t="shared" si="418"/>
        <v>100</v>
      </c>
    </row>
    <row r="2154" spans="1:20" ht="16.5" thickTop="1" thickBot="1" x14ac:dyDescent="0.3">
      <c r="A2154" s="3233" t="s">
        <v>522</v>
      </c>
      <c r="B2154" s="3234"/>
      <c r="C2154" s="3234"/>
      <c r="D2154" s="3234"/>
      <c r="E2154" s="3234"/>
      <c r="F2154" s="657">
        <f>F2146</f>
        <v>0</v>
      </c>
      <c r="G2154" s="657">
        <f>G2146+G2149</f>
        <v>16641</v>
      </c>
      <c r="H2154" s="657">
        <f>H2146+H2149</f>
        <v>16641</v>
      </c>
      <c r="I2154" s="658">
        <f t="shared" si="418"/>
        <v>100</v>
      </c>
      <c r="R2154" s="373">
        <f>F2154</f>
        <v>0</v>
      </c>
      <c r="S2154" s="373">
        <f>G2154</f>
        <v>16641</v>
      </c>
      <c r="T2154" s="373">
        <f>H2154</f>
        <v>16641</v>
      </c>
    </row>
    <row r="2155" spans="1:20" s="374" customFormat="1" ht="13.5" thickTop="1" x14ac:dyDescent="0.2">
      <c r="A2155" s="372"/>
      <c r="B2155" s="584"/>
      <c r="C2155" s="372"/>
      <c r="D2155" s="648"/>
      <c r="E2155" s="372"/>
      <c r="F2155" s="373"/>
      <c r="G2155" s="373"/>
      <c r="H2155" s="373"/>
      <c r="I2155" s="915"/>
    </row>
    <row r="2156" spans="1:20" s="374" customFormat="1" x14ac:dyDescent="0.2">
      <c r="A2156" s="372"/>
      <c r="B2156" s="584"/>
      <c r="C2156" s="372"/>
      <c r="D2156" s="648"/>
      <c r="E2156" s="372"/>
      <c r="F2156" s="373"/>
      <c r="G2156" s="373"/>
      <c r="H2156" s="373"/>
      <c r="I2156" s="915"/>
    </row>
    <row r="2157" spans="1:20" ht="13.5" thickBot="1" x14ac:dyDescent="0.25">
      <c r="A2157" s="419" t="s">
        <v>515</v>
      </c>
      <c r="I2157" s="915" t="s">
        <v>92</v>
      </c>
    </row>
    <row r="2158" spans="1:20" ht="14.25" thickTop="1" thickBot="1" x14ac:dyDescent="0.25">
      <c r="A2158" s="572" t="s">
        <v>324</v>
      </c>
      <c r="B2158" s="639" t="s">
        <v>93</v>
      </c>
      <c r="C2158" s="573" t="s">
        <v>94</v>
      </c>
      <c r="D2158" s="575" t="s">
        <v>364</v>
      </c>
      <c r="E2158" s="575" t="s">
        <v>95</v>
      </c>
      <c r="F2158" s="575" t="s">
        <v>328</v>
      </c>
      <c r="G2158" s="575" t="s">
        <v>329</v>
      </c>
      <c r="H2158" s="575" t="s">
        <v>448</v>
      </c>
      <c r="I2158" s="651" t="s">
        <v>449</v>
      </c>
    </row>
    <row r="2159" spans="1:20" ht="14.25" thickTop="1" thickBot="1" x14ac:dyDescent="0.25">
      <c r="A2159" s="511">
        <v>1</v>
      </c>
      <c r="B2159" s="512">
        <v>2</v>
      </c>
      <c r="C2159" s="512">
        <v>3</v>
      </c>
      <c r="D2159" s="512">
        <v>4</v>
      </c>
      <c r="E2159" s="512">
        <v>5</v>
      </c>
      <c r="F2159" s="499">
        <v>6</v>
      </c>
      <c r="G2159" s="499">
        <v>7</v>
      </c>
      <c r="H2159" s="500">
        <v>8</v>
      </c>
      <c r="I2159" s="577" t="s">
        <v>393</v>
      </c>
    </row>
    <row r="2160" spans="1:20" ht="15.75" hidden="1" thickTop="1" x14ac:dyDescent="0.25">
      <c r="A2160" s="924">
        <v>1308</v>
      </c>
      <c r="B2160" s="676">
        <v>3231</v>
      </c>
      <c r="C2160" s="676">
        <v>5331</v>
      </c>
      <c r="D2160" s="679"/>
      <c r="E2160" s="703" t="s">
        <v>481</v>
      </c>
      <c r="F2160" s="674">
        <f>F2161</f>
        <v>0</v>
      </c>
      <c r="G2160" s="674">
        <f t="shared" ref="G2160:H2160" si="421">G2161</f>
        <v>0</v>
      </c>
      <c r="H2160" s="674">
        <f t="shared" si="421"/>
        <v>0</v>
      </c>
      <c r="I2160" s="677" t="e">
        <f>(H2160/G2160)*100</f>
        <v>#DIV/0!</v>
      </c>
    </row>
    <row r="2161" spans="1:20" ht="15" hidden="1" thickTop="1" x14ac:dyDescent="0.2">
      <c r="A2161" s="418"/>
      <c r="B2161" s="603"/>
      <c r="C2161" s="603"/>
      <c r="D2161" s="505" t="s">
        <v>906</v>
      </c>
      <c r="E2161" s="436" t="s">
        <v>38</v>
      </c>
      <c r="F2161" s="660"/>
      <c r="G2161" s="660"/>
      <c r="H2161" s="660"/>
      <c r="I2161" s="656">
        <v>100</v>
      </c>
    </row>
    <row r="2162" spans="1:20" ht="15.75" thickTop="1" x14ac:dyDescent="0.25">
      <c r="A2162" s="921">
        <v>1308</v>
      </c>
      <c r="B2162" s="2427">
        <v>3231</v>
      </c>
      <c r="C2162" s="2427">
        <v>5336</v>
      </c>
      <c r="D2162" s="2726"/>
      <c r="E2162" s="602" t="s">
        <v>856</v>
      </c>
      <c r="F2162" s="678">
        <f>F2163+F2164+F2165</f>
        <v>0</v>
      </c>
      <c r="G2162" s="678">
        <f>G2163+G2164+G2165</f>
        <v>6510</v>
      </c>
      <c r="H2162" s="678">
        <f>H2163+H2164+H2165</f>
        <v>6510</v>
      </c>
      <c r="I2162" s="680">
        <v>100</v>
      </c>
    </row>
    <row r="2163" spans="1:20" ht="14.25" x14ac:dyDescent="0.2">
      <c r="A2163" s="921"/>
      <c r="B2163" s="2427"/>
      <c r="C2163" s="2427"/>
      <c r="D2163" s="2725" t="s">
        <v>902</v>
      </c>
      <c r="E2163" s="1352" t="s">
        <v>855</v>
      </c>
      <c r="F2163" s="1600">
        <v>0</v>
      </c>
      <c r="G2163" s="1600">
        <v>110</v>
      </c>
      <c r="H2163" s="1600">
        <v>110</v>
      </c>
      <c r="I2163" s="367">
        <f t="shared" ref="I2163:I2164" si="422">(H2163/G2163)*100</f>
        <v>100</v>
      </c>
    </row>
    <row r="2164" spans="1:20" ht="14.25" x14ac:dyDescent="0.2">
      <c r="A2164" s="921"/>
      <c r="B2164" s="2427"/>
      <c r="C2164" s="2427"/>
      <c r="D2164" s="2725" t="s">
        <v>1896</v>
      </c>
      <c r="E2164" s="2220" t="s">
        <v>1951</v>
      </c>
      <c r="F2164" s="1643">
        <v>0</v>
      </c>
      <c r="G2164" s="1643">
        <v>24</v>
      </c>
      <c r="H2164" s="1643">
        <v>24</v>
      </c>
      <c r="I2164" s="982">
        <f t="shared" si="422"/>
        <v>100</v>
      </c>
    </row>
    <row r="2165" spans="1:20" ht="15" thickBot="1" x14ac:dyDescent="0.25">
      <c r="A2165" s="921"/>
      <c r="B2165" s="2427"/>
      <c r="C2165" s="2427"/>
      <c r="D2165" s="2726" t="s">
        <v>901</v>
      </c>
      <c r="E2165" s="436" t="s">
        <v>1637</v>
      </c>
      <c r="F2165" s="660">
        <v>0</v>
      </c>
      <c r="G2165" s="660">
        <v>6376</v>
      </c>
      <c r="H2165" s="660">
        <v>6376</v>
      </c>
      <c r="I2165" s="656">
        <f>(H2165/G2165)*100</f>
        <v>100</v>
      </c>
    </row>
    <row r="2166" spans="1:20" ht="16.5" thickTop="1" thickBot="1" x14ac:dyDescent="0.3">
      <c r="A2166" s="3233" t="s">
        <v>522</v>
      </c>
      <c r="B2166" s="3234"/>
      <c r="C2166" s="3234"/>
      <c r="D2166" s="3234"/>
      <c r="E2166" s="3234"/>
      <c r="F2166" s="657">
        <f>SUM(F2160)</f>
        <v>0</v>
      </c>
      <c r="G2166" s="657">
        <f>G2160+G2162</f>
        <v>6510</v>
      </c>
      <c r="H2166" s="657">
        <f>H2160+H2162</f>
        <v>6510</v>
      </c>
      <c r="I2166" s="658">
        <f>(H2166/G2166)*100</f>
        <v>100</v>
      </c>
      <c r="R2166" s="373">
        <f>F2166</f>
        <v>0</v>
      </c>
      <c r="S2166" s="373">
        <f>G2166</f>
        <v>6510</v>
      </c>
      <c r="T2166" s="373">
        <f>H2166</f>
        <v>6510</v>
      </c>
    </row>
    <row r="2167" spans="1:20" ht="16.5" customHeight="1" thickTop="1" x14ac:dyDescent="0.25">
      <c r="A2167" s="360"/>
      <c r="B2167" s="360"/>
      <c r="C2167" s="360"/>
      <c r="D2167" s="360"/>
      <c r="E2167" s="360"/>
      <c r="F2167" s="177"/>
      <c r="G2167" s="177"/>
      <c r="H2167" s="177"/>
      <c r="I2167" s="206"/>
      <c r="R2167" s="373"/>
      <c r="S2167" s="373"/>
      <c r="T2167" s="373"/>
    </row>
    <row r="2168" spans="1:20" ht="16.5" customHeight="1" x14ac:dyDescent="0.25">
      <c r="A2168" s="360"/>
      <c r="B2168" s="360"/>
      <c r="C2168" s="360"/>
      <c r="D2168" s="360"/>
      <c r="E2168" s="360"/>
      <c r="F2168" s="177"/>
      <c r="G2168" s="177"/>
      <c r="H2168" s="177"/>
      <c r="I2168" s="206"/>
      <c r="R2168" s="373"/>
      <c r="S2168" s="373"/>
      <c r="T2168" s="373"/>
    </row>
    <row r="2169" spans="1:20" ht="16.5" customHeight="1" x14ac:dyDescent="0.25">
      <c r="A2169" s="360"/>
      <c r="B2169" s="360"/>
      <c r="C2169" s="360"/>
      <c r="D2169" s="360"/>
      <c r="E2169" s="360"/>
      <c r="F2169" s="177"/>
      <c r="G2169" s="177"/>
      <c r="H2169" s="177"/>
      <c r="I2169" s="206"/>
      <c r="R2169" s="373"/>
      <c r="S2169" s="373"/>
      <c r="T2169" s="373"/>
    </row>
    <row r="2170" spans="1:20" ht="13.5" thickBot="1" x14ac:dyDescent="0.25">
      <c r="A2170" s="419" t="s">
        <v>86</v>
      </c>
      <c r="I2170" s="915" t="s">
        <v>92</v>
      </c>
    </row>
    <row r="2171" spans="1:20" ht="14.25" thickTop="1" thickBot="1" x14ac:dyDescent="0.25">
      <c r="A2171" s="572" t="s">
        <v>324</v>
      </c>
      <c r="B2171" s="639" t="s">
        <v>93</v>
      </c>
      <c r="C2171" s="573" t="s">
        <v>94</v>
      </c>
      <c r="D2171" s="575" t="s">
        <v>364</v>
      </c>
      <c r="E2171" s="575" t="s">
        <v>95</v>
      </c>
      <c r="F2171" s="575" t="s">
        <v>328</v>
      </c>
      <c r="G2171" s="575" t="s">
        <v>329</v>
      </c>
      <c r="H2171" s="575" t="s">
        <v>448</v>
      </c>
      <c r="I2171" s="651" t="s">
        <v>449</v>
      </c>
    </row>
    <row r="2172" spans="1:20" ht="14.25" thickTop="1" thickBot="1" x14ac:dyDescent="0.25">
      <c r="A2172" s="511">
        <v>1</v>
      </c>
      <c r="B2172" s="512">
        <v>2</v>
      </c>
      <c r="C2172" s="512">
        <v>3</v>
      </c>
      <c r="D2172" s="512">
        <v>4</v>
      </c>
      <c r="E2172" s="512">
        <v>5</v>
      </c>
      <c r="F2172" s="499">
        <v>6</v>
      </c>
      <c r="G2172" s="499">
        <v>7</v>
      </c>
      <c r="H2172" s="500">
        <v>8</v>
      </c>
      <c r="I2172" s="577" t="s">
        <v>393</v>
      </c>
    </row>
    <row r="2173" spans="1:20" ht="15.75" hidden="1" thickTop="1" x14ac:dyDescent="0.25">
      <c r="A2173" s="924">
        <v>1309</v>
      </c>
      <c r="B2173" s="676">
        <v>3231</v>
      </c>
      <c r="C2173" s="676">
        <v>5331</v>
      </c>
      <c r="D2173" s="679"/>
      <c r="E2173" s="703" t="s">
        <v>481</v>
      </c>
      <c r="F2173" s="674">
        <f>SUM(F2174:F2179)</f>
        <v>0</v>
      </c>
      <c r="G2173" s="674">
        <f>G2174+G2175</f>
        <v>0</v>
      </c>
      <c r="H2173" s="674">
        <f>H2174+H2175</f>
        <v>0</v>
      </c>
      <c r="I2173" s="677" t="e">
        <f t="shared" ref="I2173:I2182" si="423">(H2173/G2173)*100</f>
        <v>#DIV/0!</v>
      </c>
    </row>
    <row r="2174" spans="1:20" ht="15" hidden="1" thickTop="1" x14ac:dyDescent="0.2">
      <c r="A2174" s="418"/>
      <c r="B2174" s="603"/>
      <c r="C2174" s="603"/>
      <c r="D2174" s="620" t="s">
        <v>905</v>
      </c>
      <c r="E2174" s="938" t="s">
        <v>408</v>
      </c>
      <c r="F2174" s="660"/>
      <c r="G2174" s="660"/>
      <c r="H2174" s="660"/>
      <c r="I2174" s="656" t="e">
        <f t="shared" si="423"/>
        <v>#DIV/0!</v>
      </c>
      <c r="Q2174" s="373"/>
    </row>
    <row r="2175" spans="1:20" ht="15" hidden="1" thickTop="1" x14ac:dyDescent="0.2">
      <c r="A2175" s="418"/>
      <c r="B2175" s="603"/>
      <c r="C2175" s="603"/>
      <c r="D2175" s="505" t="s">
        <v>906</v>
      </c>
      <c r="E2175" s="436" t="s">
        <v>38</v>
      </c>
      <c r="F2175" s="660"/>
      <c r="G2175" s="660"/>
      <c r="H2175" s="660"/>
      <c r="I2175" s="656" t="e">
        <f t="shared" si="423"/>
        <v>#DIV/0!</v>
      </c>
    </row>
    <row r="2176" spans="1:20" ht="15.75" thickTop="1" x14ac:dyDescent="0.25">
      <c r="A2176" s="921">
        <v>1309</v>
      </c>
      <c r="B2176" s="2427">
        <v>3231</v>
      </c>
      <c r="C2176" s="2427">
        <v>5336</v>
      </c>
      <c r="D2176" s="2725"/>
      <c r="E2176" s="602" t="s">
        <v>856</v>
      </c>
      <c r="F2176" s="678">
        <f>F2177+F2178+F2179</f>
        <v>0</v>
      </c>
      <c r="G2176" s="678">
        <f>G2177+G2178+G2179</f>
        <v>21464</v>
      </c>
      <c r="H2176" s="678">
        <f>H2177+H2178+H2179</f>
        <v>21464</v>
      </c>
      <c r="I2176" s="680">
        <f t="shared" si="423"/>
        <v>100</v>
      </c>
    </row>
    <row r="2177" spans="1:20" ht="14.25" x14ac:dyDescent="0.2">
      <c r="A2177" s="921"/>
      <c r="B2177" s="2427"/>
      <c r="C2177" s="2427"/>
      <c r="D2177" s="2725" t="s">
        <v>902</v>
      </c>
      <c r="E2177" s="1352" t="s">
        <v>855</v>
      </c>
      <c r="F2177" s="1600">
        <v>0</v>
      </c>
      <c r="G2177" s="1600">
        <v>435</v>
      </c>
      <c r="H2177" s="1600">
        <v>435</v>
      </c>
      <c r="I2177" s="367">
        <f t="shared" ref="I2177:I2178" si="424">(H2177/G2177)*100</f>
        <v>100</v>
      </c>
    </row>
    <row r="2178" spans="1:20" ht="14.25" x14ac:dyDescent="0.2">
      <c r="A2178" s="921"/>
      <c r="B2178" s="2427"/>
      <c r="C2178" s="2427"/>
      <c r="D2178" s="2725" t="s">
        <v>1896</v>
      </c>
      <c r="E2178" s="2220" t="s">
        <v>1951</v>
      </c>
      <c r="F2178" s="1643">
        <v>0</v>
      </c>
      <c r="G2178" s="1643">
        <v>54</v>
      </c>
      <c r="H2178" s="1643">
        <v>54</v>
      </c>
      <c r="I2178" s="982">
        <f t="shared" si="424"/>
        <v>100</v>
      </c>
    </row>
    <row r="2179" spans="1:20" ht="15" thickBot="1" x14ac:dyDescent="0.25">
      <c r="A2179" s="921"/>
      <c r="B2179" s="2427"/>
      <c r="C2179" s="2719"/>
      <c r="D2179" s="2726" t="s">
        <v>901</v>
      </c>
      <c r="E2179" s="436" t="s">
        <v>1637</v>
      </c>
      <c r="F2179" s="660">
        <v>0</v>
      </c>
      <c r="G2179" s="660">
        <v>20975</v>
      </c>
      <c r="H2179" s="660">
        <v>20975</v>
      </c>
      <c r="I2179" s="656">
        <f t="shared" si="423"/>
        <v>100</v>
      </c>
    </row>
    <row r="2180" spans="1:20" ht="15.75" hidden="1" thickBot="1" x14ac:dyDescent="0.3">
      <c r="A2180" s="418">
        <v>1309</v>
      </c>
      <c r="B2180" s="603">
        <v>3299</v>
      </c>
      <c r="C2180" s="603">
        <v>5331</v>
      </c>
      <c r="D2180" s="652"/>
      <c r="E2180" s="644" t="s">
        <v>481</v>
      </c>
      <c r="F2180" s="660"/>
      <c r="G2180" s="678">
        <f>G2181</f>
        <v>0</v>
      </c>
      <c r="H2180" s="678">
        <f>H2181</f>
        <v>0</v>
      </c>
      <c r="I2180" s="680" t="e">
        <f t="shared" si="423"/>
        <v>#DIV/0!</v>
      </c>
    </row>
    <row r="2181" spans="1:20" ht="15" hidden="1" thickBot="1" x14ac:dyDescent="0.25">
      <c r="A2181" s="418"/>
      <c r="B2181" s="603"/>
      <c r="C2181" s="917"/>
      <c r="D2181" s="876" t="s">
        <v>923</v>
      </c>
      <c r="E2181" s="439" t="s">
        <v>525</v>
      </c>
      <c r="F2181" s="660"/>
      <c r="G2181" s="660"/>
      <c r="H2181" s="660"/>
      <c r="I2181" s="656"/>
    </row>
    <row r="2182" spans="1:20" s="106" customFormat="1" ht="16.5" thickTop="1" thickBot="1" x14ac:dyDescent="0.3">
      <c r="A2182" s="3233" t="s">
        <v>522</v>
      </c>
      <c r="B2182" s="3234"/>
      <c r="C2182" s="3234"/>
      <c r="D2182" s="3234"/>
      <c r="E2182" s="3234"/>
      <c r="F2182" s="657">
        <f>F2173+F2176</f>
        <v>0</v>
      </c>
      <c r="G2182" s="657">
        <f>G2173+G2176+G2180</f>
        <v>21464</v>
      </c>
      <c r="H2182" s="657">
        <f>H2173+H2176+H2180</f>
        <v>21464</v>
      </c>
      <c r="I2182" s="658">
        <f t="shared" si="423"/>
        <v>100</v>
      </c>
      <c r="R2182" s="373">
        <f>F2182</f>
        <v>0</v>
      </c>
      <c r="S2182" s="373">
        <f>G2182</f>
        <v>21464</v>
      </c>
      <c r="T2182" s="373">
        <f>H2182</f>
        <v>21464</v>
      </c>
    </row>
    <row r="2183" spans="1:20" s="106" customFormat="1" ht="10.5" customHeight="1" thickTop="1" x14ac:dyDescent="0.25">
      <c r="A2183" s="360"/>
      <c r="B2183" s="360"/>
      <c r="C2183" s="360"/>
      <c r="D2183" s="360"/>
      <c r="E2183" s="360"/>
      <c r="F2183" s="177"/>
      <c r="G2183" s="177"/>
      <c r="H2183" s="177"/>
      <c r="I2183" s="206"/>
      <c r="R2183" s="373"/>
      <c r="S2183" s="373"/>
      <c r="T2183" s="373"/>
    </row>
    <row r="2184" spans="1:20" s="106" customFormat="1" ht="15" x14ac:dyDescent="0.25">
      <c r="A2184" s="360"/>
      <c r="B2184" s="360"/>
      <c r="C2184" s="360"/>
      <c r="D2184" s="360"/>
      <c r="E2184" s="360"/>
      <c r="F2184" s="177"/>
      <c r="G2184" s="177"/>
      <c r="H2184" s="177"/>
      <c r="I2184" s="206"/>
      <c r="R2184" s="373"/>
      <c r="S2184" s="373"/>
      <c r="T2184" s="373"/>
    </row>
    <row r="2185" spans="1:20" ht="13.5" thickBot="1" x14ac:dyDescent="0.25">
      <c r="A2185" s="419" t="s">
        <v>113</v>
      </c>
      <c r="I2185" s="915" t="s">
        <v>92</v>
      </c>
    </row>
    <row r="2186" spans="1:20" ht="14.25" thickTop="1" thickBot="1" x14ac:dyDescent="0.25">
      <c r="A2186" s="572" t="s">
        <v>324</v>
      </c>
      <c r="B2186" s="639" t="s">
        <v>93</v>
      </c>
      <c r="C2186" s="573" t="s">
        <v>94</v>
      </c>
      <c r="D2186" s="575" t="s">
        <v>364</v>
      </c>
      <c r="E2186" s="575" t="s">
        <v>95</v>
      </c>
      <c r="F2186" s="575" t="s">
        <v>328</v>
      </c>
      <c r="G2186" s="575" t="s">
        <v>329</v>
      </c>
      <c r="H2186" s="575" t="s">
        <v>448</v>
      </c>
      <c r="I2186" s="651" t="s">
        <v>449</v>
      </c>
    </row>
    <row r="2187" spans="1:20" ht="14.25" thickTop="1" thickBot="1" x14ac:dyDescent="0.25">
      <c r="A2187" s="511">
        <v>1</v>
      </c>
      <c r="B2187" s="512">
        <v>2</v>
      </c>
      <c r="C2187" s="512">
        <v>3</v>
      </c>
      <c r="D2187" s="512">
        <v>4</v>
      </c>
      <c r="E2187" s="512">
        <v>5</v>
      </c>
      <c r="F2187" s="499">
        <v>6</v>
      </c>
      <c r="G2187" s="499">
        <v>7</v>
      </c>
      <c r="H2187" s="500">
        <v>8</v>
      </c>
      <c r="I2187" s="577" t="s">
        <v>393</v>
      </c>
    </row>
    <row r="2188" spans="1:20" ht="15.75" hidden="1" thickTop="1" x14ac:dyDescent="0.25">
      <c r="A2188" s="924">
        <v>1310</v>
      </c>
      <c r="B2188" s="676">
        <v>3231</v>
      </c>
      <c r="C2188" s="676">
        <v>5331</v>
      </c>
      <c r="D2188" s="679"/>
      <c r="E2188" s="703" t="s">
        <v>481</v>
      </c>
      <c r="F2188" s="674">
        <f>SUM(F2189:F2194)</f>
        <v>0</v>
      </c>
      <c r="G2188" s="674">
        <f>G2189+G2190</f>
        <v>0</v>
      </c>
      <c r="H2188" s="674">
        <f>H2189+H2190</f>
        <v>0</v>
      </c>
      <c r="I2188" s="677" t="e">
        <f t="shared" ref="I2188:I2197" si="425">(H2188/G2188)*100</f>
        <v>#DIV/0!</v>
      </c>
    </row>
    <row r="2189" spans="1:20" ht="15" hidden="1" thickTop="1" x14ac:dyDescent="0.2">
      <c r="A2189" s="418"/>
      <c r="B2189" s="603"/>
      <c r="C2189" s="603"/>
      <c r="D2189" s="620" t="s">
        <v>905</v>
      </c>
      <c r="E2189" s="938" t="s">
        <v>408</v>
      </c>
      <c r="F2189" s="660"/>
      <c r="G2189" s="660"/>
      <c r="H2189" s="660"/>
      <c r="I2189" s="656" t="e">
        <f t="shared" si="425"/>
        <v>#DIV/0!</v>
      </c>
    </row>
    <row r="2190" spans="1:20" ht="15" hidden="1" thickTop="1" x14ac:dyDescent="0.2">
      <c r="A2190" s="418"/>
      <c r="B2190" s="603"/>
      <c r="C2190" s="603"/>
      <c r="D2190" s="505" t="s">
        <v>906</v>
      </c>
      <c r="E2190" s="436" t="s">
        <v>38</v>
      </c>
      <c r="F2190" s="660"/>
      <c r="G2190" s="660"/>
      <c r="H2190" s="660"/>
      <c r="I2190" s="656" t="e">
        <f t="shared" si="425"/>
        <v>#DIV/0!</v>
      </c>
    </row>
    <row r="2191" spans="1:20" ht="15.75" thickTop="1" x14ac:dyDescent="0.25">
      <c r="A2191" s="921">
        <v>1310</v>
      </c>
      <c r="B2191" s="2427">
        <v>3231</v>
      </c>
      <c r="C2191" s="2427">
        <v>5336</v>
      </c>
      <c r="D2191" s="2725"/>
      <c r="E2191" s="602" t="s">
        <v>856</v>
      </c>
      <c r="F2191" s="678">
        <f>F2192+F2193+F2194</f>
        <v>0</v>
      </c>
      <c r="G2191" s="678">
        <f>G2192+G2193+G2194</f>
        <v>6635</v>
      </c>
      <c r="H2191" s="678">
        <f>H2192+H2193+H2194</f>
        <v>6635</v>
      </c>
      <c r="I2191" s="680">
        <f t="shared" si="425"/>
        <v>100</v>
      </c>
    </row>
    <row r="2192" spans="1:20" ht="14.25" x14ac:dyDescent="0.2">
      <c r="A2192" s="921"/>
      <c r="B2192" s="2427"/>
      <c r="C2192" s="2427"/>
      <c r="D2192" s="2725" t="s">
        <v>902</v>
      </c>
      <c r="E2192" s="1352" t="s">
        <v>855</v>
      </c>
      <c r="F2192" s="1600">
        <v>0</v>
      </c>
      <c r="G2192" s="1600">
        <v>141</v>
      </c>
      <c r="H2192" s="1600">
        <v>141</v>
      </c>
      <c r="I2192" s="367">
        <f t="shared" ref="I2192:I2193" si="426">(H2192/G2192)*100</f>
        <v>100</v>
      </c>
    </row>
    <row r="2193" spans="1:20" ht="14.25" x14ac:dyDescent="0.2">
      <c r="A2193" s="921"/>
      <c r="B2193" s="2427"/>
      <c r="C2193" s="2427"/>
      <c r="D2193" s="2725" t="s">
        <v>1896</v>
      </c>
      <c r="E2193" s="2220" t="s">
        <v>1951</v>
      </c>
      <c r="F2193" s="1643">
        <v>0</v>
      </c>
      <c r="G2193" s="1643">
        <v>21</v>
      </c>
      <c r="H2193" s="1643">
        <v>21</v>
      </c>
      <c r="I2193" s="982">
        <f t="shared" si="426"/>
        <v>100</v>
      </c>
    </row>
    <row r="2194" spans="1:20" ht="15" thickBot="1" x14ac:dyDescent="0.25">
      <c r="A2194" s="921"/>
      <c r="B2194" s="2427"/>
      <c r="C2194" s="2719"/>
      <c r="D2194" s="2726" t="s">
        <v>901</v>
      </c>
      <c r="E2194" s="436" t="s">
        <v>1637</v>
      </c>
      <c r="F2194" s="660">
        <v>0</v>
      </c>
      <c r="G2194" s="660">
        <v>6473</v>
      </c>
      <c r="H2194" s="660">
        <v>6473</v>
      </c>
      <c r="I2194" s="656">
        <f t="shared" si="425"/>
        <v>100</v>
      </c>
    </row>
    <row r="2195" spans="1:20" ht="15.75" hidden="1" thickBot="1" x14ac:dyDescent="0.3">
      <c r="A2195" s="418">
        <v>1310</v>
      </c>
      <c r="B2195" s="603">
        <v>3231</v>
      </c>
      <c r="C2195" s="603">
        <v>5331</v>
      </c>
      <c r="D2195" s="652"/>
      <c r="E2195" s="644" t="s">
        <v>481</v>
      </c>
      <c r="F2195" s="660"/>
      <c r="G2195" s="678">
        <f>G2196</f>
        <v>0</v>
      </c>
      <c r="H2195" s="678">
        <f>H2196</f>
        <v>0</v>
      </c>
      <c r="I2195" s="680" t="e">
        <f t="shared" si="425"/>
        <v>#DIV/0!</v>
      </c>
    </row>
    <row r="2196" spans="1:20" ht="29.25" hidden="1" thickBot="1" x14ac:dyDescent="0.25">
      <c r="A2196" s="418"/>
      <c r="B2196" s="603"/>
      <c r="C2196" s="917"/>
      <c r="D2196" s="892" t="s">
        <v>924</v>
      </c>
      <c r="E2196" s="2221" t="s">
        <v>925</v>
      </c>
      <c r="F2196" s="660"/>
      <c r="G2196" s="875"/>
      <c r="H2196" s="875"/>
      <c r="I2196" s="871" t="e">
        <f t="shared" si="425"/>
        <v>#DIV/0!</v>
      </c>
    </row>
    <row r="2197" spans="1:20" ht="16.5" thickTop="1" thickBot="1" x14ac:dyDescent="0.3">
      <c r="A2197" s="3233" t="s">
        <v>522</v>
      </c>
      <c r="B2197" s="3234"/>
      <c r="C2197" s="3234"/>
      <c r="D2197" s="3234"/>
      <c r="E2197" s="3234"/>
      <c r="F2197" s="657">
        <f>SUM(F2188)</f>
        <v>0</v>
      </c>
      <c r="G2197" s="657">
        <f>G2188+G2191+G2195</f>
        <v>6635</v>
      </c>
      <c r="H2197" s="657">
        <f>H2188+H2191+H2195</f>
        <v>6635</v>
      </c>
      <c r="I2197" s="658">
        <f t="shared" si="425"/>
        <v>100</v>
      </c>
      <c r="R2197" s="373">
        <f>F2197</f>
        <v>0</v>
      </c>
      <c r="S2197" s="373">
        <f>G2197</f>
        <v>6635</v>
      </c>
      <c r="T2197" s="373">
        <f>H2197</f>
        <v>6635</v>
      </c>
    </row>
    <row r="2198" spans="1:20" s="106" customFormat="1" ht="18" customHeight="1" thickTop="1" x14ac:dyDescent="0.2">
      <c r="A2198" s="372"/>
      <c r="B2198" s="584"/>
      <c r="C2198" s="372"/>
      <c r="D2198" s="648"/>
      <c r="E2198" s="372"/>
      <c r="F2198" s="373"/>
      <c r="G2198" s="373"/>
      <c r="H2198" s="373"/>
      <c r="I2198" s="915"/>
    </row>
    <row r="2199" spans="1:20" ht="13.5" thickBot="1" x14ac:dyDescent="0.25">
      <c r="A2199" s="419" t="s">
        <v>516</v>
      </c>
      <c r="I2199" s="915" t="s">
        <v>92</v>
      </c>
    </row>
    <row r="2200" spans="1:20" ht="14.25" thickTop="1" thickBot="1" x14ac:dyDescent="0.25">
      <c r="A2200" s="572" t="s">
        <v>324</v>
      </c>
      <c r="B2200" s="639" t="s">
        <v>93</v>
      </c>
      <c r="C2200" s="573" t="s">
        <v>94</v>
      </c>
      <c r="D2200" s="575" t="s">
        <v>364</v>
      </c>
      <c r="E2200" s="575" t="s">
        <v>95</v>
      </c>
      <c r="F2200" s="575" t="s">
        <v>328</v>
      </c>
      <c r="G2200" s="575" t="s">
        <v>329</v>
      </c>
      <c r="H2200" s="575" t="s">
        <v>448</v>
      </c>
      <c r="I2200" s="651" t="s">
        <v>449</v>
      </c>
    </row>
    <row r="2201" spans="1:20" s="941" customFormat="1" ht="14.25" thickTop="1" thickBot="1" x14ac:dyDescent="0.25">
      <c r="A2201" s="511">
        <v>1</v>
      </c>
      <c r="B2201" s="512">
        <v>2</v>
      </c>
      <c r="C2201" s="512">
        <v>3</v>
      </c>
      <c r="D2201" s="512">
        <v>4</v>
      </c>
      <c r="E2201" s="512">
        <v>5</v>
      </c>
      <c r="F2201" s="499">
        <v>6</v>
      </c>
      <c r="G2201" s="499">
        <v>7</v>
      </c>
      <c r="H2201" s="500">
        <v>8</v>
      </c>
      <c r="I2201" s="577" t="s">
        <v>393</v>
      </c>
    </row>
    <row r="2202" spans="1:20" ht="15.75" hidden="1" thickTop="1" x14ac:dyDescent="0.25">
      <c r="A2202" s="924">
        <v>1311</v>
      </c>
      <c r="B2202" s="676">
        <v>3231</v>
      </c>
      <c r="C2202" s="676">
        <v>5331</v>
      </c>
      <c r="D2202" s="679"/>
      <c r="E2202" s="703" t="s">
        <v>481</v>
      </c>
      <c r="F2202" s="674">
        <f>F2203</f>
        <v>0</v>
      </c>
      <c r="G2202" s="674">
        <f t="shared" ref="G2202:H2202" si="427">G2203</f>
        <v>0</v>
      </c>
      <c r="H2202" s="674">
        <f t="shared" si="427"/>
        <v>0</v>
      </c>
      <c r="I2202" s="677" t="e">
        <f>(H2202/G2202)*100</f>
        <v>#DIV/0!</v>
      </c>
    </row>
    <row r="2203" spans="1:20" ht="15" hidden="1" thickTop="1" x14ac:dyDescent="0.2">
      <c r="A2203" s="418"/>
      <c r="B2203" s="603"/>
      <c r="C2203" s="603"/>
      <c r="D2203" s="620" t="s">
        <v>905</v>
      </c>
      <c r="E2203" s="938" t="s">
        <v>408</v>
      </c>
      <c r="F2203" s="660"/>
      <c r="G2203" s="660"/>
      <c r="H2203" s="660"/>
      <c r="I2203" s="656" t="e">
        <f>(H2203/G2203)*100</f>
        <v>#DIV/0!</v>
      </c>
    </row>
    <row r="2204" spans="1:20" ht="15.75" thickTop="1" x14ac:dyDescent="0.25">
      <c r="A2204" s="921">
        <v>1311</v>
      </c>
      <c r="B2204" s="2427">
        <v>3231</v>
      </c>
      <c r="C2204" s="2427">
        <v>5336</v>
      </c>
      <c r="D2204" s="2725"/>
      <c r="E2204" s="602" t="s">
        <v>856</v>
      </c>
      <c r="F2204" s="678">
        <f>F2205+F2206+F2207</f>
        <v>0</v>
      </c>
      <c r="G2204" s="678">
        <f>G2205+G2206+G2207</f>
        <v>8565</v>
      </c>
      <c r="H2204" s="678">
        <f>H2205+H2206+H2207</f>
        <v>8565</v>
      </c>
      <c r="I2204" s="680">
        <f>(H2204/G2204)*100</f>
        <v>100</v>
      </c>
    </row>
    <row r="2205" spans="1:20" ht="14.25" x14ac:dyDescent="0.2">
      <c r="A2205" s="921"/>
      <c r="B2205" s="2427"/>
      <c r="C2205" s="2427"/>
      <c r="D2205" s="2725" t="s">
        <v>902</v>
      </c>
      <c r="E2205" s="1352" t="s">
        <v>855</v>
      </c>
      <c r="F2205" s="1600">
        <v>0</v>
      </c>
      <c r="G2205" s="1600">
        <v>184</v>
      </c>
      <c r="H2205" s="1600">
        <v>184</v>
      </c>
      <c r="I2205" s="367">
        <f t="shared" ref="I2205:I2206" si="428">(H2205/G2205)*100</f>
        <v>100</v>
      </c>
    </row>
    <row r="2206" spans="1:20" ht="14.25" x14ac:dyDescent="0.2">
      <c r="A2206" s="921"/>
      <c r="B2206" s="2427"/>
      <c r="C2206" s="2427"/>
      <c r="D2206" s="2725" t="s">
        <v>1896</v>
      </c>
      <c r="E2206" s="2220" t="s">
        <v>1951</v>
      </c>
      <c r="F2206" s="1643">
        <v>0</v>
      </c>
      <c r="G2206" s="1643">
        <v>27</v>
      </c>
      <c r="H2206" s="1643">
        <v>27</v>
      </c>
      <c r="I2206" s="982">
        <f t="shared" si="428"/>
        <v>100</v>
      </c>
    </row>
    <row r="2207" spans="1:20" ht="14.25" x14ac:dyDescent="0.2">
      <c r="A2207" s="921"/>
      <c r="B2207" s="2427"/>
      <c r="C2207" s="2719"/>
      <c r="D2207" s="2726" t="s">
        <v>901</v>
      </c>
      <c r="E2207" s="436" t="s">
        <v>1637</v>
      </c>
      <c r="F2207" s="660">
        <v>0</v>
      </c>
      <c r="G2207" s="660">
        <v>8354</v>
      </c>
      <c r="H2207" s="660">
        <v>8354</v>
      </c>
      <c r="I2207" s="656">
        <f>(H2207/G2207)*100</f>
        <v>100</v>
      </c>
    </row>
    <row r="2208" spans="1:20" ht="15" x14ac:dyDescent="0.25">
      <c r="A2208" s="418">
        <v>1311</v>
      </c>
      <c r="B2208" s="603">
        <v>3299</v>
      </c>
      <c r="C2208" s="2427">
        <v>5331</v>
      </c>
      <c r="D2208" s="652"/>
      <c r="E2208" s="644" t="s">
        <v>481</v>
      </c>
      <c r="F2208" s="653">
        <f>F2209</f>
        <v>0</v>
      </c>
      <c r="G2208" s="653">
        <f t="shared" ref="G2208:H2208" si="429">G2209</f>
        <v>17</v>
      </c>
      <c r="H2208" s="653">
        <f t="shared" si="429"/>
        <v>17</v>
      </c>
      <c r="I2208" s="654">
        <f t="shared" ref="I2208:I2209" si="430">(H2208/G2208)*100</f>
        <v>100</v>
      </c>
    </row>
    <row r="2209" spans="1:20" ht="15" thickBot="1" x14ac:dyDescent="0.25">
      <c r="A2209" s="919"/>
      <c r="B2209" s="604"/>
      <c r="C2209" s="604"/>
      <c r="D2209" s="624" t="s">
        <v>923</v>
      </c>
      <c r="E2209" s="437" t="s">
        <v>653</v>
      </c>
      <c r="F2209" s="693">
        <v>0</v>
      </c>
      <c r="G2209" s="693">
        <v>17</v>
      </c>
      <c r="H2209" s="693">
        <v>17</v>
      </c>
      <c r="I2209" s="682">
        <f t="shared" si="430"/>
        <v>100</v>
      </c>
    </row>
    <row r="2210" spans="1:20" ht="16.5" thickTop="1" thickBot="1" x14ac:dyDescent="0.3">
      <c r="A2210" s="3233" t="s">
        <v>522</v>
      </c>
      <c r="B2210" s="3234"/>
      <c r="C2210" s="3234"/>
      <c r="D2210" s="3234"/>
      <c r="E2210" s="3234"/>
      <c r="F2210" s="657">
        <f>SUM(F2202)</f>
        <v>0</v>
      </c>
      <c r="G2210" s="657">
        <f>G2202+G2204+G2208</f>
        <v>8582</v>
      </c>
      <c r="H2210" s="657">
        <f>H2202+H2204+H2208</f>
        <v>8582</v>
      </c>
      <c r="I2210" s="658">
        <f>(H2210/G2210)*100</f>
        <v>100</v>
      </c>
      <c r="R2210" s="373">
        <f>F2210</f>
        <v>0</v>
      </c>
      <c r="S2210" s="373">
        <f>G2210</f>
        <v>8582</v>
      </c>
      <c r="T2210" s="373">
        <f>H2210</f>
        <v>8582</v>
      </c>
    </row>
    <row r="2211" spans="1:20" s="106" customFormat="1" ht="13.5" thickTop="1" x14ac:dyDescent="0.2">
      <c r="A2211" s="372"/>
      <c r="B2211" s="584"/>
      <c r="C2211" s="372"/>
      <c r="D2211" s="648"/>
      <c r="E2211" s="372"/>
      <c r="F2211" s="373"/>
      <c r="G2211" s="373"/>
      <c r="H2211" s="373"/>
      <c r="I2211" s="915"/>
    </row>
    <row r="2212" spans="1:20" s="106" customFormat="1" x14ac:dyDescent="0.2">
      <c r="A2212" s="372"/>
      <c r="B2212" s="584"/>
      <c r="C2212" s="372"/>
      <c r="D2212" s="648"/>
      <c r="E2212" s="372"/>
      <c r="F2212" s="373"/>
      <c r="G2212" s="373"/>
      <c r="H2212" s="373"/>
      <c r="I2212" s="915"/>
    </row>
    <row r="2213" spans="1:20" ht="13.5" thickBot="1" x14ac:dyDescent="0.25">
      <c r="A2213" s="419" t="s">
        <v>517</v>
      </c>
      <c r="I2213" s="915" t="s">
        <v>92</v>
      </c>
    </row>
    <row r="2214" spans="1:20" ht="14.25" thickTop="1" thickBot="1" x14ac:dyDescent="0.25">
      <c r="A2214" s="572" t="s">
        <v>324</v>
      </c>
      <c r="B2214" s="639" t="s">
        <v>93</v>
      </c>
      <c r="C2214" s="573" t="s">
        <v>94</v>
      </c>
      <c r="D2214" s="575" t="s">
        <v>364</v>
      </c>
      <c r="E2214" s="575" t="s">
        <v>95</v>
      </c>
      <c r="F2214" s="575" t="s">
        <v>328</v>
      </c>
      <c r="G2214" s="575" t="s">
        <v>329</v>
      </c>
      <c r="H2214" s="575" t="s">
        <v>448</v>
      </c>
      <c r="I2214" s="651" t="s">
        <v>449</v>
      </c>
    </row>
    <row r="2215" spans="1:20" ht="14.25" thickTop="1" thickBot="1" x14ac:dyDescent="0.25">
      <c r="A2215" s="511">
        <v>1</v>
      </c>
      <c r="B2215" s="512">
        <v>2</v>
      </c>
      <c r="C2215" s="512">
        <v>3</v>
      </c>
      <c r="D2215" s="512">
        <v>4</v>
      </c>
      <c r="E2215" s="512">
        <v>5</v>
      </c>
      <c r="F2215" s="499">
        <v>6</v>
      </c>
      <c r="G2215" s="499">
        <v>7</v>
      </c>
      <c r="H2215" s="500">
        <v>8</v>
      </c>
      <c r="I2215" s="577" t="s">
        <v>393</v>
      </c>
    </row>
    <row r="2216" spans="1:20" ht="15.75" hidden="1" thickTop="1" x14ac:dyDescent="0.25">
      <c r="A2216" s="924">
        <v>1312</v>
      </c>
      <c r="B2216" s="676">
        <v>3231</v>
      </c>
      <c r="C2216" s="676">
        <v>5331</v>
      </c>
      <c r="D2216" s="679"/>
      <c r="E2216" s="703" t="s">
        <v>481</v>
      </c>
      <c r="F2216" s="716">
        <f>F2217+F2218</f>
        <v>0</v>
      </c>
      <c r="G2216" s="716">
        <f>G2217+G2218</f>
        <v>0</v>
      </c>
      <c r="H2216" s="716">
        <f>H2217+H2218</f>
        <v>0</v>
      </c>
      <c r="I2216" s="717" t="e">
        <f t="shared" ref="I2216:I2223" si="431">(H2216/G2216)*100</f>
        <v>#DIV/0!</v>
      </c>
    </row>
    <row r="2217" spans="1:20" ht="15" hidden="1" thickTop="1" x14ac:dyDescent="0.2">
      <c r="A2217" s="418"/>
      <c r="B2217" s="603"/>
      <c r="C2217" s="603"/>
      <c r="D2217" s="620" t="s">
        <v>905</v>
      </c>
      <c r="E2217" s="938" t="s">
        <v>408</v>
      </c>
      <c r="F2217" s="351"/>
      <c r="G2217" s="351"/>
      <c r="H2217" s="351"/>
      <c r="I2217" s="681" t="e">
        <f t="shared" si="431"/>
        <v>#DIV/0!</v>
      </c>
    </row>
    <row r="2218" spans="1:20" ht="15" hidden="1" thickTop="1" x14ac:dyDescent="0.2">
      <c r="A2218" s="418"/>
      <c r="B2218" s="603"/>
      <c r="C2218" s="603"/>
      <c r="D2218" s="505" t="s">
        <v>906</v>
      </c>
      <c r="E2218" s="436" t="s">
        <v>38</v>
      </c>
      <c r="F2218" s="351"/>
      <c r="G2218" s="351"/>
      <c r="H2218" s="351"/>
      <c r="I2218" s="681" t="e">
        <f t="shared" si="431"/>
        <v>#DIV/0!</v>
      </c>
    </row>
    <row r="2219" spans="1:20" ht="15.75" thickTop="1" x14ac:dyDescent="0.25">
      <c r="A2219" s="921">
        <v>1312</v>
      </c>
      <c r="B2219" s="2722">
        <v>3231</v>
      </c>
      <c r="C2219" s="2722">
        <v>5336</v>
      </c>
      <c r="D2219" s="2725"/>
      <c r="E2219" s="602" t="s">
        <v>856</v>
      </c>
      <c r="F2219" s="675">
        <f>F2220+F2221+F2222</f>
        <v>0</v>
      </c>
      <c r="G2219" s="675">
        <f>G2220+G2221+G2222</f>
        <v>14373</v>
      </c>
      <c r="H2219" s="675">
        <f>H2220+H2221+H2222</f>
        <v>14373</v>
      </c>
      <c r="I2219" s="680">
        <f t="shared" si="431"/>
        <v>100</v>
      </c>
    </row>
    <row r="2220" spans="1:20" ht="14.25" x14ac:dyDescent="0.2">
      <c r="A2220" s="921"/>
      <c r="B2220" s="2722"/>
      <c r="C2220" s="2722"/>
      <c r="D2220" s="2725" t="s">
        <v>902</v>
      </c>
      <c r="E2220" s="1352" t="s">
        <v>855</v>
      </c>
      <c r="F2220" s="1600">
        <v>0</v>
      </c>
      <c r="G2220" s="1600">
        <v>289</v>
      </c>
      <c r="H2220" s="1600">
        <v>289</v>
      </c>
      <c r="I2220" s="367">
        <f t="shared" ref="I2220:I2221" si="432">(H2220/G2220)*100</f>
        <v>100</v>
      </c>
    </row>
    <row r="2221" spans="1:20" ht="14.25" x14ac:dyDescent="0.2">
      <c r="A2221" s="921"/>
      <c r="B2221" s="2722"/>
      <c r="C2221" s="2722"/>
      <c r="D2221" s="2725" t="s">
        <v>1896</v>
      </c>
      <c r="E2221" s="2228" t="s">
        <v>1951</v>
      </c>
      <c r="F2221" s="1643">
        <v>0</v>
      </c>
      <c r="G2221" s="1643">
        <v>26</v>
      </c>
      <c r="H2221" s="1643">
        <v>26</v>
      </c>
      <c r="I2221" s="982">
        <f t="shared" si="432"/>
        <v>100</v>
      </c>
    </row>
    <row r="2222" spans="1:20" ht="15" thickBot="1" x14ac:dyDescent="0.25">
      <c r="A2222" s="921"/>
      <c r="B2222" s="2722"/>
      <c r="C2222" s="2722"/>
      <c r="D2222" s="2726" t="s">
        <v>901</v>
      </c>
      <c r="E2222" s="436" t="s">
        <v>1637</v>
      </c>
      <c r="F2222" s="668">
        <v>0</v>
      </c>
      <c r="G2222" s="668">
        <v>14058</v>
      </c>
      <c r="H2222" s="668">
        <v>14058</v>
      </c>
      <c r="I2222" s="367">
        <f t="shared" si="431"/>
        <v>100</v>
      </c>
    </row>
    <row r="2223" spans="1:20" ht="16.5" thickTop="1" thickBot="1" x14ac:dyDescent="0.3">
      <c r="A2223" s="3233" t="s">
        <v>522</v>
      </c>
      <c r="B2223" s="3234"/>
      <c r="C2223" s="3234"/>
      <c r="D2223" s="3234"/>
      <c r="E2223" s="3234"/>
      <c r="F2223" s="705">
        <f>SUM(F2216)</f>
        <v>0</v>
      </c>
      <c r="G2223" s="705">
        <f>G2216+G2219</f>
        <v>14373</v>
      </c>
      <c r="H2223" s="705">
        <f>H2216+H2219</f>
        <v>14373</v>
      </c>
      <c r="I2223" s="706">
        <f t="shared" si="431"/>
        <v>100</v>
      </c>
      <c r="R2223" s="373">
        <f>F2223</f>
        <v>0</v>
      </c>
      <c r="S2223" s="373">
        <f>G2223</f>
        <v>14373</v>
      </c>
      <c r="T2223" s="373">
        <f>H2223</f>
        <v>14373</v>
      </c>
    </row>
    <row r="2224" spans="1:20" s="374" customFormat="1" ht="13.5" thickTop="1" x14ac:dyDescent="0.2">
      <c r="A2224" s="372"/>
      <c r="B2224" s="584"/>
      <c r="C2224" s="372"/>
      <c r="D2224" s="648"/>
      <c r="E2224" s="372"/>
      <c r="F2224" s="373"/>
      <c r="G2224" s="373"/>
      <c r="H2224" s="373"/>
      <c r="I2224" s="915"/>
    </row>
    <row r="2225" spans="1:20" s="374" customFormat="1" x14ac:dyDescent="0.2">
      <c r="A2225" s="372"/>
      <c r="B2225" s="584"/>
      <c r="C2225" s="372"/>
      <c r="D2225" s="648"/>
      <c r="E2225" s="372"/>
      <c r="F2225" s="373"/>
      <c r="G2225" s="373"/>
      <c r="H2225" s="373"/>
      <c r="I2225" s="915"/>
    </row>
    <row r="2226" spans="1:20" ht="13.5" thickBot="1" x14ac:dyDescent="0.25">
      <c r="A2226" s="419" t="s">
        <v>1068</v>
      </c>
      <c r="I2226" s="915" t="s">
        <v>92</v>
      </c>
    </row>
    <row r="2227" spans="1:20" ht="14.25" thickTop="1" thickBot="1" x14ac:dyDescent="0.25">
      <c r="A2227" s="572" t="s">
        <v>324</v>
      </c>
      <c r="B2227" s="639" t="s">
        <v>93</v>
      </c>
      <c r="C2227" s="573" t="s">
        <v>94</v>
      </c>
      <c r="D2227" s="575" t="s">
        <v>364</v>
      </c>
      <c r="E2227" s="575" t="s">
        <v>95</v>
      </c>
      <c r="F2227" s="575" t="s">
        <v>328</v>
      </c>
      <c r="G2227" s="575" t="s">
        <v>329</v>
      </c>
      <c r="H2227" s="575" t="s">
        <v>448</v>
      </c>
      <c r="I2227" s="651" t="s">
        <v>449</v>
      </c>
    </row>
    <row r="2228" spans="1:20" ht="14.25" thickTop="1" thickBot="1" x14ac:dyDescent="0.25">
      <c r="A2228" s="511">
        <v>1</v>
      </c>
      <c r="B2228" s="512">
        <v>2</v>
      </c>
      <c r="C2228" s="512">
        <v>3</v>
      </c>
      <c r="D2228" s="512">
        <v>4</v>
      </c>
      <c r="E2228" s="512">
        <v>5</v>
      </c>
      <c r="F2228" s="499">
        <v>6</v>
      </c>
      <c r="G2228" s="499">
        <v>7</v>
      </c>
      <c r="H2228" s="500">
        <v>8</v>
      </c>
      <c r="I2228" s="577" t="s">
        <v>393</v>
      </c>
    </row>
    <row r="2229" spans="1:20" ht="15.75" thickTop="1" x14ac:dyDescent="0.25">
      <c r="A2229" s="924">
        <v>1313</v>
      </c>
      <c r="B2229" s="676">
        <v>3231</v>
      </c>
      <c r="C2229" s="676">
        <v>5331</v>
      </c>
      <c r="D2229" s="679"/>
      <c r="E2229" s="703" t="s">
        <v>481</v>
      </c>
      <c r="F2229" s="674">
        <f>F2230</f>
        <v>0</v>
      </c>
      <c r="G2229" s="674">
        <f t="shared" ref="G2229:H2229" si="433">G2230</f>
        <v>7</v>
      </c>
      <c r="H2229" s="674">
        <f t="shared" si="433"/>
        <v>7</v>
      </c>
      <c r="I2229" s="677">
        <f>(H2229/G2229)*100</f>
        <v>100</v>
      </c>
    </row>
    <row r="2230" spans="1:20" ht="14.25" x14ac:dyDescent="0.2">
      <c r="A2230" s="418"/>
      <c r="B2230" s="603"/>
      <c r="C2230" s="603"/>
      <c r="D2230" s="620" t="s">
        <v>917</v>
      </c>
      <c r="E2230" s="938" t="s">
        <v>1956</v>
      </c>
      <c r="F2230" s="660">
        <v>0</v>
      </c>
      <c r="G2230" s="660">
        <v>7</v>
      </c>
      <c r="H2230" s="660">
        <v>7</v>
      </c>
      <c r="I2230" s="656">
        <f>(H2230/G2230)*100</f>
        <v>100</v>
      </c>
    </row>
    <row r="2231" spans="1:20" ht="18" customHeight="1" x14ac:dyDescent="0.25">
      <c r="A2231" s="921">
        <v>1313</v>
      </c>
      <c r="B2231" s="2427">
        <v>3231</v>
      </c>
      <c r="C2231" s="2427">
        <v>5336</v>
      </c>
      <c r="D2231" s="2725"/>
      <c r="E2231" s="602" t="s">
        <v>856</v>
      </c>
      <c r="F2231" s="678">
        <f>F2232+F2233+F2234</f>
        <v>0</v>
      </c>
      <c r="G2231" s="678">
        <f>G2232+G2233+G2234</f>
        <v>17619</v>
      </c>
      <c r="H2231" s="678">
        <f>H2232+H2233+H2234</f>
        <v>17619</v>
      </c>
      <c r="I2231" s="680">
        <f t="shared" ref="I2231:I2237" si="434">(H2231/G2231)*100</f>
        <v>100</v>
      </c>
    </row>
    <row r="2232" spans="1:20" ht="14.25" customHeight="1" x14ac:dyDescent="0.2">
      <c r="A2232" s="921"/>
      <c r="B2232" s="2427"/>
      <c r="C2232" s="2427"/>
      <c r="D2232" s="2725" t="s">
        <v>902</v>
      </c>
      <c r="E2232" s="1352" t="s">
        <v>855</v>
      </c>
      <c r="F2232" s="1600">
        <v>0</v>
      </c>
      <c r="G2232" s="1600">
        <v>341</v>
      </c>
      <c r="H2232" s="1600">
        <v>341</v>
      </c>
      <c r="I2232" s="367">
        <f t="shared" ref="I2232:I2233" si="435">(H2232/G2232)*100</f>
        <v>100</v>
      </c>
    </row>
    <row r="2233" spans="1:20" ht="14.25" x14ac:dyDescent="0.2">
      <c r="A2233" s="921"/>
      <c r="B2233" s="2427"/>
      <c r="C2233" s="2427"/>
      <c r="D2233" s="2725" t="s">
        <v>1896</v>
      </c>
      <c r="E2233" s="2228" t="s">
        <v>1951</v>
      </c>
      <c r="F2233" s="1643">
        <v>0</v>
      </c>
      <c r="G2233" s="1643">
        <v>36</v>
      </c>
      <c r="H2233" s="1643">
        <v>36</v>
      </c>
      <c r="I2233" s="982">
        <f t="shared" si="435"/>
        <v>100</v>
      </c>
    </row>
    <row r="2234" spans="1:20" ht="15" thickBot="1" x14ac:dyDescent="0.25">
      <c r="A2234" s="921"/>
      <c r="B2234" s="2427"/>
      <c r="C2234" s="2719"/>
      <c r="D2234" s="2726" t="s">
        <v>901</v>
      </c>
      <c r="E2234" s="436" t="s">
        <v>1637</v>
      </c>
      <c r="F2234" s="660">
        <v>0</v>
      </c>
      <c r="G2234" s="660">
        <v>17242</v>
      </c>
      <c r="H2234" s="660">
        <v>17242</v>
      </c>
      <c r="I2234" s="656">
        <f t="shared" si="434"/>
        <v>100</v>
      </c>
    </row>
    <row r="2235" spans="1:20" ht="15.75" hidden="1" thickBot="1" x14ac:dyDescent="0.3">
      <c r="A2235" s="418">
        <v>1313</v>
      </c>
      <c r="B2235" s="603">
        <v>3299</v>
      </c>
      <c r="C2235" s="603">
        <v>5331</v>
      </c>
      <c r="D2235" s="652"/>
      <c r="E2235" s="644" t="s">
        <v>481</v>
      </c>
      <c r="F2235" s="660"/>
      <c r="G2235" s="678">
        <f>G2236</f>
        <v>0</v>
      </c>
      <c r="H2235" s="678">
        <f>H2236</f>
        <v>0</v>
      </c>
      <c r="I2235" s="680" t="e">
        <f t="shared" si="434"/>
        <v>#DIV/0!</v>
      </c>
    </row>
    <row r="2236" spans="1:20" ht="15" hidden="1" thickBot="1" x14ac:dyDescent="0.25">
      <c r="A2236" s="418"/>
      <c r="B2236" s="603"/>
      <c r="C2236" s="917"/>
      <c r="D2236" s="876" t="s">
        <v>923</v>
      </c>
      <c r="E2236" s="439" t="s">
        <v>525</v>
      </c>
      <c r="F2236" s="660"/>
      <c r="G2236" s="660"/>
      <c r="H2236" s="660"/>
      <c r="I2236" s="656" t="e">
        <f t="shared" si="434"/>
        <v>#DIV/0!</v>
      </c>
    </row>
    <row r="2237" spans="1:20" ht="16.5" thickTop="1" thickBot="1" x14ac:dyDescent="0.3">
      <c r="A2237" s="3233" t="s">
        <v>522</v>
      </c>
      <c r="B2237" s="3234"/>
      <c r="C2237" s="3234"/>
      <c r="D2237" s="3234"/>
      <c r="E2237" s="3234"/>
      <c r="F2237" s="657">
        <f>SUM(F2229)</f>
        <v>0</v>
      </c>
      <c r="G2237" s="657">
        <f>G2229+G2231+G2235</f>
        <v>17626</v>
      </c>
      <c r="H2237" s="657">
        <f>H2229+H2231+H2235</f>
        <v>17626</v>
      </c>
      <c r="I2237" s="658">
        <f t="shared" si="434"/>
        <v>100</v>
      </c>
      <c r="R2237" s="373">
        <f>F2237</f>
        <v>0</v>
      </c>
      <c r="S2237" s="373">
        <f>G2237</f>
        <v>17626</v>
      </c>
      <c r="T2237" s="373">
        <f>H2237</f>
        <v>17626</v>
      </c>
    </row>
    <row r="2238" spans="1:20" s="106" customFormat="1" ht="13.5" thickTop="1" x14ac:dyDescent="0.2">
      <c r="A2238" s="372"/>
      <c r="B2238" s="584"/>
      <c r="C2238" s="372"/>
      <c r="D2238" s="648"/>
      <c r="E2238" s="372"/>
      <c r="F2238" s="373"/>
      <c r="G2238" s="373"/>
      <c r="H2238" s="373"/>
      <c r="I2238" s="915"/>
    </row>
    <row r="2239" spans="1:20" s="106" customFormat="1" x14ac:dyDescent="0.2">
      <c r="A2239" s="372"/>
      <c r="B2239" s="584"/>
      <c r="C2239" s="372"/>
      <c r="D2239" s="648"/>
      <c r="E2239" s="372"/>
      <c r="F2239" s="373"/>
      <c r="G2239" s="373"/>
      <c r="H2239" s="373"/>
      <c r="I2239" s="915"/>
    </row>
    <row r="2240" spans="1:20" ht="13.5" thickBot="1" x14ac:dyDescent="0.25">
      <c r="A2240" s="419" t="s">
        <v>87</v>
      </c>
      <c r="I2240" s="915" t="s">
        <v>92</v>
      </c>
    </row>
    <row r="2241" spans="1:20" ht="14.25" thickTop="1" thickBot="1" x14ac:dyDescent="0.25">
      <c r="A2241" s="572" t="s">
        <v>324</v>
      </c>
      <c r="B2241" s="639" t="s">
        <v>93</v>
      </c>
      <c r="C2241" s="573" t="s">
        <v>94</v>
      </c>
      <c r="D2241" s="575" t="s">
        <v>364</v>
      </c>
      <c r="E2241" s="575" t="s">
        <v>95</v>
      </c>
      <c r="F2241" s="575" t="s">
        <v>328</v>
      </c>
      <c r="G2241" s="575" t="s">
        <v>329</v>
      </c>
      <c r="H2241" s="575" t="s">
        <v>448</v>
      </c>
      <c r="I2241" s="651" t="s">
        <v>449</v>
      </c>
    </row>
    <row r="2242" spans="1:20" ht="14.25" thickTop="1" thickBot="1" x14ac:dyDescent="0.25">
      <c r="A2242" s="511">
        <v>1</v>
      </c>
      <c r="B2242" s="512">
        <v>2</v>
      </c>
      <c r="C2242" s="512">
        <v>3</v>
      </c>
      <c r="D2242" s="512">
        <v>4</v>
      </c>
      <c r="E2242" s="512">
        <v>5</v>
      </c>
      <c r="F2242" s="499">
        <v>6</v>
      </c>
      <c r="G2242" s="499">
        <v>7</v>
      </c>
      <c r="H2242" s="500">
        <v>8</v>
      </c>
      <c r="I2242" s="577" t="s">
        <v>393</v>
      </c>
    </row>
    <row r="2243" spans="1:20" ht="15.75" hidden="1" thickTop="1" x14ac:dyDescent="0.25">
      <c r="A2243" s="924">
        <v>1314</v>
      </c>
      <c r="B2243" s="676">
        <v>3231</v>
      </c>
      <c r="C2243" s="676">
        <v>5331</v>
      </c>
      <c r="D2243" s="679"/>
      <c r="E2243" s="703" t="s">
        <v>481</v>
      </c>
      <c r="F2243" s="674">
        <f>SUM(F2244:F2249)</f>
        <v>0</v>
      </c>
      <c r="G2243" s="674">
        <f>G2244+G2245</f>
        <v>0</v>
      </c>
      <c r="H2243" s="674">
        <f>H2244+H2245</f>
        <v>0</v>
      </c>
      <c r="I2243" s="677" t="e">
        <f t="shared" ref="I2243:I2250" si="436">(H2243/G2243)*100</f>
        <v>#DIV/0!</v>
      </c>
    </row>
    <row r="2244" spans="1:20" ht="15" hidden="1" thickTop="1" x14ac:dyDescent="0.2">
      <c r="A2244" s="418"/>
      <c r="B2244" s="603"/>
      <c r="C2244" s="603"/>
      <c r="D2244" s="620" t="s">
        <v>905</v>
      </c>
      <c r="E2244" s="938" t="s">
        <v>408</v>
      </c>
      <c r="F2244" s="660"/>
      <c r="G2244" s="660"/>
      <c r="H2244" s="660"/>
      <c r="I2244" s="656" t="e">
        <f t="shared" si="436"/>
        <v>#DIV/0!</v>
      </c>
    </row>
    <row r="2245" spans="1:20" ht="15" hidden="1" thickTop="1" x14ac:dyDescent="0.2">
      <c r="A2245" s="418"/>
      <c r="B2245" s="603"/>
      <c r="C2245" s="603"/>
      <c r="D2245" s="505" t="s">
        <v>906</v>
      </c>
      <c r="E2245" s="436" t="s">
        <v>38</v>
      </c>
      <c r="F2245" s="660"/>
      <c r="G2245" s="660"/>
      <c r="H2245" s="660"/>
      <c r="I2245" s="656" t="e">
        <f t="shared" si="436"/>
        <v>#DIV/0!</v>
      </c>
    </row>
    <row r="2246" spans="1:20" ht="15.75" thickTop="1" x14ac:dyDescent="0.25">
      <c r="A2246" s="921">
        <v>1314</v>
      </c>
      <c r="B2246" s="2427">
        <v>3231</v>
      </c>
      <c r="C2246" s="2427">
        <v>5336</v>
      </c>
      <c r="D2246" s="2725"/>
      <c r="E2246" s="602" t="s">
        <v>856</v>
      </c>
      <c r="F2246" s="678">
        <f>F2247+F2248+F2249</f>
        <v>0</v>
      </c>
      <c r="G2246" s="678">
        <f>G2247+G2248+G2249</f>
        <v>5408</v>
      </c>
      <c r="H2246" s="678">
        <f>H2247+H2248+H2249</f>
        <v>5408</v>
      </c>
      <c r="I2246" s="680">
        <f t="shared" si="436"/>
        <v>100</v>
      </c>
    </row>
    <row r="2247" spans="1:20" ht="14.25" x14ac:dyDescent="0.2">
      <c r="A2247" s="921"/>
      <c r="B2247" s="2427"/>
      <c r="C2247" s="2427"/>
      <c r="D2247" s="2725" t="s">
        <v>902</v>
      </c>
      <c r="E2247" s="1352" t="s">
        <v>855</v>
      </c>
      <c r="F2247" s="1600">
        <v>0</v>
      </c>
      <c r="G2247" s="1600">
        <v>104</v>
      </c>
      <c r="H2247" s="1600">
        <v>104</v>
      </c>
      <c r="I2247" s="367">
        <f t="shared" ref="I2247:I2248" si="437">(H2247/G2247)*100</f>
        <v>100</v>
      </c>
    </row>
    <row r="2248" spans="1:20" ht="14.25" x14ac:dyDescent="0.2">
      <c r="A2248" s="921"/>
      <c r="B2248" s="2427"/>
      <c r="C2248" s="2427"/>
      <c r="D2248" s="2725" t="s">
        <v>1896</v>
      </c>
      <c r="E2248" s="2228" t="s">
        <v>1951</v>
      </c>
      <c r="F2248" s="1643">
        <v>0</v>
      </c>
      <c r="G2248" s="1643">
        <v>15</v>
      </c>
      <c r="H2248" s="1643">
        <v>15</v>
      </c>
      <c r="I2248" s="982">
        <f t="shared" si="437"/>
        <v>100</v>
      </c>
    </row>
    <row r="2249" spans="1:20" ht="15" thickBot="1" x14ac:dyDescent="0.25">
      <c r="A2249" s="921"/>
      <c r="B2249" s="2427"/>
      <c r="C2249" s="2719"/>
      <c r="D2249" s="2726" t="s">
        <v>901</v>
      </c>
      <c r="E2249" s="436" t="s">
        <v>1637</v>
      </c>
      <c r="F2249" s="660">
        <v>0</v>
      </c>
      <c r="G2249" s="660">
        <v>5289</v>
      </c>
      <c r="H2249" s="660">
        <v>5289</v>
      </c>
      <c r="I2249" s="656">
        <f t="shared" si="436"/>
        <v>100</v>
      </c>
    </row>
    <row r="2250" spans="1:20" ht="16.5" thickTop="1" thickBot="1" x14ac:dyDescent="0.3">
      <c r="A2250" s="3233" t="s">
        <v>522</v>
      </c>
      <c r="B2250" s="3234"/>
      <c r="C2250" s="3234"/>
      <c r="D2250" s="3234"/>
      <c r="E2250" s="3234"/>
      <c r="F2250" s="657">
        <f>SUM(F2243)</f>
        <v>0</v>
      </c>
      <c r="G2250" s="657">
        <f>G2243+G2246</f>
        <v>5408</v>
      </c>
      <c r="H2250" s="657">
        <f>H2243+H2246</f>
        <v>5408</v>
      </c>
      <c r="I2250" s="658">
        <f t="shared" si="436"/>
        <v>100</v>
      </c>
      <c r="R2250" s="373">
        <f>F2250</f>
        <v>0</v>
      </c>
      <c r="S2250" s="373">
        <f>G2250</f>
        <v>5408</v>
      </c>
      <c r="T2250" s="373">
        <f>H2250</f>
        <v>5408</v>
      </c>
    </row>
    <row r="2251" spans="1:20" ht="13.5" thickTop="1" x14ac:dyDescent="0.2"/>
    <row r="2253" spans="1:20" ht="13.5" thickBot="1" x14ac:dyDescent="0.25">
      <c r="A2253" s="419" t="s">
        <v>546</v>
      </c>
      <c r="I2253" s="915" t="s">
        <v>92</v>
      </c>
    </row>
    <row r="2254" spans="1:20" ht="14.25" thickTop="1" thickBot="1" x14ac:dyDescent="0.25">
      <c r="A2254" s="572" t="s">
        <v>324</v>
      </c>
      <c r="B2254" s="639" t="s">
        <v>93</v>
      </c>
      <c r="C2254" s="573" t="s">
        <v>94</v>
      </c>
      <c r="D2254" s="575" t="s">
        <v>364</v>
      </c>
      <c r="E2254" s="575" t="s">
        <v>95</v>
      </c>
      <c r="F2254" s="575" t="s">
        <v>328</v>
      </c>
      <c r="G2254" s="575" t="s">
        <v>329</v>
      </c>
      <c r="H2254" s="575" t="s">
        <v>448</v>
      </c>
      <c r="I2254" s="651" t="s">
        <v>449</v>
      </c>
    </row>
    <row r="2255" spans="1:20" ht="14.25" thickTop="1" thickBot="1" x14ac:dyDescent="0.25">
      <c r="A2255" s="511">
        <v>1</v>
      </c>
      <c r="B2255" s="512">
        <v>2</v>
      </c>
      <c r="C2255" s="512">
        <v>3</v>
      </c>
      <c r="D2255" s="512">
        <v>4</v>
      </c>
      <c r="E2255" s="512">
        <v>5</v>
      </c>
      <c r="F2255" s="499">
        <v>6</v>
      </c>
      <c r="G2255" s="499">
        <v>7</v>
      </c>
      <c r="H2255" s="500">
        <v>8</v>
      </c>
      <c r="I2255" s="577" t="s">
        <v>393</v>
      </c>
    </row>
    <row r="2256" spans="1:20" ht="15.75" hidden="1" thickTop="1" x14ac:dyDescent="0.25">
      <c r="A2256" s="924">
        <v>1315</v>
      </c>
      <c r="B2256" s="676">
        <v>3231</v>
      </c>
      <c r="C2256" s="676">
        <v>5331</v>
      </c>
      <c r="D2256" s="679"/>
      <c r="E2256" s="703" t="s">
        <v>481</v>
      </c>
      <c r="F2256" s="674">
        <f>SUM(F2257:F2262)</f>
        <v>0</v>
      </c>
      <c r="G2256" s="674">
        <f>G2257+G2258</f>
        <v>0</v>
      </c>
      <c r="H2256" s="674">
        <f>H2257+H2258</f>
        <v>0</v>
      </c>
      <c r="I2256" s="677" t="e">
        <f t="shared" ref="I2256:I2265" si="438">(H2256/G2256)*100</f>
        <v>#DIV/0!</v>
      </c>
    </row>
    <row r="2257" spans="1:20" ht="15" hidden="1" thickTop="1" x14ac:dyDescent="0.2">
      <c r="A2257" s="418"/>
      <c r="B2257" s="603"/>
      <c r="C2257" s="603"/>
      <c r="D2257" s="620" t="s">
        <v>905</v>
      </c>
      <c r="E2257" s="938" t="s">
        <v>408</v>
      </c>
      <c r="F2257" s="660"/>
      <c r="G2257" s="660"/>
      <c r="H2257" s="660"/>
      <c r="I2257" s="656" t="e">
        <f t="shared" si="438"/>
        <v>#DIV/0!</v>
      </c>
    </row>
    <row r="2258" spans="1:20" ht="15" hidden="1" thickTop="1" x14ac:dyDescent="0.2">
      <c r="A2258" s="418"/>
      <c r="B2258" s="603"/>
      <c r="C2258" s="603"/>
      <c r="D2258" s="505" t="s">
        <v>906</v>
      </c>
      <c r="E2258" s="436" t="s">
        <v>38</v>
      </c>
      <c r="F2258" s="660"/>
      <c r="G2258" s="660"/>
      <c r="H2258" s="660"/>
      <c r="I2258" s="656" t="e">
        <f t="shared" si="438"/>
        <v>#DIV/0!</v>
      </c>
    </row>
    <row r="2259" spans="1:20" ht="15.75" thickTop="1" x14ac:dyDescent="0.25">
      <c r="A2259" s="921">
        <v>1315</v>
      </c>
      <c r="B2259" s="2427">
        <v>3231</v>
      </c>
      <c r="C2259" s="2427">
        <v>5336</v>
      </c>
      <c r="D2259" s="2725"/>
      <c r="E2259" s="602" t="s">
        <v>856</v>
      </c>
      <c r="F2259" s="678">
        <f>F2260+F2261+F2262</f>
        <v>0</v>
      </c>
      <c r="G2259" s="678">
        <f>G2260+G2261+G2262</f>
        <v>2529</v>
      </c>
      <c r="H2259" s="678">
        <f>H2260+H2261+H2262</f>
        <v>2529</v>
      </c>
      <c r="I2259" s="680">
        <f t="shared" si="438"/>
        <v>100</v>
      </c>
    </row>
    <row r="2260" spans="1:20" ht="14.25" x14ac:dyDescent="0.2">
      <c r="A2260" s="921"/>
      <c r="B2260" s="2427"/>
      <c r="C2260" s="2427"/>
      <c r="D2260" s="2725" t="s">
        <v>902</v>
      </c>
      <c r="E2260" s="1352" t="s">
        <v>855</v>
      </c>
      <c r="F2260" s="1600">
        <v>0</v>
      </c>
      <c r="G2260" s="1600">
        <v>46</v>
      </c>
      <c r="H2260" s="1600">
        <v>46</v>
      </c>
      <c r="I2260" s="367">
        <f t="shared" ref="I2260:I2261" si="439">(H2260/G2260)*100</f>
        <v>100</v>
      </c>
    </row>
    <row r="2261" spans="1:20" ht="14.25" x14ac:dyDescent="0.2">
      <c r="A2261" s="921"/>
      <c r="B2261" s="2427"/>
      <c r="C2261" s="2427"/>
      <c r="D2261" s="2725" t="s">
        <v>1896</v>
      </c>
      <c r="E2261" s="2228" t="s">
        <v>1951</v>
      </c>
      <c r="F2261" s="1643">
        <v>0</v>
      </c>
      <c r="G2261" s="1643">
        <v>8</v>
      </c>
      <c r="H2261" s="1643">
        <v>8</v>
      </c>
      <c r="I2261" s="982">
        <f t="shared" si="439"/>
        <v>100</v>
      </c>
    </row>
    <row r="2262" spans="1:20" ht="15" thickBot="1" x14ac:dyDescent="0.25">
      <c r="A2262" s="921"/>
      <c r="B2262" s="2427"/>
      <c r="C2262" s="2719"/>
      <c r="D2262" s="2726" t="s">
        <v>901</v>
      </c>
      <c r="E2262" s="436" t="s">
        <v>1637</v>
      </c>
      <c r="F2262" s="660">
        <v>0</v>
      </c>
      <c r="G2262" s="660">
        <v>2475</v>
      </c>
      <c r="H2262" s="660">
        <v>2475</v>
      </c>
      <c r="I2262" s="656">
        <f t="shared" si="438"/>
        <v>100</v>
      </c>
    </row>
    <row r="2263" spans="1:20" ht="15.75" hidden="1" thickBot="1" x14ac:dyDescent="0.3">
      <c r="A2263" s="921">
        <v>1315</v>
      </c>
      <c r="B2263" s="2755">
        <v>3231</v>
      </c>
      <c r="C2263" s="2755">
        <v>5331</v>
      </c>
      <c r="D2263" s="2756"/>
      <c r="E2263" s="845" t="s">
        <v>856</v>
      </c>
      <c r="F2263" s="660"/>
      <c r="G2263" s="678">
        <f>G2264</f>
        <v>0</v>
      </c>
      <c r="H2263" s="678">
        <f>H2264</f>
        <v>0</v>
      </c>
      <c r="I2263" s="680" t="e">
        <f t="shared" si="438"/>
        <v>#DIV/0!</v>
      </c>
    </row>
    <row r="2264" spans="1:20" ht="15" hidden="1" thickBot="1" x14ac:dyDescent="0.25">
      <c r="A2264" s="921"/>
      <c r="B2264" s="2755"/>
      <c r="C2264" s="2755"/>
      <c r="D2264" s="2756" t="s">
        <v>1135</v>
      </c>
      <c r="E2264" s="2627" t="s">
        <v>1528</v>
      </c>
      <c r="F2264" s="660"/>
      <c r="G2264" s="660"/>
      <c r="H2264" s="660"/>
      <c r="I2264" s="656" t="e">
        <f t="shared" si="438"/>
        <v>#DIV/0!</v>
      </c>
    </row>
    <row r="2265" spans="1:20" ht="16.5" thickTop="1" thickBot="1" x14ac:dyDescent="0.3">
      <c r="A2265" s="3233" t="s">
        <v>522</v>
      </c>
      <c r="B2265" s="3234"/>
      <c r="C2265" s="3234"/>
      <c r="D2265" s="3234"/>
      <c r="E2265" s="3234"/>
      <c r="F2265" s="657">
        <f>SUM(F2256)</f>
        <v>0</v>
      </c>
      <c r="G2265" s="657">
        <f>G2259+G2256+G2263</f>
        <v>2529</v>
      </c>
      <c r="H2265" s="657">
        <f>H2259+H2256+H2263</f>
        <v>2529</v>
      </c>
      <c r="I2265" s="658">
        <f t="shared" si="438"/>
        <v>100</v>
      </c>
      <c r="R2265" s="373">
        <f>F2265</f>
        <v>0</v>
      </c>
      <c r="S2265" s="373">
        <f>G2265</f>
        <v>2529</v>
      </c>
      <c r="T2265" s="373">
        <f>H2265</f>
        <v>2529</v>
      </c>
    </row>
    <row r="2266" spans="1:20" ht="13.5" thickTop="1" x14ac:dyDescent="0.2"/>
    <row r="2267" spans="1:20" ht="13.5" thickBot="1" x14ac:dyDescent="0.25">
      <c r="A2267" s="419" t="s">
        <v>116</v>
      </c>
      <c r="I2267" s="915" t="s">
        <v>92</v>
      </c>
    </row>
    <row r="2268" spans="1:20" ht="14.25" thickTop="1" thickBot="1" x14ac:dyDescent="0.25">
      <c r="A2268" s="572" t="s">
        <v>324</v>
      </c>
      <c r="B2268" s="639" t="s">
        <v>93</v>
      </c>
      <c r="C2268" s="573" t="s">
        <v>94</v>
      </c>
      <c r="D2268" s="575" t="s">
        <v>364</v>
      </c>
      <c r="E2268" s="575" t="s">
        <v>95</v>
      </c>
      <c r="F2268" s="575" t="s">
        <v>328</v>
      </c>
      <c r="G2268" s="575" t="s">
        <v>329</v>
      </c>
      <c r="H2268" s="575" t="s">
        <v>448</v>
      </c>
      <c r="I2268" s="651" t="s">
        <v>449</v>
      </c>
    </row>
    <row r="2269" spans="1:20" ht="14.25" thickTop="1" thickBot="1" x14ac:dyDescent="0.25">
      <c r="A2269" s="511">
        <v>1</v>
      </c>
      <c r="B2269" s="512">
        <v>2</v>
      </c>
      <c r="C2269" s="512">
        <v>3</v>
      </c>
      <c r="D2269" s="512">
        <v>4</v>
      </c>
      <c r="E2269" s="512">
        <v>5</v>
      </c>
      <c r="F2269" s="499">
        <v>6</v>
      </c>
      <c r="G2269" s="499">
        <v>7</v>
      </c>
      <c r="H2269" s="500">
        <v>8</v>
      </c>
      <c r="I2269" s="577" t="s">
        <v>393</v>
      </c>
    </row>
    <row r="2270" spans="1:20" ht="15.75" thickTop="1" x14ac:dyDescent="0.25">
      <c r="A2270" s="418">
        <v>1350</v>
      </c>
      <c r="B2270" s="634">
        <v>3233</v>
      </c>
      <c r="C2270" s="1350">
        <v>5331</v>
      </c>
      <c r="D2270" s="673"/>
      <c r="E2270" s="602" t="s">
        <v>481</v>
      </c>
      <c r="F2270" s="678">
        <f>F2271</f>
        <v>0</v>
      </c>
      <c r="G2270" s="678">
        <f t="shared" ref="G2270:H2270" si="440">G2271</f>
        <v>319</v>
      </c>
      <c r="H2270" s="678">
        <f t="shared" si="440"/>
        <v>319</v>
      </c>
      <c r="I2270" s="680">
        <v>100</v>
      </c>
    </row>
    <row r="2271" spans="1:20" ht="14.25" x14ac:dyDescent="0.2">
      <c r="A2271" s="418"/>
      <c r="B2271" s="603"/>
      <c r="C2271" s="603"/>
      <c r="D2271" s="620" t="s">
        <v>917</v>
      </c>
      <c r="E2271" s="938" t="s">
        <v>1956</v>
      </c>
      <c r="F2271" s="660">
        <v>0</v>
      </c>
      <c r="G2271" s="660">
        <v>319</v>
      </c>
      <c r="H2271" s="660">
        <v>319</v>
      </c>
      <c r="I2271" s="656">
        <f t="shared" ref="I2271:I2272" si="441">(H2271/G2271)*100</f>
        <v>100</v>
      </c>
    </row>
    <row r="2272" spans="1:20" ht="15" x14ac:dyDescent="0.25">
      <c r="A2272" s="921">
        <v>1350</v>
      </c>
      <c r="B2272" s="2427">
        <v>3233</v>
      </c>
      <c r="C2272" s="2730">
        <v>5336</v>
      </c>
      <c r="D2272" s="2726"/>
      <c r="E2272" s="602" t="s">
        <v>856</v>
      </c>
      <c r="F2272" s="678">
        <f>F2273+F2274+F2275+F2276</f>
        <v>0</v>
      </c>
      <c r="G2272" s="678">
        <f>G2273+G2274+G2275+G2276</f>
        <v>14350</v>
      </c>
      <c r="H2272" s="678">
        <f>H2273+H2274+H2275+H2276</f>
        <v>14350</v>
      </c>
      <c r="I2272" s="680">
        <f t="shared" si="441"/>
        <v>100</v>
      </c>
    </row>
    <row r="2273" spans="1:20" ht="14.25" x14ac:dyDescent="0.2">
      <c r="A2273" s="921"/>
      <c r="B2273" s="2427"/>
      <c r="C2273" s="2730"/>
      <c r="D2273" s="2725" t="s">
        <v>902</v>
      </c>
      <c r="E2273" s="1352" t="s">
        <v>855</v>
      </c>
      <c r="F2273" s="1600">
        <v>0</v>
      </c>
      <c r="G2273" s="1600">
        <v>243</v>
      </c>
      <c r="H2273" s="1600">
        <v>243</v>
      </c>
      <c r="I2273" s="367">
        <f t="shared" ref="I2273:I2274" si="442">(H2273/G2273)*100</f>
        <v>100</v>
      </c>
    </row>
    <row r="2274" spans="1:20" ht="14.25" x14ac:dyDescent="0.2">
      <c r="A2274" s="921"/>
      <c r="B2274" s="2427"/>
      <c r="C2274" s="2730"/>
      <c r="D2274" s="2725" t="s">
        <v>1896</v>
      </c>
      <c r="E2274" s="2228" t="s">
        <v>1951</v>
      </c>
      <c r="F2274" s="1643">
        <v>0</v>
      </c>
      <c r="G2274" s="1643">
        <v>120</v>
      </c>
      <c r="H2274" s="1643">
        <v>120</v>
      </c>
      <c r="I2274" s="982">
        <f t="shared" si="442"/>
        <v>100</v>
      </c>
    </row>
    <row r="2275" spans="1:20" ht="14.25" x14ac:dyDescent="0.2">
      <c r="A2275" s="921"/>
      <c r="B2275" s="2427"/>
      <c r="C2275" s="2730"/>
      <c r="D2275" s="2726" t="s">
        <v>938</v>
      </c>
      <c r="E2275" s="973" t="s">
        <v>867</v>
      </c>
      <c r="F2275" s="660">
        <v>0</v>
      </c>
      <c r="G2275" s="660">
        <v>379</v>
      </c>
      <c r="H2275" s="660">
        <v>379</v>
      </c>
      <c r="I2275" s="656">
        <f t="shared" ref="I2275" si="443">(H2275/G2275)*100</f>
        <v>100</v>
      </c>
    </row>
    <row r="2276" spans="1:20" ht="15" thickBot="1" x14ac:dyDescent="0.25">
      <c r="A2276" s="921"/>
      <c r="B2276" s="2427"/>
      <c r="C2276" s="2730"/>
      <c r="D2276" s="2726" t="s">
        <v>901</v>
      </c>
      <c r="E2276" s="436" t="s">
        <v>1637</v>
      </c>
      <c r="F2276" s="660">
        <v>0</v>
      </c>
      <c r="G2276" s="660">
        <v>13608</v>
      </c>
      <c r="H2276" s="660">
        <v>13608</v>
      </c>
      <c r="I2276" s="656">
        <v>100</v>
      </c>
    </row>
    <row r="2277" spans="1:20" ht="15.75" hidden="1" thickBot="1" x14ac:dyDescent="0.3">
      <c r="A2277" s="921">
        <v>1350</v>
      </c>
      <c r="B2277" s="2722">
        <v>3429</v>
      </c>
      <c r="C2277" s="1350">
        <v>5331</v>
      </c>
      <c r="D2277" s="2740"/>
      <c r="E2277" s="602" t="s">
        <v>481</v>
      </c>
      <c r="F2277" s="666">
        <f>F2279</f>
        <v>0</v>
      </c>
      <c r="G2277" s="666"/>
      <c r="H2277" s="666"/>
      <c r="I2277" s="656">
        <v>100</v>
      </c>
    </row>
    <row r="2278" spans="1:20" ht="15.75" hidden="1" thickBot="1" x14ac:dyDescent="0.3">
      <c r="A2278" s="921">
        <v>1350</v>
      </c>
      <c r="B2278" s="2722">
        <v>3233</v>
      </c>
      <c r="C2278" s="1350">
        <v>5331</v>
      </c>
      <c r="D2278" s="2781"/>
      <c r="E2278" s="644" t="s">
        <v>481</v>
      </c>
      <c r="F2278" s="660"/>
      <c r="G2278" s="678">
        <f>G2279</f>
        <v>0</v>
      </c>
      <c r="H2278" s="678">
        <f>H2279</f>
        <v>0</v>
      </c>
      <c r="I2278" s="680">
        <v>100</v>
      </c>
    </row>
    <row r="2279" spans="1:20" ht="15" hidden="1" thickBot="1" x14ac:dyDescent="0.25">
      <c r="A2279" s="921"/>
      <c r="B2279" s="2427"/>
      <c r="C2279" s="2719"/>
      <c r="D2279" s="2742" t="s">
        <v>917</v>
      </c>
      <c r="E2279" s="2619" t="s">
        <v>1534</v>
      </c>
      <c r="F2279" s="660"/>
      <c r="G2279" s="660"/>
      <c r="H2279" s="660"/>
      <c r="I2279" s="656">
        <v>100</v>
      </c>
    </row>
    <row r="2280" spans="1:20" ht="15.75" hidden="1" thickBot="1" x14ac:dyDescent="0.3">
      <c r="A2280" s="921">
        <v>1350</v>
      </c>
      <c r="B2280" s="2722">
        <v>3429</v>
      </c>
      <c r="C2280" s="1350">
        <v>5331</v>
      </c>
      <c r="D2280" s="2781"/>
      <c r="E2280" s="644" t="s">
        <v>481</v>
      </c>
      <c r="F2280" s="660"/>
      <c r="G2280" s="678">
        <f>G2281</f>
        <v>0</v>
      </c>
      <c r="H2280" s="678">
        <f>H2281</f>
        <v>0</v>
      </c>
      <c r="I2280" s="680">
        <v>100</v>
      </c>
    </row>
    <row r="2281" spans="1:20" ht="15" hidden="1" thickBot="1" x14ac:dyDescent="0.25">
      <c r="A2281" s="921"/>
      <c r="B2281" s="2427"/>
      <c r="C2281" s="2719"/>
      <c r="D2281" s="2742" t="s">
        <v>1097</v>
      </c>
      <c r="E2281" s="2622" t="s">
        <v>1535</v>
      </c>
      <c r="F2281" s="660"/>
      <c r="G2281" s="660"/>
      <c r="H2281" s="660"/>
      <c r="I2281" s="656">
        <v>100</v>
      </c>
    </row>
    <row r="2282" spans="1:20" ht="16.5" thickTop="1" thickBot="1" x14ac:dyDescent="0.3">
      <c r="A2282" s="3233" t="s">
        <v>522</v>
      </c>
      <c r="B2282" s="3234"/>
      <c r="C2282" s="3234"/>
      <c r="D2282" s="3234"/>
      <c r="E2282" s="3234"/>
      <c r="F2282" s="657">
        <f>F2270+F2277</f>
        <v>0</v>
      </c>
      <c r="G2282" s="657">
        <f>G2277+G2272+G2270+G2278+G2280</f>
        <v>14669</v>
      </c>
      <c r="H2282" s="657">
        <f>H2277+H2272+H2270+H2278+H2280</f>
        <v>14669</v>
      </c>
      <c r="I2282" s="658">
        <f>(H2282/G2282)*100</f>
        <v>100</v>
      </c>
      <c r="R2282" s="373">
        <f>F2282</f>
        <v>0</v>
      </c>
      <c r="S2282" s="373">
        <f>G2282</f>
        <v>14669</v>
      </c>
      <c r="T2282" s="373">
        <f>H2282</f>
        <v>14669</v>
      </c>
    </row>
    <row r="2283" spans="1:20" s="374" customFormat="1" ht="13.5" thickTop="1" x14ac:dyDescent="0.2">
      <c r="A2283" s="372"/>
      <c r="B2283" s="584"/>
      <c r="C2283" s="372"/>
      <c r="D2283" s="648"/>
      <c r="E2283" s="372"/>
      <c r="F2283" s="373"/>
      <c r="G2283" s="373"/>
      <c r="H2283" s="373"/>
      <c r="I2283" s="915"/>
    </row>
    <row r="2284" spans="1:20" s="374" customFormat="1" x14ac:dyDescent="0.2">
      <c r="A2284" s="372"/>
      <c r="B2284" s="584"/>
      <c r="C2284" s="372"/>
      <c r="D2284" s="648"/>
      <c r="E2284" s="372"/>
      <c r="F2284" s="373"/>
      <c r="G2284" s="373"/>
      <c r="H2284" s="373"/>
      <c r="I2284" s="915"/>
    </row>
    <row r="2285" spans="1:20" s="374" customFormat="1" x14ac:dyDescent="0.2">
      <c r="A2285" s="372"/>
      <c r="B2285" s="584"/>
      <c r="C2285" s="372"/>
      <c r="D2285" s="648"/>
      <c r="E2285" s="372"/>
      <c r="F2285" s="373"/>
      <c r="G2285" s="373"/>
      <c r="H2285" s="373"/>
      <c r="I2285" s="915"/>
    </row>
    <row r="2286" spans="1:20" ht="13.5" thickBot="1" x14ac:dyDescent="0.25">
      <c r="A2286" s="419" t="s">
        <v>197</v>
      </c>
      <c r="I2286" s="915" t="s">
        <v>92</v>
      </c>
    </row>
    <row r="2287" spans="1:20" ht="14.25" thickTop="1" thickBot="1" x14ac:dyDescent="0.25">
      <c r="A2287" s="572" t="s">
        <v>324</v>
      </c>
      <c r="B2287" s="639" t="s">
        <v>93</v>
      </c>
      <c r="C2287" s="573" t="s">
        <v>94</v>
      </c>
      <c r="D2287" s="575" t="s">
        <v>364</v>
      </c>
      <c r="E2287" s="575" t="s">
        <v>95</v>
      </c>
      <c r="F2287" s="575" t="s">
        <v>328</v>
      </c>
      <c r="G2287" s="575" t="s">
        <v>329</v>
      </c>
      <c r="H2287" s="575" t="s">
        <v>448</v>
      </c>
      <c r="I2287" s="651" t="s">
        <v>449</v>
      </c>
    </row>
    <row r="2288" spans="1:20" ht="18" customHeight="1" thickTop="1" thickBot="1" x14ac:dyDescent="0.25">
      <c r="A2288" s="511">
        <v>1</v>
      </c>
      <c r="B2288" s="512">
        <v>2</v>
      </c>
      <c r="C2288" s="512">
        <v>3</v>
      </c>
      <c r="D2288" s="512">
        <v>4</v>
      </c>
      <c r="E2288" s="512">
        <v>5</v>
      </c>
      <c r="F2288" s="499">
        <v>6</v>
      </c>
      <c r="G2288" s="499">
        <v>7</v>
      </c>
      <c r="H2288" s="500">
        <v>8</v>
      </c>
      <c r="I2288" s="577" t="s">
        <v>393</v>
      </c>
    </row>
    <row r="2289" spans="1:20" ht="18" hidden="1" customHeight="1" thickTop="1" x14ac:dyDescent="0.25">
      <c r="A2289" s="418">
        <v>1351</v>
      </c>
      <c r="B2289" s="603">
        <v>3233</v>
      </c>
      <c r="C2289" s="603">
        <v>5331</v>
      </c>
      <c r="D2289" s="652"/>
      <c r="E2289" s="644" t="s">
        <v>481</v>
      </c>
      <c r="F2289" s="653">
        <f>F2290+F2291</f>
        <v>0</v>
      </c>
      <c r="G2289" s="653">
        <f>G2290+G2291</f>
        <v>0</v>
      </c>
      <c r="H2289" s="653">
        <f>H2290+H2291</f>
        <v>0</v>
      </c>
      <c r="I2289" s="654">
        <v>100</v>
      </c>
    </row>
    <row r="2290" spans="1:20" ht="15" hidden="1" thickTop="1" x14ac:dyDescent="0.2">
      <c r="A2290" s="418"/>
      <c r="B2290" s="603"/>
      <c r="C2290" s="603"/>
      <c r="D2290" s="620" t="s">
        <v>905</v>
      </c>
      <c r="E2290" s="938" t="s">
        <v>408</v>
      </c>
      <c r="F2290" s="660"/>
      <c r="G2290" s="660"/>
      <c r="H2290" s="660"/>
      <c r="I2290" s="656">
        <v>0</v>
      </c>
    </row>
    <row r="2291" spans="1:20" ht="15" hidden="1" thickTop="1" x14ac:dyDescent="0.2">
      <c r="A2291" s="418"/>
      <c r="B2291" s="603"/>
      <c r="C2291" s="603"/>
      <c r="D2291" s="505" t="s">
        <v>906</v>
      </c>
      <c r="E2291" s="436" t="s">
        <v>38</v>
      </c>
      <c r="F2291" s="660"/>
      <c r="G2291" s="660"/>
      <c r="H2291" s="660"/>
      <c r="I2291" s="656" t="e">
        <f t="shared" ref="I2291:I2298" si="444">(H2291/G2291)*100</f>
        <v>#DIV/0!</v>
      </c>
    </row>
    <row r="2292" spans="1:20" ht="15.75" thickTop="1" x14ac:dyDescent="0.25">
      <c r="A2292" s="921">
        <v>1351</v>
      </c>
      <c r="B2292" s="2427">
        <v>3233</v>
      </c>
      <c r="C2292" s="2427">
        <v>5336</v>
      </c>
      <c r="D2292" s="2725"/>
      <c r="E2292" s="602" t="s">
        <v>856</v>
      </c>
      <c r="F2292" s="678">
        <f>F2293+F2294+F2295</f>
        <v>0</v>
      </c>
      <c r="G2292" s="678">
        <f>G2293+G2294+G2295</f>
        <v>5209</v>
      </c>
      <c r="H2292" s="678">
        <f>H2293+H2294+H2295</f>
        <v>5209</v>
      </c>
      <c r="I2292" s="680">
        <f t="shared" si="444"/>
        <v>100</v>
      </c>
    </row>
    <row r="2293" spans="1:20" ht="14.25" x14ac:dyDescent="0.2">
      <c r="A2293" s="921"/>
      <c r="B2293" s="2427"/>
      <c r="C2293" s="2427"/>
      <c r="D2293" s="2725" t="s">
        <v>902</v>
      </c>
      <c r="E2293" s="1352" t="s">
        <v>855</v>
      </c>
      <c r="F2293" s="1600">
        <v>0</v>
      </c>
      <c r="G2293" s="1600">
        <v>83</v>
      </c>
      <c r="H2293" s="1600">
        <v>83</v>
      </c>
      <c r="I2293" s="367">
        <f t="shared" ref="I2293:I2294" si="445">(H2293/G2293)*100</f>
        <v>100</v>
      </c>
    </row>
    <row r="2294" spans="1:20" ht="14.25" x14ac:dyDescent="0.2">
      <c r="A2294" s="921"/>
      <c r="B2294" s="2427"/>
      <c r="C2294" s="2427"/>
      <c r="D2294" s="2725" t="s">
        <v>1896</v>
      </c>
      <c r="E2294" s="2228" t="s">
        <v>1951</v>
      </c>
      <c r="F2294" s="1643">
        <v>0</v>
      </c>
      <c r="G2294" s="1643">
        <v>42</v>
      </c>
      <c r="H2294" s="1643">
        <v>42</v>
      </c>
      <c r="I2294" s="982">
        <f t="shared" si="445"/>
        <v>100</v>
      </c>
    </row>
    <row r="2295" spans="1:20" ht="15" thickBot="1" x14ac:dyDescent="0.25">
      <c r="A2295" s="921"/>
      <c r="B2295" s="2427"/>
      <c r="C2295" s="2719"/>
      <c r="D2295" s="2726" t="s">
        <v>901</v>
      </c>
      <c r="E2295" s="436" t="s">
        <v>1637</v>
      </c>
      <c r="F2295" s="660">
        <v>0</v>
      </c>
      <c r="G2295" s="660">
        <v>5084</v>
      </c>
      <c r="H2295" s="660">
        <v>5084</v>
      </c>
      <c r="I2295" s="656">
        <f t="shared" si="444"/>
        <v>100</v>
      </c>
    </row>
    <row r="2296" spans="1:20" ht="15.75" hidden="1" thickBot="1" x14ac:dyDescent="0.3">
      <c r="A2296" s="921">
        <v>1351</v>
      </c>
      <c r="B2296" s="2427">
        <v>3792</v>
      </c>
      <c r="C2296" s="2427">
        <v>5331</v>
      </c>
      <c r="D2296" s="2725"/>
      <c r="E2296" s="602" t="s">
        <v>481</v>
      </c>
      <c r="F2296" s="660"/>
      <c r="G2296" s="678">
        <f>G2297</f>
        <v>0</v>
      </c>
      <c r="H2296" s="678">
        <f>H2297</f>
        <v>0</v>
      </c>
      <c r="I2296" s="680" t="e">
        <f t="shared" si="444"/>
        <v>#DIV/0!</v>
      </c>
    </row>
    <row r="2297" spans="1:20" ht="15" hidden="1" thickBot="1" x14ac:dyDescent="0.25">
      <c r="A2297" s="921"/>
      <c r="B2297" s="2427"/>
      <c r="C2297" s="2719"/>
      <c r="D2297" s="2752" t="s">
        <v>974</v>
      </c>
      <c r="E2297" s="852" t="s">
        <v>1530</v>
      </c>
      <c r="F2297" s="660"/>
      <c r="G2297" s="660"/>
      <c r="H2297" s="660"/>
      <c r="I2297" s="656" t="e">
        <f t="shared" si="444"/>
        <v>#DIV/0!</v>
      </c>
    </row>
    <row r="2298" spans="1:20" ht="16.5" thickTop="1" thickBot="1" x14ac:dyDescent="0.3">
      <c r="A2298" s="3233" t="s">
        <v>522</v>
      </c>
      <c r="B2298" s="3234"/>
      <c r="C2298" s="3234"/>
      <c r="D2298" s="3234"/>
      <c r="E2298" s="3234"/>
      <c r="F2298" s="657">
        <f>F2289</f>
        <v>0</v>
      </c>
      <c r="G2298" s="657">
        <f>G2289+G2292+G2296</f>
        <v>5209</v>
      </c>
      <c r="H2298" s="657">
        <f>H2289+H2292+H2296</f>
        <v>5209</v>
      </c>
      <c r="I2298" s="658">
        <f t="shared" si="444"/>
        <v>100</v>
      </c>
      <c r="R2298" s="373">
        <f>F2298</f>
        <v>0</v>
      </c>
      <c r="S2298" s="373">
        <f>G2298</f>
        <v>5209</v>
      </c>
      <c r="T2298" s="373">
        <f>H2298</f>
        <v>5209</v>
      </c>
    </row>
    <row r="2299" spans="1:20" s="106" customFormat="1" ht="13.5" thickTop="1" x14ac:dyDescent="0.2">
      <c r="A2299" s="372"/>
      <c r="B2299" s="584"/>
      <c r="C2299" s="372"/>
      <c r="D2299" s="648"/>
      <c r="E2299" s="372"/>
      <c r="F2299" s="373"/>
      <c r="G2299" s="373"/>
      <c r="H2299" s="373"/>
      <c r="I2299" s="915"/>
    </row>
    <row r="2300" spans="1:20" s="106" customFormat="1" x14ac:dyDescent="0.2">
      <c r="A2300" s="372"/>
      <c r="B2300" s="584"/>
      <c r="C2300" s="372"/>
      <c r="D2300" s="648"/>
      <c r="E2300" s="372"/>
      <c r="F2300" s="373"/>
      <c r="G2300" s="373"/>
      <c r="H2300" s="373"/>
      <c r="I2300" s="915"/>
    </row>
    <row r="2301" spans="1:20" s="106" customFormat="1" x14ac:dyDescent="0.2">
      <c r="A2301" s="372"/>
      <c r="B2301" s="584"/>
      <c r="C2301" s="372"/>
      <c r="D2301" s="648"/>
      <c r="E2301" s="372"/>
      <c r="F2301" s="373"/>
      <c r="G2301" s="373"/>
      <c r="H2301" s="373"/>
      <c r="I2301" s="915"/>
    </row>
    <row r="2302" spans="1:20" s="106" customFormat="1" x14ac:dyDescent="0.2">
      <c r="A2302" s="372"/>
      <c r="B2302" s="584"/>
      <c r="C2302" s="372"/>
      <c r="D2302" s="648"/>
      <c r="E2302" s="372"/>
      <c r="F2302" s="373"/>
      <c r="G2302" s="373"/>
      <c r="H2302" s="373"/>
      <c r="I2302" s="915"/>
    </row>
    <row r="2303" spans="1:20" ht="13.5" thickBot="1" x14ac:dyDescent="0.25">
      <c r="A2303" s="419" t="s">
        <v>64</v>
      </c>
      <c r="I2303" s="915" t="s">
        <v>92</v>
      </c>
    </row>
    <row r="2304" spans="1:20" ht="14.25" thickTop="1" thickBot="1" x14ac:dyDescent="0.25">
      <c r="A2304" s="572" t="s">
        <v>324</v>
      </c>
      <c r="B2304" s="639" t="s">
        <v>93</v>
      </c>
      <c r="C2304" s="573" t="s">
        <v>94</v>
      </c>
      <c r="D2304" s="575" t="s">
        <v>364</v>
      </c>
      <c r="E2304" s="575" t="s">
        <v>95</v>
      </c>
      <c r="F2304" s="575" t="s">
        <v>328</v>
      </c>
      <c r="G2304" s="575" t="s">
        <v>329</v>
      </c>
      <c r="H2304" s="575" t="s">
        <v>448</v>
      </c>
      <c r="I2304" s="651" t="s">
        <v>449</v>
      </c>
    </row>
    <row r="2305" spans="1:20" ht="14.25" thickTop="1" thickBot="1" x14ac:dyDescent="0.25">
      <c r="A2305" s="511">
        <v>1</v>
      </c>
      <c r="B2305" s="512">
        <v>2</v>
      </c>
      <c r="C2305" s="512">
        <v>3</v>
      </c>
      <c r="D2305" s="512">
        <v>4</v>
      </c>
      <c r="E2305" s="512">
        <v>5</v>
      </c>
      <c r="F2305" s="499">
        <v>6</v>
      </c>
      <c r="G2305" s="499">
        <v>7</v>
      </c>
      <c r="H2305" s="500">
        <v>8</v>
      </c>
      <c r="I2305" s="577" t="s">
        <v>393</v>
      </c>
    </row>
    <row r="2306" spans="1:20" ht="15.75" hidden="1" thickTop="1" x14ac:dyDescent="0.25">
      <c r="A2306" s="418">
        <v>1352</v>
      </c>
      <c r="B2306" s="603">
        <v>3233</v>
      </c>
      <c r="C2306" s="603">
        <v>5331</v>
      </c>
      <c r="D2306" s="652"/>
      <c r="E2306" s="644" t="s">
        <v>481</v>
      </c>
      <c r="F2306" s="653">
        <f>SUM(F2307:F2312)</f>
        <v>0</v>
      </c>
      <c r="G2306" s="653">
        <f>G2307+G2308</f>
        <v>0</v>
      </c>
      <c r="H2306" s="653">
        <f>H2307+H2308</f>
        <v>0</v>
      </c>
      <c r="I2306" s="654">
        <v>100</v>
      </c>
    </row>
    <row r="2307" spans="1:20" ht="15" hidden="1" thickTop="1" x14ac:dyDescent="0.2">
      <c r="A2307" s="418"/>
      <c r="B2307" s="603"/>
      <c r="C2307" s="603"/>
      <c r="D2307" s="620" t="s">
        <v>905</v>
      </c>
      <c r="E2307" s="938" t="s">
        <v>408</v>
      </c>
      <c r="F2307" s="351"/>
      <c r="G2307" s="660"/>
      <c r="H2307" s="660"/>
      <c r="I2307" s="656" t="e">
        <f t="shared" ref="I2307:I2315" si="446">(H2307/G2307)*100</f>
        <v>#DIV/0!</v>
      </c>
    </row>
    <row r="2308" spans="1:20" ht="15" hidden="1" thickTop="1" x14ac:dyDescent="0.2">
      <c r="A2308" s="418"/>
      <c r="B2308" s="603"/>
      <c r="C2308" s="603"/>
      <c r="D2308" s="505" t="s">
        <v>906</v>
      </c>
      <c r="E2308" s="436" t="s">
        <v>38</v>
      </c>
      <c r="F2308" s="660"/>
      <c r="G2308" s="660"/>
      <c r="H2308" s="660"/>
      <c r="I2308" s="656" t="e">
        <f t="shared" si="446"/>
        <v>#DIV/0!</v>
      </c>
    </row>
    <row r="2309" spans="1:20" ht="15.75" thickTop="1" x14ac:dyDescent="0.25">
      <c r="A2309" s="921">
        <v>1352</v>
      </c>
      <c r="B2309" s="2427">
        <v>3233</v>
      </c>
      <c r="C2309" s="2427">
        <v>5336</v>
      </c>
      <c r="D2309" s="2725"/>
      <c r="E2309" s="602" t="s">
        <v>856</v>
      </c>
      <c r="F2309" s="678">
        <f>F2310+F2311+F2312</f>
        <v>0</v>
      </c>
      <c r="G2309" s="678">
        <f>G2310+G2311+G2312</f>
        <v>3603</v>
      </c>
      <c r="H2309" s="678">
        <f>H2310+H2311+H2312</f>
        <v>3603</v>
      </c>
      <c r="I2309" s="680">
        <f t="shared" si="446"/>
        <v>100</v>
      </c>
    </row>
    <row r="2310" spans="1:20" ht="14.25" x14ac:dyDescent="0.2">
      <c r="A2310" s="921"/>
      <c r="B2310" s="2427"/>
      <c r="C2310" s="2427"/>
      <c r="D2310" s="2725" t="s">
        <v>902</v>
      </c>
      <c r="E2310" s="1352" t="s">
        <v>855</v>
      </c>
      <c r="F2310" s="1600">
        <v>0</v>
      </c>
      <c r="G2310" s="1600">
        <v>61</v>
      </c>
      <c r="H2310" s="1600">
        <v>61</v>
      </c>
      <c r="I2310" s="367">
        <f t="shared" ref="I2310:I2311" si="447">(H2310/G2310)*100</f>
        <v>100</v>
      </c>
    </row>
    <row r="2311" spans="1:20" ht="14.25" x14ac:dyDescent="0.2">
      <c r="A2311" s="921"/>
      <c r="B2311" s="2427"/>
      <c r="C2311" s="2427"/>
      <c r="D2311" s="2725" t="s">
        <v>1896</v>
      </c>
      <c r="E2311" s="2228" t="s">
        <v>1951</v>
      </c>
      <c r="F2311" s="1643">
        <v>0</v>
      </c>
      <c r="G2311" s="1643">
        <v>32</v>
      </c>
      <c r="H2311" s="1643">
        <v>32</v>
      </c>
      <c r="I2311" s="982">
        <f t="shared" si="447"/>
        <v>100</v>
      </c>
    </row>
    <row r="2312" spans="1:20" ht="15" thickBot="1" x14ac:dyDescent="0.25">
      <c r="A2312" s="921"/>
      <c r="B2312" s="2427"/>
      <c r="C2312" s="2427"/>
      <c r="D2312" s="2726" t="s">
        <v>901</v>
      </c>
      <c r="E2312" s="436" t="s">
        <v>1637</v>
      </c>
      <c r="F2312" s="660">
        <v>0</v>
      </c>
      <c r="G2312" s="660">
        <v>3510</v>
      </c>
      <c r="H2312" s="660">
        <v>3510</v>
      </c>
      <c r="I2312" s="656">
        <f t="shared" si="446"/>
        <v>100</v>
      </c>
    </row>
    <row r="2313" spans="1:20" ht="15.75" hidden="1" thickBot="1" x14ac:dyDescent="0.3">
      <c r="A2313" s="921">
        <v>1352</v>
      </c>
      <c r="B2313" s="2427">
        <v>3792</v>
      </c>
      <c r="C2313" s="2427">
        <v>5331</v>
      </c>
      <c r="D2313" s="2725"/>
      <c r="E2313" s="602" t="s">
        <v>481</v>
      </c>
      <c r="F2313" s="660"/>
      <c r="G2313" s="678">
        <f>G2314</f>
        <v>0</v>
      </c>
      <c r="H2313" s="678">
        <f>H2314</f>
        <v>0</v>
      </c>
      <c r="I2313" s="680" t="e">
        <f t="shared" si="446"/>
        <v>#DIV/0!</v>
      </c>
    </row>
    <row r="2314" spans="1:20" ht="15" hidden="1" thickBot="1" x14ac:dyDescent="0.25">
      <c r="A2314" s="921"/>
      <c r="B2314" s="2427"/>
      <c r="C2314" s="2719"/>
      <c r="D2314" s="2752" t="s">
        <v>974</v>
      </c>
      <c r="E2314" s="852" t="s">
        <v>1530</v>
      </c>
      <c r="F2314" s="660"/>
      <c r="G2314" s="660"/>
      <c r="H2314" s="660"/>
      <c r="I2314" s="656" t="e">
        <f t="shared" si="446"/>
        <v>#DIV/0!</v>
      </c>
    </row>
    <row r="2315" spans="1:20" ht="16.5" thickTop="1" thickBot="1" x14ac:dyDescent="0.3">
      <c r="A2315" s="3233" t="s">
        <v>522</v>
      </c>
      <c r="B2315" s="3234"/>
      <c r="C2315" s="3234"/>
      <c r="D2315" s="3234"/>
      <c r="E2315" s="3234"/>
      <c r="F2315" s="657">
        <f>F2306</f>
        <v>0</v>
      </c>
      <c r="G2315" s="657">
        <f>G2306+G2309+G2313</f>
        <v>3603</v>
      </c>
      <c r="H2315" s="657">
        <f>H2306+H2309+H2313</f>
        <v>3603</v>
      </c>
      <c r="I2315" s="658">
        <f t="shared" si="446"/>
        <v>100</v>
      </c>
      <c r="R2315" s="373">
        <f>F2315</f>
        <v>0</v>
      </c>
      <c r="S2315" s="373">
        <f>G2315</f>
        <v>3603</v>
      </c>
      <c r="T2315" s="373">
        <f>H2315</f>
        <v>3603</v>
      </c>
    </row>
    <row r="2316" spans="1:20" s="374" customFormat="1" ht="13.5" thickTop="1" x14ac:dyDescent="0.2">
      <c r="A2316" s="372"/>
      <c r="B2316" s="584"/>
      <c r="C2316" s="372"/>
      <c r="D2316" s="648"/>
      <c r="E2316" s="372"/>
      <c r="F2316" s="373"/>
      <c r="G2316" s="373"/>
      <c r="H2316" s="373"/>
      <c r="I2316" s="915"/>
    </row>
    <row r="2317" spans="1:20" ht="13.5" thickBot="1" x14ac:dyDescent="0.25">
      <c r="A2317" s="419" t="s">
        <v>351</v>
      </c>
      <c r="I2317" s="915" t="s">
        <v>92</v>
      </c>
    </row>
    <row r="2318" spans="1:20" ht="14.25" thickTop="1" thickBot="1" x14ac:dyDescent="0.25">
      <c r="A2318" s="572" t="s">
        <v>324</v>
      </c>
      <c r="B2318" s="639" t="s">
        <v>93</v>
      </c>
      <c r="C2318" s="573" t="s">
        <v>94</v>
      </c>
      <c r="D2318" s="575" t="s">
        <v>364</v>
      </c>
      <c r="E2318" s="575" t="s">
        <v>95</v>
      </c>
      <c r="F2318" s="575" t="s">
        <v>328</v>
      </c>
      <c r="G2318" s="575" t="s">
        <v>329</v>
      </c>
      <c r="H2318" s="575" t="s">
        <v>448</v>
      </c>
      <c r="I2318" s="651" t="s">
        <v>449</v>
      </c>
    </row>
    <row r="2319" spans="1:20" ht="14.25" thickTop="1" thickBot="1" x14ac:dyDescent="0.25">
      <c r="A2319" s="511">
        <v>1</v>
      </c>
      <c r="B2319" s="512">
        <v>2</v>
      </c>
      <c r="C2319" s="512">
        <v>3</v>
      </c>
      <c r="D2319" s="512">
        <v>4</v>
      </c>
      <c r="E2319" s="512">
        <v>5</v>
      </c>
      <c r="F2319" s="499">
        <v>6</v>
      </c>
      <c r="G2319" s="499">
        <v>7</v>
      </c>
      <c r="H2319" s="500">
        <v>8</v>
      </c>
      <c r="I2319" s="577" t="s">
        <v>393</v>
      </c>
    </row>
    <row r="2320" spans="1:20" ht="15.75" thickTop="1" x14ac:dyDescent="0.25">
      <c r="A2320" s="418">
        <v>1353</v>
      </c>
      <c r="B2320" s="603">
        <v>3233</v>
      </c>
      <c r="C2320" s="2427">
        <v>5331</v>
      </c>
      <c r="D2320" s="652"/>
      <c r="E2320" s="644" t="s">
        <v>481</v>
      </c>
      <c r="F2320" s="653">
        <f>F2321</f>
        <v>0</v>
      </c>
      <c r="G2320" s="653">
        <f t="shared" ref="G2320:H2320" si="448">G2321</f>
        <v>46</v>
      </c>
      <c r="H2320" s="653">
        <f t="shared" si="448"/>
        <v>46</v>
      </c>
      <c r="I2320" s="654">
        <v>100</v>
      </c>
    </row>
    <row r="2321" spans="1:20" ht="14.25" x14ac:dyDescent="0.2">
      <c r="A2321" s="418"/>
      <c r="B2321" s="603"/>
      <c r="C2321" s="603"/>
      <c r="D2321" s="620" t="s">
        <v>917</v>
      </c>
      <c r="E2321" s="938" t="s">
        <v>1956</v>
      </c>
      <c r="F2321" s="660">
        <v>0</v>
      </c>
      <c r="G2321" s="660">
        <v>46</v>
      </c>
      <c r="H2321" s="660">
        <v>46</v>
      </c>
      <c r="I2321" s="656">
        <f t="shared" ref="I2321:I2332" si="449">(H2321/G2321)*100</f>
        <v>100</v>
      </c>
    </row>
    <row r="2322" spans="1:20" ht="15" x14ac:dyDescent="0.25">
      <c r="A2322" s="921">
        <v>1353</v>
      </c>
      <c r="B2322" s="2427">
        <v>3233</v>
      </c>
      <c r="C2322" s="2427">
        <v>5336</v>
      </c>
      <c r="D2322" s="2726"/>
      <c r="E2322" s="602" t="s">
        <v>856</v>
      </c>
      <c r="F2322" s="678">
        <f>F2323+F2324+F2325+F2326+F2327</f>
        <v>0</v>
      </c>
      <c r="G2322" s="678">
        <f>G2323+G2324+G2325+G2326+G2327</f>
        <v>8174</v>
      </c>
      <c r="H2322" s="678">
        <f>H2323+H2324+H2325+H2326+H2327</f>
        <v>8174</v>
      </c>
      <c r="I2322" s="680">
        <f t="shared" si="449"/>
        <v>100</v>
      </c>
    </row>
    <row r="2323" spans="1:20" ht="14.25" x14ac:dyDescent="0.2">
      <c r="A2323" s="921"/>
      <c r="B2323" s="2427"/>
      <c r="C2323" s="2427"/>
      <c r="D2323" s="2725" t="s">
        <v>902</v>
      </c>
      <c r="E2323" s="1352" t="s">
        <v>855</v>
      </c>
      <c r="F2323" s="1600">
        <v>0</v>
      </c>
      <c r="G2323" s="1600">
        <v>140</v>
      </c>
      <c r="H2323" s="1600">
        <v>140</v>
      </c>
      <c r="I2323" s="367">
        <f t="shared" ref="I2323:I2325" si="450">(H2323/G2323)*100</f>
        <v>100</v>
      </c>
    </row>
    <row r="2324" spans="1:20" ht="14.25" hidden="1" x14ac:dyDescent="0.2">
      <c r="A2324" s="921"/>
      <c r="B2324" s="2427"/>
      <c r="C2324" s="2427"/>
      <c r="D2324" s="2725" t="s">
        <v>935</v>
      </c>
      <c r="E2324" s="1352" t="s">
        <v>936</v>
      </c>
      <c r="F2324" s="1600"/>
      <c r="G2324" s="1600"/>
      <c r="H2324" s="1600"/>
      <c r="I2324" s="367" t="e">
        <f t="shared" si="450"/>
        <v>#DIV/0!</v>
      </c>
    </row>
    <row r="2325" spans="1:20" ht="14.25" x14ac:dyDescent="0.2">
      <c r="A2325" s="921"/>
      <c r="B2325" s="2427"/>
      <c r="C2325" s="2427"/>
      <c r="D2325" s="2725" t="s">
        <v>1896</v>
      </c>
      <c r="E2325" s="2228" t="s">
        <v>1951</v>
      </c>
      <c r="F2325" s="1643">
        <v>0</v>
      </c>
      <c r="G2325" s="1643">
        <v>79</v>
      </c>
      <c r="H2325" s="1643">
        <v>79</v>
      </c>
      <c r="I2325" s="982">
        <f t="shared" si="450"/>
        <v>100</v>
      </c>
    </row>
    <row r="2326" spans="1:20" ht="14.25" x14ac:dyDescent="0.2">
      <c r="A2326" s="921"/>
      <c r="B2326" s="2427"/>
      <c r="C2326" s="2427"/>
      <c r="D2326" s="2726" t="s">
        <v>938</v>
      </c>
      <c r="E2326" s="973" t="s">
        <v>867</v>
      </c>
      <c r="F2326" s="660">
        <v>0</v>
      </c>
      <c r="G2326" s="660">
        <v>219</v>
      </c>
      <c r="H2326" s="660">
        <v>219</v>
      </c>
      <c r="I2326" s="656">
        <f t="shared" ref="I2326" si="451">(H2326/G2326)*100</f>
        <v>100</v>
      </c>
    </row>
    <row r="2327" spans="1:20" ht="14.25" x14ac:dyDescent="0.2">
      <c r="A2327" s="921"/>
      <c r="B2327" s="2427"/>
      <c r="C2327" s="2427"/>
      <c r="D2327" s="2726" t="s">
        <v>901</v>
      </c>
      <c r="E2327" s="436" t="s">
        <v>1637</v>
      </c>
      <c r="F2327" s="660">
        <v>0</v>
      </c>
      <c r="G2327" s="660">
        <v>7736</v>
      </c>
      <c r="H2327" s="660">
        <v>7736</v>
      </c>
      <c r="I2327" s="656">
        <f t="shared" si="449"/>
        <v>100</v>
      </c>
    </row>
    <row r="2328" spans="1:20" ht="15" x14ac:dyDescent="0.25">
      <c r="A2328" s="921">
        <v>1353</v>
      </c>
      <c r="B2328" s="2427">
        <v>3299</v>
      </c>
      <c r="C2328" s="2427">
        <v>5331</v>
      </c>
      <c r="D2328" s="2743"/>
      <c r="E2328" s="644" t="s">
        <v>481</v>
      </c>
      <c r="F2328" s="678">
        <f>F2329</f>
        <v>0</v>
      </c>
      <c r="G2328" s="678">
        <f>G2329</f>
        <v>32</v>
      </c>
      <c r="H2328" s="678">
        <f>H2329</f>
        <v>32</v>
      </c>
      <c r="I2328" s="680">
        <f t="shared" si="449"/>
        <v>100</v>
      </c>
    </row>
    <row r="2329" spans="1:20" ht="17.25" customHeight="1" thickBot="1" x14ac:dyDescent="0.25">
      <c r="A2329" s="921"/>
      <c r="B2329" s="2427"/>
      <c r="C2329" s="2427"/>
      <c r="D2329" s="2726" t="s">
        <v>917</v>
      </c>
      <c r="E2329" s="2619" t="s">
        <v>1956</v>
      </c>
      <c r="F2329" s="660">
        <v>0</v>
      </c>
      <c r="G2329" s="660">
        <v>32</v>
      </c>
      <c r="H2329" s="660">
        <v>32</v>
      </c>
      <c r="I2329" s="656">
        <f t="shared" si="449"/>
        <v>100</v>
      </c>
    </row>
    <row r="2330" spans="1:20" ht="15.75" hidden="1" thickBot="1" x14ac:dyDescent="0.3">
      <c r="A2330" s="921">
        <v>1353</v>
      </c>
      <c r="B2330" s="2427">
        <v>3792</v>
      </c>
      <c r="C2330" s="2427">
        <v>5331</v>
      </c>
      <c r="D2330" s="2743"/>
      <c r="E2330" s="644" t="s">
        <v>481</v>
      </c>
      <c r="F2330" s="660"/>
      <c r="G2330" s="678">
        <f>G2331</f>
        <v>0</v>
      </c>
      <c r="H2330" s="678">
        <f>H2331</f>
        <v>0</v>
      </c>
      <c r="I2330" s="680" t="e">
        <f t="shared" si="449"/>
        <v>#DIV/0!</v>
      </c>
    </row>
    <row r="2331" spans="1:20" ht="15" hidden="1" thickBot="1" x14ac:dyDescent="0.25">
      <c r="A2331" s="921"/>
      <c r="B2331" s="2427"/>
      <c r="C2331" s="2427"/>
      <c r="D2331" s="2752" t="s">
        <v>974</v>
      </c>
      <c r="E2331" s="852" t="s">
        <v>1530</v>
      </c>
      <c r="F2331" s="660"/>
      <c r="G2331" s="660"/>
      <c r="H2331" s="660"/>
      <c r="I2331" s="656" t="e">
        <f t="shared" si="449"/>
        <v>#DIV/0!</v>
      </c>
    </row>
    <row r="2332" spans="1:20" s="106" customFormat="1" ht="16.5" thickTop="1" thickBot="1" x14ac:dyDescent="0.3">
      <c r="A2332" s="3233" t="s">
        <v>522</v>
      </c>
      <c r="B2332" s="3234"/>
      <c r="C2332" s="3234"/>
      <c r="D2332" s="3234"/>
      <c r="E2332" s="3234"/>
      <c r="F2332" s="657">
        <f>F2320+F2322</f>
        <v>0</v>
      </c>
      <c r="G2332" s="657">
        <f>G2320+G2322+G2330+G2328</f>
        <v>8252</v>
      </c>
      <c r="H2332" s="657">
        <f>H2320+H2322+H2330+H2328</f>
        <v>8252</v>
      </c>
      <c r="I2332" s="658">
        <f t="shared" si="449"/>
        <v>100</v>
      </c>
      <c r="R2332" s="373">
        <f>F2332</f>
        <v>0</v>
      </c>
      <c r="S2332" s="373">
        <f>G2332</f>
        <v>8252</v>
      </c>
      <c r="T2332" s="373">
        <f>H2332</f>
        <v>8252</v>
      </c>
    </row>
    <row r="2333" spans="1:20" s="374" customFormat="1" ht="13.5" thickTop="1" x14ac:dyDescent="0.2">
      <c r="A2333" s="372"/>
      <c r="B2333" s="584"/>
      <c r="C2333" s="372"/>
      <c r="D2333" s="648"/>
      <c r="E2333" s="372"/>
      <c r="F2333" s="373"/>
      <c r="G2333" s="373"/>
      <c r="H2333" s="373"/>
      <c r="I2333" s="915"/>
    </row>
    <row r="2334" spans="1:20" ht="13.5" thickBot="1" x14ac:dyDescent="0.25">
      <c r="A2334" s="419" t="s">
        <v>65</v>
      </c>
      <c r="I2334" s="915" t="s">
        <v>92</v>
      </c>
    </row>
    <row r="2335" spans="1:20" ht="14.25" thickTop="1" thickBot="1" x14ac:dyDescent="0.25">
      <c r="A2335" s="572" t="s">
        <v>324</v>
      </c>
      <c r="B2335" s="639" t="s">
        <v>93</v>
      </c>
      <c r="C2335" s="573" t="s">
        <v>94</v>
      </c>
      <c r="D2335" s="575" t="s">
        <v>364</v>
      </c>
      <c r="E2335" s="575" t="s">
        <v>95</v>
      </c>
      <c r="F2335" s="575" t="s">
        <v>328</v>
      </c>
      <c r="G2335" s="575" t="s">
        <v>329</v>
      </c>
      <c r="H2335" s="575" t="s">
        <v>448</v>
      </c>
      <c r="I2335" s="651" t="s">
        <v>449</v>
      </c>
    </row>
    <row r="2336" spans="1:20" ht="14.25" thickTop="1" thickBot="1" x14ac:dyDescent="0.25">
      <c r="A2336" s="511">
        <v>1</v>
      </c>
      <c r="B2336" s="512">
        <v>2</v>
      </c>
      <c r="C2336" s="512">
        <v>3</v>
      </c>
      <c r="D2336" s="512">
        <v>4</v>
      </c>
      <c r="E2336" s="512">
        <v>5</v>
      </c>
      <c r="F2336" s="499">
        <v>6</v>
      </c>
      <c r="G2336" s="499">
        <v>7</v>
      </c>
      <c r="H2336" s="500">
        <v>8</v>
      </c>
      <c r="I2336" s="577" t="s">
        <v>393</v>
      </c>
    </row>
    <row r="2337" spans="1:20" ht="15.75" hidden="1" thickTop="1" x14ac:dyDescent="0.25">
      <c r="A2337" s="418">
        <v>1354</v>
      </c>
      <c r="B2337" s="603">
        <v>3233</v>
      </c>
      <c r="C2337" s="603">
        <v>5331</v>
      </c>
      <c r="D2337" s="652"/>
      <c r="E2337" s="644" t="s">
        <v>481</v>
      </c>
      <c r="F2337" s="653">
        <f>F2338+F2339</f>
        <v>0</v>
      </c>
      <c r="G2337" s="653">
        <f>G2338+G2339</f>
        <v>0</v>
      </c>
      <c r="H2337" s="653">
        <f>H2338+H2339</f>
        <v>0</v>
      </c>
      <c r="I2337" s="654">
        <v>100</v>
      </c>
    </row>
    <row r="2338" spans="1:20" ht="15" hidden="1" thickTop="1" x14ac:dyDescent="0.2">
      <c r="A2338" s="418"/>
      <c r="B2338" s="603"/>
      <c r="C2338" s="603"/>
      <c r="D2338" s="620" t="s">
        <v>905</v>
      </c>
      <c r="E2338" s="938" t="s">
        <v>408</v>
      </c>
      <c r="F2338" s="660"/>
      <c r="G2338" s="660"/>
      <c r="H2338" s="660"/>
      <c r="I2338" s="656" t="e">
        <f>(H2338/G2338)*100</f>
        <v>#DIV/0!</v>
      </c>
    </row>
    <row r="2339" spans="1:20" ht="15" hidden="1" thickTop="1" x14ac:dyDescent="0.2">
      <c r="A2339" s="418"/>
      <c r="B2339" s="603"/>
      <c r="C2339" s="603"/>
      <c r="D2339" s="505" t="s">
        <v>906</v>
      </c>
      <c r="E2339" s="436" t="s">
        <v>38</v>
      </c>
      <c r="F2339" s="660"/>
      <c r="G2339" s="660"/>
      <c r="H2339" s="660"/>
      <c r="I2339" s="656" t="e">
        <f>(H2339/G2339)*100</f>
        <v>#DIV/0!</v>
      </c>
    </row>
    <row r="2340" spans="1:20" ht="15.75" thickTop="1" x14ac:dyDescent="0.25">
      <c r="A2340" s="921">
        <v>1354</v>
      </c>
      <c r="B2340" s="2427">
        <v>3233</v>
      </c>
      <c r="C2340" s="2427">
        <v>5336</v>
      </c>
      <c r="D2340" s="2725"/>
      <c r="E2340" s="602" t="s">
        <v>856</v>
      </c>
      <c r="F2340" s="660"/>
      <c r="G2340" s="678">
        <f>G2341+G2342+G2343</f>
        <v>4209</v>
      </c>
      <c r="H2340" s="678">
        <f>H2341+H2342+H2343</f>
        <v>4209</v>
      </c>
      <c r="I2340" s="680">
        <f>(H2340/G2340)*100</f>
        <v>100</v>
      </c>
    </row>
    <row r="2341" spans="1:20" ht="15" x14ac:dyDescent="0.2">
      <c r="A2341" s="921"/>
      <c r="B2341" s="2427"/>
      <c r="C2341" s="2427"/>
      <c r="D2341" s="2725" t="s">
        <v>902</v>
      </c>
      <c r="E2341" s="1352" t="s">
        <v>855</v>
      </c>
      <c r="F2341" s="1599">
        <v>0</v>
      </c>
      <c r="G2341" s="1600">
        <v>70</v>
      </c>
      <c r="H2341" s="1600">
        <v>70</v>
      </c>
      <c r="I2341" s="367">
        <f t="shared" ref="I2341:I2342" si="452">(H2341/G2341)*100</f>
        <v>100</v>
      </c>
    </row>
    <row r="2342" spans="1:20" ht="15" x14ac:dyDescent="0.2">
      <c r="A2342" s="921"/>
      <c r="B2342" s="2427"/>
      <c r="C2342" s="2427"/>
      <c r="D2342" s="2725" t="s">
        <v>1896</v>
      </c>
      <c r="E2342" s="2228" t="s">
        <v>1951</v>
      </c>
      <c r="F2342" s="1599">
        <v>0</v>
      </c>
      <c r="G2342" s="1643">
        <v>39</v>
      </c>
      <c r="H2342" s="1643">
        <v>39</v>
      </c>
      <c r="I2342" s="982">
        <f t="shared" si="452"/>
        <v>100</v>
      </c>
    </row>
    <row r="2343" spans="1:20" ht="15" thickBot="1" x14ac:dyDescent="0.25">
      <c r="A2343" s="921"/>
      <c r="B2343" s="2427"/>
      <c r="C2343" s="2719"/>
      <c r="D2343" s="2726" t="s">
        <v>901</v>
      </c>
      <c r="E2343" s="436" t="s">
        <v>1637</v>
      </c>
      <c r="F2343" s="660">
        <v>0</v>
      </c>
      <c r="G2343" s="660">
        <v>4100</v>
      </c>
      <c r="H2343" s="660">
        <v>4100</v>
      </c>
      <c r="I2343" s="656">
        <f>(H2343/G2343)*100</f>
        <v>100</v>
      </c>
    </row>
    <row r="2344" spans="1:20" s="106" customFormat="1" ht="16.5" thickTop="1" thickBot="1" x14ac:dyDescent="0.3">
      <c r="A2344" s="3233" t="s">
        <v>522</v>
      </c>
      <c r="B2344" s="3234"/>
      <c r="C2344" s="3234"/>
      <c r="D2344" s="3234"/>
      <c r="E2344" s="3234"/>
      <c r="F2344" s="657">
        <f>F2337</f>
        <v>0</v>
      </c>
      <c r="G2344" s="657">
        <f>G2337+G2340</f>
        <v>4209</v>
      </c>
      <c r="H2344" s="657">
        <f>H2337+H2340</f>
        <v>4209</v>
      </c>
      <c r="I2344" s="658">
        <f>(H2344/G2344)*100</f>
        <v>100</v>
      </c>
      <c r="R2344" s="373">
        <f>F2344</f>
        <v>0</v>
      </c>
      <c r="S2344" s="373">
        <f>G2344</f>
        <v>4209</v>
      </c>
      <c r="T2344" s="373">
        <f>H2344</f>
        <v>4209</v>
      </c>
    </row>
    <row r="2345" spans="1:20" s="374" customFormat="1" ht="13.5" thickTop="1" x14ac:dyDescent="0.2">
      <c r="A2345" s="372"/>
      <c r="B2345" s="584"/>
      <c r="C2345" s="372"/>
      <c r="D2345" s="648"/>
      <c r="E2345" s="372"/>
      <c r="F2345" s="373"/>
      <c r="G2345" s="373"/>
      <c r="H2345" s="373"/>
      <c r="I2345" s="915"/>
    </row>
    <row r="2346" spans="1:20" s="374" customFormat="1" x14ac:dyDescent="0.2">
      <c r="A2346" s="372"/>
      <c r="B2346" s="584"/>
      <c r="C2346" s="372"/>
      <c r="D2346" s="648"/>
      <c r="E2346" s="372"/>
      <c r="F2346" s="373"/>
      <c r="G2346" s="373"/>
      <c r="H2346" s="373"/>
      <c r="I2346" s="915"/>
    </row>
    <row r="2347" spans="1:20" ht="13.5" thickBot="1" x14ac:dyDescent="0.25">
      <c r="A2347" s="419" t="s">
        <v>359</v>
      </c>
      <c r="I2347" s="915" t="s">
        <v>92</v>
      </c>
    </row>
    <row r="2348" spans="1:20" ht="14.25" thickTop="1" thickBot="1" x14ac:dyDescent="0.25">
      <c r="A2348" s="572" t="s">
        <v>324</v>
      </c>
      <c r="B2348" s="639" t="s">
        <v>93</v>
      </c>
      <c r="C2348" s="573" t="s">
        <v>94</v>
      </c>
      <c r="D2348" s="575" t="s">
        <v>364</v>
      </c>
      <c r="E2348" s="575" t="s">
        <v>95</v>
      </c>
      <c r="F2348" s="575" t="s">
        <v>328</v>
      </c>
      <c r="G2348" s="575" t="s">
        <v>329</v>
      </c>
      <c r="H2348" s="575" t="s">
        <v>448</v>
      </c>
      <c r="I2348" s="651" t="s">
        <v>449</v>
      </c>
    </row>
    <row r="2349" spans="1:20" ht="14.25" thickTop="1" thickBot="1" x14ac:dyDescent="0.25">
      <c r="A2349" s="511">
        <v>1</v>
      </c>
      <c r="B2349" s="512">
        <v>2</v>
      </c>
      <c r="C2349" s="512">
        <v>3</v>
      </c>
      <c r="D2349" s="512">
        <v>4</v>
      </c>
      <c r="E2349" s="512">
        <v>5</v>
      </c>
      <c r="F2349" s="499">
        <v>6</v>
      </c>
      <c r="G2349" s="499">
        <v>7</v>
      </c>
      <c r="H2349" s="500">
        <v>8</v>
      </c>
      <c r="I2349" s="577" t="s">
        <v>393</v>
      </c>
    </row>
    <row r="2350" spans="1:20" ht="15.75" thickTop="1" x14ac:dyDescent="0.25">
      <c r="A2350" s="924">
        <v>1400</v>
      </c>
      <c r="B2350" s="676">
        <v>3133</v>
      </c>
      <c r="C2350" s="2774">
        <v>5331</v>
      </c>
      <c r="D2350" s="679"/>
      <c r="E2350" s="703" t="s">
        <v>481</v>
      </c>
      <c r="F2350" s="674">
        <f>F2351</f>
        <v>0</v>
      </c>
      <c r="G2350" s="674">
        <f t="shared" ref="G2350:H2350" si="453">G2351</f>
        <v>10</v>
      </c>
      <c r="H2350" s="674">
        <f t="shared" si="453"/>
        <v>10</v>
      </c>
      <c r="I2350" s="677">
        <f>(H2350/G2350)*100</f>
        <v>100</v>
      </c>
    </row>
    <row r="2351" spans="1:20" ht="14.25" x14ac:dyDescent="0.2">
      <c r="A2351" s="418"/>
      <c r="B2351" s="603"/>
      <c r="C2351" s="603"/>
      <c r="D2351" s="620" t="s">
        <v>917</v>
      </c>
      <c r="E2351" s="938" t="s">
        <v>1956</v>
      </c>
      <c r="F2351" s="660">
        <v>0</v>
      </c>
      <c r="G2351" s="660">
        <v>10</v>
      </c>
      <c r="H2351" s="660">
        <v>10</v>
      </c>
      <c r="I2351" s="816">
        <f t="shared" ref="I2351" si="454">(H2351/G2351)*100</f>
        <v>100</v>
      </c>
    </row>
    <row r="2352" spans="1:20" ht="15" x14ac:dyDescent="0.25">
      <c r="A2352" s="921">
        <v>1400</v>
      </c>
      <c r="B2352" s="2427">
        <v>3133</v>
      </c>
      <c r="C2352" s="2427">
        <v>5336</v>
      </c>
      <c r="D2352" s="2725"/>
      <c r="E2352" s="602" t="s">
        <v>856</v>
      </c>
      <c r="F2352" s="678">
        <f>F2353+F2354+F2355</f>
        <v>0</v>
      </c>
      <c r="G2352" s="678">
        <f>G2353+G2354+G2355</f>
        <v>15275</v>
      </c>
      <c r="H2352" s="678">
        <f>H2353+H2354+H2355</f>
        <v>15275</v>
      </c>
      <c r="I2352" s="680">
        <f>(H2352/G2352)*100</f>
        <v>100</v>
      </c>
    </row>
    <row r="2353" spans="1:20" ht="14.25" x14ac:dyDescent="0.2">
      <c r="A2353" s="921"/>
      <c r="B2353" s="2427"/>
      <c r="C2353" s="2427"/>
      <c r="D2353" s="2725" t="s">
        <v>902</v>
      </c>
      <c r="E2353" s="1352" t="s">
        <v>855</v>
      </c>
      <c r="F2353" s="1600">
        <v>0</v>
      </c>
      <c r="G2353" s="1600">
        <v>245</v>
      </c>
      <c r="H2353" s="1600">
        <v>245</v>
      </c>
      <c r="I2353" s="367">
        <f t="shared" ref="I2353:I2354" si="455">(H2353/G2353)*100</f>
        <v>100</v>
      </c>
    </row>
    <row r="2354" spans="1:20" ht="14.25" x14ac:dyDescent="0.2">
      <c r="A2354" s="921"/>
      <c r="B2354" s="2427"/>
      <c r="C2354" s="2427"/>
      <c r="D2354" s="2725" t="s">
        <v>1896</v>
      </c>
      <c r="E2354" s="2228" t="s">
        <v>1951</v>
      </c>
      <c r="F2354" s="1643">
        <v>0</v>
      </c>
      <c r="G2354" s="1643">
        <v>91</v>
      </c>
      <c r="H2354" s="1643">
        <v>91</v>
      </c>
      <c r="I2354" s="982">
        <f t="shared" si="455"/>
        <v>100</v>
      </c>
    </row>
    <row r="2355" spans="1:20" ht="15" thickBot="1" x14ac:dyDescent="0.25">
      <c r="A2355" s="921"/>
      <c r="B2355" s="2427"/>
      <c r="C2355" s="2427"/>
      <c r="D2355" s="2726" t="s">
        <v>901</v>
      </c>
      <c r="E2355" s="436" t="s">
        <v>1637</v>
      </c>
      <c r="F2355" s="660">
        <v>0</v>
      </c>
      <c r="G2355" s="660">
        <v>14939</v>
      </c>
      <c r="H2355" s="660">
        <v>14939</v>
      </c>
      <c r="I2355" s="656">
        <f>(H2355/G2355)*100</f>
        <v>100</v>
      </c>
    </row>
    <row r="2356" spans="1:20" ht="15.75" hidden="1" thickBot="1" x14ac:dyDescent="0.3">
      <c r="A2356" s="921">
        <v>1400</v>
      </c>
      <c r="B2356" s="2427">
        <v>3133</v>
      </c>
      <c r="C2356" s="2427">
        <v>5331</v>
      </c>
      <c r="D2356" s="2743"/>
      <c r="E2356" s="644" t="s">
        <v>481</v>
      </c>
      <c r="F2356" s="660"/>
      <c r="G2356" s="678">
        <f>G2358+G2357+G2359</f>
        <v>0</v>
      </c>
      <c r="H2356" s="678">
        <f>H2358+H2357+H2359</f>
        <v>0</v>
      </c>
      <c r="I2356" s="680" t="e">
        <f t="shared" ref="I2356:I2359" si="456">(H2356/G2356)*100</f>
        <v>#DIV/0!</v>
      </c>
    </row>
    <row r="2357" spans="1:20" ht="15" hidden="1" thickBot="1" x14ac:dyDescent="0.25">
      <c r="A2357" s="921"/>
      <c r="B2357" s="2427"/>
      <c r="C2357" s="2427"/>
      <c r="D2357" s="2741" t="s">
        <v>1135</v>
      </c>
      <c r="E2357" s="438" t="s">
        <v>1528</v>
      </c>
      <c r="F2357" s="351"/>
      <c r="G2357" s="351"/>
      <c r="H2357" s="351"/>
      <c r="I2357" s="871" t="e">
        <f t="shared" si="456"/>
        <v>#DIV/0!</v>
      </c>
    </row>
    <row r="2358" spans="1:20" ht="29.25" hidden="1" thickBot="1" x14ac:dyDescent="0.25">
      <c r="A2358" s="921"/>
      <c r="B2358" s="2427"/>
      <c r="C2358" s="2427"/>
      <c r="D2358" s="2767" t="s">
        <v>1136</v>
      </c>
      <c r="E2358" s="2227" t="s">
        <v>1529</v>
      </c>
      <c r="F2358" s="660"/>
      <c r="G2358" s="875"/>
      <c r="H2358" s="875"/>
      <c r="I2358" s="871" t="e">
        <f t="shared" si="456"/>
        <v>#DIV/0!</v>
      </c>
    </row>
    <row r="2359" spans="1:20" ht="15" hidden="1" thickBot="1" x14ac:dyDescent="0.25">
      <c r="A2359" s="921"/>
      <c r="B2359" s="2427"/>
      <c r="C2359" s="2427"/>
      <c r="D2359" s="2741" t="s">
        <v>917</v>
      </c>
      <c r="E2359" s="2619" t="s">
        <v>1534</v>
      </c>
      <c r="F2359" s="660"/>
      <c r="G2359" s="875"/>
      <c r="H2359" s="875"/>
      <c r="I2359" s="871" t="e">
        <f t="shared" si="456"/>
        <v>#DIV/0!</v>
      </c>
    </row>
    <row r="2360" spans="1:20" ht="16.5" thickTop="1" thickBot="1" x14ac:dyDescent="0.3">
      <c r="A2360" s="3233" t="s">
        <v>522</v>
      </c>
      <c r="B2360" s="3234"/>
      <c r="C2360" s="3234"/>
      <c r="D2360" s="3234"/>
      <c r="E2360" s="3234"/>
      <c r="F2360" s="657">
        <f>F2350</f>
        <v>0</v>
      </c>
      <c r="G2360" s="657">
        <f>G2352+G2350+G2356</f>
        <v>15285</v>
      </c>
      <c r="H2360" s="657">
        <f>H2352+H2350+H2356</f>
        <v>15285</v>
      </c>
      <c r="I2360" s="658">
        <f>(H2360/G2360)*100</f>
        <v>100</v>
      </c>
      <c r="R2360" s="373">
        <f>F2360</f>
        <v>0</v>
      </c>
      <c r="S2360" s="373">
        <f>G2360</f>
        <v>15285</v>
      </c>
      <c r="T2360" s="373">
        <f>H2360</f>
        <v>15285</v>
      </c>
    </row>
    <row r="2361" spans="1:20" ht="13.5" thickTop="1" x14ac:dyDescent="0.2"/>
    <row r="2363" spans="1:20" ht="13.5" thickBot="1" x14ac:dyDescent="0.25">
      <c r="A2363" s="419" t="s">
        <v>1988</v>
      </c>
      <c r="B2363" s="718"/>
      <c r="C2363" s="419"/>
      <c r="D2363" s="974"/>
      <c r="E2363" s="419"/>
      <c r="I2363" s="915" t="s">
        <v>92</v>
      </c>
    </row>
    <row r="2364" spans="1:20" ht="14.25" thickTop="1" thickBot="1" x14ac:dyDescent="0.25">
      <c r="A2364" s="572" t="s">
        <v>324</v>
      </c>
      <c r="B2364" s="639" t="s">
        <v>93</v>
      </c>
      <c r="C2364" s="573" t="s">
        <v>94</v>
      </c>
      <c r="D2364" s="575" t="s">
        <v>364</v>
      </c>
      <c r="E2364" s="575" t="s">
        <v>95</v>
      </c>
      <c r="F2364" s="575" t="s">
        <v>328</v>
      </c>
      <c r="G2364" s="575" t="s">
        <v>329</v>
      </c>
      <c r="H2364" s="575" t="s">
        <v>448</v>
      </c>
      <c r="I2364" s="651" t="s">
        <v>449</v>
      </c>
    </row>
    <row r="2365" spans="1:20" ht="14.25" thickTop="1" thickBot="1" x14ac:dyDescent="0.25">
      <c r="A2365" s="511">
        <v>1</v>
      </c>
      <c r="B2365" s="512">
        <v>2</v>
      </c>
      <c r="C2365" s="512">
        <v>3</v>
      </c>
      <c r="D2365" s="512">
        <v>4</v>
      </c>
      <c r="E2365" s="512">
        <v>5</v>
      </c>
      <c r="F2365" s="499">
        <v>6</v>
      </c>
      <c r="G2365" s="499">
        <v>7</v>
      </c>
      <c r="H2365" s="500">
        <v>8</v>
      </c>
      <c r="I2365" s="577" t="s">
        <v>393</v>
      </c>
    </row>
    <row r="2366" spans="1:20" ht="15.75" hidden="1" thickTop="1" x14ac:dyDescent="0.25">
      <c r="A2366" s="418">
        <v>1401</v>
      </c>
      <c r="B2366" s="603">
        <v>3133</v>
      </c>
      <c r="C2366" s="603">
        <v>5331</v>
      </c>
      <c r="D2366" s="652"/>
      <c r="E2366" s="644" t="s">
        <v>481</v>
      </c>
      <c r="F2366" s="653">
        <f>SUM(F2367:F2372)</f>
        <v>0</v>
      </c>
      <c r="G2366" s="653">
        <f>G2367+G2368</f>
        <v>0</v>
      </c>
      <c r="H2366" s="653">
        <f>H2367+H2368</f>
        <v>0</v>
      </c>
      <c r="I2366" s="654">
        <v>100</v>
      </c>
    </row>
    <row r="2367" spans="1:20" ht="15" hidden="1" thickTop="1" x14ac:dyDescent="0.2">
      <c r="A2367" s="418"/>
      <c r="B2367" s="603"/>
      <c r="C2367" s="603"/>
      <c r="D2367" s="620" t="s">
        <v>905</v>
      </c>
      <c r="E2367" s="938" t="s">
        <v>408</v>
      </c>
      <c r="F2367" s="660"/>
      <c r="G2367" s="660"/>
      <c r="H2367" s="660"/>
      <c r="I2367" s="656" t="e">
        <f>(H2367/G2367)*100</f>
        <v>#DIV/0!</v>
      </c>
    </row>
    <row r="2368" spans="1:20" ht="15" hidden="1" thickTop="1" x14ac:dyDescent="0.2">
      <c r="A2368" s="418"/>
      <c r="B2368" s="603"/>
      <c r="C2368" s="603"/>
      <c r="D2368" s="505" t="s">
        <v>906</v>
      </c>
      <c r="E2368" s="436" t="s">
        <v>38</v>
      </c>
      <c r="F2368" s="660"/>
      <c r="G2368" s="660"/>
      <c r="H2368" s="660"/>
      <c r="I2368" s="656" t="e">
        <f>(H2368/G2368)*100</f>
        <v>#DIV/0!</v>
      </c>
    </row>
    <row r="2369" spans="1:20" ht="15.75" thickTop="1" x14ac:dyDescent="0.25">
      <c r="A2369" s="921">
        <v>1401</v>
      </c>
      <c r="B2369" s="2427">
        <v>3133</v>
      </c>
      <c r="C2369" s="2427">
        <v>5336</v>
      </c>
      <c r="D2369" s="2725"/>
      <c r="E2369" s="602" t="s">
        <v>856</v>
      </c>
      <c r="F2369" s="678">
        <f>F2370+F2371+F2372</f>
        <v>0</v>
      </c>
      <c r="G2369" s="678">
        <f>G2370+G2371+G2372</f>
        <v>5224</v>
      </c>
      <c r="H2369" s="678">
        <f>H2370+H2371+H2372</f>
        <v>5224</v>
      </c>
      <c r="I2369" s="680">
        <f>(H2369/G2369)*100</f>
        <v>100</v>
      </c>
    </row>
    <row r="2370" spans="1:20" ht="14.25" x14ac:dyDescent="0.2">
      <c r="A2370" s="921"/>
      <c r="B2370" s="2427"/>
      <c r="C2370" s="2427"/>
      <c r="D2370" s="2725" t="s">
        <v>902</v>
      </c>
      <c r="E2370" s="1352" t="s">
        <v>855</v>
      </c>
      <c r="F2370" s="1600">
        <v>0</v>
      </c>
      <c r="G2370" s="1600">
        <v>62</v>
      </c>
      <c r="H2370" s="1600">
        <v>62</v>
      </c>
      <c r="I2370" s="367">
        <f t="shared" ref="I2370:I2371" si="457">(H2370/G2370)*100</f>
        <v>100</v>
      </c>
    </row>
    <row r="2371" spans="1:20" ht="14.25" x14ac:dyDescent="0.2">
      <c r="A2371" s="921"/>
      <c r="B2371" s="2427"/>
      <c r="C2371" s="2427"/>
      <c r="D2371" s="2725" t="s">
        <v>1896</v>
      </c>
      <c r="E2371" s="2228" t="s">
        <v>1951</v>
      </c>
      <c r="F2371" s="1643">
        <v>0</v>
      </c>
      <c r="G2371" s="1643">
        <v>60</v>
      </c>
      <c r="H2371" s="1643">
        <v>60</v>
      </c>
      <c r="I2371" s="982">
        <f t="shared" si="457"/>
        <v>100</v>
      </c>
    </row>
    <row r="2372" spans="1:20" ht="15" thickBot="1" x14ac:dyDescent="0.25">
      <c r="A2372" s="921"/>
      <c r="B2372" s="2427"/>
      <c r="C2372" s="2719"/>
      <c r="D2372" s="2726" t="s">
        <v>901</v>
      </c>
      <c r="E2372" s="436" t="s">
        <v>1637</v>
      </c>
      <c r="F2372" s="660">
        <v>0</v>
      </c>
      <c r="G2372" s="660">
        <v>5102</v>
      </c>
      <c r="H2372" s="660">
        <v>5102</v>
      </c>
      <c r="I2372" s="656">
        <f>(H2372/G2372)*100</f>
        <v>100</v>
      </c>
    </row>
    <row r="2373" spans="1:20" ht="16.5" thickTop="1" thickBot="1" x14ac:dyDescent="0.3">
      <c r="A2373" s="3233" t="s">
        <v>522</v>
      </c>
      <c r="B2373" s="3234"/>
      <c r="C2373" s="3234"/>
      <c r="D2373" s="3234"/>
      <c r="E2373" s="3234"/>
      <c r="F2373" s="657">
        <f>F2366</f>
        <v>0</v>
      </c>
      <c r="G2373" s="657">
        <f>G2366+G2369</f>
        <v>5224</v>
      </c>
      <c r="H2373" s="657">
        <f>H2366+H2369</f>
        <v>5224</v>
      </c>
      <c r="I2373" s="658">
        <f>(H2373/G2373)*100</f>
        <v>100</v>
      </c>
      <c r="R2373" s="373">
        <f>F2373</f>
        <v>0</v>
      </c>
      <c r="S2373" s="373">
        <f>G2373</f>
        <v>5224</v>
      </c>
      <c r="T2373" s="373">
        <f>H2373</f>
        <v>5224</v>
      </c>
    </row>
    <row r="2374" spans="1:20" ht="13.5" thickTop="1" x14ac:dyDescent="0.2"/>
    <row r="2376" spans="1:20" ht="13.5" thickBot="1" x14ac:dyDescent="0.25">
      <c r="A2376" s="419" t="s">
        <v>1989</v>
      </c>
      <c r="I2376" s="915" t="s">
        <v>92</v>
      </c>
    </row>
    <row r="2377" spans="1:20" ht="14.25" thickTop="1" thickBot="1" x14ac:dyDescent="0.25">
      <c r="A2377" s="572" t="s">
        <v>324</v>
      </c>
      <c r="B2377" s="639" t="s">
        <v>93</v>
      </c>
      <c r="C2377" s="573" t="s">
        <v>94</v>
      </c>
      <c r="D2377" s="575" t="s">
        <v>364</v>
      </c>
      <c r="E2377" s="575" t="s">
        <v>95</v>
      </c>
      <c r="F2377" s="575" t="s">
        <v>328</v>
      </c>
      <c r="G2377" s="575" t="s">
        <v>329</v>
      </c>
      <c r="H2377" s="575" t="s">
        <v>448</v>
      </c>
      <c r="I2377" s="651" t="s">
        <v>449</v>
      </c>
    </row>
    <row r="2378" spans="1:20" ht="14.25" thickTop="1" thickBot="1" x14ac:dyDescent="0.25">
      <c r="A2378" s="511">
        <v>1</v>
      </c>
      <c r="B2378" s="512">
        <v>2</v>
      </c>
      <c r="C2378" s="512">
        <v>3</v>
      </c>
      <c r="D2378" s="512">
        <v>4</v>
      </c>
      <c r="E2378" s="512">
        <v>5</v>
      </c>
      <c r="F2378" s="499">
        <v>6</v>
      </c>
      <c r="G2378" s="499">
        <v>7</v>
      </c>
      <c r="H2378" s="500">
        <v>8</v>
      </c>
      <c r="I2378" s="577" t="s">
        <v>393</v>
      </c>
    </row>
    <row r="2379" spans="1:20" ht="15.75" hidden="1" thickTop="1" x14ac:dyDescent="0.25">
      <c r="A2379" s="418">
        <v>1402</v>
      </c>
      <c r="B2379" s="603">
        <v>3133</v>
      </c>
      <c r="C2379" s="603">
        <v>5331</v>
      </c>
      <c r="D2379" s="652"/>
      <c r="E2379" s="644" t="s">
        <v>481</v>
      </c>
      <c r="F2379" s="653">
        <f>F2380+F2381</f>
        <v>0</v>
      </c>
      <c r="G2379" s="653">
        <f>G2380+G2381</f>
        <v>0</v>
      </c>
      <c r="H2379" s="653">
        <f>H2380+H2381</f>
        <v>0</v>
      </c>
      <c r="I2379" s="654">
        <v>100</v>
      </c>
    </row>
    <row r="2380" spans="1:20" ht="15" hidden="1" thickTop="1" x14ac:dyDescent="0.2">
      <c r="A2380" s="418"/>
      <c r="B2380" s="603"/>
      <c r="C2380" s="603"/>
      <c r="D2380" s="620" t="s">
        <v>905</v>
      </c>
      <c r="E2380" s="938" t="s">
        <v>408</v>
      </c>
      <c r="F2380" s="660"/>
      <c r="G2380" s="660"/>
      <c r="H2380" s="660"/>
      <c r="I2380" s="656" t="e">
        <f t="shared" ref="I2380:I2386" si="458">(H2380/G2380)*100</f>
        <v>#DIV/0!</v>
      </c>
    </row>
    <row r="2381" spans="1:20" ht="15" hidden="1" thickTop="1" x14ac:dyDescent="0.2">
      <c r="A2381" s="418"/>
      <c r="B2381" s="603"/>
      <c r="C2381" s="603"/>
      <c r="D2381" s="505" t="s">
        <v>906</v>
      </c>
      <c r="E2381" s="436" t="s">
        <v>38</v>
      </c>
      <c r="F2381" s="660"/>
      <c r="G2381" s="660"/>
      <c r="H2381" s="660"/>
      <c r="I2381" s="656" t="e">
        <f t="shared" si="458"/>
        <v>#DIV/0!</v>
      </c>
    </row>
    <row r="2382" spans="1:20" ht="15.75" thickTop="1" x14ac:dyDescent="0.25">
      <c r="A2382" s="921">
        <v>1402</v>
      </c>
      <c r="B2382" s="2427">
        <v>3133</v>
      </c>
      <c r="C2382" s="2730">
        <v>5336</v>
      </c>
      <c r="D2382" s="2725"/>
      <c r="E2382" s="602" t="s">
        <v>856</v>
      </c>
      <c r="F2382" s="678">
        <f>F2383+F2384+F2385</f>
        <v>0</v>
      </c>
      <c r="G2382" s="678">
        <f>G2383+G2384+G2385</f>
        <v>7656</v>
      </c>
      <c r="H2382" s="678">
        <f>H2383+H2384+H2385</f>
        <v>7656</v>
      </c>
      <c r="I2382" s="680">
        <f t="shared" si="458"/>
        <v>100</v>
      </c>
    </row>
    <row r="2383" spans="1:20" ht="14.25" x14ac:dyDescent="0.2">
      <c r="A2383" s="921"/>
      <c r="B2383" s="2427"/>
      <c r="C2383" s="2730"/>
      <c r="D2383" s="2725" t="s">
        <v>902</v>
      </c>
      <c r="E2383" s="1352" t="s">
        <v>855</v>
      </c>
      <c r="F2383" s="1600">
        <v>0</v>
      </c>
      <c r="G2383" s="1600">
        <v>130</v>
      </c>
      <c r="H2383" s="1600">
        <v>130</v>
      </c>
      <c r="I2383" s="367">
        <f t="shared" ref="I2383:I2384" si="459">(H2383/G2383)*100</f>
        <v>100</v>
      </c>
    </row>
    <row r="2384" spans="1:20" ht="14.25" x14ac:dyDescent="0.2">
      <c r="A2384" s="921"/>
      <c r="B2384" s="2427"/>
      <c r="C2384" s="2730"/>
      <c r="D2384" s="2725" t="s">
        <v>1896</v>
      </c>
      <c r="E2384" s="2228" t="s">
        <v>1951</v>
      </c>
      <c r="F2384" s="1643">
        <v>0</v>
      </c>
      <c r="G2384" s="1643">
        <v>49</v>
      </c>
      <c r="H2384" s="1643">
        <v>49</v>
      </c>
      <c r="I2384" s="982">
        <f t="shared" si="459"/>
        <v>100</v>
      </c>
    </row>
    <row r="2385" spans="1:20" ht="15" thickBot="1" x14ac:dyDescent="0.25">
      <c r="A2385" s="921"/>
      <c r="B2385" s="2427"/>
      <c r="C2385" s="2730"/>
      <c r="D2385" s="2726" t="s">
        <v>901</v>
      </c>
      <c r="E2385" s="436" t="s">
        <v>1637</v>
      </c>
      <c r="F2385" s="660">
        <v>0</v>
      </c>
      <c r="G2385" s="660">
        <v>7477</v>
      </c>
      <c r="H2385" s="660">
        <v>7477</v>
      </c>
      <c r="I2385" s="656">
        <f>(H2385/G2385)*100</f>
        <v>100</v>
      </c>
    </row>
    <row r="2386" spans="1:20" ht="16.5" thickTop="1" thickBot="1" x14ac:dyDescent="0.3">
      <c r="A2386" s="3233" t="s">
        <v>522</v>
      </c>
      <c r="B2386" s="3234"/>
      <c r="C2386" s="3234"/>
      <c r="D2386" s="3234"/>
      <c r="E2386" s="3234"/>
      <c r="F2386" s="657">
        <f>F2379</f>
        <v>0</v>
      </c>
      <c r="G2386" s="657">
        <f>G2379+G2382</f>
        <v>7656</v>
      </c>
      <c r="H2386" s="657">
        <f>H2379+H2382</f>
        <v>7656</v>
      </c>
      <c r="I2386" s="658">
        <f t="shared" si="458"/>
        <v>100</v>
      </c>
      <c r="R2386" s="373">
        <f>F2386</f>
        <v>0</v>
      </c>
      <c r="S2386" s="373">
        <f>G2386</f>
        <v>7656</v>
      </c>
      <c r="T2386" s="373">
        <f>H2386</f>
        <v>7656</v>
      </c>
    </row>
    <row r="2387" spans="1:20" ht="13.5" thickTop="1" x14ac:dyDescent="0.2"/>
    <row r="2389" spans="1:20" ht="13.5" thickBot="1" x14ac:dyDescent="0.25">
      <c r="A2389" s="419" t="s">
        <v>1990</v>
      </c>
      <c r="I2389" s="915" t="s">
        <v>92</v>
      </c>
    </row>
    <row r="2390" spans="1:20" ht="14.25" thickTop="1" thickBot="1" x14ac:dyDescent="0.25">
      <c r="A2390" s="572" t="s">
        <v>324</v>
      </c>
      <c r="B2390" s="639" t="s">
        <v>93</v>
      </c>
      <c r="C2390" s="573" t="s">
        <v>94</v>
      </c>
      <c r="D2390" s="575" t="s">
        <v>364</v>
      </c>
      <c r="E2390" s="575" t="s">
        <v>95</v>
      </c>
      <c r="F2390" s="575" t="s">
        <v>328</v>
      </c>
      <c r="G2390" s="575" t="s">
        <v>329</v>
      </c>
      <c r="H2390" s="575" t="s">
        <v>448</v>
      </c>
      <c r="I2390" s="651" t="s">
        <v>449</v>
      </c>
    </row>
    <row r="2391" spans="1:20" ht="14.25" thickTop="1" thickBot="1" x14ac:dyDescent="0.25">
      <c r="A2391" s="511">
        <v>1</v>
      </c>
      <c r="B2391" s="512">
        <v>2</v>
      </c>
      <c r="C2391" s="512">
        <v>3</v>
      </c>
      <c r="D2391" s="512">
        <v>4</v>
      </c>
      <c r="E2391" s="512">
        <v>5</v>
      </c>
      <c r="F2391" s="499">
        <v>6</v>
      </c>
      <c r="G2391" s="499">
        <v>7</v>
      </c>
      <c r="H2391" s="500">
        <v>8</v>
      </c>
      <c r="I2391" s="577" t="s">
        <v>393</v>
      </c>
    </row>
    <row r="2392" spans="1:20" ht="15.75" hidden="1" thickTop="1" x14ac:dyDescent="0.25">
      <c r="A2392" s="418">
        <v>1403</v>
      </c>
      <c r="B2392" s="603">
        <v>3133</v>
      </c>
      <c r="C2392" s="603">
        <v>5331</v>
      </c>
      <c r="D2392" s="652"/>
      <c r="E2392" s="644" t="s">
        <v>481</v>
      </c>
      <c r="F2392" s="653">
        <f>F2393+F2394</f>
        <v>0</v>
      </c>
      <c r="G2392" s="653">
        <f>G2393+G2394</f>
        <v>0</v>
      </c>
      <c r="H2392" s="653">
        <f>H2393+H2394</f>
        <v>0</v>
      </c>
      <c r="I2392" s="654">
        <v>100</v>
      </c>
    </row>
    <row r="2393" spans="1:20" ht="15" hidden="1" thickTop="1" x14ac:dyDescent="0.2">
      <c r="A2393" s="418"/>
      <c r="B2393" s="603"/>
      <c r="C2393" s="603"/>
      <c r="D2393" s="620" t="s">
        <v>905</v>
      </c>
      <c r="E2393" s="938" t="s">
        <v>408</v>
      </c>
      <c r="F2393" s="660"/>
      <c r="G2393" s="660"/>
      <c r="H2393" s="660"/>
      <c r="I2393" s="656" t="e">
        <f>(H2393/G2393)*100</f>
        <v>#DIV/0!</v>
      </c>
    </row>
    <row r="2394" spans="1:20" ht="15" hidden="1" thickTop="1" x14ac:dyDescent="0.2">
      <c r="A2394" s="418"/>
      <c r="B2394" s="603"/>
      <c r="C2394" s="603"/>
      <c r="D2394" s="505" t="s">
        <v>906</v>
      </c>
      <c r="E2394" s="436" t="s">
        <v>38</v>
      </c>
      <c r="F2394" s="660"/>
      <c r="G2394" s="660"/>
      <c r="H2394" s="660"/>
      <c r="I2394" s="656" t="e">
        <f>(H2394/G2394)*100</f>
        <v>#DIV/0!</v>
      </c>
    </row>
    <row r="2395" spans="1:20" ht="15.75" thickTop="1" x14ac:dyDescent="0.25">
      <c r="A2395" s="921">
        <v>1403</v>
      </c>
      <c r="B2395" s="2427">
        <v>3133</v>
      </c>
      <c r="C2395" s="2427">
        <v>5336</v>
      </c>
      <c r="D2395" s="2725"/>
      <c r="E2395" s="602" t="s">
        <v>856</v>
      </c>
      <c r="F2395" s="678">
        <f>F2396+F2397+F2398</f>
        <v>0</v>
      </c>
      <c r="G2395" s="678">
        <f>G2396+G2397+G2398</f>
        <v>10193</v>
      </c>
      <c r="H2395" s="678">
        <f>H2396+H2397+H2398</f>
        <v>10193</v>
      </c>
      <c r="I2395" s="680">
        <f>(H2395/G2395)*100</f>
        <v>100</v>
      </c>
    </row>
    <row r="2396" spans="1:20" ht="14.25" x14ac:dyDescent="0.2">
      <c r="A2396" s="921"/>
      <c r="B2396" s="2427"/>
      <c r="C2396" s="2427"/>
      <c r="D2396" s="2725" t="s">
        <v>902</v>
      </c>
      <c r="E2396" s="1352" t="s">
        <v>855</v>
      </c>
      <c r="F2396" s="1600">
        <v>0</v>
      </c>
      <c r="G2396" s="1600">
        <v>174</v>
      </c>
      <c r="H2396" s="1600">
        <v>174</v>
      </c>
      <c r="I2396" s="367">
        <f t="shared" ref="I2396:I2397" si="460">(H2396/G2396)*100</f>
        <v>100</v>
      </c>
    </row>
    <row r="2397" spans="1:20" ht="14.25" x14ac:dyDescent="0.2">
      <c r="A2397" s="921"/>
      <c r="B2397" s="2427"/>
      <c r="C2397" s="2427"/>
      <c r="D2397" s="2725" t="s">
        <v>1896</v>
      </c>
      <c r="E2397" s="2228" t="s">
        <v>1951</v>
      </c>
      <c r="F2397" s="1643">
        <v>0</v>
      </c>
      <c r="G2397" s="1643">
        <v>62</v>
      </c>
      <c r="H2397" s="1643">
        <v>62</v>
      </c>
      <c r="I2397" s="982">
        <f t="shared" si="460"/>
        <v>100</v>
      </c>
    </row>
    <row r="2398" spans="1:20" ht="15" thickBot="1" x14ac:dyDescent="0.25">
      <c r="A2398" s="921"/>
      <c r="B2398" s="2427"/>
      <c r="C2398" s="2719"/>
      <c r="D2398" s="2726" t="s">
        <v>901</v>
      </c>
      <c r="E2398" s="436" t="s">
        <v>1637</v>
      </c>
      <c r="F2398" s="660">
        <v>0</v>
      </c>
      <c r="G2398" s="660">
        <v>9957</v>
      </c>
      <c r="H2398" s="660">
        <v>9957</v>
      </c>
      <c r="I2398" s="656">
        <f>(H2398/G2398)*100</f>
        <v>100</v>
      </c>
    </row>
    <row r="2399" spans="1:20" ht="16.5" thickTop="1" thickBot="1" x14ac:dyDescent="0.3">
      <c r="A2399" s="3233" t="s">
        <v>522</v>
      </c>
      <c r="B2399" s="3234"/>
      <c r="C2399" s="3234"/>
      <c r="D2399" s="3234"/>
      <c r="E2399" s="3234"/>
      <c r="F2399" s="657">
        <f>F2392</f>
        <v>0</v>
      </c>
      <c r="G2399" s="657">
        <f>G2392+G2395</f>
        <v>10193</v>
      </c>
      <c r="H2399" s="657">
        <f>H2392+H2395</f>
        <v>10193</v>
      </c>
      <c r="I2399" s="658">
        <f>(H2399/G2399)*100</f>
        <v>100</v>
      </c>
      <c r="R2399" s="373">
        <f>F2399</f>
        <v>0</v>
      </c>
      <c r="S2399" s="373">
        <f>G2399</f>
        <v>10193</v>
      </c>
      <c r="T2399" s="373">
        <f>H2399</f>
        <v>10193</v>
      </c>
    </row>
    <row r="2400" spans="1:20" ht="13.5" thickTop="1" x14ac:dyDescent="0.2"/>
    <row r="2410" spans="1:9" ht="13.5" thickBot="1" x14ac:dyDescent="0.25">
      <c r="A2410" s="419" t="s">
        <v>1991</v>
      </c>
      <c r="I2410" s="915" t="s">
        <v>92</v>
      </c>
    </row>
    <row r="2411" spans="1:9" ht="14.25" thickTop="1" thickBot="1" x14ac:dyDescent="0.25">
      <c r="A2411" s="572" t="s">
        <v>324</v>
      </c>
      <c r="B2411" s="639" t="s">
        <v>93</v>
      </c>
      <c r="C2411" s="573" t="s">
        <v>94</v>
      </c>
      <c r="D2411" s="575" t="s">
        <v>364</v>
      </c>
      <c r="E2411" s="575" t="s">
        <v>95</v>
      </c>
      <c r="F2411" s="575" t="s">
        <v>328</v>
      </c>
      <c r="G2411" s="575" t="s">
        <v>329</v>
      </c>
      <c r="H2411" s="575" t="s">
        <v>448</v>
      </c>
      <c r="I2411" s="651" t="s">
        <v>449</v>
      </c>
    </row>
    <row r="2412" spans="1:9" ht="14.25" thickTop="1" thickBot="1" x14ac:dyDescent="0.25">
      <c r="A2412" s="511">
        <v>1</v>
      </c>
      <c r="B2412" s="512">
        <v>2</v>
      </c>
      <c r="C2412" s="512">
        <v>3</v>
      </c>
      <c r="D2412" s="512">
        <v>4</v>
      </c>
      <c r="E2412" s="512">
        <v>5</v>
      </c>
      <c r="F2412" s="499">
        <v>6</v>
      </c>
      <c r="G2412" s="499">
        <v>7</v>
      </c>
      <c r="H2412" s="500">
        <v>8</v>
      </c>
      <c r="I2412" s="577" t="s">
        <v>393</v>
      </c>
    </row>
    <row r="2413" spans="1:9" ht="15.75" hidden="1" thickTop="1" x14ac:dyDescent="0.25">
      <c r="A2413" s="418">
        <v>1404</v>
      </c>
      <c r="B2413" s="603">
        <v>3133</v>
      </c>
      <c r="C2413" s="603">
        <v>5331</v>
      </c>
      <c r="D2413" s="652"/>
      <c r="E2413" s="644" t="s">
        <v>481</v>
      </c>
      <c r="F2413" s="653">
        <f>F2414+F2415</f>
        <v>0</v>
      </c>
      <c r="G2413" s="653">
        <f>G2414+G2415</f>
        <v>0</v>
      </c>
      <c r="H2413" s="653">
        <f>H2414+H2415</f>
        <v>0</v>
      </c>
      <c r="I2413" s="654">
        <v>100</v>
      </c>
    </row>
    <row r="2414" spans="1:9" ht="15" hidden="1" thickTop="1" x14ac:dyDescent="0.2">
      <c r="A2414" s="418"/>
      <c r="B2414" s="603"/>
      <c r="C2414" s="603"/>
      <c r="D2414" s="620" t="s">
        <v>905</v>
      </c>
      <c r="E2414" s="938" t="s">
        <v>408</v>
      </c>
      <c r="F2414" s="660"/>
      <c r="G2414" s="660"/>
      <c r="H2414" s="660"/>
      <c r="I2414" s="656" t="e">
        <f t="shared" ref="I2414:I2421" si="461">(H2414/G2414)*100</f>
        <v>#DIV/0!</v>
      </c>
    </row>
    <row r="2415" spans="1:9" ht="15" hidden="1" thickTop="1" x14ac:dyDescent="0.2">
      <c r="A2415" s="418"/>
      <c r="B2415" s="603"/>
      <c r="C2415" s="603"/>
      <c r="D2415" s="505" t="s">
        <v>906</v>
      </c>
      <c r="E2415" s="436" t="s">
        <v>38</v>
      </c>
      <c r="F2415" s="660"/>
      <c r="G2415" s="660"/>
      <c r="H2415" s="660"/>
      <c r="I2415" s="656" t="e">
        <f t="shared" si="461"/>
        <v>#DIV/0!</v>
      </c>
    </row>
    <row r="2416" spans="1:9" ht="15.75" thickTop="1" x14ac:dyDescent="0.25">
      <c r="A2416" s="921">
        <v>1404</v>
      </c>
      <c r="B2416" s="2427">
        <v>3133</v>
      </c>
      <c r="C2416" s="2427">
        <v>5336</v>
      </c>
      <c r="D2416" s="2725"/>
      <c r="E2416" s="602" t="s">
        <v>856</v>
      </c>
      <c r="F2416" s="678">
        <f>F2417+F2418+F2419</f>
        <v>0</v>
      </c>
      <c r="G2416" s="678">
        <f>G2417+G2418+G2419</f>
        <v>7649</v>
      </c>
      <c r="H2416" s="678">
        <f>H2417+H2418+H2419</f>
        <v>7649</v>
      </c>
      <c r="I2416" s="680">
        <f t="shared" si="461"/>
        <v>100</v>
      </c>
    </row>
    <row r="2417" spans="1:20" ht="14.25" x14ac:dyDescent="0.2">
      <c r="A2417" s="921"/>
      <c r="B2417" s="2427"/>
      <c r="C2417" s="2427"/>
      <c r="D2417" s="2725" t="s">
        <v>902</v>
      </c>
      <c r="E2417" s="1352" t="s">
        <v>855</v>
      </c>
      <c r="F2417" s="1600">
        <v>0</v>
      </c>
      <c r="G2417" s="1600">
        <v>123</v>
      </c>
      <c r="H2417" s="1600">
        <v>123</v>
      </c>
      <c r="I2417" s="367">
        <f t="shared" ref="I2417:I2418" si="462">(H2417/G2417)*100</f>
        <v>100</v>
      </c>
    </row>
    <row r="2418" spans="1:20" ht="14.25" x14ac:dyDescent="0.2">
      <c r="A2418" s="921"/>
      <c r="B2418" s="2427"/>
      <c r="C2418" s="2427"/>
      <c r="D2418" s="2725" t="s">
        <v>1896</v>
      </c>
      <c r="E2418" s="2228" t="s">
        <v>1951</v>
      </c>
      <c r="F2418" s="1643">
        <v>0</v>
      </c>
      <c r="G2418" s="1643">
        <v>54</v>
      </c>
      <c r="H2418" s="1643">
        <v>54</v>
      </c>
      <c r="I2418" s="982">
        <f t="shared" si="462"/>
        <v>100</v>
      </c>
    </row>
    <row r="2419" spans="1:20" ht="15" thickBot="1" x14ac:dyDescent="0.25">
      <c r="A2419" s="921"/>
      <c r="B2419" s="2427"/>
      <c r="C2419" s="2719"/>
      <c r="D2419" s="2726" t="s">
        <v>901</v>
      </c>
      <c r="E2419" s="436" t="s">
        <v>1637</v>
      </c>
      <c r="F2419" s="660">
        <v>0</v>
      </c>
      <c r="G2419" s="660">
        <v>7472</v>
      </c>
      <c r="H2419" s="660">
        <v>7472</v>
      </c>
      <c r="I2419" s="656">
        <f t="shared" si="461"/>
        <v>100</v>
      </c>
    </row>
    <row r="2420" spans="1:20" ht="15.75" hidden="1" thickBot="1" x14ac:dyDescent="0.3">
      <c r="A2420" s="418">
        <v>1404</v>
      </c>
      <c r="B2420" s="603">
        <v>4324</v>
      </c>
      <c r="C2420" s="917">
        <v>5336</v>
      </c>
      <c r="D2420" s="505"/>
      <c r="E2420" s="602" t="s">
        <v>856</v>
      </c>
      <c r="F2420" s="660"/>
      <c r="G2420" s="678">
        <f>G2421</f>
        <v>0</v>
      </c>
      <c r="H2420" s="678">
        <f>H2421</f>
        <v>0</v>
      </c>
      <c r="I2420" s="680" t="e">
        <f t="shared" si="461"/>
        <v>#DIV/0!</v>
      </c>
    </row>
    <row r="2421" spans="1:20" ht="15" hidden="1" thickBot="1" x14ac:dyDescent="0.25">
      <c r="A2421" s="418"/>
      <c r="B2421" s="603"/>
      <c r="C2421" s="917"/>
      <c r="D2421" s="505" t="s">
        <v>888</v>
      </c>
      <c r="E2421" s="3254" t="s">
        <v>816</v>
      </c>
      <c r="F2421" s="660"/>
      <c r="G2421" s="660"/>
      <c r="H2421" s="660"/>
      <c r="I2421" s="656" t="e">
        <f t="shared" si="461"/>
        <v>#DIV/0!</v>
      </c>
    </row>
    <row r="2422" spans="1:20" ht="15" hidden="1" thickBot="1" x14ac:dyDescent="0.25">
      <c r="A2422" s="418"/>
      <c r="B2422" s="603"/>
      <c r="C2422" s="917"/>
      <c r="D2422" s="505"/>
      <c r="E2422" s="3254"/>
      <c r="F2422" s="660"/>
      <c r="G2422" s="660"/>
      <c r="H2422" s="660"/>
      <c r="I2422" s="656"/>
    </row>
    <row r="2423" spans="1:20" ht="16.5" thickTop="1" thickBot="1" x14ac:dyDescent="0.3">
      <c r="A2423" s="3233" t="s">
        <v>522</v>
      </c>
      <c r="B2423" s="3234"/>
      <c r="C2423" s="3234"/>
      <c r="D2423" s="3234"/>
      <c r="E2423" s="3234"/>
      <c r="F2423" s="657">
        <f>F2413</f>
        <v>0</v>
      </c>
      <c r="G2423" s="657">
        <f>G2413+G2416+G2420</f>
        <v>7649</v>
      </c>
      <c r="H2423" s="657">
        <f>H2413+H2416+H2420</f>
        <v>7649</v>
      </c>
      <c r="I2423" s="658">
        <f>(H2423/G2423)*100</f>
        <v>100</v>
      </c>
      <c r="R2423" s="373">
        <f>F2423</f>
        <v>0</v>
      </c>
      <c r="S2423" s="373">
        <f>G2423</f>
        <v>7649</v>
      </c>
      <c r="T2423" s="373">
        <f>H2423</f>
        <v>7649</v>
      </c>
    </row>
    <row r="2424" spans="1:20" ht="13.5" thickTop="1" x14ac:dyDescent="0.2"/>
    <row r="2426" spans="1:20" ht="13.5" thickBot="1" x14ac:dyDescent="0.25">
      <c r="A2426" s="419" t="s">
        <v>1992</v>
      </c>
      <c r="I2426" s="915" t="s">
        <v>92</v>
      </c>
    </row>
    <row r="2427" spans="1:20" ht="14.25" thickTop="1" thickBot="1" x14ac:dyDescent="0.25">
      <c r="A2427" s="572" t="s">
        <v>324</v>
      </c>
      <c r="B2427" s="639" t="s">
        <v>93</v>
      </c>
      <c r="C2427" s="573" t="s">
        <v>94</v>
      </c>
      <c r="D2427" s="575" t="s">
        <v>364</v>
      </c>
      <c r="E2427" s="575" t="s">
        <v>95</v>
      </c>
      <c r="F2427" s="575" t="s">
        <v>328</v>
      </c>
      <c r="G2427" s="575" t="s">
        <v>329</v>
      </c>
      <c r="H2427" s="575" t="s">
        <v>448</v>
      </c>
      <c r="I2427" s="651" t="s">
        <v>449</v>
      </c>
    </row>
    <row r="2428" spans="1:20" ht="14.25" thickTop="1" thickBot="1" x14ac:dyDescent="0.25">
      <c r="A2428" s="511">
        <v>1</v>
      </c>
      <c r="B2428" s="512">
        <v>2</v>
      </c>
      <c r="C2428" s="512">
        <v>3</v>
      </c>
      <c r="D2428" s="512">
        <v>4</v>
      </c>
      <c r="E2428" s="512">
        <v>5</v>
      </c>
      <c r="F2428" s="499">
        <v>6</v>
      </c>
      <c r="G2428" s="499">
        <v>7</v>
      </c>
      <c r="H2428" s="500">
        <v>8</v>
      </c>
      <c r="I2428" s="577" t="s">
        <v>393</v>
      </c>
    </row>
    <row r="2429" spans="1:20" ht="15.75" thickTop="1" x14ac:dyDescent="0.25">
      <c r="A2429" s="418">
        <v>1405</v>
      </c>
      <c r="B2429" s="603">
        <v>3133</v>
      </c>
      <c r="C2429" s="603">
        <v>5331</v>
      </c>
      <c r="D2429" s="652"/>
      <c r="E2429" s="703" t="s">
        <v>481</v>
      </c>
      <c r="F2429" s="653">
        <f>F2430</f>
        <v>0</v>
      </c>
      <c r="G2429" s="653">
        <f t="shared" ref="G2429:H2429" si="463">G2430</f>
        <v>5</v>
      </c>
      <c r="H2429" s="653">
        <f t="shared" si="463"/>
        <v>5</v>
      </c>
      <c r="I2429" s="654">
        <f t="shared" ref="I2429:I2435" si="464">(H2429/G2429)*100</f>
        <v>100</v>
      </c>
    </row>
    <row r="2430" spans="1:20" ht="14.25" x14ac:dyDescent="0.2">
      <c r="A2430" s="418"/>
      <c r="B2430" s="603"/>
      <c r="C2430" s="603"/>
      <c r="D2430" s="620" t="s">
        <v>917</v>
      </c>
      <c r="E2430" s="938" t="s">
        <v>408</v>
      </c>
      <c r="F2430" s="660">
        <v>0</v>
      </c>
      <c r="G2430" s="660">
        <v>5</v>
      </c>
      <c r="H2430" s="660">
        <v>5</v>
      </c>
      <c r="I2430" s="656">
        <f t="shared" si="464"/>
        <v>100</v>
      </c>
    </row>
    <row r="2431" spans="1:20" ht="15" x14ac:dyDescent="0.25">
      <c r="A2431" s="921">
        <v>1405</v>
      </c>
      <c r="B2431" s="2427">
        <v>3133</v>
      </c>
      <c r="C2431" s="2427">
        <v>5336</v>
      </c>
      <c r="D2431" s="2725"/>
      <c r="E2431" s="602" t="s">
        <v>856</v>
      </c>
      <c r="F2431" s="678">
        <f>F2432+F2433+F2434</f>
        <v>0</v>
      </c>
      <c r="G2431" s="678">
        <f>G2432+G2433+G2434</f>
        <v>8160</v>
      </c>
      <c r="H2431" s="678">
        <f>H2432+H2433+H2434</f>
        <v>8160</v>
      </c>
      <c r="I2431" s="680">
        <f t="shared" si="464"/>
        <v>100</v>
      </c>
    </row>
    <row r="2432" spans="1:20" ht="14.25" x14ac:dyDescent="0.2">
      <c r="A2432" s="921"/>
      <c r="B2432" s="2427"/>
      <c r="C2432" s="2427"/>
      <c r="D2432" s="2725" t="s">
        <v>902</v>
      </c>
      <c r="E2432" s="1352" t="s">
        <v>855</v>
      </c>
      <c r="F2432" s="1600">
        <v>0</v>
      </c>
      <c r="G2432" s="1600">
        <v>133</v>
      </c>
      <c r="H2432" s="1600">
        <v>133</v>
      </c>
      <c r="I2432" s="367">
        <f t="shared" ref="I2432:I2433" si="465">(H2432/G2432)*100</f>
        <v>100</v>
      </c>
    </row>
    <row r="2433" spans="1:20" ht="14.25" x14ac:dyDescent="0.2">
      <c r="A2433" s="921"/>
      <c r="B2433" s="2427"/>
      <c r="C2433" s="2427"/>
      <c r="D2433" s="2725" t="s">
        <v>1896</v>
      </c>
      <c r="E2433" s="2228" t="s">
        <v>1951</v>
      </c>
      <c r="F2433" s="1643">
        <v>0</v>
      </c>
      <c r="G2433" s="1643">
        <v>47</v>
      </c>
      <c r="H2433" s="1643">
        <v>47</v>
      </c>
      <c r="I2433" s="982">
        <f t="shared" si="465"/>
        <v>100</v>
      </c>
    </row>
    <row r="2434" spans="1:20" ht="15" thickBot="1" x14ac:dyDescent="0.25">
      <c r="A2434" s="921"/>
      <c r="B2434" s="2427"/>
      <c r="C2434" s="2719"/>
      <c r="D2434" s="2726" t="s">
        <v>901</v>
      </c>
      <c r="E2434" s="436" t="s">
        <v>1637</v>
      </c>
      <c r="F2434" s="660">
        <v>0</v>
      </c>
      <c r="G2434" s="660">
        <v>7980</v>
      </c>
      <c r="H2434" s="660">
        <v>7980</v>
      </c>
      <c r="I2434" s="656">
        <f t="shared" si="464"/>
        <v>100</v>
      </c>
    </row>
    <row r="2435" spans="1:20" ht="16.5" thickTop="1" thickBot="1" x14ac:dyDescent="0.3">
      <c r="A2435" s="3233" t="s">
        <v>522</v>
      </c>
      <c r="B2435" s="3234"/>
      <c r="C2435" s="3234"/>
      <c r="D2435" s="3234"/>
      <c r="E2435" s="3234"/>
      <c r="F2435" s="657">
        <f>F2429</f>
        <v>0</v>
      </c>
      <c r="G2435" s="657">
        <f>G2429+G2431</f>
        <v>8165</v>
      </c>
      <c r="H2435" s="657">
        <f>H2429+H2431</f>
        <v>8165</v>
      </c>
      <c r="I2435" s="658">
        <f t="shared" si="464"/>
        <v>100</v>
      </c>
      <c r="R2435" s="373">
        <f>F2435</f>
        <v>0</v>
      </c>
      <c r="S2435" s="373">
        <f>G2435</f>
        <v>8165</v>
      </c>
      <c r="T2435" s="373">
        <f>H2435</f>
        <v>8165</v>
      </c>
    </row>
    <row r="2436" spans="1:20" ht="15.75" thickTop="1" x14ac:dyDescent="0.25">
      <c r="A2436" s="360"/>
      <c r="B2436" s="360"/>
      <c r="C2436" s="360"/>
      <c r="D2436" s="360"/>
      <c r="E2436" s="360"/>
      <c r="F2436" s="177"/>
      <c r="G2436" s="177"/>
      <c r="H2436" s="177"/>
      <c r="I2436" s="206"/>
      <c r="R2436" s="373"/>
      <c r="S2436" s="373"/>
      <c r="T2436" s="373"/>
    </row>
    <row r="2437" spans="1:20" ht="13.5" thickBot="1" x14ac:dyDescent="0.25">
      <c r="A2437" s="419" t="s">
        <v>1993</v>
      </c>
      <c r="I2437" s="915" t="s">
        <v>92</v>
      </c>
      <c r="S2437" s="373"/>
    </row>
    <row r="2438" spans="1:20" ht="14.25" thickTop="1" thickBot="1" x14ac:dyDescent="0.25">
      <c r="A2438" s="572" t="s">
        <v>324</v>
      </c>
      <c r="B2438" s="639" t="s">
        <v>93</v>
      </c>
      <c r="C2438" s="573" t="s">
        <v>94</v>
      </c>
      <c r="D2438" s="575" t="s">
        <v>364</v>
      </c>
      <c r="E2438" s="575" t="s">
        <v>95</v>
      </c>
      <c r="F2438" s="575" t="s">
        <v>328</v>
      </c>
      <c r="G2438" s="575" t="s">
        <v>329</v>
      </c>
      <c r="H2438" s="575" t="s">
        <v>448</v>
      </c>
      <c r="I2438" s="651" t="s">
        <v>449</v>
      </c>
    </row>
    <row r="2439" spans="1:20" ht="14.25" thickTop="1" thickBot="1" x14ac:dyDescent="0.25">
      <c r="A2439" s="511">
        <v>1</v>
      </c>
      <c r="B2439" s="512">
        <v>2</v>
      </c>
      <c r="C2439" s="512">
        <v>3</v>
      </c>
      <c r="D2439" s="512">
        <v>4</v>
      </c>
      <c r="E2439" s="512">
        <v>5</v>
      </c>
      <c r="F2439" s="499">
        <v>6</v>
      </c>
      <c r="G2439" s="499">
        <v>7</v>
      </c>
      <c r="H2439" s="500">
        <v>8</v>
      </c>
      <c r="I2439" s="577" t="s">
        <v>393</v>
      </c>
    </row>
    <row r="2440" spans="1:20" ht="15.75" hidden="1" thickTop="1" x14ac:dyDescent="0.25">
      <c r="A2440" s="418">
        <v>1407</v>
      </c>
      <c r="B2440" s="603">
        <v>3133</v>
      </c>
      <c r="C2440" s="603">
        <v>5331</v>
      </c>
      <c r="D2440" s="652"/>
      <c r="E2440" s="703" t="s">
        <v>481</v>
      </c>
      <c r="F2440" s="653">
        <f>F2441+F2442</f>
        <v>0</v>
      </c>
      <c r="G2440" s="653">
        <f>G2441+G2442</f>
        <v>0</v>
      </c>
      <c r="H2440" s="653">
        <f>H2441+H2442</f>
        <v>0</v>
      </c>
      <c r="I2440" s="654" t="e">
        <f t="shared" ref="I2440:I2447" si="466">(H2440/G2440)*100</f>
        <v>#DIV/0!</v>
      </c>
    </row>
    <row r="2441" spans="1:20" ht="15" hidden="1" thickTop="1" x14ac:dyDescent="0.2">
      <c r="A2441" s="418"/>
      <c r="B2441" s="603"/>
      <c r="C2441" s="603"/>
      <c r="D2441" s="620" t="s">
        <v>905</v>
      </c>
      <c r="E2441" s="938" t="s">
        <v>408</v>
      </c>
      <c r="F2441" s="660"/>
      <c r="G2441" s="660"/>
      <c r="H2441" s="660"/>
      <c r="I2441" s="656" t="e">
        <f t="shared" si="466"/>
        <v>#DIV/0!</v>
      </c>
    </row>
    <row r="2442" spans="1:20" ht="15" hidden="1" thickTop="1" x14ac:dyDescent="0.2">
      <c r="A2442" s="418"/>
      <c r="B2442" s="603"/>
      <c r="C2442" s="603"/>
      <c r="D2442" s="505" t="s">
        <v>906</v>
      </c>
      <c r="E2442" s="436" t="s">
        <v>38</v>
      </c>
      <c r="F2442" s="660"/>
      <c r="G2442" s="660"/>
      <c r="H2442" s="660"/>
      <c r="I2442" s="656" t="e">
        <f t="shared" si="466"/>
        <v>#DIV/0!</v>
      </c>
    </row>
    <row r="2443" spans="1:20" ht="15.75" thickTop="1" x14ac:dyDescent="0.25">
      <c r="A2443" s="921">
        <v>1407</v>
      </c>
      <c r="B2443" s="2427">
        <v>3133</v>
      </c>
      <c r="C2443" s="2427">
        <v>5336</v>
      </c>
      <c r="D2443" s="2725"/>
      <c r="E2443" s="602" t="s">
        <v>856</v>
      </c>
      <c r="F2443" s="678">
        <f>F2444+F2445+F2446</f>
        <v>0</v>
      </c>
      <c r="G2443" s="678">
        <f>G2444+G2445+G2446</f>
        <v>7651</v>
      </c>
      <c r="H2443" s="678">
        <f>H2444+H2445+H2446</f>
        <v>7651</v>
      </c>
      <c r="I2443" s="680">
        <f t="shared" si="466"/>
        <v>100</v>
      </c>
    </row>
    <row r="2444" spans="1:20" ht="14.25" x14ac:dyDescent="0.2">
      <c r="A2444" s="921"/>
      <c r="B2444" s="2427"/>
      <c r="C2444" s="2427"/>
      <c r="D2444" s="2725" t="s">
        <v>902</v>
      </c>
      <c r="E2444" s="1352" t="s">
        <v>855</v>
      </c>
      <c r="F2444" s="1600">
        <v>0</v>
      </c>
      <c r="G2444" s="1600">
        <v>124</v>
      </c>
      <c r="H2444" s="1600">
        <v>124</v>
      </c>
      <c r="I2444" s="367">
        <f t="shared" ref="I2444:I2445" si="467">(H2444/G2444)*100</f>
        <v>100</v>
      </c>
    </row>
    <row r="2445" spans="1:20" ht="14.25" x14ac:dyDescent="0.2">
      <c r="A2445" s="921"/>
      <c r="B2445" s="2427"/>
      <c r="C2445" s="2427"/>
      <c r="D2445" s="2725" t="s">
        <v>1896</v>
      </c>
      <c r="E2445" s="2228" t="s">
        <v>1951</v>
      </c>
      <c r="F2445" s="1643">
        <v>0</v>
      </c>
      <c r="G2445" s="1643">
        <v>56</v>
      </c>
      <c r="H2445" s="1643">
        <v>56</v>
      </c>
      <c r="I2445" s="982">
        <f t="shared" si="467"/>
        <v>100</v>
      </c>
    </row>
    <row r="2446" spans="1:20" ht="15" thickBot="1" x14ac:dyDescent="0.25">
      <c r="A2446" s="921"/>
      <c r="B2446" s="2427"/>
      <c r="C2446" s="2427"/>
      <c r="D2446" s="2726" t="s">
        <v>901</v>
      </c>
      <c r="E2446" s="436" t="s">
        <v>1637</v>
      </c>
      <c r="F2446" s="660">
        <v>0</v>
      </c>
      <c r="G2446" s="660">
        <v>7471</v>
      </c>
      <c r="H2446" s="660">
        <v>7471</v>
      </c>
      <c r="I2446" s="656">
        <f t="shared" si="466"/>
        <v>100</v>
      </c>
    </row>
    <row r="2447" spans="1:20" ht="16.5" thickTop="1" thickBot="1" x14ac:dyDescent="0.3">
      <c r="A2447" s="3233" t="s">
        <v>522</v>
      </c>
      <c r="B2447" s="3234"/>
      <c r="C2447" s="3234"/>
      <c r="D2447" s="3234"/>
      <c r="E2447" s="3234"/>
      <c r="F2447" s="657">
        <f>SUM(F2440)</f>
        <v>0</v>
      </c>
      <c r="G2447" s="657">
        <f>G2440+G2443</f>
        <v>7651</v>
      </c>
      <c r="H2447" s="657">
        <f>H2440+H2443</f>
        <v>7651</v>
      </c>
      <c r="I2447" s="658">
        <f t="shared" si="466"/>
        <v>100</v>
      </c>
      <c r="R2447" s="373">
        <f>F2447</f>
        <v>0</v>
      </c>
      <c r="S2447" s="373">
        <f>G2447</f>
        <v>7651</v>
      </c>
      <c r="T2447" s="373">
        <f>H2447</f>
        <v>7651</v>
      </c>
    </row>
    <row r="2448" spans="1:20" ht="13.5" thickTop="1" x14ac:dyDescent="0.2"/>
    <row r="2450" spans="1:20" ht="13.5" thickBot="1" x14ac:dyDescent="0.25">
      <c r="A2450" s="419" t="s">
        <v>1994</v>
      </c>
      <c r="I2450" s="915" t="s">
        <v>92</v>
      </c>
    </row>
    <row r="2451" spans="1:20" ht="14.25" thickTop="1" thickBot="1" x14ac:dyDescent="0.25">
      <c r="A2451" s="572" t="s">
        <v>324</v>
      </c>
      <c r="B2451" s="639" t="s">
        <v>93</v>
      </c>
      <c r="C2451" s="573" t="s">
        <v>94</v>
      </c>
      <c r="D2451" s="575" t="s">
        <v>364</v>
      </c>
      <c r="E2451" s="575" t="s">
        <v>95</v>
      </c>
      <c r="F2451" s="575" t="s">
        <v>328</v>
      </c>
      <c r="G2451" s="575" t="s">
        <v>329</v>
      </c>
      <c r="H2451" s="575" t="s">
        <v>448</v>
      </c>
      <c r="I2451" s="651" t="s">
        <v>449</v>
      </c>
    </row>
    <row r="2452" spans="1:20" ht="14.25" thickTop="1" thickBot="1" x14ac:dyDescent="0.25">
      <c r="A2452" s="511">
        <v>1</v>
      </c>
      <c r="B2452" s="512">
        <v>2</v>
      </c>
      <c r="C2452" s="512">
        <v>3</v>
      </c>
      <c r="D2452" s="512">
        <v>4</v>
      </c>
      <c r="E2452" s="512">
        <v>5</v>
      </c>
      <c r="F2452" s="499">
        <v>6</v>
      </c>
      <c r="G2452" s="499">
        <v>7</v>
      </c>
      <c r="H2452" s="500">
        <v>8</v>
      </c>
      <c r="I2452" s="577" t="s">
        <v>393</v>
      </c>
    </row>
    <row r="2453" spans="1:20" ht="15.75" hidden="1" thickTop="1" x14ac:dyDescent="0.25">
      <c r="A2453" s="418">
        <v>1408</v>
      </c>
      <c r="B2453" s="603">
        <v>3133</v>
      </c>
      <c r="C2453" s="603">
        <v>5331</v>
      </c>
      <c r="D2453" s="652"/>
      <c r="E2453" s="644" t="s">
        <v>481</v>
      </c>
      <c r="F2453" s="653">
        <f>F2454</f>
        <v>0</v>
      </c>
      <c r="G2453" s="653">
        <f t="shared" ref="G2453:H2453" si="468">G2454</f>
        <v>0</v>
      </c>
      <c r="H2453" s="653">
        <f t="shared" si="468"/>
        <v>0</v>
      </c>
      <c r="I2453" s="654">
        <v>100</v>
      </c>
    </row>
    <row r="2454" spans="1:20" ht="15" hidden="1" thickTop="1" x14ac:dyDescent="0.2">
      <c r="A2454" s="418"/>
      <c r="B2454" s="603"/>
      <c r="C2454" s="603"/>
      <c r="D2454" s="505" t="s">
        <v>906</v>
      </c>
      <c r="E2454" s="436" t="s">
        <v>38</v>
      </c>
      <c r="F2454" s="660"/>
      <c r="G2454" s="660"/>
      <c r="H2454" s="660"/>
      <c r="I2454" s="656" t="e">
        <f>(H2454/G2454)*100</f>
        <v>#DIV/0!</v>
      </c>
    </row>
    <row r="2455" spans="1:20" ht="15.75" thickTop="1" x14ac:dyDescent="0.25">
      <c r="A2455" s="921">
        <v>1408</v>
      </c>
      <c r="B2455" s="2427">
        <v>3133</v>
      </c>
      <c r="C2455" s="2427">
        <v>5336</v>
      </c>
      <c r="D2455" s="2725"/>
      <c r="E2455" s="602" t="s">
        <v>856</v>
      </c>
      <c r="F2455" s="678">
        <f>F2456+F2457+F2458</f>
        <v>0</v>
      </c>
      <c r="G2455" s="678">
        <f>G2456+G2457+G2458</f>
        <v>10195</v>
      </c>
      <c r="H2455" s="678">
        <f>H2456+H2457+H2458</f>
        <v>10195</v>
      </c>
      <c r="I2455" s="680">
        <f>(H2455/G2455)*100</f>
        <v>100</v>
      </c>
    </row>
    <row r="2456" spans="1:20" ht="14.25" x14ac:dyDescent="0.2">
      <c r="A2456" s="921"/>
      <c r="B2456" s="2427"/>
      <c r="C2456" s="2427"/>
      <c r="D2456" s="2725" t="s">
        <v>902</v>
      </c>
      <c r="E2456" s="1352" t="s">
        <v>855</v>
      </c>
      <c r="F2456" s="1600">
        <v>0</v>
      </c>
      <c r="G2456" s="1600">
        <v>159</v>
      </c>
      <c r="H2456" s="1600">
        <v>159</v>
      </c>
      <c r="I2456" s="367">
        <f t="shared" ref="I2456:I2457" si="469">(H2456/G2456)*100</f>
        <v>100</v>
      </c>
    </row>
    <row r="2457" spans="1:20" ht="14.25" x14ac:dyDescent="0.2">
      <c r="A2457" s="921"/>
      <c r="B2457" s="2427"/>
      <c r="C2457" s="2427"/>
      <c r="D2457" s="2725" t="s">
        <v>1896</v>
      </c>
      <c r="E2457" s="2228" t="s">
        <v>1951</v>
      </c>
      <c r="F2457" s="1643">
        <v>0</v>
      </c>
      <c r="G2457" s="1643">
        <v>77</v>
      </c>
      <c r="H2457" s="1643">
        <v>77</v>
      </c>
      <c r="I2457" s="982">
        <f t="shared" si="469"/>
        <v>100</v>
      </c>
    </row>
    <row r="2458" spans="1:20" ht="15" thickBot="1" x14ac:dyDescent="0.25">
      <c r="A2458" s="921"/>
      <c r="B2458" s="2427"/>
      <c r="C2458" s="2427"/>
      <c r="D2458" s="2726" t="s">
        <v>901</v>
      </c>
      <c r="E2458" s="436" t="s">
        <v>1637</v>
      </c>
      <c r="F2458" s="660">
        <v>0</v>
      </c>
      <c r="G2458" s="660">
        <v>9959</v>
      </c>
      <c r="H2458" s="660">
        <v>9959</v>
      </c>
      <c r="I2458" s="656">
        <f>(H2458/G2458)*100</f>
        <v>100</v>
      </c>
    </row>
    <row r="2459" spans="1:20" ht="16.5" thickTop="1" thickBot="1" x14ac:dyDescent="0.3">
      <c r="A2459" s="3233" t="s">
        <v>522</v>
      </c>
      <c r="B2459" s="3234"/>
      <c r="C2459" s="3234"/>
      <c r="D2459" s="3234"/>
      <c r="E2459" s="3234"/>
      <c r="F2459" s="657">
        <f>F2453</f>
        <v>0</v>
      </c>
      <c r="G2459" s="657">
        <f>G2453+G2455</f>
        <v>10195</v>
      </c>
      <c r="H2459" s="657">
        <f>H2453+H2455</f>
        <v>10195</v>
      </c>
      <c r="I2459" s="658">
        <f>(H2459/G2459)*100</f>
        <v>100</v>
      </c>
      <c r="R2459" s="373">
        <f>F2459</f>
        <v>0</v>
      </c>
      <c r="S2459" s="373">
        <f>G2459</f>
        <v>10195</v>
      </c>
      <c r="T2459" s="373">
        <f>H2459</f>
        <v>10195</v>
      </c>
    </row>
    <row r="2460" spans="1:20" ht="13.5" thickTop="1" x14ac:dyDescent="0.2"/>
    <row r="2461" spans="1:20" hidden="1" x14ac:dyDescent="0.2">
      <c r="A2461" s="419" t="s">
        <v>708</v>
      </c>
      <c r="I2461" s="915" t="s">
        <v>92</v>
      </c>
    </row>
    <row r="2462" spans="1:20" ht="14.25" hidden="1" thickTop="1" thickBot="1" x14ac:dyDescent="0.25">
      <c r="A2462" s="572" t="s">
        <v>324</v>
      </c>
      <c r="B2462" s="639" t="s">
        <v>93</v>
      </c>
      <c r="C2462" s="573" t="s">
        <v>94</v>
      </c>
      <c r="D2462" s="575" t="s">
        <v>364</v>
      </c>
      <c r="E2462" s="575" t="s">
        <v>95</v>
      </c>
      <c r="F2462" s="575" t="s">
        <v>328</v>
      </c>
      <c r="G2462" s="575" t="s">
        <v>329</v>
      </c>
      <c r="H2462" s="575" t="s">
        <v>448</v>
      </c>
      <c r="I2462" s="651" t="s">
        <v>449</v>
      </c>
    </row>
    <row r="2463" spans="1:20" ht="14.25" hidden="1" thickTop="1" thickBot="1" x14ac:dyDescent="0.25">
      <c r="A2463" s="511">
        <v>1</v>
      </c>
      <c r="B2463" s="512">
        <v>2</v>
      </c>
      <c r="C2463" s="512">
        <v>3</v>
      </c>
      <c r="D2463" s="512">
        <v>4</v>
      </c>
      <c r="E2463" s="512">
        <v>5</v>
      </c>
      <c r="F2463" s="499">
        <v>6</v>
      </c>
      <c r="G2463" s="499">
        <v>7</v>
      </c>
      <c r="H2463" s="500">
        <v>8</v>
      </c>
      <c r="I2463" s="577" t="s">
        <v>393</v>
      </c>
    </row>
    <row r="2464" spans="1:20" ht="15" hidden="1" x14ac:dyDescent="0.25">
      <c r="A2464" s="418">
        <v>1420</v>
      </c>
      <c r="B2464" s="603">
        <v>3141</v>
      </c>
      <c r="C2464" s="603">
        <v>5331</v>
      </c>
      <c r="D2464" s="782"/>
      <c r="E2464" s="644" t="s">
        <v>481</v>
      </c>
      <c r="F2464" s="653">
        <f>F2465+F2466+F2467</f>
        <v>0</v>
      </c>
      <c r="G2464" s="653">
        <f>G2465+G2466+G2467</f>
        <v>0</v>
      </c>
      <c r="H2464" s="653">
        <f>H2465+H2466+H2467</f>
        <v>0</v>
      </c>
      <c r="I2464" s="680" t="e">
        <f t="shared" ref="I2464:I2472" si="470">(H2464/G2464)*100</f>
        <v>#DIV/0!</v>
      </c>
    </row>
    <row r="2465" spans="1:20" ht="14.25" hidden="1" x14ac:dyDescent="0.2">
      <c r="A2465" s="418"/>
      <c r="B2465" s="603"/>
      <c r="C2465" s="603"/>
      <c r="D2465" s="620" t="s">
        <v>905</v>
      </c>
      <c r="E2465" s="938" t="s">
        <v>408</v>
      </c>
      <c r="F2465" s="660"/>
      <c r="G2465" s="660"/>
      <c r="H2465" s="660"/>
      <c r="I2465" s="656" t="e">
        <f t="shared" si="470"/>
        <v>#DIV/0!</v>
      </c>
    </row>
    <row r="2466" spans="1:20" ht="14.25" hidden="1" x14ac:dyDescent="0.2">
      <c r="A2466" s="418"/>
      <c r="B2466" s="603"/>
      <c r="C2466" s="603"/>
      <c r="D2466" s="505" t="s">
        <v>906</v>
      </c>
      <c r="E2466" s="436" t="s">
        <v>38</v>
      </c>
      <c r="F2466" s="660"/>
      <c r="G2466" s="660"/>
      <c r="H2466" s="660"/>
      <c r="I2466" s="656" t="e">
        <f t="shared" si="470"/>
        <v>#DIV/0!</v>
      </c>
    </row>
    <row r="2467" spans="1:20" ht="14.25" hidden="1" x14ac:dyDescent="0.2">
      <c r="A2467" s="418"/>
      <c r="B2467" s="603"/>
      <c r="C2467" s="603"/>
      <c r="D2467" s="802" t="s">
        <v>911</v>
      </c>
      <c r="E2467" s="862" t="s">
        <v>616</v>
      </c>
      <c r="F2467" s="880"/>
      <c r="G2467" s="432"/>
      <c r="H2467" s="311"/>
      <c r="I2467" s="816" t="e">
        <f t="shared" si="470"/>
        <v>#DIV/0!</v>
      </c>
    </row>
    <row r="2468" spans="1:20" ht="15" hidden="1" x14ac:dyDescent="0.25">
      <c r="A2468" s="921">
        <v>1420</v>
      </c>
      <c r="B2468" s="2427">
        <v>3141</v>
      </c>
      <c r="C2468" s="2427">
        <v>5336</v>
      </c>
      <c r="D2468" s="2726"/>
      <c r="E2468" s="602" t="s">
        <v>856</v>
      </c>
      <c r="F2468" s="660"/>
      <c r="G2468" s="678">
        <f>G2469+G2471+G2470</f>
        <v>0</v>
      </c>
      <c r="H2468" s="678">
        <f>H2469+H2471+H2470</f>
        <v>0</v>
      </c>
      <c r="I2468" s="680" t="e">
        <f t="shared" si="470"/>
        <v>#DIV/0!</v>
      </c>
    </row>
    <row r="2469" spans="1:20" ht="15" hidden="1" x14ac:dyDescent="0.2">
      <c r="A2469" s="921"/>
      <c r="B2469" s="2427"/>
      <c r="C2469" s="2427"/>
      <c r="D2469" s="2725" t="s">
        <v>902</v>
      </c>
      <c r="E2469" s="1352" t="s">
        <v>855</v>
      </c>
      <c r="F2469" s="1599"/>
      <c r="G2469" s="1600"/>
      <c r="H2469" s="1600"/>
      <c r="I2469" s="367" t="e">
        <f t="shared" si="470"/>
        <v>#DIV/0!</v>
      </c>
    </row>
    <row r="2470" spans="1:20" ht="28.5" hidden="1" x14ac:dyDescent="0.2">
      <c r="A2470" s="921"/>
      <c r="B2470" s="2427"/>
      <c r="C2470" s="2427"/>
      <c r="D2470" s="2725" t="s">
        <v>903</v>
      </c>
      <c r="E2470" s="2228" t="s">
        <v>904</v>
      </c>
      <c r="F2470" s="1599"/>
      <c r="G2470" s="1643"/>
      <c r="H2470" s="1643"/>
      <c r="I2470" s="982" t="e">
        <f t="shared" si="470"/>
        <v>#DIV/0!</v>
      </c>
    </row>
    <row r="2471" spans="1:20" ht="14.25" hidden="1" x14ac:dyDescent="0.2">
      <c r="A2471" s="921"/>
      <c r="B2471" s="2427"/>
      <c r="C2471" s="2427"/>
      <c r="D2471" s="2726" t="s">
        <v>901</v>
      </c>
      <c r="E2471" s="436" t="s">
        <v>1637</v>
      </c>
      <c r="F2471" s="660"/>
      <c r="G2471" s="660"/>
      <c r="H2471" s="660"/>
      <c r="I2471" s="656" t="e">
        <f t="shared" si="470"/>
        <v>#DIV/0!</v>
      </c>
    </row>
    <row r="2472" spans="1:20" ht="16.5" hidden="1" thickTop="1" thickBot="1" x14ac:dyDescent="0.3">
      <c r="A2472" s="3233" t="s">
        <v>522</v>
      </c>
      <c r="B2472" s="3234"/>
      <c r="C2472" s="3234"/>
      <c r="D2472" s="3234"/>
      <c r="E2472" s="3234"/>
      <c r="F2472" s="657">
        <f>F2464</f>
        <v>0</v>
      </c>
      <c r="G2472" s="657">
        <f>G2464+G2468</f>
        <v>0</v>
      </c>
      <c r="H2472" s="657">
        <f>H2464+H2468</f>
        <v>0</v>
      </c>
      <c r="I2472" s="658" t="e">
        <f t="shared" si="470"/>
        <v>#DIV/0!</v>
      </c>
      <c r="R2472" s="373">
        <f>F2472</f>
        <v>0</v>
      </c>
      <c r="S2472" s="373">
        <f>G2472</f>
        <v>0</v>
      </c>
      <c r="T2472" s="373">
        <f>H2472</f>
        <v>0</v>
      </c>
    </row>
    <row r="2473" spans="1:20" hidden="1" x14ac:dyDescent="0.2"/>
    <row r="2475" spans="1:20" ht="13.5" thickBot="1" x14ac:dyDescent="0.25">
      <c r="A2475" s="419" t="s">
        <v>1518</v>
      </c>
      <c r="I2475" s="915" t="s">
        <v>92</v>
      </c>
    </row>
    <row r="2476" spans="1:20" ht="14.25" thickTop="1" thickBot="1" x14ac:dyDescent="0.25">
      <c r="A2476" s="572" t="s">
        <v>324</v>
      </c>
      <c r="B2476" s="639" t="s">
        <v>93</v>
      </c>
      <c r="C2476" s="573" t="s">
        <v>94</v>
      </c>
      <c r="D2476" s="575" t="s">
        <v>364</v>
      </c>
      <c r="E2476" s="575" t="s">
        <v>95</v>
      </c>
      <c r="F2476" s="575" t="s">
        <v>328</v>
      </c>
      <c r="G2476" s="575" t="s">
        <v>329</v>
      </c>
      <c r="H2476" s="575" t="s">
        <v>448</v>
      </c>
      <c r="I2476" s="651" t="s">
        <v>449</v>
      </c>
    </row>
    <row r="2477" spans="1:20" ht="14.25" thickTop="1" thickBot="1" x14ac:dyDescent="0.25">
      <c r="A2477" s="511">
        <v>1</v>
      </c>
      <c r="B2477" s="512">
        <v>2</v>
      </c>
      <c r="C2477" s="512">
        <v>3</v>
      </c>
      <c r="D2477" s="512">
        <v>4</v>
      </c>
      <c r="E2477" s="512">
        <v>5</v>
      </c>
      <c r="F2477" s="499">
        <v>6</v>
      </c>
      <c r="G2477" s="499">
        <v>7</v>
      </c>
      <c r="H2477" s="500">
        <v>8</v>
      </c>
      <c r="I2477" s="577" t="s">
        <v>393</v>
      </c>
    </row>
    <row r="2478" spans="1:20" ht="15.75" hidden="1" thickTop="1" x14ac:dyDescent="0.25">
      <c r="A2478" s="924">
        <v>1450</v>
      </c>
      <c r="B2478" s="676">
        <v>3146</v>
      </c>
      <c r="C2478" s="676">
        <v>5331</v>
      </c>
      <c r="D2478" s="679"/>
      <c r="E2478" s="703" t="s">
        <v>481</v>
      </c>
      <c r="F2478" s="674">
        <f>F2479+F2480</f>
        <v>0</v>
      </c>
      <c r="G2478" s="674">
        <f>G2479+G2480</f>
        <v>0</v>
      </c>
      <c r="H2478" s="674">
        <f>H2479+H2480</f>
        <v>0</v>
      </c>
      <c r="I2478" s="677" t="e">
        <f t="shared" ref="I2478:I2491" si="471">(H2478/G2478)*100</f>
        <v>#DIV/0!</v>
      </c>
    </row>
    <row r="2479" spans="1:20" ht="15" hidden="1" thickTop="1" x14ac:dyDescent="0.2">
      <c r="A2479" s="418"/>
      <c r="B2479" s="603"/>
      <c r="C2479" s="603"/>
      <c r="D2479" s="620" t="s">
        <v>905</v>
      </c>
      <c r="E2479" s="938" t="s">
        <v>408</v>
      </c>
      <c r="F2479" s="660"/>
      <c r="G2479" s="660"/>
      <c r="H2479" s="660"/>
      <c r="I2479" s="656" t="e">
        <f t="shared" si="471"/>
        <v>#DIV/0!</v>
      </c>
    </row>
    <row r="2480" spans="1:20" ht="15" hidden="1" thickTop="1" x14ac:dyDescent="0.2">
      <c r="A2480" s="418"/>
      <c r="B2480" s="634"/>
      <c r="C2480" s="918"/>
      <c r="D2480" s="505" t="s">
        <v>906</v>
      </c>
      <c r="E2480" s="436" t="s">
        <v>38</v>
      </c>
      <c r="F2480" s="665"/>
      <c r="G2480" s="665"/>
      <c r="H2480" s="665"/>
      <c r="I2480" s="661" t="e">
        <f t="shared" si="471"/>
        <v>#DIV/0!</v>
      </c>
    </row>
    <row r="2481" spans="1:20" ht="15.75" thickTop="1" x14ac:dyDescent="0.25">
      <c r="A2481" s="921">
        <v>1450</v>
      </c>
      <c r="B2481" s="2722">
        <v>3146</v>
      </c>
      <c r="C2481" s="1350">
        <v>5336</v>
      </c>
      <c r="D2481" s="2725"/>
      <c r="E2481" s="602" t="s">
        <v>856</v>
      </c>
      <c r="F2481" s="675">
        <f>F2482+F2483+F2484+F2486+F2485</f>
        <v>0</v>
      </c>
      <c r="G2481" s="675">
        <f t="shared" ref="G2481:H2481" si="472">G2482+G2483+G2484+G2486+G2485</f>
        <v>47320</v>
      </c>
      <c r="H2481" s="675">
        <f t="shared" si="472"/>
        <v>47320</v>
      </c>
      <c r="I2481" s="669">
        <f t="shared" si="471"/>
        <v>100</v>
      </c>
    </row>
    <row r="2482" spans="1:20" ht="14.25" hidden="1" x14ac:dyDescent="0.2">
      <c r="A2482" s="921"/>
      <c r="B2482" s="2722"/>
      <c r="C2482" s="1350"/>
      <c r="D2482" s="2725" t="s">
        <v>910</v>
      </c>
      <c r="E2482" s="1352" t="s">
        <v>815</v>
      </c>
      <c r="F2482" s="665"/>
      <c r="G2482" s="1600"/>
      <c r="H2482" s="1600"/>
      <c r="I2482" s="367" t="e">
        <f t="shared" si="471"/>
        <v>#DIV/0!</v>
      </c>
    </row>
    <row r="2483" spans="1:20" ht="14.25" x14ac:dyDescent="0.2">
      <c r="A2483" s="921"/>
      <c r="B2483" s="2722"/>
      <c r="C2483" s="1350"/>
      <c r="D2483" s="2725" t="s">
        <v>902</v>
      </c>
      <c r="E2483" s="1352" t="s">
        <v>855</v>
      </c>
      <c r="F2483" s="1600">
        <v>0</v>
      </c>
      <c r="G2483" s="1600">
        <v>802</v>
      </c>
      <c r="H2483" s="1600">
        <v>802</v>
      </c>
      <c r="I2483" s="367">
        <f t="shared" ref="I2483:I2485" si="473">(H2483/G2483)*100</f>
        <v>100</v>
      </c>
    </row>
    <row r="2484" spans="1:20" ht="15.75" customHeight="1" x14ac:dyDescent="0.2">
      <c r="A2484" s="921"/>
      <c r="B2484" s="2722"/>
      <c r="C2484" s="1350"/>
      <c r="D2484" s="2723" t="s">
        <v>1133</v>
      </c>
      <c r="E2484" s="2228" t="s">
        <v>1513</v>
      </c>
      <c r="F2484" s="1643">
        <v>0</v>
      </c>
      <c r="G2484" s="1643">
        <v>6635</v>
      </c>
      <c r="H2484" s="1643">
        <v>6635</v>
      </c>
      <c r="I2484" s="982">
        <f t="shared" si="473"/>
        <v>100</v>
      </c>
    </row>
    <row r="2485" spans="1:20" ht="14.25" x14ac:dyDescent="0.2">
      <c r="A2485" s="921"/>
      <c r="B2485" s="2722"/>
      <c r="C2485" s="1350"/>
      <c r="D2485" s="2726" t="s">
        <v>1896</v>
      </c>
      <c r="E2485" s="3102" t="s">
        <v>1951</v>
      </c>
      <c r="F2485" s="1643">
        <v>0</v>
      </c>
      <c r="G2485" s="1643">
        <v>148</v>
      </c>
      <c r="H2485" s="1643">
        <v>148</v>
      </c>
      <c r="I2485" s="982">
        <f t="shared" si="473"/>
        <v>100</v>
      </c>
    </row>
    <row r="2486" spans="1:20" ht="14.25" x14ac:dyDescent="0.2">
      <c r="A2486" s="921"/>
      <c r="B2486" s="2722"/>
      <c r="C2486" s="1350"/>
      <c r="D2486" s="2726" t="s">
        <v>901</v>
      </c>
      <c r="E2486" s="436" t="s">
        <v>1637</v>
      </c>
      <c r="F2486" s="665">
        <v>0</v>
      </c>
      <c r="G2486" s="665">
        <v>39735</v>
      </c>
      <c r="H2486" s="665">
        <v>39735</v>
      </c>
      <c r="I2486" s="661">
        <f t="shared" si="471"/>
        <v>100</v>
      </c>
    </row>
    <row r="2487" spans="1:20" ht="15" x14ac:dyDescent="0.25">
      <c r="A2487" s="921">
        <v>1450</v>
      </c>
      <c r="B2487" s="2722">
        <v>3541</v>
      </c>
      <c r="C2487" s="1350">
        <v>5331</v>
      </c>
      <c r="D2487" s="2726"/>
      <c r="E2487" s="644" t="s">
        <v>481</v>
      </c>
      <c r="F2487" s="675">
        <f>F2488</f>
        <v>0</v>
      </c>
      <c r="G2487" s="675">
        <f>G2488</f>
        <v>200</v>
      </c>
      <c r="H2487" s="675">
        <f>H2488</f>
        <v>200</v>
      </c>
      <c r="I2487" s="669">
        <f t="shared" si="471"/>
        <v>100</v>
      </c>
    </row>
    <row r="2488" spans="1:20" ht="15.75" customHeight="1" x14ac:dyDescent="0.2">
      <c r="A2488" s="921"/>
      <c r="B2488" s="2722"/>
      <c r="C2488" s="1350"/>
      <c r="D2488" s="2741" t="s">
        <v>917</v>
      </c>
      <c r="E2488" s="3102" t="s">
        <v>1956</v>
      </c>
      <c r="F2488" s="665">
        <v>0</v>
      </c>
      <c r="G2488" s="665">
        <v>200</v>
      </c>
      <c r="H2488" s="665">
        <v>200</v>
      </c>
      <c r="I2488" s="661">
        <f t="shared" si="471"/>
        <v>100</v>
      </c>
    </row>
    <row r="2489" spans="1:20" ht="15" x14ac:dyDescent="0.25">
      <c r="A2489" s="921">
        <v>1450</v>
      </c>
      <c r="B2489" s="2427">
        <v>5399</v>
      </c>
      <c r="C2489" s="1350">
        <v>5336</v>
      </c>
      <c r="D2489" s="2725"/>
      <c r="E2489" s="602" t="s">
        <v>856</v>
      </c>
      <c r="F2489" s="675">
        <f>F2490+F2491</f>
        <v>0</v>
      </c>
      <c r="G2489" s="675">
        <f>G2490+G2491</f>
        <v>188</v>
      </c>
      <c r="H2489" s="675">
        <f>H2490+H2491</f>
        <v>188</v>
      </c>
      <c r="I2489" s="680">
        <f t="shared" si="471"/>
        <v>100</v>
      </c>
    </row>
    <row r="2490" spans="1:20" ht="15" thickBot="1" x14ac:dyDescent="0.25">
      <c r="A2490" s="921"/>
      <c r="B2490" s="2427"/>
      <c r="C2490" s="2719"/>
      <c r="D2490" s="2782" t="s">
        <v>937</v>
      </c>
      <c r="E2490" s="877" t="s">
        <v>1954</v>
      </c>
      <c r="F2490" s="660">
        <v>0</v>
      </c>
      <c r="G2490" s="660">
        <v>188</v>
      </c>
      <c r="H2490" s="660">
        <v>188</v>
      </c>
      <c r="I2490" s="656">
        <f t="shared" si="471"/>
        <v>100</v>
      </c>
    </row>
    <row r="2491" spans="1:20" ht="15" hidden="1" thickBot="1" x14ac:dyDescent="0.25">
      <c r="A2491" s="921"/>
      <c r="B2491" s="2427"/>
      <c r="C2491" s="2719"/>
      <c r="D2491" s="2783" t="s">
        <v>1141</v>
      </c>
      <c r="E2491" s="877" t="s">
        <v>1519</v>
      </c>
      <c r="F2491" s="660"/>
      <c r="G2491" s="660"/>
      <c r="H2491" s="660"/>
      <c r="I2491" s="682" t="e">
        <f t="shared" si="471"/>
        <v>#DIV/0!</v>
      </c>
    </row>
    <row r="2492" spans="1:20" ht="16.5" thickTop="1" thickBot="1" x14ac:dyDescent="0.3">
      <c r="A2492" s="3233" t="s">
        <v>522</v>
      </c>
      <c r="B2492" s="3234"/>
      <c r="C2492" s="3234"/>
      <c r="D2492" s="3234"/>
      <c r="E2492" s="3234"/>
      <c r="F2492" s="657">
        <f>F2478</f>
        <v>0</v>
      </c>
      <c r="G2492" s="657">
        <f>G2478+G2481+G2487+G2489</f>
        <v>47708</v>
      </c>
      <c r="H2492" s="657">
        <f>H2478+H2481+H2487+H2489</f>
        <v>47708</v>
      </c>
      <c r="I2492" s="658">
        <f>(H2492/G2492)*100</f>
        <v>100</v>
      </c>
      <c r="R2492" s="373">
        <f>F2492</f>
        <v>0</v>
      </c>
      <c r="S2492" s="373">
        <f>G2492</f>
        <v>47708</v>
      </c>
      <c r="T2492" s="373">
        <f>H2492</f>
        <v>47708</v>
      </c>
    </row>
    <row r="2493" spans="1:20" ht="15.75" thickTop="1" x14ac:dyDescent="0.25">
      <c r="A2493" s="360"/>
      <c r="B2493" s="360"/>
      <c r="C2493" s="360"/>
      <c r="D2493" s="360"/>
      <c r="E2493" s="360"/>
      <c r="F2493" s="177"/>
      <c r="G2493" s="177"/>
      <c r="H2493" s="177"/>
      <c r="I2493" s="206"/>
      <c r="R2493" s="373"/>
      <c r="S2493" s="373"/>
      <c r="T2493" s="373"/>
    </row>
    <row r="2494" spans="1:20" hidden="1" x14ac:dyDescent="0.2">
      <c r="A2494" s="419" t="s">
        <v>709</v>
      </c>
      <c r="I2494" s="915" t="s">
        <v>92</v>
      </c>
    </row>
    <row r="2495" spans="1:20" ht="14.25" hidden="1" thickTop="1" thickBot="1" x14ac:dyDescent="0.25">
      <c r="A2495" s="572" t="s">
        <v>324</v>
      </c>
      <c r="B2495" s="639" t="s">
        <v>93</v>
      </c>
      <c r="C2495" s="573" t="s">
        <v>94</v>
      </c>
      <c r="D2495" s="575" t="s">
        <v>364</v>
      </c>
      <c r="E2495" s="575" t="s">
        <v>95</v>
      </c>
      <c r="F2495" s="575" t="s">
        <v>328</v>
      </c>
      <c r="G2495" s="575" t="s">
        <v>329</v>
      </c>
      <c r="H2495" s="575" t="s">
        <v>448</v>
      </c>
      <c r="I2495" s="651" t="s">
        <v>449</v>
      </c>
    </row>
    <row r="2496" spans="1:20" ht="14.25" hidden="1" thickTop="1" thickBot="1" x14ac:dyDescent="0.25">
      <c r="A2496" s="511">
        <v>1</v>
      </c>
      <c r="B2496" s="512">
        <v>2</v>
      </c>
      <c r="C2496" s="512">
        <v>3</v>
      </c>
      <c r="D2496" s="512">
        <v>4</v>
      </c>
      <c r="E2496" s="512">
        <v>5</v>
      </c>
      <c r="F2496" s="499">
        <v>6</v>
      </c>
      <c r="G2496" s="499">
        <v>7</v>
      </c>
      <c r="H2496" s="500">
        <v>8</v>
      </c>
      <c r="I2496" s="577" t="s">
        <v>393</v>
      </c>
    </row>
    <row r="2497" spans="1:23" ht="15" hidden="1" x14ac:dyDescent="0.25">
      <c r="A2497" s="924">
        <v>1465</v>
      </c>
      <c r="B2497" s="676">
        <v>3294</v>
      </c>
      <c r="C2497" s="676">
        <v>5331</v>
      </c>
      <c r="D2497" s="679"/>
      <c r="E2497" s="703" t="s">
        <v>481</v>
      </c>
      <c r="F2497" s="674">
        <f>F2498+F2499</f>
        <v>0</v>
      </c>
      <c r="G2497" s="674">
        <f t="shared" ref="G2497:H2497" si="474">G2498+G2499</f>
        <v>0</v>
      </c>
      <c r="H2497" s="674">
        <f t="shared" si="474"/>
        <v>0</v>
      </c>
      <c r="I2497" s="677" t="e">
        <f t="shared" ref="I2497:I2499" si="475">(H2497/G2497)*100</f>
        <v>#DIV/0!</v>
      </c>
    </row>
    <row r="2498" spans="1:23" ht="14.25" hidden="1" x14ac:dyDescent="0.2">
      <c r="A2498" s="418"/>
      <c r="B2498" s="603"/>
      <c r="C2498" s="603"/>
      <c r="D2498" s="620" t="s">
        <v>905</v>
      </c>
      <c r="E2498" s="938" t="s">
        <v>408</v>
      </c>
      <c r="F2498" s="351"/>
      <c r="G2498" s="351"/>
      <c r="H2498" s="351"/>
      <c r="I2498" s="656" t="e">
        <f t="shared" si="475"/>
        <v>#DIV/0!</v>
      </c>
    </row>
    <row r="2499" spans="1:23" ht="14.25" hidden="1" x14ac:dyDescent="0.2">
      <c r="A2499" s="418"/>
      <c r="B2499" s="603"/>
      <c r="C2499" s="603"/>
      <c r="D2499" s="505" t="s">
        <v>906</v>
      </c>
      <c r="E2499" s="436" t="s">
        <v>38</v>
      </c>
      <c r="F2499" s="660"/>
      <c r="G2499" s="660"/>
      <c r="H2499" s="660"/>
      <c r="I2499" s="656" t="e">
        <f t="shared" si="475"/>
        <v>#DIV/0!</v>
      </c>
    </row>
    <row r="2500" spans="1:23" ht="16.5" hidden="1" thickTop="1" thickBot="1" x14ac:dyDescent="0.3">
      <c r="A2500" s="3233" t="s">
        <v>522</v>
      </c>
      <c r="B2500" s="3234"/>
      <c r="C2500" s="3234"/>
      <c r="D2500" s="3234"/>
      <c r="E2500" s="3234"/>
      <c r="F2500" s="657">
        <f>F2497</f>
        <v>0</v>
      </c>
      <c r="G2500" s="657">
        <f>G2497</f>
        <v>0</v>
      </c>
      <c r="H2500" s="657">
        <f>H2497</f>
        <v>0</v>
      </c>
      <c r="I2500" s="658" t="e">
        <f>(H2500/G2500)*100</f>
        <v>#DIV/0!</v>
      </c>
      <c r="J2500" s="373">
        <f>F2500</f>
        <v>0</v>
      </c>
      <c r="K2500" s="373" t="e">
        <f>G2500+#REF!</f>
        <v>#REF!</v>
      </c>
      <c r="L2500" s="373" t="e">
        <f>H2500+#REF!</f>
        <v>#REF!</v>
      </c>
      <c r="R2500" s="373">
        <f>F2500</f>
        <v>0</v>
      </c>
      <c r="S2500" s="373">
        <f>G2500</f>
        <v>0</v>
      </c>
      <c r="T2500" s="373">
        <f>H2500</f>
        <v>0</v>
      </c>
      <c r="U2500" s="373"/>
      <c r="V2500" s="373"/>
      <c r="W2500" s="373"/>
    </row>
    <row r="2502" spans="1:23" ht="13.5" thickBot="1" x14ac:dyDescent="0.25">
      <c r="A2502" s="419" t="s">
        <v>1995</v>
      </c>
      <c r="I2502" s="915" t="s">
        <v>92</v>
      </c>
      <c r="R2502" s="719"/>
      <c r="S2502" s="719"/>
      <c r="T2502" s="719"/>
      <c r="U2502" s="719"/>
      <c r="V2502" s="719"/>
      <c r="W2502" s="719"/>
    </row>
    <row r="2503" spans="1:23" ht="14.25" thickTop="1" thickBot="1" x14ac:dyDescent="0.25">
      <c r="A2503" s="572" t="s">
        <v>324</v>
      </c>
      <c r="B2503" s="639" t="s">
        <v>93</v>
      </c>
      <c r="C2503" s="573" t="s">
        <v>94</v>
      </c>
      <c r="D2503" s="575" t="s">
        <v>364</v>
      </c>
      <c r="E2503" s="575" t="s">
        <v>95</v>
      </c>
      <c r="F2503" s="575" t="s">
        <v>328</v>
      </c>
      <c r="G2503" s="575" t="s">
        <v>329</v>
      </c>
      <c r="H2503" s="575" t="s">
        <v>448</v>
      </c>
      <c r="I2503" s="651" t="s">
        <v>449</v>
      </c>
      <c r="R2503" s="719"/>
      <c r="S2503" s="719"/>
      <c r="T2503" s="719"/>
      <c r="U2503" s="719"/>
      <c r="V2503" s="719"/>
      <c r="W2503" s="719"/>
    </row>
    <row r="2504" spans="1:23" ht="14.25" thickTop="1" thickBot="1" x14ac:dyDescent="0.25">
      <c r="A2504" s="511">
        <v>1</v>
      </c>
      <c r="B2504" s="512">
        <v>2</v>
      </c>
      <c r="C2504" s="512">
        <v>3</v>
      </c>
      <c r="D2504" s="512">
        <v>4</v>
      </c>
      <c r="E2504" s="512">
        <v>5</v>
      </c>
      <c r="F2504" s="499">
        <v>6</v>
      </c>
      <c r="G2504" s="499">
        <v>7</v>
      </c>
      <c r="H2504" s="500">
        <v>8</v>
      </c>
      <c r="I2504" s="577" t="s">
        <v>393</v>
      </c>
      <c r="R2504" s="719"/>
      <c r="S2504" s="719"/>
      <c r="T2504" s="719"/>
      <c r="U2504" s="719"/>
      <c r="V2504" s="719"/>
      <c r="W2504" s="719"/>
    </row>
    <row r="2505" spans="1:23" ht="15.75" thickTop="1" x14ac:dyDescent="0.25">
      <c r="A2505" s="921">
        <v>1601</v>
      </c>
      <c r="B2505" s="2722">
        <v>3314</v>
      </c>
      <c r="C2505" s="1350">
        <v>5331</v>
      </c>
      <c r="D2505" s="2726"/>
      <c r="E2505" s="644" t="s">
        <v>481</v>
      </c>
      <c r="F2505" s="675">
        <f>F2506</f>
        <v>10000</v>
      </c>
      <c r="G2505" s="675">
        <f>G2506</f>
        <v>993</v>
      </c>
      <c r="H2505" s="675">
        <f>H2506</f>
        <v>993</v>
      </c>
      <c r="I2505" s="669">
        <f t="shared" ref="I2505" si="476">(H2505/G2505)*100</f>
        <v>100</v>
      </c>
      <c r="R2505" s="719"/>
      <c r="S2505" s="719"/>
      <c r="T2505" s="719"/>
      <c r="U2505" s="719"/>
      <c r="V2505" s="719"/>
      <c r="W2505" s="719"/>
    </row>
    <row r="2506" spans="1:23" ht="28.5" x14ac:dyDescent="0.2">
      <c r="A2506" s="690"/>
      <c r="B2506" s="879"/>
      <c r="C2506" s="879"/>
      <c r="D2506" s="2767" t="s">
        <v>1138</v>
      </c>
      <c r="E2506" s="3102" t="s">
        <v>1228</v>
      </c>
      <c r="F2506" s="1643">
        <v>10000</v>
      </c>
      <c r="G2506" s="1643">
        <v>993</v>
      </c>
      <c r="H2506" s="1643">
        <v>993</v>
      </c>
      <c r="I2506" s="982">
        <f t="shared" ref="I2506:I2515" si="477">(H2506/G2506)*100</f>
        <v>100</v>
      </c>
      <c r="R2506" s="719"/>
      <c r="S2506" s="719"/>
      <c r="T2506" s="719"/>
      <c r="U2506" s="719"/>
      <c r="V2506" s="719"/>
      <c r="W2506" s="719"/>
    </row>
    <row r="2507" spans="1:23" ht="15" x14ac:dyDescent="0.25">
      <c r="A2507" s="921">
        <v>1601</v>
      </c>
      <c r="B2507" s="2427">
        <v>3314</v>
      </c>
      <c r="C2507" s="2427">
        <v>5336</v>
      </c>
      <c r="D2507" s="2726"/>
      <c r="E2507" s="602" t="s">
        <v>856</v>
      </c>
      <c r="F2507" s="678">
        <f>F2508+F2510+F2509</f>
        <v>0</v>
      </c>
      <c r="G2507" s="678">
        <f>G2508+G2510+G2509</f>
        <v>405</v>
      </c>
      <c r="H2507" s="678">
        <f>H2508+H2510+H2509</f>
        <v>405</v>
      </c>
      <c r="I2507" s="680">
        <f t="shared" si="477"/>
        <v>100</v>
      </c>
      <c r="R2507" s="719"/>
      <c r="S2507" s="719"/>
      <c r="T2507" s="719"/>
      <c r="U2507" s="719"/>
      <c r="V2507" s="719"/>
      <c r="W2507" s="719"/>
    </row>
    <row r="2508" spans="1:23" ht="14.25" x14ac:dyDescent="0.2">
      <c r="A2508" s="921"/>
      <c r="B2508" s="2427"/>
      <c r="C2508" s="2427"/>
      <c r="D2508" s="2725" t="s">
        <v>960</v>
      </c>
      <c r="E2508" s="1352" t="s">
        <v>1520</v>
      </c>
      <c r="F2508" s="1600">
        <v>0</v>
      </c>
      <c r="G2508" s="1600">
        <v>395</v>
      </c>
      <c r="H2508" s="1600">
        <v>395</v>
      </c>
      <c r="I2508" s="367">
        <f t="shared" si="477"/>
        <v>100</v>
      </c>
      <c r="R2508" s="719"/>
      <c r="S2508" s="719"/>
      <c r="T2508" s="719"/>
      <c r="U2508" s="719"/>
      <c r="V2508" s="719"/>
      <c r="W2508" s="719"/>
    </row>
    <row r="2509" spans="1:23" ht="28.5" hidden="1" x14ac:dyDescent="0.2">
      <c r="A2509" s="921"/>
      <c r="B2509" s="2427"/>
      <c r="C2509" s="2427"/>
      <c r="D2509" s="2725" t="s">
        <v>903</v>
      </c>
      <c r="E2509" s="2619" t="s">
        <v>904</v>
      </c>
      <c r="F2509" s="1643"/>
      <c r="G2509" s="1643"/>
      <c r="H2509" s="1643"/>
      <c r="I2509" s="982" t="e">
        <f t="shared" si="477"/>
        <v>#DIV/0!</v>
      </c>
      <c r="R2509" s="719"/>
      <c r="S2509" s="719"/>
      <c r="T2509" s="719"/>
      <c r="U2509" s="719"/>
      <c r="V2509" s="719"/>
      <c r="W2509" s="719"/>
    </row>
    <row r="2510" spans="1:23" ht="15" thickBot="1" x14ac:dyDescent="0.25">
      <c r="A2510" s="921"/>
      <c r="B2510" s="2427"/>
      <c r="C2510" s="2427"/>
      <c r="D2510" s="2726" t="s">
        <v>959</v>
      </c>
      <c r="E2510" s="436" t="s">
        <v>1521</v>
      </c>
      <c r="F2510" s="660">
        <v>0</v>
      </c>
      <c r="G2510" s="660">
        <v>10</v>
      </c>
      <c r="H2510" s="660">
        <v>10</v>
      </c>
      <c r="I2510" s="656">
        <f t="shared" si="477"/>
        <v>100</v>
      </c>
      <c r="R2510" s="719"/>
      <c r="S2510" s="719"/>
      <c r="T2510" s="719"/>
      <c r="U2510" s="719"/>
      <c r="V2510" s="719"/>
      <c r="W2510" s="719"/>
    </row>
    <row r="2511" spans="1:23" ht="15.75" hidden="1" thickBot="1" x14ac:dyDescent="0.3">
      <c r="A2511" s="921">
        <v>1601</v>
      </c>
      <c r="B2511" s="2427">
        <v>3314</v>
      </c>
      <c r="C2511" s="2427">
        <v>5331</v>
      </c>
      <c r="D2511" s="2726"/>
      <c r="E2511" s="602" t="s">
        <v>481</v>
      </c>
      <c r="F2511" s="660"/>
      <c r="G2511" s="678">
        <f>G2512</f>
        <v>0</v>
      </c>
      <c r="H2511" s="678">
        <f>H2512</f>
        <v>0</v>
      </c>
      <c r="I2511" s="680" t="e">
        <f t="shared" si="477"/>
        <v>#DIV/0!</v>
      </c>
      <c r="R2511" s="719"/>
      <c r="S2511" s="719"/>
      <c r="T2511" s="719"/>
      <c r="U2511" s="719"/>
      <c r="V2511" s="719"/>
      <c r="W2511" s="719"/>
    </row>
    <row r="2512" spans="1:23" ht="29.25" hidden="1" thickBot="1" x14ac:dyDescent="0.25">
      <c r="A2512" s="921"/>
      <c r="B2512" s="2427"/>
      <c r="C2512" s="2427"/>
      <c r="D2512" s="2439" t="s">
        <v>1138</v>
      </c>
      <c r="E2512" s="2225" t="s">
        <v>1228</v>
      </c>
      <c r="F2512" s="660"/>
      <c r="G2512" s="875"/>
      <c r="H2512" s="875"/>
      <c r="I2512" s="871" t="e">
        <f t="shared" si="477"/>
        <v>#DIV/0!</v>
      </c>
      <c r="R2512" s="719"/>
      <c r="S2512" s="719"/>
      <c r="T2512" s="719"/>
      <c r="U2512" s="719"/>
      <c r="V2512" s="719"/>
      <c r="W2512" s="719"/>
    </row>
    <row r="2513" spans="1:23" ht="15.75" hidden="1" thickBot="1" x14ac:dyDescent="0.3">
      <c r="A2513" s="921">
        <v>1601</v>
      </c>
      <c r="B2513" s="2427">
        <v>3319</v>
      </c>
      <c r="C2513" s="2427">
        <v>5331</v>
      </c>
      <c r="D2513" s="2726"/>
      <c r="E2513" s="602" t="s">
        <v>481</v>
      </c>
      <c r="F2513" s="660"/>
      <c r="G2513" s="678">
        <f>G2514</f>
        <v>0</v>
      </c>
      <c r="H2513" s="678">
        <f>H2514</f>
        <v>0</v>
      </c>
      <c r="I2513" s="680" t="e">
        <f t="shared" ref="I2513:I2514" si="478">(H2513/G2513)*100</f>
        <v>#DIV/0!</v>
      </c>
      <c r="R2513" s="719"/>
      <c r="S2513" s="719"/>
      <c r="T2513" s="719"/>
      <c r="U2513" s="719"/>
      <c r="V2513" s="719"/>
      <c r="W2513" s="719"/>
    </row>
    <row r="2514" spans="1:23" ht="15" hidden="1" thickBot="1" x14ac:dyDescent="0.25">
      <c r="A2514" s="921"/>
      <c r="B2514" s="2427"/>
      <c r="C2514" s="2427"/>
      <c r="D2514" s="2726" t="s">
        <v>1140</v>
      </c>
      <c r="E2514" s="436" t="s">
        <v>1532</v>
      </c>
      <c r="F2514" s="660"/>
      <c r="G2514" s="660"/>
      <c r="H2514" s="660"/>
      <c r="I2514" s="681" t="e">
        <f t="shared" si="478"/>
        <v>#DIV/0!</v>
      </c>
      <c r="R2514" s="719"/>
      <c r="S2514" s="719"/>
      <c r="T2514" s="719"/>
      <c r="U2514" s="719"/>
      <c r="V2514" s="719"/>
      <c r="W2514" s="719"/>
    </row>
    <row r="2515" spans="1:23" ht="16.5" thickTop="1" thickBot="1" x14ac:dyDescent="0.3">
      <c r="A2515" s="3233" t="s">
        <v>522</v>
      </c>
      <c r="B2515" s="3234"/>
      <c r="C2515" s="3234"/>
      <c r="D2515" s="3234"/>
      <c r="E2515" s="3234"/>
      <c r="F2515" s="657">
        <f>F2507+F2505</f>
        <v>10000</v>
      </c>
      <c r="G2515" s="657">
        <f t="shared" ref="G2515:H2515" si="479">G2507+G2505</f>
        <v>1398</v>
      </c>
      <c r="H2515" s="657">
        <f t="shared" si="479"/>
        <v>1398</v>
      </c>
      <c r="I2515" s="658">
        <f t="shared" si="477"/>
        <v>100</v>
      </c>
      <c r="R2515" s="373">
        <f>F2515</f>
        <v>10000</v>
      </c>
      <c r="S2515" s="373">
        <f>G2515</f>
        <v>1398</v>
      </c>
      <c r="T2515" s="373">
        <f>H2515</f>
        <v>1398</v>
      </c>
      <c r="U2515" s="719"/>
      <c r="V2515" s="719"/>
      <c r="W2515" s="719"/>
    </row>
    <row r="2516" spans="1:23" ht="13.5" thickTop="1" x14ac:dyDescent="0.2">
      <c r="A2516" s="788"/>
      <c r="B2516" s="788"/>
      <c r="C2516" s="788"/>
      <c r="D2516" s="788"/>
      <c r="E2516" s="788"/>
      <c r="F2516" s="891"/>
      <c r="G2516" s="891"/>
      <c r="H2516" s="891"/>
      <c r="I2516" s="891"/>
      <c r="R2516" s="719"/>
      <c r="S2516" s="719"/>
      <c r="T2516" s="719"/>
      <c r="V2516" s="419"/>
    </row>
    <row r="2517" spans="1:23" ht="15" x14ac:dyDescent="0.25">
      <c r="A2517" s="920"/>
      <c r="B2517" s="825"/>
      <c r="C2517" s="85"/>
      <c r="D2517" s="802"/>
      <c r="E2517" s="800"/>
      <c r="F2517" s="93"/>
      <c r="G2517" s="93"/>
      <c r="H2517" s="177"/>
      <c r="I2517" s="206"/>
    </row>
    <row r="2518" spans="1:23" ht="13.5" thickBot="1" x14ac:dyDescent="0.25">
      <c r="A2518" s="419" t="s">
        <v>1996</v>
      </c>
      <c r="I2518" s="915" t="s">
        <v>92</v>
      </c>
      <c r="R2518" s="373"/>
      <c r="S2518" s="373"/>
      <c r="T2518" s="373"/>
    </row>
    <row r="2519" spans="1:23" ht="14.25" thickTop="1" thickBot="1" x14ac:dyDescent="0.25">
      <c r="A2519" s="572" t="s">
        <v>324</v>
      </c>
      <c r="B2519" s="639" t="s">
        <v>93</v>
      </c>
      <c r="C2519" s="573" t="s">
        <v>94</v>
      </c>
      <c r="D2519" s="575" t="s">
        <v>364</v>
      </c>
      <c r="E2519" s="575" t="s">
        <v>95</v>
      </c>
      <c r="F2519" s="575" t="s">
        <v>328</v>
      </c>
      <c r="G2519" s="575" t="s">
        <v>329</v>
      </c>
      <c r="H2519" s="575" t="s">
        <v>448</v>
      </c>
      <c r="I2519" s="651" t="s">
        <v>449</v>
      </c>
      <c r="R2519" s="920"/>
      <c r="S2519" s="920"/>
      <c r="T2519" s="920"/>
    </row>
    <row r="2520" spans="1:23" ht="14.25" thickTop="1" thickBot="1" x14ac:dyDescent="0.25">
      <c r="A2520" s="511">
        <v>1</v>
      </c>
      <c r="B2520" s="512">
        <v>2</v>
      </c>
      <c r="C2520" s="512">
        <v>3</v>
      </c>
      <c r="D2520" s="512">
        <v>4</v>
      </c>
      <c r="E2520" s="512">
        <v>5</v>
      </c>
      <c r="F2520" s="499">
        <v>6</v>
      </c>
      <c r="G2520" s="499">
        <v>7</v>
      </c>
      <c r="H2520" s="500">
        <v>8</v>
      </c>
      <c r="I2520" s="577" t="s">
        <v>393</v>
      </c>
    </row>
    <row r="2521" spans="1:23" ht="15.75" thickTop="1" x14ac:dyDescent="0.25">
      <c r="A2521" s="921">
        <v>1602</v>
      </c>
      <c r="B2521" s="2427">
        <v>3315</v>
      </c>
      <c r="C2521" s="2427">
        <v>5336</v>
      </c>
      <c r="D2521" s="2726"/>
      <c r="E2521" s="602" t="s">
        <v>856</v>
      </c>
      <c r="F2521" s="678">
        <f>F2522+F2524+F2523</f>
        <v>0</v>
      </c>
      <c r="G2521" s="678">
        <f>G2522+G2524+G2523</f>
        <v>152</v>
      </c>
      <c r="H2521" s="678">
        <f>H2522+H2524+H2523</f>
        <v>152</v>
      </c>
      <c r="I2521" s="680">
        <f t="shared" ref="I2521:I2527" si="480">(H2521/G2521)*100</f>
        <v>100</v>
      </c>
      <c r="R2521" s="373"/>
      <c r="S2521" s="373"/>
      <c r="T2521" s="373"/>
    </row>
    <row r="2522" spans="1:23" ht="28.5" x14ac:dyDescent="0.2">
      <c r="A2522" s="921"/>
      <c r="B2522" s="2427"/>
      <c r="C2522" s="2427"/>
      <c r="D2522" s="2723" t="s">
        <v>957</v>
      </c>
      <c r="E2522" s="3102" t="s">
        <v>1959</v>
      </c>
      <c r="F2522" s="1643">
        <v>0</v>
      </c>
      <c r="G2522" s="1643">
        <v>98</v>
      </c>
      <c r="H2522" s="1643">
        <v>98</v>
      </c>
      <c r="I2522" s="982">
        <f t="shared" si="480"/>
        <v>100</v>
      </c>
    </row>
    <row r="2523" spans="1:23" ht="28.5" hidden="1" x14ac:dyDescent="0.2">
      <c r="A2523" s="921"/>
      <c r="B2523" s="2427"/>
      <c r="C2523" s="2427"/>
      <c r="D2523" s="2725" t="s">
        <v>903</v>
      </c>
      <c r="E2523" s="2619" t="s">
        <v>904</v>
      </c>
      <c r="F2523" s="1643"/>
      <c r="G2523" s="1643"/>
      <c r="H2523" s="1643"/>
      <c r="I2523" s="982" t="e">
        <f t="shared" si="480"/>
        <v>#DIV/0!</v>
      </c>
      <c r="T2523" s="373"/>
    </row>
    <row r="2524" spans="1:23" ht="15" thickBot="1" x14ac:dyDescent="0.25">
      <c r="A2524" s="921"/>
      <c r="B2524" s="2427"/>
      <c r="C2524" s="2427"/>
      <c r="D2524" s="2726" t="s">
        <v>959</v>
      </c>
      <c r="E2524" s="436" t="s">
        <v>1521</v>
      </c>
      <c r="F2524" s="660">
        <v>0</v>
      </c>
      <c r="G2524" s="660">
        <v>54</v>
      </c>
      <c r="H2524" s="660">
        <v>54</v>
      </c>
      <c r="I2524" s="656">
        <f t="shared" si="480"/>
        <v>100</v>
      </c>
    </row>
    <row r="2525" spans="1:23" ht="15.75" hidden="1" thickBot="1" x14ac:dyDescent="0.3">
      <c r="A2525" s="921">
        <v>1602</v>
      </c>
      <c r="B2525" s="2427">
        <v>3319</v>
      </c>
      <c r="C2525" s="2427">
        <v>5331</v>
      </c>
      <c r="D2525" s="2726"/>
      <c r="E2525" s="602" t="s">
        <v>481</v>
      </c>
      <c r="F2525" s="660"/>
      <c r="G2525" s="678">
        <f>G2526</f>
        <v>0</v>
      </c>
      <c r="H2525" s="678">
        <f>H2526</f>
        <v>0</v>
      </c>
      <c r="I2525" s="680" t="e">
        <f t="shared" si="480"/>
        <v>#DIV/0!</v>
      </c>
    </row>
    <row r="2526" spans="1:23" ht="15" hidden="1" thickBot="1" x14ac:dyDescent="0.25">
      <c r="A2526" s="921"/>
      <c r="B2526" s="2427"/>
      <c r="C2526" s="2427"/>
      <c r="D2526" s="2726" t="s">
        <v>1140</v>
      </c>
      <c r="E2526" s="436" t="s">
        <v>1532</v>
      </c>
      <c r="F2526" s="660"/>
      <c r="G2526" s="660"/>
      <c r="H2526" s="660"/>
      <c r="I2526" s="681" t="e">
        <f t="shared" si="480"/>
        <v>#DIV/0!</v>
      </c>
    </row>
    <row r="2527" spans="1:23" ht="16.5" thickTop="1" thickBot="1" x14ac:dyDescent="0.3">
      <c r="A2527" s="3233" t="s">
        <v>522</v>
      </c>
      <c r="B2527" s="3234"/>
      <c r="C2527" s="3234"/>
      <c r="D2527" s="3234"/>
      <c r="E2527" s="3234"/>
      <c r="F2527" s="657">
        <f>F2521</f>
        <v>0</v>
      </c>
      <c r="G2527" s="657">
        <f>G2521+G2525</f>
        <v>152</v>
      </c>
      <c r="H2527" s="657">
        <f>H2521+H2525</f>
        <v>152</v>
      </c>
      <c r="I2527" s="658">
        <f t="shared" si="480"/>
        <v>100</v>
      </c>
      <c r="R2527" s="719">
        <f>F2527</f>
        <v>0</v>
      </c>
      <c r="S2527" s="719">
        <f>G2527</f>
        <v>152</v>
      </c>
      <c r="T2527" s="719">
        <f>H2527</f>
        <v>152</v>
      </c>
    </row>
    <row r="2528" spans="1:23" ht="15" thickTop="1" x14ac:dyDescent="0.2">
      <c r="A2528" s="920"/>
      <c r="B2528" s="825"/>
      <c r="C2528" s="825"/>
      <c r="D2528" s="892"/>
      <c r="E2528" s="861"/>
      <c r="F2528" s="880"/>
      <c r="G2528" s="430"/>
      <c r="H2528" s="672"/>
      <c r="I2528" s="707"/>
    </row>
    <row r="2529" spans="1:20" ht="15" x14ac:dyDescent="0.25">
      <c r="A2529" s="360"/>
      <c r="B2529" s="930"/>
      <c r="C2529" s="930"/>
      <c r="D2529" s="930"/>
      <c r="E2529" s="930"/>
      <c r="F2529" s="177"/>
      <c r="G2529" s="177"/>
      <c r="H2529" s="177"/>
      <c r="I2529" s="206"/>
      <c r="R2529" s="373"/>
      <c r="S2529" s="373"/>
      <c r="T2529" s="373"/>
    </row>
    <row r="2530" spans="1:20" ht="15" x14ac:dyDescent="0.25">
      <c r="A2530" s="360"/>
      <c r="B2530" s="930"/>
      <c r="C2530" s="930"/>
      <c r="D2530" s="930"/>
      <c r="E2530" s="930"/>
      <c r="F2530" s="177"/>
      <c r="G2530" s="177"/>
      <c r="H2530" s="177"/>
      <c r="I2530" s="206"/>
      <c r="R2530" s="373"/>
      <c r="S2530" s="373"/>
      <c r="T2530" s="373"/>
    </row>
    <row r="2531" spans="1:20" ht="15" x14ac:dyDescent="0.25">
      <c r="A2531" s="360"/>
      <c r="B2531" s="930"/>
      <c r="C2531" s="930"/>
      <c r="D2531" s="930"/>
      <c r="E2531" s="930"/>
      <c r="F2531" s="177"/>
      <c r="G2531" s="177"/>
      <c r="H2531" s="177"/>
      <c r="I2531" s="206"/>
      <c r="R2531" s="373"/>
      <c r="S2531" s="373"/>
      <c r="T2531" s="373"/>
    </row>
    <row r="2532" spans="1:20" ht="13.5" thickBot="1" x14ac:dyDescent="0.25">
      <c r="A2532" s="419" t="s">
        <v>1997</v>
      </c>
      <c r="I2532" s="915" t="s">
        <v>92</v>
      </c>
    </row>
    <row r="2533" spans="1:20" ht="14.25" thickTop="1" thickBot="1" x14ac:dyDescent="0.25">
      <c r="A2533" s="572" t="s">
        <v>324</v>
      </c>
      <c r="B2533" s="639" t="s">
        <v>93</v>
      </c>
      <c r="C2533" s="573" t="s">
        <v>94</v>
      </c>
      <c r="D2533" s="575" t="s">
        <v>364</v>
      </c>
      <c r="E2533" s="575" t="s">
        <v>95</v>
      </c>
      <c r="F2533" s="575" t="s">
        <v>328</v>
      </c>
      <c r="G2533" s="575" t="s">
        <v>329</v>
      </c>
      <c r="H2533" s="575" t="s">
        <v>448</v>
      </c>
      <c r="I2533" s="651" t="s">
        <v>449</v>
      </c>
    </row>
    <row r="2534" spans="1:20" ht="14.25" thickTop="1" thickBot="1" x14ac:dyDescent="0.25">
      <c r="A2534" s="511">
        <v>1</v>
      </c>
      <c r="B2534" s="512">
        <v>2</v>
      </c>
      <c r="C2534" s="512">
        <v>3</v>
      </c>
      <c r="D2534" s="512">
        <v>4</v>
      </c>
      <c r="E2534" s="512">
        <v>5</v>
      </c>
      <c r="F2534" s="499">
        <v>6</v>
      </c>
      <c r="G2534" s="499">
        <v>7</v>
      </c>
      <c r="H2534" s="500">
        <v>8</v>
      </c>
      <c r="I2534" s="577" t="s">
        <v>393</v>
      </c>
    </row>
    <row r="2535" spans="1:20" ht="15.75" thickTop="1" x14ac:dyDescent="0.25">
      <c r="A2535" s="921">
        <v>1603</v>
      </c>
      <c r="B2535" s="2427">
        <v>3315</v>
      </c>
      <c r="C2535" s="2427">
        <v>5336</v>
      </c>
      <c r="D2535" s="2726"/>
      <c r="E2535" s="602" t="s">
        <v>856</v>
      </c>
      <c r="F2535" s="678">
        <f>F2536+F2538+F2537</f>
        <v>0</v>
      </c>
      <c r="G2535" s="678">
        <f>G2536+G2538+G2537</f>
        <v>17</v>
      </c>
      <c r="H2535" s="678">
        <f>H2536+H2538+H2537</f>
        <v>17</v>
      </c>
      <c r="I2535" s="680">
        <f t="shared" ref="I2535:I2539" si="481">(H2535/G2535)*100</f>
        <v>100</v>
      </c>
    </row>
    <row r="2536" spans="1:20" ht="32.25" customHeight="1" thickBot="1" x14ac:dyDescent="0.25">
      <c r="A2536" s="921"/>
      <c r="B2536" s="2427"/>
      <c r="C2536" s="2427"/>
      <c r="D2536" s="2723" t="s">
        <v>957</v>
      </c>
      <c r="E2536" s="3102" t="s">
        <v>1959</v>
      </c>
      <c r="F2536" s="1643">
        <v>0</v>
      </c>
      <c r="G2536" s="1643">
        <v>17</v>
      </c>
      <c r="H2536" s="1643">
        <v>17</v>
      </c>
      <c r="I2536" s="982">
        <f t="shared" si="481"/>
        <v>100</v>
      </c>
    </row>
    <row r="2537" spans="1:20" ht="29.25" hidden="1" thickBot="1" x14ac:dyDescent="0.25">
      <c r="A2537" s="418"/>
      <c r="B2537" s="603"/>
      <c r="C2537" s="603"/>
      <c r="D2537" s="810" t="s">
        <v>903</v>
      </c>
      <c r="E2537" s="2619" t="s">
        <v>904</v>
      </c>
      <c r="F2537" s="1599"/>
      <c r="G2537" s="1643"/>
      <c r="H2537" s="1643"/>
      <c r="I2537" s="982" t="e">
        <f t="shared" si="481"/>
        <v>#DIV/0!</v>
      </c>
    </row>
    <row r="2538" spans="1:20" ht="15" hidden="1" thickBot="1" x14ac:dyDescent="0.25">
      <c r="A2538" s="418"/>
      <c r="B2538" s="603"/>
      <c r="C2538" s="603"/>
      <c r="D2538" s="505" t="s">
        <v>959</v>
      </c>
      <c r="E2538" s="436" t="s">
        <v>1521</v>
      </c>
      <c r="F2538" s="660"/>
      <c r="G2538" s="660"/>
      <c r="H2538" s="660"/>
      <c r="I2538" s="656" t="e">
        <f t="shared" si="481"/>
        <v>#DIV/0!</v>
      </c>
    </row>
    <row r="2539" spans="1:20" ht="16.5" thickTop="1" thickBot="1" x14ac:dyDescent="0.3">
      <c r="A2539" s="3233" t="s">
        <v>522</v>
      </c>
      <c r="B2539" s="3234"/>
      <c r="C2539" s="3234"/>
      <c r="D2539" s="3234"/>
      <c r="E2539" s="3234"/>
      <c r="F2539" s="657">
        <f>F2535</f>
        <v>0</v>
      </c>
      <c r="G2539" s="657">
        <f t="shared" ref="G2539:H2539" si="482">G2535</f>
        <v>17</v>
      </c>
      <c r="H2539" s="657">
        <f t="shared" si="482"/>
        <v>17</v>
      </c>
      <c r="I2539" s="658">
        <f t="shared" si="481"/>
        <v>100</v>
      </c>
      <c r="R2539" s="719">
        <f>F2539</f>
        <v>0</v>
      </c>
      <c r="S2539" s="719">
        <f>G2539</f>
        <v>17</v>
      </c>
      <c r="T2539" s="719">
        <f>H2539</f>
        <v>17</v>
      </c>
    </row>
    <row r="2540" spans="1:20" ht="13.5" thickTop="1" x14ac:dyDescent="0.2"/>
    <row r="2543" spans="1:20" ht="13.5" thickBot="1" x14ac:dyDescent="0.25">
      <c r="A2543" s="419" t="s">
        <v>1998</v>
      </c>
      <c r="I2543" s="915" t="s">
        <v>92</v>
      </c>
    </row>
    <row r="2544" spans="1:20" ht="14.25" thickTop="1" thickBot="1" x14ac:dyDescent="0.25">
      <c r="A2544" s="572" t="s">
        <v>324</v>
      </c>
      <c r="B2544" s="639" t="s">
        <v>93</v>
      </c>
      <c r="C2544" s="573" t="s">
        <v>94</v>
      </c>
      <c r="D2544" s="575" t="s">
        <v>364</v>
      </c>
      <c r="E2544" s="575" t="s">
        <v>95</v>
      </c>
      <c r="F2544" s="575" t="s">
        <v>328</v>
      </c>
      <c r="G2544" s="575" t="s">
        <v>329</v>
      </c>
      <c r="H2544" s="575" t="s">
        <v>448</v>
      </c>
      <c r="I2544" s="651" t="s">
        <v>449</v>
      </c>
    </row>
    <row r="2545" spans="1:20" ht="14.25" thickTop="1" thickBot="1" x14ac:dyDescent="0.25">
      <c r="A2545" s="511">
        <v>1</v>
      </c>
      <c r="B2545" s="512">
        <v>2</v>
      </c>
      <c r="C2545" s="512">
        <v>3</v>
      </c>
      <c r="D2545" s="512">
        <v>4</v>
      </c>
      <c r="E2545" s="512">
        <v>5</v>
      </c>
      <c r="F2545" s="499">
        <v>6</v>
      </c>
      <c r="G2545" s="499">
        <v>7</v>
      </c>
      <c r="H2545" s="500">
        <v>8</v>
      </c>
      <c r="I2545" s="577" t="s">
        <v>393</v>
      </c>
    </row>
    <row r="2546" spans="1:20" ht="15.75" thickTop="1" x14ac:dyDescent="0.25">
      <c r="A2546" s="921">
        <v>1606</v>
      </c>
      <c r="B2546" s="2427">
        <v>3315</v>
      </c>
      <c r="C2546" s="2427">
        <v>5336</v>
      </c>
      <c r="D2546" s="2726"/>
      <c r="E2546" s="602" t="s">
        <v>856</v>
      </c>
      <c r="F2546" s="678">
        <f>F2547</f>
        <v>0</v>
      </c>
      <c r="G2546" s="678">
        <f>G2547</f>
        <v>28</v>
      </c>
      <c r="H2546" s="678">
        <f>H2547</f>
        <v>28</v>
      </c>
      <c r="I2546" s="680">
        <f t="shared" ref="I2546:I2550" si="483">(H2546/G2546)*100</f>
        <v>100</v>
      </c>
    </row>
    <row r="2547" spans="1:20" ht="15" thickBot="1" x14ac:dyDescent="0.25">
      <c r="A2547" s="921"/>
      <c r="B2547" s="2427"/>
      <c r="C2547" s="2427"/>
      <c r="D2547" s="2723" t="s">
        <v>960</v>
      </c>
      <c r="E2547" s="2619" t="s">
        <v>1960</v>
      </c>
      <c r="F2547" s="1643">
        <v>0</v>
      </c>
      <c r="G2547" s="1643">
        <v>28</v>
      </c>
      <c r="H2547" s="1643">
        <v>28</v>
      </c>
      <c r="I2547" s="982">
        <f t="shared" si="483"/>
        <v>100</v>
      </c>
    </row>
    <row r="2548" spans="1:20" ht="15.75" hidden="1" thickBot="1" x14ac:dyDescent="0.3">
      <c r="A2548" s="2754">
        <v>1606</v>
      </c>
      <c r="B2548" s="2755">
        <v>3319</v>
      </c>
      <c r="C2548" s="2755">
        <v>5331</v>
      </c>
      <c r="D2548" s="2756"/>
      <c r="E2548" s="845" t="s">
        <v>481</v>
      </c>
      <c r="F2548" s="2628"/>
      <c r="G2548" s="2626">
        <f>G2549</f>
        <v>0</v>
      </c>
      <c r="H2548" s="2626">
        <f>H2549</f>
        <v>0</v>
      </c>
      <c r="I2548" s="873" t="e">
        <f t="shared" si="483"/>
        <v>#DIV/0!</v>
      </c>
    </row>
    <row r="2549" spans="1:20" ht="15" hidden="1" thickBot="1" x14ac:dyDescent="0.25">
      <c r="A2549" s="2754"/>
      <c r="B2549" s="2755"/>
      <c r="C2549" s="2755"/>
      <c r="D2549" s="2756" t="s">
        <v>1140</v>
      </c>
      <c r="E2549" s="2627" t="s">
        <v>1532</v>
      </c>
      <c r="F2549" s="2628"/>
      <c r="G2549" s="2628"/>
      <c r="H2549" s="2628"/>
      <c r="I2549" s="982" t="e">
        <f t="shared" si="483"/>
        <v>#DIV/0!</v>
      </c>
    </row>
    <row r="2550" spans="1:20" ht="16.5" thickTop="1" thickBot="1" x14ac:dyDescent="0.3">
      <c r="A2550" s="3233" t="s">
        <v>522</v>
      </c>
      <c r="B2550" s="3234"/>
      <c r="C2550" s="3234"/>
      <c r="D2550" s="3234"/>
      <c r="E2550" s="3234"/>
      <c r="F2550" s="657">
        <f>F2546</f>
        <v>0</v>
      </c>
      <c r="G2550" s="657">
        <f>G2546+G2548</f>
        <v>28</v>
      </c>
      <c r="H2550" s="657">
        <f>H2546+H2548</f>
        <v>28</v>
      </c>
      <c r="I2550" s="658">
        <f t="shared" si="483"/>
        <v>100</v>
      </c>
      <c r="R2550" s="719">
        <f>F2550</f>
        <v>0</v>
      </c>
      <c r="S2550" s="719">
        <f>G2550</f>
        <v>28</v>
      </c>
      <c r="T2550" s="719">
        <f>H2550</f>
        <v>28</v>
      </c>
    </row>
    <row r="2551" spans="1:20" ht="13.5" thickTop="1" x14ac:dyDescent="0.2"/>
    <row r="2553" spans="1:20" ht="13.5" thickBot="1" x14ac:dyDescent="0.25">
      <c r="A2553" s="419" t="s">
        <v>1999</v>
      </c>
      <c r="I2553" s="915" t="s">
        <v>92</v>
      </c>
    </row>
    <row r="2554" spans="1:20" ht="14.25" thickTop="1" thickBot="1" x14ac:dyDescent="0.25">
      <c r="A2554" s="572" t="s">
        <v>324</v>
      </c>
      <c r="B2554" s="639" t="s">
        <v>93</v>
      </c>
      <c r="C2554" s="573" t="s">
        <v>94</v>
      </c>
      <c r="D2554" s="575" t="s">
        <v>364</v>
      </c>
      <c r="E2554" s="575" t="s">
        <v>95</v>
      </c>
      <c r="F2554" s="575" t="s">
        <v>328</v>
      </c>
      <c r="G2554" s="575" t="s">
        <v>329</v>
      </c>
      <c r="H2554" s="575" t="s">
        <v>448</v>
      </c>
      <c r="I2554" s="651" t="s">
        <v>449</v>
      </c>
    </row>
    <row r="2555" spans="1:20" ht="14.25" thickTop="1" thickBot="1" x14ac:dyDescent="0.25">
      <c r="A2555" s="511">
        <v>1</v>
      </c>
      <c r="B2555" s="512">
        <v>2</v>
      </c>
      <c r="C2555" s="512">
        <v>3</v>
      </c>
      <c r="D2555" s="512">
        <v>4</v>
      </c>
      <c r="E2555" s="512">
        <v>5</v>
      </c>
      <c r="F2555" s="499">
        <v>6</v>
      </c>
      <c r="G2555" s="499">
        <v>7</v>
      </c>
      <c r="H2555" s="500">
        <v>8</v>
      </c>
      <c r="I2555" s="577" t="s">
        <v>393</v>
      </c>
    </row>
    <row r="2556" spans="1:20" ht="15.75" thickTop="1" x14ac:dyDescent="0.25">
      <c r="A2556" s="921">
        <v>1607</v>
      </c>
      <c r="B2556" s="2427">
        <v>3315</v>
      </c>
      <c r="C2556" s="2427">
        <v>5336</v>
      </c>
      <c r="D2556" s="2726"/>
      <c r="E2556" s="602" t="s">
        <v>856</v>
      </c>
      <c r="F2556" s="678">
        <f>F2558+F2560+F2559+F2557</f>
        <v>0</v>
      </c>
      <c r="G2556" s="678">
        <f t="shared" ref="G2556:H2556" si="484">G2558+G2560+G2559+G2557</f>
        <v>350</v>
      </c>
      <c r="H2556" s="678">
        <f t="shared" si="484"/>
        <v>350</v>
      </c>
      <c r="I2556" s="680">
        <f t="shared" ref="I2556:I2561" si="485">(H2556/G2556)*100</f>
        <v>100</v>
      </c>
    </row>
    <row r="2557" spans="1:20" ht="28.5" x14ac:dyDescent="0.2">
      <c r="A2557" s="921"/>
      <c r="B2557" s="2427"/>
      <c r="C2557" s="2427"/>
      <c r="D2557" s="2723" t="s">
        <v>1897</v>
      </c>
      <c r="E2557" s="3102" t="s">
        <v>1961</v>
      </c>
      <c r="F2557" s="1643">
        <v>0</v>
      </c>
      <c r="G2557" s="1643">
        <v>140</v>
      </c>
      <c r="H2557" s="1643">
        <v>140</v>
      </c>
      <c r="I2557" s="982">
        <f t="shared" si="485"/>
        <v>100</v>
      </c>
    </row>
    <row r="2558" spans="1:20" ht="14.25" x14ac:dyDescent="0.2">
      <c r="A2558" s="921"/>
      <c r="B2558" s="2427"/>
      <c r="C2558" s="2427"/>
      <c r="D2558" s="2725" t="s">
        <v>957</v>
      </c>
      <c r="E2558" s="2619" t="s">
        <v>1523</v>
      </c>
      <c r="F2558" s="1600">
        <v>0</v>
      </c>
      <c r="G2558" s="1600">
        <v>60</v>
      </c>
      <c r="H2558" s="1600">
        <v>60</v>
      </c>
      <c r="I2558" s="367">
        <f t="shared" si="485"/>
        <v>100</v>
      </c>
    </row>
    <row r="2559" spans="1:20" ht="15.75" customHeight="1" thickBot="1" x14ac:dyDescent="0.25">
      <c r="A2559" s="921"/>
      <c r="B2559" s="2427"/>
      <c r="C2559" s="2427"/>
      <c r="D2559" s="2723" t="s">
        <v>1143</v>
      </c>
      <c r="E2559" s="2619" t="s">
        <v>1524</v>
      </c>
      <c r="F2559" s="1643">
        <v>0</v>
      </c>
      <c r="G2559" s="1643">
        <v>150</v>
      </c>
      <c r="H2559" s="1643">
        <v>150</v>
      </c>
      <c r="I2559" s="982">
        <f t="shared" si="485"/>
        <v>100</v>
      </c>
    </row>
    <row r="2560" spans="1:20" ht="15" hidden="1" thickBot="1" x14ac:dyDescent="0.25">
      <c r="A2560" s="418"/>
      <c r="B2560" s="603"/>
      <c r="C2560" s="603"/>
      <c r="D2560" s="505" t="s">
        <v>959</v>
      </c>
      <c r="E2560" s="436" t="s">
        <v>1521</v>
      </c>
      <c r="F2560" s="660"/>
      <c r="G2560" s="660"/>
      <c r="H2560" s="660"/>
      <c r="I2560" s="656" t="e">
        <f t="shared" si="485"/>
        <v>#DIV/0!</v>
      </c>
    </row>
    <row r="2561" spans="1:20" ht="16.5" thickTop="1" thickBot="1" x14ac:dyDescent="0.3">
      <c r="A2561" s="3233" t="s">
        <v>522</v>
      </c>
      <c r="B2561" s="3234"/>
      <c r="C2561" s="3234"/>
      <c r="D2561" s="3234"/>
      <c r="E2561" s="3234"/>
      <c r="F2561" s="657">
        <f>F2556</f>
        <v>0</v>
      </c>
      <c r="G2561" s="657">
        <f t="shared" ref="G2561:H2561" si="486">G2556</f>
        <v>350</v>
      </c>
      <c r="H2561" s="657">
        <f t="shared" si="486"/>
        <v>350</v>
      </c>
      <c r="I2561" s="658">
        <f t="shared" si="485"/>
        <v>100</v>
      </c>
      <c r="R2561" s="719">
        <f>F2561</f>
        <v>0</v>
      </c>
      <c r="S2561" s="719">
        <f>G2561</f>
        <v>350</v>
      </c>
      <c r="T2561" s="719">
        <f>H2561</f>
        <v>350</v>
      </c>
    </row>
    <row r="2562" spans="1:20" ht="13.5" thickTop="1" x14ac:dyDescent="0.2"/>
    <row r="2564" spans="1:20" ht="13.5" thickBot="1" x14ac:dyDescent="0.25">
      <c r="A2564" s="419"/>
      <c r="I2564" s="915" t="s">
        <v>92</v>
      </c>
    </row>
    <row r="2565" spans="1:20" ht="14.25" thickTop="1" thickBot="1" x14ac:dyDescent="0.25">
      <c r="A2565" s="572" t="s">
        <v>324</v>
      </c>
      <c r="B2565" s="639" t="s">
        <v>93</v>
      </c>
      <c r="C2565" s="573" t="s">
        <v>94</v>
      </c>
      <c r="D2565" s="575" t="s">
        <v>364</v>
      </c>
      <c r="E2565" s="575" t="s">
        <v>95</v>
      </c>
      <c r="F2565" s="575" t="s">
        <v>328</v>
      </c>
      <c r="G2565" s="575" t="s">
        <v>329</v>
      </c>
      <c r="H2565" s="575" t="s">
        <v>448</v>
      </c>
      <c r="I2565" s="651" t="s">
        <v>449</v>
      </c>
    </row>
    <row r="2566" spans="1:20" ht="14.25" thickTop="1" thickBot="1" x14ac:dyDescent="0.25">
      <c r="A2566" s="511">
        <v>1</v>
      </c>
      <c r="B2566" s="512">
        <v>2</v>
      </c>
      <c r="C2566" s="512">
        <v>3</v>
      </c>
      <c r="D2566" s="512">
        <v>4</v>
      </c>
      <c r="E2566" s="512">
        <v>5</v>
      </c>
      <c r="F2566" s="499">
        <v>6</v>
      </c>
      <c r="G2566" s="499">
        <v>7</v>
      </c>
      <c r="H2566" s="500">
        <v>8</v>
      </c>
      <c r="I2566" s="577" t="s">
        <v>393</v>
      </c>
    </row>
    <row r="2567" spans="1:20" ht="15.75" thickTop="1" x14ac:dyDescent="0.25">
      <c r="A2567" s="3120"/>
      <c r="B2567" s="2427">
        <v>3121</v>
      </c>
      <c r="C2567" s="2427">
        <v>5331</v>
      </c>
      <c r="D2567" s="2726"/>
      <c r="E2567" s="602" t="s">
        <v>856</v>
      </c>
      <c r="F2567" s="678">
        <f>F2568</f>
        <v>100</v>
      </c>
      <c r="G2567" s="678">
        <f t="shared" ref="G2567:H2567" si="487">G2568</f>
        <v>0</v>
      </c>
      <c r="H2567" s="678">
        <f t="shared" si="487"/>
        <v>0</v>
      </c>
      <c r="I2567" s="680">
        <v>0</v>
      </c>
    </row>
    <row r="2568" spans="1:20" ht="14.25" x14ac:dyDescent="0.2">
      <c r="A2568" s="921"/>
      <c r="B2568" s="2427"/>
      <c r="C2568" s="2427"/>
      <c r="D2568" s="2725" t="s">
        <v>917</v>
      </c>
      <c r="E2568" s="1352" t="s">
        <v>1956</v>
      </c>
      <c r="F2568" s="1600">
        <v>100</v>
      </c>
      <c r="G2568" s="1600">
        <v>0</v>
      </c>
      <c r="H2568" s="1600">
        <v>0</v>
      </c>
      <c r="I2568" s="367">
        <v>0</v>
      </c>
    </row>
    <row r="2569" spans="1:20" ht="15" x14ac:dyDescent="0.25">
      <c r="A2569" s="3120"/>
      <c r="B2569" s="2427">
        <v>3233</v>
      </c>
      <c r="C2569" s="2427">
        <v>5331</v>
      </c>
      <c r="D2569" s="2726"/>
      <c r="E2569" s="602" t="s">
        <v>856</v>
      </c>
      <c r="F2569" s="678">
        <f>F2570</f>
        <v>320</v>
      </c>
      <c r="G2569" s="678">
        <f t="shared" ref="G2569:H2569" si="488">G2570</f>
        <v>57</v>
      </c>
      <c r="H2569" s="678">
        <f t="shared" si="488"/>
        <v>0</v>
      </c>
      <c r="I2569" s="680">
        <f t="shared" ref="I2569:I2570" si="489">(H2569/G2569)*100</f>
        <v>0</v>
      </c>
    </row>
    <row r="2570" spans="1:20" ht="14.25" x14ac:dyDescent="0.2">
      <c r="A2570" s="921"/>
      <c r="B2570" s="2427"/>
      <c r="C2570" s="2427"/>
      <c r="D2570" s="2725" t="s">
        <v>917</v>
      </c>
      <c r="E2570" s="1352" t="s">
        <v>1956</v>
      </c>
      <c r="F2570" s="1600">
        <v>320</v>
      </c>
      <c r="G2570" s="1600">
        <v>57</v>
      </c>
      <c r="H2570" s="1600">
        <v>0</v>
      </c>
      <c r="I2570" s="367">
        <f t="shared" si="489"/>
        <v>0</v>
      </c>
    </row>
    <row r="2571" spans="1:20" ht="15" x14ac:dyDescent="0.25">
      <c r="A2571" s="3120"/>
      <c r="B2571" s="2427">
        <v>3299</v>
      </c>
      <c r="C2571" s="2427">
        <v>5331</v>
      </c>
      <c r="D2571" s="2726"/>
      <c r="E2571" s="602" t="s">
        <v>856</v>
      </c>
      <c r="F2571" s="678">
        <f>F2572+F2573</f>
        <v>7056</v>
      </c>
      <c r="G2571" s="678">
        <f t="shared" ref="G2571:H2571" si="490">G2572+G2573</f>
        <v>45</v>
      </c>
      <c r="H2571" s="678">
        <f t="shared" si="490"/>
        <v>0</v>
      </c>
      <c r="I2571" s="680">
        <v>0</v>
      </c>
    </row>
    <row r="2572" spans="1:20" ht="14.25" x14ac:dyDescent="0.2">
      <c r="A2572" s="921"/>
      <c r="B2572" s="2427"/>
      <c r="C2572" s="2427"/>
      <c r="D2572" s="2725" t="s">
        <v>871</v>
      </c>
      <c r="E2572" s="1352" t="s">
        <v>600</v>
      </c>
      <c r="F2572" s="1600">
        <v>7056</v>
      </c>
      <c r="G2572" s="1600">
        <v>0</v>
      </c>
      <c r="H2572" s="1600">
        <v>0</v>
      </c>
      <c r="I2572" s="367">
        <v>0</v>
      </c>
    </row>
    <row r="2573" spans="1:20" ht="14.25" x14ac:dyDescent="0.2">
      <c r="A2573" s="921"/>
      <c r="B2573" s="2427"/>
      <c r="C2573" s="2427"/>
      <c r="D2573" s="2725" t="s">
        <v>917</v>
      </c>
      <c r="E2573" s="1352" t="s">
        <v>1956</v>
      </c>
      <c r="F2573" s="1600">
        <v>0</v>
      </c>
      <c r="G2573" s="1600">
        <v>45</v>
      </c>
      <c r="H2573" s="1600">
        <v>0</v>
      </c>
      <c r="I2573" s="367">
        <v>0</v>
      </c>
    </row>
    <row r="2574" spans="1:20" ht="15" x14ac:dyDescent="0.25">
      <c r="A2574" s="3120"/>
      <c r="B2574" s="2427">
        <v>3541</v>
      </c>
      <c r="C2574" s="2427">
        <v>5331</v>
      </c>
      <c r="D2574" s="2726"/>
      <c r="E2574" s="602" t="s">
        <v>856</v>
      </c>
      <c r="F2574" s="678">
        <f>F2575</f>
        <v>200</v>
      </c>
      <c r="G2574" s="678">
        <f t="shared" ref="G2574:H2574" si="491">G2575</f>
        <v>0</v>
      </c>
      <c r="H2574" s="678">
        <f t="shared" si="491"/>
        <v>0</v>
      </c>
      <c r="I2574" s="680">
        <v>0</v>
      </c>
    </row>
    <row r="2575" spans="1:20" ht="14.25" x14ac:dyDescent="0.2">
      <c r="A2575" s="921"/>
      <c r="B2575" s="2427"/>
      <c r="C2575" s="2427"/>
      <c r="D2575" s="2725" t="s">
        <v>917</v>
      </c>
      <c r="E2575" s="1352" t="s">
        <v>1956</v>
      </c>
      <c r="F2575" s="1600">
        <v>200</v>
      </c>
      <c r="G2575" s="1600">
        <v>0</v>
      </c>
      <c r="H2575" s="1600">
        <v>0</v>
      </c>
      <c r="I2575" s="367">
        <v>0</v>
      </c>
    </row>
    <row r="2576" spans="1:20" ht="15" x14ac:dyDescent="0.25">
      <c r="A2576" s="3120"/>
      <c r="B2576" s="2427">
        <v>3792</v>
      </c>
      <c r="C2576" s="2427">
        <v>5331</v>
      </c>
      <c r="D2576" s="2726"/>
      <c r="E2576" s="602" t="s">
        <v>856</v>
      </c>
      <c r="F2576" s="678">
        <f>F2577</f>
        <v>50</v>
      </c>
      <c r="G2576" s="678">
        <f t="shared" ref="G2576:H2576" si="492">G2577</f>
        <v>0</v>
      </c>
      <c r="H2576" s="678">
        <f t="shared" si="492"/>
        <v>0</v>
      </c>
      <c r="I2576" s="680">
        <v>0</v>
      </c>
    </row>
    <row r="2577" spans="1:23" ht="15" thickBot="1" x14ac:dyDescent="0.25">
      <c r="A2577" s="921"/>
      <c r="B2577" s="2427"/>
      <c r="C2577" s="2427"/>
      <c r="D2577" s="2725" t="s">
        <v>871</v>
      </c>
      <c r="E2577" s="1352" t="s">
        <v>600</v>
      </c>
      <c r="F2577" s="1600">
        <v>50</v>
      </c>
      <c r="G2577" s="1600">
        <v>0</v>
      </c>
      <c r="H2577" s="1600">
        <v>0</v>
      </c>
      <c r="I2577" s="367">
        <v>0</v>
      </c>
    </row>
    <row r="2578" spans="1:23" ht="16.5" thickTop="1" thickBot="1" x14ac:dyDescent="0.3">
      <c r="A2578" s="3233" t="s">
        <v>522</v>
      </c>
      <c r="B2578" s="3234"/>
      <c r="C2578" s="3234"/>
      <c r="D2578" s="3234"/>
      <c r="E2578" s="3234"/>
      <c r="F2578" s="657">
        <f>F2567+F2569+F2571+F2574+F2576</f>
        <v>7726</v>
      </c>
      <c r="G2578" s="657">
        <f t="shared" ref="G2578:H2578" si="493">G2567+G2569+G2571+G2574+G2576</f>
        <v>102</v>
      </c>
      <c r="H2578" s="657">
        <f t="shared" si="493"/>
        <v>0</v>
      </c>
      <c r="I2578" s="658">
        <f t="shared" ref="I2578" si="494">(H2578/G2578)*100</f>
        <v>0</v>
      </c>
      <c r="R2578" s="719">
        <f>F2578</f>
        <v>7726</v>
      </c>
      <c r="S2578" s="719">
        <f>G2578</f>
        <v>102</v>
      </c>
      <c r="T2578" s="719">
        <f>H2578</f>
        <v>0</v>
      </c>
    </row>
    <row r="2579" spans="1:23" ht="13.5" thickTop="1" x14ac:dyDescent="0.2"/>
    <row r="2583" spans="1:23" x14ac:dyDescent="0.2">
      <c r="R2583" s="719">
        <f>SUM(R26:R2578)</f>
        <v>17726</v>
      </c>
      <c r="S2583" s="719">
        <f t="shared" ref="S2583:T2583" si="495">SUM(S26:S2578)</f>
        <v>2274530</v>
      </c>
      <c r="T2583" s="719">
        <f t="shared" si="495"/>
        <v>2274417</v>
      </c>
      <c r="U2583" s="719"/>
      <c r="V2583" s="719"/>
      <c r="W2583" s="719"/>
    </row>
  </sheetData>
  <mergeCells count="142">
    <mergeCell ref="A2578:E2578"/>
    <mergeCell ref="A568:E568"/>
    <mergeCell ref="A588:E588"/>
    <mergeCell ref="A605:E605"/>
    <mergeCell ref="A629:E629"/>
    <mergeCell ref="A2500:E2500"/>
    <mergeCell ref="A2282:E2282"/>
    <mergeCell ref="A2298:E2298"/>
    <mergeCell ref="A2315:E2315"/>
    <mergeCell ref="A2332:E2332"/>
    <mergeCell ref="A2344:E2344"/>
    <mergeCell ref="A2360:E2360"/>
    <mergeCell ref="A2373:E2373"/>
    <mergeCell ref="E2421:E2422"/>
    <mergeCell ref="A2386:E2386"/>
    <mergeCell ref="A2399:E2399"/>
    <mergeCell ref="A2423:E2423"/>
    <mergeCell ref="A2435:E2435"/>
    <mergeCell ref="A709:E709"/>
    <mergeCell ref="A831:E831"/>
    <mergeCell ref="A756:E756"/>
    <mergeCell ref="A2515:E2515"/>
    <mergeCell ref="A2527:E2527"/>
    <mergeCell ref="A2539:E2539"/>
    <mergeCell ref="A2550:E2550"/>
    <mergeCell ref="A2561:E2561"/>
    <mergeCell ref="A271:E271"/>
    <mergeCell ref="E321:E322"/>
    <mergeCell ref="E366:E367"/>
    <mergeCell ref="A351:E351"/>
    <mergeCell ref="A379:E379"/>
    <mergeCell ref="A404:E404"/>
    <mergeCell ref="A665:E665"/>
    <mergeCell ref="A683:E683"/>
    <mergeCell ref="A2447:E2447"/>
    <mergeCell ref="A2459:E2459"/>
    <mergeCell ref="A2472:E2472"/>
    <mergeCell ref="A2492:E2492"/>
    <mergeCell ref="A2237:E2237"/>
    <mergeCell ref="A2250:E2250"/>
    <mergeCell ref="A2265:E2265"/>
    <mergeCell ref="A2140:E2140"/>
    <mergeCell ref="A2154:E2154"/>
    <mergeCell ref="A2166:E2166"/>
    <mergeCell ref="A2182:E2182"/>
    <mergeCell ref="A2197:E2197"/>
    <mergeCell ref="A572:E572"/>
    <mergeCell ref="A2210:E2210"/>
    <mergeCell ref="A26:E26"/>
    <mergeCell ref="A41:E41"/>
    <mergeCell ref="A55:E55"/>
    <mergeCell ref="A82:E82"/>
    <mergeCell ref="A174:E174"/>
    <mergeCell ref="A106:E106"/>
    <mergeCell ref="A137:E137"/>
    <mergeCell ref="A162:E162"/>
    <mergeCell ref="A546:E546"/>
    <mergeCell ref="A447:E447"/>
    <mergeCell ref="A470:E470"/>
    <mergeCell ref="A490:E490"/>
    <mergeCell ref="A516:E516"/>
    <mergeCell ref="A182:E182"/>
    <mergeCell ref="A193:E193"/>
    <mergeCell ref="A215:E215"/>
    <mergeCell ref="A288:E288"/>
    <mergeCell ref="A327:E327"/>
    <mergeCell ref="A238:E238"/>
    <mergeCell ref="E461:E462"/>
    <mergeCell ref="A226:E226"/>
    <mergeCell ref="A252:E252"/>
    <mergeCell ref="A2223:E2223"/>
    <mergeCell ref="D1589:D1591"/>
    <mergeCell ref="A1577:E1577"/>
    <mergeCell ref="A1601:E1601"/>
    <mergeCell ref="A1543:E1543"/>
    <mergeCell ref="A1628:E1628"/>
    <mergeCell ref="A1669:E1669"/>
    <mergeCell ref="A1821:E1821"/>
    <mergeCell ref="D1679:D1681"/>
    <mergeCell ref="E1722:E1724"/>
    <mergeCell ref="A1703:E1703"/>
    <mergeCell ref="A2021:E2021"/>
    <mergeCell ref="A1956:E1956"/>
    <mergeCell ref="A2114:E2114"/>
    <mergeCell ref="A2127:E2127"/>
    <mergeCell ref="A2049:E2049"/>
    <mergeCell ref="A1739:E1739"/>
    <mergeCell ref="A1763:E1763"/>
    <mergeCell ref="A1789:E1789"/>
    <mergeCell ref="E1679:E1681"/>
    <mergeCell ref="D1802:D1804"/>
    <mergeCell ref="E1802:E1804"/>
    <mergeCell ref="A1984:E1984"/>
    <mergeCell ref="A1877:E1877"/>
    <mergeCell ref="A1393:E1393"/>
    <mergeCell ref="A1408:E1408"/>
    <mergeCell ref="A1492:E1492"/>
    <mergeCell ref="A1431:E1431"/>
    <mergeCell ref="A1447:E1447"/>
    <mergeCell ref="A1473:E1473"/>
    <mergeCell ref="A1147:E1147"/>
    <mergeCell ref="A1289:E1289"/>
    <mergeCell ref="A1517:E1517"/>
    <mergeCell ref="A1079:E1079"/>
    <mergeCell ref="A1119:E1119"/>
    <mergeCell ref="A1353:E1353"/>
    <mergeCell ref="A1088:E1088"/>
    <mergeCell ref="A1157:E1157"/>
    <mergeCell ref="A920:E920"/>
    <mergeCell ref="A979:E979"/>
    <mergeCell ref="A776:E776"/>
    <mergeCell ref="A794:E794"/>
    <mergeCell ref="A858:E858"/>
    <mergeCell ref="A885:E885"/>
    <mergeCell ref="A951:E951"/>
    <mergeCell ref="A1001:E1001"/>
    <mergeCell ref="A1020:E1020"/>
    <mergeCell ref="A863:E863"/>
    <mergeCell ref="A1901:E1901"/>
    <mergeCell ref="A1936:E1936"/>
    <mergeCell ref="A2061:E2061"/>
    <mergeCell ref="A2077:E2077"/>
    <mergeCell ref="A2102:E2102"/>
    <mergeCell ref="A2090:E2090"/>
    <mergeCell ref="A1853:E1853"/>
    <mergeCell ref="A647:E647"/>
    <mergeCell ref="E1055:E1056"/>
    <mergeCell ref="E1589:E1591"/>
    <mergeCell ref="A1336:E1336"/>
    <mergeCell ref="A730:E730"/>
    <mergeCell ref="A1371:E1371"/>
    <mergeCell ref="A1317:E1317"/>
    <mergeCell ref="E1057:E1058"/>
    <mergeCell ref="D1102:D1104"/>
    <mergeCell ref="E1102:E1104"/>
    <mergeCell ref="D1176:D1178"/>
    <mergeCell ref="E1176:E1178"/>
    <mergeCell ref="A1193:E1193"/>
    <mergeCell ref="A1221:E1221"/>
    <mergeCell ref="A1237:E1237"/>
    <mergeCell ref="A1261:E1261"/>
    <mergeCell ref="A1046:E1046"/>
  </mergeCells>
  <phoneticPr fontId="0" type="noConversion"/>
  <pageMargins left="0.98425196850393704" right="0.98425196850393704" top="0.98425196850393704" bottom="0.98425196850393704" header="0.51181102362204722" footer="0.51181102362204722"/>
  <pageSetup paperSize="9" scale="62" firstPageNumber="48" orientation="portrait" useFirstPageNumber="1" r:id="rId1"/>
  <headerFooter alignWithMargins="0">
    <oddFooter>&amp;L&amp;"Arial,Kurzíva"Zastupitelstvo Olomouckého kraje 25. 6. 2018
5. - Rozpočet Olomouckého kraje 2017 - závěrečný  účet 
Příloha č. 3: Plnění rozpočtu výdajů Olomouckého kraje k 31. 12. 2017&amp;R&amp;"Arial,Kurzíva"Strana &amp;P (celkem 478)</oddFooter>
  </headerFooter>
  <rowBreaks count="5" manualBreakCount="5">
    <brk id="106" max="8" man="1"/>
    <brk id="182" max="8" man="1"/>
    <brk id="252" max="8" man="1"/>
    <brk id="329" max="8" man="1"/>
    <brk id="1080" max="8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CFFFF"/>
  </sheetPr>
  <dimension ref="A1:S515"/>
  <sheetViews>
    <sheetView showGridLines="0" view="pageBreakPreview" topLeftCell="A490" zoomScaleNormal="100" zoomScaleSheetLayoutView="100" workbookViewId="0">
      <selection activeCell="H438" sqref="H438"/>
    </sheetView>
  </sheetViews>
  <sheetFormatPr defaultColWidth="9.140625" defaultRowHeight="14.25" x14ac:dyDescent="0.2"/>
  <cols>
    <col min="1" max="1" width="5" style="1677" customWidth="1"/>
    <col min="2" max="2" width="5" style="1677" bestFit="1" customWidth="1"/>
    <col min="3" max="3" width="9.7109375" style="1676" customWidth="1"/>
    <col min="4" max="4" width="44.140625" style="997" customWidth="1"/>
    <col min="5" max="5" width="14.85546875" style="1675" customWidth="1"/>
    <col min="6" max="6" width="14.140625" style="1675" customWidth="1"/>
    <col min="7" max="7" width="15.5703125" style="1675" customWidth="1"/>
    <col min="8" max="8" width="8.140625" style="1674" customWidth="1"/>
    <col min="9" max="9" width="9.140625" style="997"/>
    <col min="10" max="10" width="17.85546875" style="997" bestFit="1" customWidth="1"/>
    <col min="11" max="12" width="17.28515625" style="997" bestFit="1" customWidth="1"/>
    <col min="13" max="13" width="10.42578125" style="997" customWidth="1"/>
    <col min="14" max="14" width="17.85546875" style="997" bestFit="1" customWidth="1"/>
    <col min="15" max="15" width="20.28515625" style="997" customWidth="1"/>
    <col min="16" max="16384" width="9.140625" style="997"/>
  </cols>
  <sheetData>
    <row r="1" spans="1:12" s="1821" customFormat="1" ht="18.75" thickBot="1" x14ac:dyDescent="0.3">
      <c r="A1" s="1827" t="s">
        <v>445</v>
      </c>
      <c r="B1" s="1826"/>
      <c r="C1" s="1825"/>
      <c r="D1" s="1824"/>
      <c r="E1" s="1823"/>
      <c r="F1" s="1822" t="s">
        <v>451</v>
      </c>
      <c r="G1" s="1755"/>
      <c r="H1" s="1754"/>
    </row>
    <row r="2" spans="1:12" x14ac:dyDescent="0.2">
      <c r="A2" s="1712"/>
    </row>
    <row r="3" spans="1:12" s="1697" customFormat="1" x14ac:dyDescent="0.2">
      <c r="A3" s="1820" t="s">
        <v>201</v>
      </c>
      <c r="B3" s="1819"/>
      <c r="C3" s="1818" t="s">
        <v>948</v>
      </c>
      <c r="E3" s="1675"/>
      <c r="F3" s="1675"/>
      <c r="G3" s="1675"/>
      <c r="H3" s="1674"/>
    </row>
    <row r="4" spans="1:12" x14ac:dyDescent="0.2">
      <c r="A4" s="1712"/>
      <c r="C4" s="1818" t="s">
        <v>780</v>
      </c>
    </row>
    <row r="5" spans="1:12" x14ac:dyDescent="0.2">
      <c r="A5" s="1712"/>
      <c r="C5" s="1817"/>
    </row>
    <row r="6" spans="1:12" x14ac:dyDescent="0.2">
      <c r="A6" s="1712"/>
      <c r="C6" s="1817"/>
    </row>
    <row r="7" spans="1:12" s="1719" customFormat="1" ht="15.75" x14ac:dyDescent="0.25">
      <c r="A7" s="1789" t="s">
        <v>450</v>
      </c>
      <c r="B7" s="1762"/>
      <c r="C7" s="1761"/>
      <c r="E7" s="1755"/>
      <c r="F7" s="1755"/>
      <c r="G7" s="1755"/>
      <c r="H7" s="1754"/>
    </row>
    <row r="9" spans="1:12" ht="15" thickBot="1" x14ac:dyDescent="0.25">
      <c r="H9" s="1753" t="s">
        <v>92</v>
      </c>
    </row>
    <row r="10" spans="1:12" s="1043" customFormat="1" ht="20.25" customHeight="1" thickTop="1" thickBot="1" x14ac:dyDescent="0.25">
      <c r="A10" s="1047" t="s">
        <v>93</v>
      </c>
      <c r="B10" s="1046" t="s">
        <v>94</v>
      </c>
      <c r="C10" s="1798" t="s">
        <v>364</v>
      </c>
      <c r="D10" s="1069" t="s">
        <v>95</v>
      </c>
      <c r="E10" s="1069" t="s">
        <v>328</v>
      </c>
      <c r="F10" s="1069" t="s">
        <v>329</v>
      </c>
      <c r="G10" s="1069" t="s">
        <v>448</v>
      </c>
      <c r="H10" s="1797" t="s">
        <v>449</v>
      </c>
    </row>
    <row r="11" spans="1:12" s="1037" customFormat="1" ht="13.5" thickTop="1" thickBot="1" x14ac:dyDescent="0.25">
      <c r="A11" s="1042">
        <v>1</v>
      </c>
      <c r="B11" s="1041">
        <v>2</v>
      </c>
      <c r="C11" s="1041">
        <v>3</v>
      </c>
      <c r="D11" s="1041">
        <v>4</v>
      </c>
      <c r="E11" s="1041">
        <v>5</v>
      </c>
      <c r="F11" s="1040">
        <v>6</v>
      </c>
      <c r="G11" s="1040">
        <v>7</v>
      </c>
      <c r="H11" s="1039" t="s">
        <v>33</v>
      </c>
      <c r="I11" s="1043"/>
    </row>
    <row r="12" spans="1:12" s="1037" customFormat="1" ht="15.75" thickTop="1" x14ac:dyDescent="0.25">
      <c r="A12" s="2556">
        <v>4324</v>
      </c>
      <c r="B12" s="2557">
        <v>5222</v>
      </c>
      <c r="C12" s="2466"/>
      <c r="D12" s="2467" t="s">
        <v>800</v>
      </c>
      <c r="E12" s="1811">
        <f>E13</f>
        <v>0</v>
      </c>
      <c r="F12" s="1031">
        <f>F13</f>
        <v>5530</v>
      </c>
      <c r="G12" s="1030">
        <f>G13</f>
        <v>5354</v>
      </c>
      <c r="H12" s="2305">
        <f>(G12/F12)*100</f>
        <v>96.817359855334544</v>
      </c>
      <c r="I12" s="1043"/>
      <c r="K12" s="2460">
        <f>K13</f>
        <v>5530000</v>
      </c>
      <c r="L12" s="2460">
        <f>L13</f>
        <v>5354200</v>
      </c>
    </row>
    <row r="13" spans="1:12" s="1037" customFormat="1" x14ac:dyDescent="0.2">
      <c r="A13" s="2556"/>
      <c r="B13" s="2557"/>
      <c r="C13" s="1738" t="s">
        <v>888</v>
      </c>
      <c r="D13" s="3259" t="s">
        <v>1666</v>
      </c>
      <c r="E13" s="1022">
        <v>0</v>
      </c>
      <c r="F13" s="1023">
        <v>5530</v>
      </c>
      <c r="G13" s="1022">
        <v>5354</v>
      </c>
      <c r="H13" s="2304">
        <f>(G13/F13)*100</f>
        <v>96.817359855334544</v>
      </c>
      <c r="I13" s="1043"/>
      <c r="J13" s="2459"/>
      <c r="K13" s="2459">
        <v>5530000</v>
      </c>
      <c r="L13" s="2459">
        <v>5354200</v>
      </c>
    </row>
    <row r="14" spans="1:12" s="1037" customFormat="1" ht="15" x14ac:dyDescent="0.25">
      <c r="A14" s="2556"/>
      <c r="B14" s="2557"/>
      <c r="C14" s="1738"/>
      <c r="D14" s="3259"/>
      <c r="E14" s="1030"/>
      <c r="F14" s="1031"/>
      <c r="G14" s="1030"/>
      <c r="H14" s="2305"/>
      <c r="I14" s="1043"/>
      <c r="J14" s="2459"/>
      <c r="K14" s="2459"/>
      <c r="L14" s="2459"/>
    </row>
    <row r="15" spans="1:12" s="1037" customFormat="1" ht="15" x14ac:dyDescent="0.25">
      <c r="A15" s="2556">
        <v>4339</v>
      </c>
      <c r="B15" s="2557">
        <v>5164</v>
      </c>
      <c r="C15" s="1738"/>
      <c r="D15" s="1071" t="s">
        <v>101</v>
      </c>
      <c r="E15" s="1030">
        <v>0</v>
      </c>
      <c r="F15" s="1031">
        <v>1</v>
      </c>
      <c r="G15" s="1030">
        <v>1</v>
      </c>
      <c r="H15" s="2305">
        <f t="shared" ref="H15:H24" si="0">(G15/F15)*100</f>
        <v>100</v>
      </c>
      <c r="I15" s="1043"/>
      <c r="J15" s="2459"/>
      <c r="K15" s="2459">
        <v>1050</v>
      </c>
      <c r="L15" s="2459">
        <v>1050</v>
      </c>
    </row>
    <row r="16" spans="1:12" s="2468" customFormat="1" ht="15" x14ac:dyDescent="0.25">
      <c r="A16" s="2556">
        <v>4339</v>
      </c>
      <c r="B16" s="2557">
        <v>5169</v>
      </c>
      <c r="C16" s="2466"/>
      <c r="D16" s="1071" t="s">
        <v>430</v>
      </c>
      <c r="E16" s="1030">
        <v>720</v>
      </c>
      <c r="F16" s="1031">
        <v>825</v>
      </c>
      <c r="G16" s="1030">
        <v>797</v>
      </c>
      <c r="H16" s="2305">
        <f t="shared" si="0"/>
        <v>96.606060606060609</v>
      </c>
      <c r="J16" s="1679">
        <v>720000</v>
      </c>
      <c r="K16" s="1679">
        <v>824950</v>
      </c>
      <c r="L16" s="1679">
        <v>797184.67</v>
      </c>
    </row>
    <row r="17" spans="1:12" s="2468" customFormat="1" ht="15" x14ac:dyDescent="0.25">
      <c r="A17" s="2556">
        <v>4349</v>
      </c>
      <c r="B17" s="2557">
        <v>5139</v>
      </c>
      <c r="C17" s="2466"/>
      <c r="D17" s="1071" t="s">
        <v>396</v>
      </c>
      <c r="E17" s="1030">
        <f>E18+E19</f>
        <v>0</v>
      </c>
      <c r="F17" s="1815">
        <f>F18+F19</f>
        <v>91</v>
      </c>
      <c r="G17" s="1030">
        <f>G18+G19</f>
        <v>89</v>
      </c>
      <c r="H17" s="2305">
        <f t="shared" si="0"/>
        <v>97.802197802197796</v>
      </c>
      <c r="J17" s="1936"/>
      <c r="K17" s="1679">
        <f>K18+K19</f>
        <v>90580</v>
      </c>
      <c r="L17" s="1679">
        <f>L18+L19</f>
        <v>88580</v>
      </c>
    </row>
    <row r="18" spans="1:12" s="2468" customFormat="1" x14ac:dyDescent="0.2">
      <c r="A18" s="2556"/>
      <c r="B18" s="2557"/>
      <c r="C18" s="2469" t="s">
        <v>1258</v>
      </c>
      <c r="D18" s="1654" t="s">
        <v>1283</v>
      </c>
      <c r="E18" s="1022">
        <v>0</v>
      </c>
      <c r="F18" s="1023">
        <v>69</v>
      </c>
      <c r="G18" s="1022">
        <v>67</v>
      </c>
      <c r="H18" s="2304">
        <f t="shared" si="0"/>
        <v>97.101449275362313</v>
      </c>
      <c r="J18" s="1936"/>
      <c r="K18" s="1936">
        <v>69000</v>
      </c>
      <c r="L18" s="1936">
        <v>67000</v>
      </c>
    </row>
    <row r="19" spans="1:12" s="2468" customFormat="1" ht="25.5" x14ac:dyDescent="0.2">
      <c r="A19" s="2556"/>
      <c r="B19" s="2557"/>
      <c r="C19" s="2302" t="s">
        <v>1859</v>
      </c>
      <c r="D19" s="2910" t="s">
        <v>1860</v>
      </c>
      <c r="E19" s="2482">
        <v>0</v>
      </c>
      <c r="F19" s="2485">
        <v>22</v>
      </c>
      <c r="G19" s="2482">
        <v>22</v>
      </c>
      <c r="H19" s="2475">
        <f t="shared" si="0"/>
        <v>100</v>
      </c>
      <c r="J19" s="1936"/>
      <c r="K19" s="1936">
        <v>21580</v>
      </c>
      <c r="L19" s="1936">
        <v>21580</v>
      </c>
    </row>
    <row r="20" spans="1:12" s="2468" customFormat="1" ht="15" x14ac:dyDescent="0.25">
      <c r="A20" s="2556">
        <v>4349</v>
      </c>
      <c r="B20" s="2557">
        <v>5164</v>
      </c>
      <c r="C20" s="1724"/>
      <c r="D20" s="1071" t="s">
        <v>101</v>
      </c>
      <c r="E20" s="1030">
        <f>E21+E22</f>
        <v>0</v>
      </c>
      <c r="F20" s="1815">
        <f>F21+F22</f>
        <v>9</v>
      </c>
      <c r="G20" s="1030">
        <f>G21+G22</f>
        <v>9</v>
      </c>
      <c r="H20" s="2305">
        <f t="shared" si="0"/>
        <v>100</v>
      </c>
      <c r="J20" s="1936"/>
      <c r="K20" s="1679">
        <f>K21+K22</f>
        <v>8800</v>
      </c>
      <c r="L20" s="1679">
        <f>L21+L22</f>
        <v>8800</v>
      </c>
    </row>
    <row r="21" spans="1:12" s="2468" customFormat="1" x14ac:dyDescent="0.2">
      <c r="A21" s="2556"/>
      <c r="B21" s="2557"/>
      <c r="C21" s="2469" t="s">
        <v>871</v>
      </c>
      <c r="D21" s="1654" t="s">
        <v>600</v>
      </c>
      <c r="E21" s="1022">
        <v>0</v>
      </c>
      <c r="F21" s="1023">
        <v>9</v>
      </c>
      <c r="G21" s="1022">
        <v>9</v>
      </c>
      <c r="H21" s="2304">
        <f t="shared" si="0"/>
        <v>100</v>
      </c>
      <c r="J21" s="1936"/>
      <c r="K21" s="1936">
        <v>8800</v>
      </c>
      <c r="L21" s="1936">
        <v>8800</v>
      </c>
    </row>
    <row r="22" spans="1:12" s="2468" customFormat="1" ht="15" hidden="1" x14ac:dyDescent="0.25">
      <c r="A22" s="2556"/>
      <c r="B22" s="2557"/>
      <c r="C22" s="2469" t="s">
        <v>1258</v>
      </c>
      <c r="D22" s="1654" t="s">
        <v>1283</v>
      </c>
      <c r="E22" s="1030"/>
      <c r="F22" s="1023"/>
      <c r="G22" s="1022"/>
      <c r="H22" s="2304" t="e">
        <f t="shared" si="0"/>
        <v>#DIV/0!</v>
      </c>
      <c r="J22" s="1936"/>
      <c r="K22" s="1936"/>
      <c r="L22" s="1936"/>
    </row>
    <row r="23" spans="1:12" s="2468" customFormat="1" ht="15" x14ac:dyDescent="0.25">
      <c r="A23" s="2556">
        <v>4349</v>
      </c>
      <c r="B23" s="2557">
        <v>5169</v>
      </c>
      <c r="C23" s="2466"/>
      <c r="D23" s="1071" t="s">
        <v>430</v>
      </c>
      <c r="E23" s="1030">
        <f>E24+E25</f>
        <v>290</v>
      </c>
      <c r="F23" s="1030">
        <f>F24+F25+F26</f>
        <v>335</v>
      </c>
      <c r="G23" s="1030">
        <f>G24+G25+G26</f>
        <v>306</v>
      </c>
      <c r="H23" s="2305">
        <f>(G23/F23)*100</f>
        <v>91.343283582089555</v>
      </c>
      <c r="J23" s="1679">
        <f>J24+J25+J26</f>
        <v>290000</v>
      </c>
      <c r="K23" s="1679">
        <f t="shared" ref="K23:L23" si="1">K24+K25+K26</f>
        <v>335200</v>
      </c>
      <c r="L23" s="1679">
        <f t="shared" si="1"/>
        <v>306310</v>
      </c>
    </row>
    <row r="24" spans="1:12" s="1875" customFormat="1" x14ac:dyDescent="0.2">
      <c r="A24" s="2556"/>
      <c r="B24" s="2557"/>
      <c r="C24" s="2480" t="s">
        <v>871</v>
      </c>
      <c r="D24" s="1654" t="s">
        <v>600</v>
      </c>
      <c r="E24" s="1022">
        <v>190</v>
      </c>
      <c r="F24" s="1023">
        <v>169</v>
      </c>
      <c r="G24" s="1022">
        <v>141</v>
      </c>
      <c r="H24" s="2304">
        <f t="shared" si="0"/>
        <v>83.431952662721898</v>
      </c>
      <c r="J24" s="1936">
        <v>190000</v>
      </c>
      <c r="K24" s="1936">
        <v>169400</v>
      </c>
      <c r="L24" s="1936">
        <v>141510</v>
      </c>
    </row>
    <row r="25" spans="1:12" s="1875" customFormat="1" x14ac:dyDescent="0.2">
      <c r="A25" s="2556"/>
      <c r="B25" s="2557"/>
      <c r="C25" s="2480" t="s">
        <v>1258</v>
      </c>
      <c r="D25" s="1654" t="s">
        <v>1283</v>
      </c>
      <c r="E25" s="1022">
        <v>100</v>
      </c>
      <c r="F25" s="1023">
        <v>1</v>
      </c>
      <c r="G25" s="1022">
        <v>0</v>
      </c>
      <c r="H25" s="2304">
        <v>0</v>
      </c>
      <c r="J25" s="1936">
        <v>100000</v>
      </c>
      <c r="K25" s="1936">
        <v>1000</v>
      </c>
      <c r="L25" s="1936">
        <v>0</v>
      </c>
    </row>
    <row r="26" spans="1:12" s="1875" customFormat="1" ht="25.5" x14ac:dyDescent="0.2">
      <c r="A26" s="2556"/>
      <c r="B26" s="2557"/>
      <c r="C26" s="2302" t="s">
        <v>1859</v>
      </c>
      <c r="D26" s="2910" t="s">
        <v>1860</v>
      </c>
      <c r="E26" s="2482">
        <v>0</v>
      </c>
      <c r="F26" s="2485">
        <v>165</v>
      </c>
      <c r="G26" s="2482">
        <v>165</v>
      </c>
      <c r="H26" s="2475">
        <f>(G26/F26)*100</f>
        <v>100</v>
      </c>
      <c r="J26" s="1936"/>
      <c r="K26" s="1936">
        <v>164800</v>
      </c>
      <c r="L26" s="1936">
        <v>164800</v>
      </c>
    </row>
    <row r="27" spans="1:12" s="1875" customFormat="1" ht="15" x14ac:dyDescent="0.25">
      <c r="A27" s="2556">
        <v>4349</v>
      </c>
      <c r="B27" s="2557">
        <v>5175</v>
      </c>
      <c r="C27" s="1724"/>
      <c r="D27" s="2420" t="s">
        <v>352</v>
      </c>
      <c r="E27" s="1030">
        <v>0</v>
      </c>
      <c r="F27" s="1030">
        <v>12</v>
      </c>
      <c r="G27" s="1030">
        <v>8</v>
      </c>
      <c r="H27" s="2305">
        <f>(G27/F27)*100</f>
        <v>66.666666666666657</v>
      </c>
      <c r="J27" s="1936"/>
      <c r="K27" s="1679">
        <v>11800</v>
      </c>
      <c r="L27" s="1679">
        <v>7966</v>
      </c>
    </row>
    <row r="28" spans="1:12" s="1875" customFormat="1" ht="15" hidden="1" x14ac:dyDescent="0.25">
      <c r="A28" s="2556">
        <v>4399</v>
      </c>
      <c r="B28" s="2557">
        <v>5137</v>
      </c>
      <c r="C28" s="1738"/>
      <c r="D28" s="985" t="s">
        <v>88</v>
      </c>
      <c r="E28" s="1022"/>
      <c r="F28" s="1030">
        <f>F29</f>
        <v>0</v>
      </c>
      <c r="G28" s="1030">
        <f>G29</f>
        <v>0</v>
      </c>
      <c r="H28" s="2305" t="e">
        <f t="shared" ref="H28:H38" si="2">(G28/F28)*100</f>
        <v>#DIV/0!</v>
      </c>
      <c r="J28" s="1936"/>
      <c r="K28" s="1679">
        <f>K29</f>
        <v>0</v>
      </c>
      <c r="L28" s="1679">
        <f>L29</f>
        <v>0</v>
      </c>
    </row>
    <row r="29" spans="1:12" s="1875" customFormat="1" ht="25.5" hidden="1" x14ac:dyDescent="0.2">
      <c r="A29" s="2556"/>
      <c r="B29" s="2557"/>
      <c r="C29" s="2469" t="s">
        <v>1257</v>
      </c>
      <c r="D29" s="2470" t="s">
        <v>1287</v>
      </c>
      <c r="E29" s="2482"/>
      <c r="F29" s="2482"/>
      <c r="G29" s="2483"/>
      <c r="H29" s="2475" t="e">
        <f t="shared" si="2"/>
        <v>#DIV/0!</v>
      </c>
      <c r="J29" s="1936"/>
      <c r="K29" s="1936"/>
      <c r="L29" s="1936"/>
    </row>
    <row r="30" spans="1:12" s="1875" customFormat="1" ht="15" x14ac:dyDescent="0.25">
      <c r="A30" s="2556">
        <v>4399</v>
      </c>
      <c r="B30" s="2557">
        <v>5139</v>
      </c>
      <c r="C30" s="1738"/>
      <c r="D30" s="2471" t="s">
        <v>396</v>
      </c>
      <c r="E30" s="1030">
        <f>E31</f>
        <v>0</v>
      </c>
      <c r="F30" s="1030">
        <f>F31</f>
        <v>55</v>
      </c>
      <c r="G30" s="1030">
        <f>G31</f>
        <v>55</v>
      </c>
      <c r="H30" s="2305">
        <f t="shared" si="2"/>
        <v>100</v>
      </c>
      <c r="J30" s="1936"/>
      <c r="K30" s="1679">
        <f>K31</f>
        <v>55000</v>
      </c>
      <c r="L30" s="1679">
        <f>L31</f>
        <v>55000</v>
      </c>
    </row>
    <row r="31" spans="1:12" s="1875" customFormat="1" ht="25.5" x14ac:dyDescent="0.2">
      <c r="A31" s="2556"/>
      <c r="B31" s="2557"/>
      <c r="C31" s="2469" t="s">
        <v>1257</v>
      </c>
      <c r="D31" s="2470" t="s">
        <v>1287</v>
      </c>
      <c r="E31" s="2482">
        <v>0</v>
      </c>
      <c r="F31" s="2482">
        <v>55</v>
      </c>
      <c r="G31" s="2483">
        <v>55</v>
      </c>
      <c r="H31" s="2475">
        <f t="shared" si="2"/>
        <v>100</v>
      </c>
      <c r="J31" s="1936"/>
      <c r="K31" s="1936">
        <v>55000</v>
      </c>
      <c r="L31" s="1936">
        <v>55000</v>
      </c>
    </row>
    <row r="32" spans="1:12" s="1875" customFormat="1" ht="15" x14ac:dyDescent="0.25">
      <c r="A32" s="2556">
        <v>4399</v>
      </c>
      <c r="B32" s="2557">
        <v>5164</v>
      </c>
      <c r="C32" s="1738"/>
      <c r="D32" s="2471" t="s">
        <v>101</v>
      </c>
      <c r="E32" s="1030">
        <f>E33</f>
        <v>0</v>
      </c>
      <c r="F32" s="1030">
        <f>F33</f>
        <v>25</v>
      </c>
      <c r="G32" s="1030">
        <f>G33</f>
        <v>25</v>
      </c>
      <c r="H32" s="2305">
        <f t="shared" ref="H32:H33" si="3">(G32/F32)*100</f>
        <v>100</v>
      </c>
      <c r="J32" s="1936"/>
      <c r="K32" s="1679">
        <f>K33</f>
        <v>25000</v>
      </c>
      <c r="L32" s="1679">
        <f>L33</f>
        <v>25000</v>
      </c>
    </row>
    <row r="33" spans="1:12" s="1875" customFormat="1" ht="25.5" x14ac:dyDescent="0.2">
      <c r="A33" s="2556"/>
      <c r="B33" s="2557"/>
      <c r="C33" s="2469" t="s">
        <v>1257</v>
      </c>
      <c r="D33" s="2470" t="s">
        <v>1287</v>
      </c>
      <c r="E33" s="2482">
        <v>0</v>
      </c>
      <c r="F33" s="2482">
        <v>25</v>
      </c>
      <c r="G33" s="2483">
        <v>25</v>
      </c>
      <c r="H33" s="2475">
        <f t="shared" si="3"/>
        <v>100</v>
      </c>
      <c r="J33" s="1936"/>
      <c r="K33" s="1936">
        <v>25000</v>
      </c>
      <c r="L33" s="1936">
        <v>25000</v>
      </c>
    </row>
    <row r="34" spans="1:12" s="2468" customFormat="1" ht="15" x14ac:dyDescent="0.25">
      <c r="A34" s="2556">
        <v>4399</v>
      </c>
      <c r="B34" s="2557">
        <v>5166</v>
      </c>
      <c r="C34" s="2472"/>
      <c r="D34" s="1071" t="s">
        <v>317</v>
      </c>
      <c r="E34" s="1030">
        <f>E35</f>
        <v>50</v>
      </c>
      <c r="F34" s="1030">
        <f>F35</f>
        <v>110</v>
      </c>
      <c r="G34" s="1030">
        <f>G35</f>
        <v>0</v>
      </c>
      <c r="H34" s="2305">
        <f t="shared" si="2"/>
        <v>0</v>
      </c>
      <c r="J34" s="1679">
        <f>J35</f>
        <v>50000</v>
      </c>
      <c r="K34" s="1679">
        <f>K35</f>
        <v>110000</v>
      </c>
      <c r="L34" s="1679">
        <f>L35</f>
        <v>0</v>
      </c>
    </row>
    <row r="35" spans="1:12" s="2468" customFormat="1" ht="25.5" x14ac:dyDescent="0.2">
      <c r="A35" s="2556"/>
      <c r="B35" s="2557"/>
      <c r="C35" s="2469" t="s">
        <v>1259</v>
      </c>
      <c r="D35" s="2484" t="s">
        <v>1284</v>
      </c>
      <c r="E35" s="2482">
        <v>50</v>
      </c>
      <c r="F35" s="2482">
        <v>110</v>
      </c>
      <c r="G35" s="2483">
        <v>0</v>
      </c>
      <c r="H35" s="2475">
        <f>(G35/F35)*100</f>
        <v>0</v>
      </c>
      <c r="J35" s="1936">
        <v>50000</v>
      </c>
      <c r="K35" s="1936">
        <v>110000</v>
      </c>
      <c r="L35" s="1936"/>
    </row>
    <row r="36" spans="1:12" s="2468" customFormat="1" ht="15" x14ac:dyDescent="0.25">
      <c r="A36" s="2556">
        <v>4399</v>
      </c>
      <c r="B36" s="2557">
        <v>5167</v>
      </c>
      <c r="C36" s="2469"/>
      <c r="D36" s="3008" t="s">
        <v>455</v>
      </c>
      <c r="E36" s="1030">
        <f>E37</f>
        <v>0</v>
      </c>
      <c r="F36" s="1031">
        <f>F37</f>
        <v>12</v>
      </c>
      <c r="G36" s="2935">
        <f>G37</f>
        <v>12</v>
      </c>
      <c r="H36" s="2339">
        <f t="shared" ref="H36" si="4">(G36/F36)*100</f>
        <v>100</v>
      </c>
      <c r="J36" s="1936"/>
      <c r="K36" s="1679">
        <f>K37</f>
        <v>12100</v>
      </c>
      <c r="L36" s="1679">
        <f>L37</f>
        <v>12100</v>
      </c>
    </row>
    <row r="37" spans="1:12" s="2468" customFormat="1" x14ac:dyDescent="0.2">
      <c r="A37" s="2556"/>
      <c r="B37" s="2557"/>
      <c r="C37" s="1738" t="s">
        <v>1260</v>
      </c>
      <c r="D37" s="1654" t="s">
        <v>1285</v>
      </c>
      <c r="E37" s="1022">
        <v>0</v>
      </c>
      <c r="F37" s="1023">
        <v>12</v>
      </c>
      <c r="G37" s="1022">
        <v>12</v>
      </c>
      <c r="H37" s="2475">
        <f>(G37/F37)*100</f>
        <v>100</v>
      </c>
      <c r="J37" s="1936"/>
      <c r="K37" s="1936">
        <v>12100</v>
      </c>
      <c r="L37" s="1936">
        <v>12100</v>
      </c>
    </row>
    <row r="38" spans="1:12" s="2468" customFormat="1" ht="15" x14ac:dyDescent="0.25">
      <c r="A38" s="2556">
        <v>4399</v>
      </c>
      <c r="B38" s="2557">
        <v>5168</v>
      </c>
      <c r="C38" s="2472"/>
      <c r="D38" s="3260" t="s">
        <v>821</v>
      </c>
      <c r="E38" s="1030">
        <f>E40</f>
        <v>241</v>
      </c>
      <c r="F38" s="1031">
        <f>F40</f>
        <v>317</v>
      </c>
      <c r="G38" s="1030">
        <f>G40</f>
        <v>316</v>
      </c>
      <c r="H38" s="2305">
        <f t="shared" si="2"/>
        <v>99.684542586750794</v>
      </c>
      <c r="J38" s="1679">
        <f>J40</f>
        <v>241000</v>
      </c>
      <c r="K38" s="1679">
        <f>K40</f>
        <v>316900</v>
      </c>
      <c r="L38" s="1679">
        <f>L40</f>
        <v>315910.90000000002</v>
      </c>
    </row>
    <row r="39" spans="1:12" s="2468" customFormat="1" ht="15" x14ac:dyDescent="0.25">
      <c r="A39" s="2556"/>
      <c r="B39" s="2557"/>
      <c r="C39" s="2472"/>
      <c r="D39" s="3261"/>
      <c r="E39" s="1030"/>
      <c r="F39" s="1031"/>
      <c r="G39" s="1030"/>
      <c r="H39" s="2305"/>
    </row>
    <row r="40" spans="1:12" s="2468" customFormat="1" x14ac:dyDescent="0.2">
      <c r="A40" s="2556"/>
      <c r="B40" s="2557"/>
      <c r="C40" s="1738" t="s">
        <v>1260</v>
      </c>
      <c r="D40" s="1654" t="s">
        <v>1285</v>
      </c>
      <c r="E40" s="1022">
        <v>241</v>
      </c>
      <c r="F40" s="1023">
        <v>317</v>
      </c>
      <c r="G40" s="1022">
        <v>316</v>
      </c>
      <c r="H40" s="2304">
        <f>(G40/F40)*100</f>
        <v>99.684542586750794</v>
      </c>
      <c r="J40" s="1936">
        <v>241000</v>
      </c>
      <c r="K40" s="1936">
        <v>316900</v>
      </c>
      <c r="L40" s="1936">
        <v>315910.90000000002</v>
      </c>
    </row>
    <row r="41" spans="1:12" s="2468" customFormat="1" ht="14.25" customHeight="1" x14ac:dyDescent="0.25">
      <c r="A41" s="2556">
        <v>4399</v>
      </c>
      <c r="B41" s="2557">
        <v>5169</v>
      </c>
      <c r="C41" s="2472"/>
      <c r="D41" s="1071" t="s">
        <v>430</v>
      </c>
      <c r="E41" s="1030">
        <f>E42+E43+E44</f>
        <v>169</v>
      </c>
      <c r="F41" s="1030">
        <f t="shared" ref="F41:G41" si="5">F42+F43+F44</f>
        <v>622</v>
      </c>
      <c r="G41" s="1030">
        <f t="shared" si="5"/>
        <v>609</v>
      </c>
      <c r="H41" s="2305">
        <f>(G41/F41)*100</f>
        <v>97.909967845659168</v>
      </c>
      <c r="I41" s="2473"/>
      <c r="J41" s="1679">
        <f>J42+J43+J44</f>
        <v>169000</v>
      </c>
      <c r="K41" s="1679">
        <f t="shared" ref="K41" si="6">K42+K43+K44</f>
        <v>622220</v>
      </c>
      <c r="L41" s="1679">
        <f>L42+L43+L44</f>
        <v>608689</v>
      </c>
    </row>
    <row r="42" spans="1:12" s="1875" customFormat="1" ht="14.25" customHeight="1" x14ac:dyDescent="0.2">
      <c r="A42" s="2556"/>
      <c r="B42" s="2557"/>
      <c r="C42" s="2469" t="s">
        <v>871</v>
      </c>
      <c r="D42" s="1654" t="s">
        <v>600</v>
      </c>
      <c r="E42" s="1022">
        <v>120</v>
      </c>
      <c r="F42" s="1023">
        <v>40</v>
      </c>
      <c r="G42" s="1022">
        <v>27</v>
      </c>
      <c r="H42" s="2304">
        <f>(G42/F42)*100</f>
        <v>67.5</v>
      </c>
      <c r="I42" s="2474"/>
      <c r="J42" s="1936">
        <v>120000</v>
      </c>
      <c r="K42" s="1936">
        <v>40220</v>
      </c>
      <c r="L42" s="1936">
        <v>27000</v>
      </c>
    </row>
    <row r="43" spans="1:12" s="1875" customFormat="1" ht="14.25" customHeight="1" x14ac:dyDescent="0.2">
      <c r="A43" s="2556"/>
      <c r="B43" s="2557"/>
      <c r="C43" s="2469" t="s">
        <v>1260</v>
      </c>
      <c r="D43" s="1654" t="s">
        <v>1285</v>
      </c>
      <c r="E43" s="1022">
        <v>49</v>
      </c>
      <c r="F43" s="1023">
        <v>41</v>
      </c>
      <c r="G43" s="1022">
        <v>41</v>
      </c>
      <c r="H43" s="2304">
        <f>(G43/F43)*100</f>
        <v>100</v>
      </c>
      <c r="I43" s="2474"/>
      <c r="J43" s="1936">
        <v>49000</v>
      </c>
      <c r="K43" s="1936">
        <v>41000</v>
      </c>
      <c r="L43" s="1936">
        <v>40800</v>
      </c>
    </row>
    <row r="44" spans="1:12" s="1875" customFormat="1" ht="25.5" x14ac:dyDescent="0.2">
      <c r="A44" s="2556"/>
      <c r="B44" s="2557"/>
      <c r="C44" s="2469" t="s">
        <v>1257</v>
      </c>
      <c r="D44" s="2470" t="s">
        <v>1287</v>
      </c>
      <c r="E44" s="2482">
        <v>0</v>
      </c>
      <c r="F44" s="2485">
        <v>541</v>
      </c>
      <c r="G44" s="2482">
        <v>541</v>
      </c>
      <c r="H44" s="2475">
        <f>(G44/F44)*100</f>
        <v>100</v>
      </c>
      <c r="I44" s="2474"/>
      <c r="J44" s="1936"/>
      <c r="K44" s="1936">
        <v>541000</v>
      </c>
      <c r="L44" s="1936">
        <v>540889</v>
      </c>
    </row>
    <row r="45" spans="1:12" s="1875" customFormat="1" ht="14.25" customHeight="1" x14ac:dyDescent="0.25">
      <c r="A45" s="2556">
        <v>4399</v>
      </c>
      <c r="B45" s="2557">
        <v>5175</v>
      </c>
      <c r="C45" s="1738"/>
      <c r="D45" s="2471" t="s">
        <v>828</v>
      </c>
      <c r="E45" s="1030">
        <f>E46+E47+E48</f>
        <v>52</v>
      </c>
      <c r="F45" s="1030">
        <f t="shared" ref="F45:G45" si="7">F46+F47+F48</f>
        <v>140</v>
      </c>
      <c r="G45" s="1030">
        <f t="shared" si="7"/>
        <v>125</v>
      </c>
      <c r="H45" s="2305">
        <f t="shared" ref="H45:H51" si="8">(G45/F45)*100</f>
        <v>89.285714285714292</v>
      </c>
      <c r="I45" s="2474"/>
      <c r="J45" s="1679">
        <f>J46</f>
        <v>52000</v>
      </c>
      <c r="K45" s="1679">
        <f>K46+K47+K48</f>
        <v>139780</v>
      </c>
      <c r="L45" s="1679">
        <f>L46+L47+L48</f>
        <v>124810</v>
      </c>
    </row>
    <row r="46" spans="1:12" s="1875" customFormat="1" ht="14.25" customHeight="1" x14ac:dyDescent="0.2">
      <c r="A46" s="2556"/>
      <c r="B46" s="2557"/>
      <c r="C46" s="2469" t="s">
        <v>871</v>
      </c>
      <c r="D46" s="1654" t="s">
        <v>600</v>
      </c>
      <c r="E46" s="1022">
        <v>52</v>
      </c>
      <c r="F46" s="1023">
        <v>105</v>
      </c>
      <c r="G46" s="1022">
        <v>98</v>
      </c>
      <c r="H46" s="2304">
        <f t="shared" si="8"/>
        <v>93.333333333333329</v>
      </c>
      <c r="I46" s="2474"/>
      <c r="J46" s="1936">
        <v>52000</v>
      </c>
      <c r="K46" s="1936">
        <v>104780</v>
      </c>
      <c r="L46" s="1936">
        <v>98084</v>
      </c>
    </row>
    <row r="47" spans="1:12" s="1875" customFormat="1" ht="14.25" customHeight="1" x14ac:dyDescent="0.2">
      <c r="A47" s="2556"/>
      <c r="B47" s="2557"/>
      <c r="C47" s="2469" t="s">
        <v>1260</v>
      </c>
      <c r="D47" s="1654" t="s">
        <v>1285</v>
      </c>
      <c r="E47" s="1022">
        <v>0</v>
      </c>
      <c r="F47" s="1023">
        <v>26</v>
      </c>
      <c r="G47" s="1022">
        <v>18</v>
      </c>
      <c r="H47" s="2475">
        <f t="shared" si="8"/>
        <v>69.230769230769226</v>
      </c>
      <c r="I47" s="2474"/>
      <c r="J47" s="2476"/>
      <c r="K47" s="1936">
        <v>26000</v>
      </c>
      <c r="L47" s="1936">
        <v>17726</v>
      </c>
    </row>
    <row r="48" spans="1:12" s="1875" customFormat="1" ht="27.75" customHeight="1" x14ac:dyDescent="0.2">
      <c r="A48" s="2556"/>
      <c r="B48" s="2557"/>
      <c r="C48" s="2469" t="s">
        <v>1257</v>
      </c>
      <c r="D48" s="2470" t="s">
        <v>1287</v>
      </c>
      <c r="E48" s="1022">
        <v>0</v>
      </c>
      <c r="F48" s="1023">
        <v>9</v>
      </c>
      <c r="G48" s="1022">
        <v>9</v>
      </c>
      <c r="H48" s="2475">
        <f t="shared" si="8"/>
        <v>100</v>
      </c>
      <c r="I48" s="2474"/>
      <c r="J48" s="2476"/>
      <c r="K48" s="1936">
        <v>9000</v>
      </c>
      <c r="L48" s="1936">
        <v>9000</v>
      </c>
    </row>
    <row r="49" spans="1:12" s="1875" customFormat="1" ht="14.25" customHeight="1" x14ac:dyDescent="0.25">
      <c r="A49" s="2556">
        <v>4399</v>
      </c>
      <c r="B49" s="2557">
        <v>5213</v>
      </c>
      <c r="C49" s="1724"/>
      <c r="D49" s="2477" t="s">
        <v>1245</v>
      </c>
      <c r="E49" s="1030">
        <f>E50</f>
        <v>0</v>
      </c>
      <c r="F49" s="1030">
        <f>F50</f>
        <v>11406</v>
      </c>
      <c r="G49" s="1030">
        <f>G50</f>
        <v>11406</v>
      </c>
      <c r="H49" s="2305">
        <f t="shared" si="8"/>
        <v>100</v>
      </c>
      <c r="I49" s="2474"/>
      <c r="J49" s="2476"/>
      <c r="K49" s="1679">
        <f>K50</f>
        <v>11405500</v>
      </c>
      <c r="L49" s="1679">
        <f>L50</f>
        <v>11405500</v>
      </c>
    </row>
    <row r="50" spans="1:12" s="1875" customFormat="1" ht="14.25" customHeight="1" x14ac:dyDescent="0.2">
      <c r="A50" s="2556"/>
      <c r="B50" s="2557"/>
      <c r="C50" s="1738" t="s">
        <v>1261</v>
      </c>
      <c r="D50" s="1783" t="s">
        <v>1667</v>
      </c>
      <c r="E50" s="1022">
        <v>0</v>
      </c>
      <c r="F50" s="1023">
        <v>11406</v>
      </c>
      <c r="G50" s="1022">
        <v>11406</v>
      </c>
      <c r="H50" s="2475">
        <f t="shared" si="8"/>
        <v>100</v>
      </c>
      <c r="I50" s="2474"/>
      <c r="J50" s="2476"/>
      <c r="K50" s="1936">
        <v>11405500</v>
      </c>
      <c r="L50" s="1936">
        <v>11405500</v>
      </c>
    </row>
    <row r="51" spans="1:12" s="2468" customFormat="1" ht="14.25" customHeight="1" x14ac:dyDescent="0.25">
      <c r="A51" s="2556">
        <v>4399</v>
      </c>
      <c r="B51" s="2557">
        <v>5221</v>
      </c>
      <c r="C51" s="2466"/>
      <c r="D51" s="3257" t="s">
        <v>363</v>
      </c>
      <c r="E51" s="1030">
        <f>E53</f>
        <v>0</v>
      </c>
      <c r="F51" s="1030">
        <f>F53</f>
        <v>67535</v>
      </c>
      <c r="G51" s="1030">
        <f>G53</f>
        <v>65771</v>
      </c>
      <c r="H51" s="2305">
        <f t="shared" si="8"/>
        <v>97.388021026134595</v>
      </c>
      <c r="I51" s="2473"/>
      <c r="J51" s="2476"/>
      <c r="K51" s="1679">
        <f>K53</f>
        <v>67535000</v>
      </c>
      <c r="L51" s="1679">
        <f>L53</f>
        <v>65771800</v>
      </c>
    </row>
    <row r="52" spans="1:12" s="1875" customFormat="1" ht="14.25" customHeight="1" x14ac:dyDescent="0.2">
      <c r="A52" s="2556"/>
      <c r="B52" s="2557"/>
      <c r="C52" s="1738"/>
      <c r="D52" s="3257"/>
      <c r="E52" s="1022"/>
      <c r="F52" s="1023"/>
      <c r="G52" s="1022"/>
      <c r="H52" s="2304"/>
      <c r="I52" s="2474"/>
      <c r="J52" s="2476"/>
      <c r="K52" s="1936"/>
      <c r="L52" s="1936"/>
    </row>
    <row r="53" spans="1:12" s="1875" customFormat="1" ht="14.25" customHeight="1" x14ac:dyDescent="0.2">
      <c r="A53" s="2556"/>
      <c r="B53" s="2557"/>
      <c r="C53" s="1738" t="s">
        <v>1261</v>
      </c>
      <c r="D53" s="1783" t="s">
        <v>1667</v>
      </c>
      <c r="E53" s="1022">
        <v>0</v>
      </c>
      <c r="F53" s="1023">
        <v>67535</v>
      </c>
      <c r="G53" s="1022">
        <v>65771</v>
      </c>
      <c r="H53" s="2304">
        <f t="shared" ref="H53:H68" si="9">(G53/F53)*100</f>
        <v>97.388021026134595</v>
      </c>
      <c r="I53" s="2474"/>
      <c r="J53" s="2476"/>
      <c r="K53" s="1936">
        <v>67535000</v>
      </c>
      <c r="L53" s="1936">
        <v>65771800</v>
      </c>
    </row>
    <row r="54" spans="1:12" s="2468" customFormat="1" ht="14.25" customHeight="1" x14ac:dyDescent="0.25">
      <c r="A54" s="2556">
        <v>4399</v>
      </c>
      <c r="B54" s="2557">
        <v>5222</v>
      </c>
      <c r="C54" s="2466"/>
      <c r="D54" s="2467" t="s">
        <v>800</v>
      </c>
      <c r="E54" s="1030">
        <f>E55</f>
        <v>0</v>
      </c>
      <c r="F54" s="1815">
        <f>F55</f>
        <v>58488</v>
      </c>
      <c r="G54" s="1030">
        <f>G55</f>
        <v>58488</v>
      </c>
      <c r="H54" s="2305">
        <f t="shared" si="9"/>
        <v>100</v>
      </c>
      <c r="I54" s="2473"/>
      <c r="J54" s="2476"/>
      <c r="K54" s="1679">
        <f>K55</f>
        <v>58488300</v>
      </c>
      <c r="L54" s="1679">
        <f>L55</f>
        <v>58488300</v>
      </c>
    </row>
    <row r="55" spans="1:12" s="1875" customFormat="1" ht="14.25" customHeight="1" x14ac:dyDescent="0.2">
      <c r="A55" s="2556"/>
      <c r="B55" s="2557"/>
      <c r="C55" s="1738" t="s">
        <v>1261</v>
      </c>
      <c r="D55" s="1783" t="s">
        <v>1667</v>
      </c>
      <c r="E55" s="1022">
        <v>0</v>
      </c>
      <c r="F55" s="1808">
        <v>58488</v>
      </c>
      <c r="G55" s="1808">
        <v>58488</v>
      </c>
      <c r="H55" s="2304">
        <f t="shared" si="9"/>
        <v>100</v>
      </c>
      <c r="I55" s="2474"/>
      <c r="J55" s="2476"/>
      <c r="K55" s="1936">
        <v>58488300</v>
      </c>
      <c r="L55" s="1936">
        <v>58488300</v>
      </c>
    </row>
    <row r="56" spans="1:12" s="1875" customFormat="1" ht="14.25" customHeight="1" x14ac:dyDescent="0.25">
      <c r="A56" s="2556">
        <v>4399</v>
      </c>
      <c r="B56" s="2557">
        <v>5223</v>
      </c>
      <c r="C56" s="1724"/>
      <c r="D56" s="1071" t="s">
        <v>1246</v>
      </c>
      <c r="E56" s="1030">
        <f>E57</f>
        <v>0</v>
      </c>
      <c r="F56" s="1815">
        <f>F57</f>
        <v>135046</v>
      </c>
      <c r="G56" s="1030">
        <f>G57</f>
        <v>135046</v>
      </c>
      <c r="H56" s="2305">
        <f t="shared" si="9"/>
        <v>100</v>
      </c>
      <c r="I56" s="2474"/>
      <c r="J56" s="2476"/>
      <c r="K56" s="1679">
        <f>K57</f>
        <v>135046400</v>
      </c>
      <c r="L56" s="1679">
        <f>L57</f>
        <v>135046400</v>
      </c>
    </row>
    <row r="57" spans="1:12" s="1875" customFormat="1" ht="14.25" customHeight="1" x14ac:dyDescent="0.2">
      <c r="A57" s="2556"/>
      <c r="B57" s="2557"/>
      <c r="C57" s="1738" t="s">
        <v>1261</v>
      </c>
      <c r="D57" s="1783" t="s">
        <v>1667</v>
      </c>
      <c r="E57" s="1022">
        <v>0</v>
      </c>
      <c r="F57" s="1808">
        <v>135046</v>
      </c>
      <c r="G57" s="1022">
        <v>135046</v>
      </c>
      <c r="H57" s="2304">
        <f t="shared" si="9"/>
        <v>100</v>
      </c>
      <c r="I57" s="2474"/>
      <c r="J57" s="2476"/>
      <c r="K57" s="1936">
        <v>135046400</v>
      </c>
      <c r="L57" s="1936">
        <v>135046400</v>
      </c>
    </row>
    <row r="58" spans="1:12" s="1875" customFormat="1" ht="14.25" customHeight="1" x14ac:dyDescent="0.25">
      <c r="A58" s="2556">
        <v>4399</v>
      </c>
      <c r="B58" s="2557">
        <v>5229</v>
      </c>
      <c r="C58" s="1724"/>
      <c r="D58" s="1071" t="s">
        <v>1641</v>
      </c>
      <c r="E58" s="1030">
        <f>E59</f>
        <v>0</v>
      </c>
      <c r="F58" s="1815">
        <f>F59</f>
        <v>17244</v>
      </c>
      <c r="G58" s="1030">
        <f>G59</f>
        <v>17244</v>
      </c>
      <c r="H58" s="2305">
        <f t="shared" si="9"/>
        <v>100</v>
      </c>
      <c r="I58" s="2474"/>
      <c r="J58" s="2476"/>
      <c r="K58" s="1679">
        <f>K59</f>
        <v>17243700</v>
      </c>
      <c r="L58" s="1679">
        <f>L59</f>
        <v>17243700</v>
      </c>
    </row>
    <row r="59" spans="1:12" s="1875" customFormat="1" ht="14.25" customHeight="1" x14ac:dyDescent="0.2">
      <c r="A59" s="2556"/>
      <c r="B59" s="2557"/>
      <c r="C59" s="1738" t="s">
        <v>1261</v>
      </c>
      <c r="D59" s="1783" t="s">
        <v>1667</v>
      </c>
      <c r="E59" s="1022">
        <v>0</v>
      </c>
      <c r="F59" s="1808">
        <v>17244</v>
      </c>
      <c r="G59" s="1022">
        <v>17244</v>
      </c>
      <c r="H59" s="2304">
        <f t="shared" si="9"/>
        <v>100</v>
      </c>
      <c r="I59" s="2474"/>
      <c r="J59" s="2476"/>
      <c r="K59" s="1936">
        <v>17243700</v>
      </c>
      <c r="L59" s="1936">
        <v>17243700</v>
      </c>
    </row>
    <row r="60" spans="1:12" s="1875" customFormat="1" ht="14.25" customHeight="1" x14ac:dyDescent="0.25">
      <c r="A60" s="2556">
        <v>4399</v>
      </c>
      <c r="B60" s="2557">
        <v>5321</v>
      </c>
      <c r="C60" s="1724"/>
      <c r="D60" s="1071" t="s">
        <v>566</v>
      </c>
      <c r="E60" s="1030">
        <f>E61</f>
        <v>0</v>
      </c>
      <c r="F60" s="1031">
        <f>F61</f>
        <v>123968</v>
      </c>
      <c r="G60" s="1030">
        <f>G61</f>
        <v>123968</v>
      </c>
      <c r="H60" s="2305">
        <f t="shared" si="9"/>
        <v>100</v>
      </c>
      <c r="I60" s="2474"/>
      <c r="J60" s="2476"/>
      <c r="K60" s="1679">
        <f>K61</f>
        <v>123968100</v>
      </c>
      <c r="L60" s="1679">
        <f>L61</f>
        <v>123968100</v>
      </c>
    </row>
    <row r="61" spans="1:12" s="1875" customFormat="1" ht="14.25" customHeight="1" x14ac:dyDescent="0.2">
      <c r="A61" s="2556"/>
      <c r="B61" s="2557"/>
      <c r="C61" s="1738" t="s">
        <v>1261</v>
      </c>
      <c r="D61" s="1783" t="s">
        <v>1667</v>
      </c>
      <c r="E61" s="1022">
        <v>0</v>
      </c>
      <c r="F61" s="1023">
        <v>123968</v>
      </c>
      <c r="G61" s="1022">
        <v>123968</v>
      </c>
      <c r="H61" s="2304">
        <f t="shared" si="9"/>
        <v>100</v>
      </c>
      <c r="I61" s="2474"/>
      <c r="J61" s="2476"/>
      <c r="K61" s="1936">
        <v>123968100</v>
      </c>
      <c r="L61" s="1936">
        <v>123968100</v>
      </c>
    </row>
    <row r="62" spans="1:12" s="1875" customFormat="1" ht="14.25" customHeight="1" x14ac:dyDescent="0.25">
      <c r="A62" s="2556">
        <v>4399</v>
      </c>
      <c r="B62" s="2557">
        <v>5336</v>
      </c>
      <c r="C62" s="1738"/>
      <c r="D62" s="3009" t="s">
        <v>1640</v>
      </c>
      <c r="E62" s="1030">
        <f>E63</f>
        <v>0</v>
      </c>
      <c r="F62" s="1031">
        <f>F63</f>
        <v>1220</v>
      </c>
      <c r="G62" s="1030">
        <f>G63</f>
        <v>1220</v>
      </c>
      <c r="H62" s="2305">
        <f t="shared" si="9"/>
        <v>100</v>
      </c>
      <c r="I62" s="2474"/>
      <c r="J62" s="2476"/>
      <c r="K62" s="1679">
        <f>K63</f>
        <v>1220100</v>
      </c>
      <c r="L62" s="1679">
        <f>L63</f>
        <v>1220100</v>
      </c>
    </row>
    <row r="63" spans="1:12" s="1875" customFormat="1" ht="14.25" customHeight="1" x14ac:dyDescent="0.2">
      <c r="A63" s="2556"/>
      <c r="B63" s="2557"/>
      <c r="C63" s="1738" t="s">
        <v>1261</v>
      </c>
      <c r="D63" s="1783" t="s">
        <v>1667</v>
      </c>
      <c r="E63" s="1022">
        <v>0</v>
      </c>
      <c r="F63" s="1023">
        <v>1220</v>
      </c>
      <c r="G63" s="1022">
        <v>1220</v>
      </c>
      <c r="H63" s="2304">
        <f t="shared" si="9"/>
        <v>100</v>
      </c>
      <c r="I63" s="2474"/>
      <c r="J63" s="2476"/>
      <c r="K63" s="1936">
        <v>1220100</v>
      </c>
      <c r="L63" s="1936">
        <v>1220100</v>
      </c>
    </row>
    <row r="64" spans="1:12" s="1875" customFormat="1" ht="12.75" customHeight="1" x14ac:dyDescent="0.25">
      <c r="A64" s="2556">
        <v>4399</v>
      </c>
      <c r="B64" s="2557">
        <v>5339</v>
      </c>
      <c r="C64" s="1738"/>
      <c r="D64" s="3109" t="s">
        <v>1948</v>
      </c>
      <c r="E64" s="1030">
        <f>E65</f>
        <v>0</v>
      </c>
      <c r="F64" s="1031">
        <f>F65</f>
        <v>1182</v>
      </c>
      <c r="G64" s="1030">
        <f>G65</f>
        <v>1182</v>
      </c>
      <c r="H64" s="2305">
        <f t="shared" si="9"/>
        <v>100</v>
      </c>
      <c r="I64" s="2474"/>
      <c r="J64" s="2476"/>
      <c r="K64" s="1679">
        <f>K65</f>
        <v>1182000</v>
      </c>
      <c r="L64" s="1679">
        <f>L65</f>
        <v>1182000</v>
      </c>
    </row>
    <row r="65" spans="1:12" s="1875" customFormat="1" ht="14.25" customHeight="1" x14ac:dyDescent="0.2">
      <c r="A65" s="2556"/>
      <c r="B65" s="2557"/>
      <c r="C65" s="1738" t="s">
        <v>1261</v>
      </c>
      <c r="D65" s="1783" t="s">
        <v>1667</v>
      </c>
      <c r="E65" s="1022">
        <v>0</v>
      </c>
      <c r="F65" s="1023">
        <v>1182</v>
      </c>
      <c r="G65" s="1022">
        <v>1182</v>
      </c>
      <c r="H65" s="2304">
        <f t="shared" si="9"/>
        <v>100</v>
      </c>
      <c r="I65" s="2474"/>
      <c r="J65" s="2476"/>
      <c r="K65" s="1936">
        <v>1182000</v>
      </c>
      <c r="L65" s="1936">
        <v>1182000</v>
      </c>
    </row>
    <row r="66" spans="1:12" s="2468" customFormat="1" ht="14.25" customHeight="1" x14ac:dyDescent="0.25">
      <c r="A66" s="2556">
        <v>6172</v>
      </c>
      <c r="B66" s="2557">
        <v>5161</v>
      </c>
      <c r="C66" s="2466"/>
      <c r="D66" s="2478" t="s">
        <v>822</v>
      </c>
      <c r="E66" s="1030">
        <v>5</v>
      </c>
      <c r="F66" s="1031">
        <v>5</v>
      </c>
      <c r="G66" s="1030">
        <v>0</v>
      </c>
      <c r="H66" s="2305">
        <f t="shared" si="9"/>
        <v>0</v>
      </c>
      <c r="J66" s="1679">
        <v>5000</v>
      </c>
      <c r="K66" s="1679">
        <v>5000</v>
      </c>
      <c r="L66" s="1679">
        <v>0</v>
      </c>
    </row>
    <row r="67" spans="1:12" s="2468" customFormat="1" ht="14.25" customHeight="1" x14ac:dyDescent="0.25">
      <c r="A67" s="2556">
        <v>6172</v>
      </c>
      <c r="B67" s="2557">
        <v>5169</v>
      </c>
      <c r="C67" s="2466"/>
      <c r="D67" s="1071" t="s">
        <v>430</v>
      </c>
      <c r="E67" s="1030">
        <v>10</v>
      </c>
      <c r="F67" s="1031">
        <v>10</v>
      </c>
      <c r="G67" s="1030">
        <v>0</v>
      </c>
      <c r="H67" s="2305">
        <v>0</v>
      </c>
      <c r="J67" s="1679">
        <v>10000</v>
      </c>
      <c r="K67" s="1679">
        <v>10000</v>
      </c>
      <c r="L67" s="1679">
        <v>0</v>
      </c>
    </row>
    <row r="68" spans="1:12" s="2468" customFormat="1" ht="14.25" customHeight="1" thickBot="1" x14ac:dyDescent="0.3">
      <c r="A68" s="2556">
        <v>6172</v>
      </c>
      <c r="B68" s="2557">
        <v>5192</v>
      </c>
      <c r="C68" s="2466"/>
      <c r="D68" s="1071" t="s">
        <v>826</v>
      </c>
      <c r="E68" s="1030">
        <v>34</v>
      </c>
      <c r="F68" s="1031">
        <v>15</v>
      </c>
      <c r="G68" s="1030">
        <v>0</v>
      </c>
      <c r="H68" s="2305">
        <f t="shared" si="9"/>
        <v>0</v>
      </c>
      <c r="J68" s="1679">
        <v>34000</v>
      </c>
      <c r="K68" s="1679">
        <v>15000</v>
      </c>
      <c r="L68" s="1679">
        <v>0</v>
      </c>
    </row>
    <row r="69" spans="1:12" s="1800" customFormat="1" ht="35.25" customHeight="1" thickTop="1" thickBot="1" x14ac:dyDescent="0.3">
      <c r="A69" s="1805" t="s">
        <v>132</v>
      </c>
      <c r="B69" s="1803"/>
      <c r="C69" s="1804"/>
      <c r="D69" s="1803"/>
      <c r="E69" s="1802">
        <f>E68+E67+E66+E45+E41+E38+E23+E16+E32+E34+E49+E51+E54+E56+E58+E60+E62+E64++E30+E27+E20+E17+E12+E15</f>
        <v>1571</v>
      </c>
      <c r="F69" s="1802">
        <f>F68+F67+F66+F45+F41+F38+F23+F16+F32+F34+F49+F51+F54+F56+F58+F60+F62+F64++F30+F27+F20+F17+F12+F15+F36</f>
        <v>424203</v>
      </c>
      <c r="G69" s="1802">
        <f>G68+G67+G66+G45+G41+G38+G23+G16+G32+G34+G49+G51+G54+G56+G58+G60+G62+G64++G30+G27+G20+G17+G12+G15+G36</f>
        <v>422031</v>
      </c>
      <c r="H69" s="1801">
        <f>(G69/F69)*100</f>
        <v>99.487980990233453</v>
      </c>
      <c r="J69" s="2463">
        <f>J68+J67+J66+J41+J38+J23+J16+J45+J34+J32+J30+J27+J20+J12+J15+J17+J36+J51+J54+J56+J58+J60+J62+J64</f>
        <v>1571000</v>
      </c>
      <c r="K69" s="2463">
        <f t="shared" ref="K69:L69" si="10">K68+K67+K66+K41+K38+K23+K16+K45+K34+K32+K30+K27+K20+K12+K15+K17+K36+K51+K54+K56+K58+K60+K62+K64</f>
        <v>412796980</v>
      </c>
      <c r="L69" s="2463">
        <f t="shared" si="10"/>
        <v>410626000.56999999</v>
      </c>
    </row>
    <row r="70" spans="1:12" ht="15" thickTop="1" x14ac:dyDescent="0.2"/>
    <row r="71" spans="1:12" x14ac:dyDescent="0.2">
      <c r="J71" s="1679"/>
      <c r="K71" s="1679"/>
      <c r="L71" s="1679"/>
    </row>
    <row r="72" spans="1:12" s="1719" customFormat="1" ht="15.75" x14ac:dyDescent="0.25">
      <c r="A72" s="1789" t="s">
        <v>323</v>
      </c>
      <c r="B72" s="1762"/>
      <c r="C72" s="1761"/>
      <c r="E72" s="1755"/>
      <c r="F72" s="1755"/>
      <c r="G72" s="1755"/>
      <c r="H72" s="1754"/>
    </row>
    <row r="73" spans="1:12" ht="15" x14ac:dyDescent="0.2">
      <c r="A73" s="1788"/>
    </row>
    <row r="74" spans="1:12" s="1719" customFormat="1" ht="15.75" x14ac:dyDescent="0.25">
      <c r="A74" s="1693" t="s">
        <v>629</v>
      </c>
      <c r="B74" s="1762"/>
      <c r="C74" s="1761"/>
      <c r="E74" s="1755" t="s">
        <v>628</v>
      </c>
      <c r="F74" s="1755"/>
      <c r="G74" s="1755"/>
      <c r="H74" s="1754"/>
    </row>
    <row r="75" spans="1:12" ht="15" thickBot="1" x14ac:dyDescent="0.25">
      <c r="A75" s="1712"/>
      <c r="H75" s="1753" t="s">
        <v>92</v>
      </c>
    </row>
    <row r="76" spans="1:12" s="1747" customFormat="1" ht="20.25" customHeight="1" thickTop="1" thickBot="1" x14ac:dyDescent="0.25">
      <c r="A76" s="2456" t="s">
        <v>93</v>
      </c>
      <c r="B76" s="2457" t="s">
        <v>94</v>
      </c>
      <c r="C76" s="2458" t="s">
        <v>364</v>
      </c>
      <c r="D76" s="1041" t="s">
        <v>95</v>
      </c>
      <c r="E76" s="1069" t="s">
        <v>328</v>
      </c>
      <c r="F76" s="1069" t="s">
        <v>329</v>
      </c>
      <c r="G76" s="1749" t="s">
        <v>448</v>
      </c>
      <c r="H76" s="1784" t="s">
        <v>449</v>
      </c>
      <c r="L76" s="2461"/>
    </row>
    <row r="77" spans="1:12" s="1037" customFormat="1" ht="15.75" thickTop="1" thickBot="1" x14ac:dyDescent="0.25">
      <c r="A77" s="1042">
        <v>1</v>
      </c>
      <c r="B77" s="1041">
        <v>2</v>
      </c>
      <c r="C77" s="1041">
        <v>3</v>
      </c>
      <c r="D77" s="1041">
        <v>4</v>
      </c>
      <c r="E77" s="1041">
        <v>5</v>
      </c>
      <c r="F77" s="1040">
        <v>6</v>
      </c>
      <c r="G77" s="1040">
        <v>7</v>
      </c>
      <c r="H77" s="1039" t="s">
        <v>33</v>
      </c>
      <c r="I77" s="1043"/>
      <c r="L77" s="2462"/>
    </row>
    <row r="78" spans="1:12" ht="15.75" thickTop="1" x14ac:dyDescent="0.25">
      <c r="A78" s="1726">
        <v>4399</v>
      </c>
      <c r="B78" s="1786">
        <v>5336</v>
      </c>
      <c r="C78" s="1738"/>
      <c r="D78" s="1787" t="s">
        <v>1640</v>
      </c>
      <c r="E78" s="1736">
        <f>E79</f>
        <v>0</v>
      </c>
      <c r="F78" s="1736">
        <f>F79</f>
        <v>12895</v>
      </c>
      <c r="G78" s="1736">
        <f>G79</f>
        <v>12895</v>
      </c>
      <c r="H78" s="1728">
        <f>(G78/F78)*100</f>
        <v>100</v>
      </c>
      <c r="L78" s="2461"/>
    </row>
    <row r="79" spans="1:12" ht="15" thickBot="1" x14ac:dyDescent="0.25">
      <c r="A79" s="1726"/>
      <c r="B79" s="1786"/>
      <c r="C79" s="1738" t="s">
        <v>1261</v>
      </c>
      <c r="D79" s="1783" t="s">
        <v>1667</v>
      </c>
      <c r="E79" s="1722">
        <v>0</v>
      </c>
      <c r="F79" s="1722">
        <v>12895</v>
      </c>
      <c r="G79" s="1722">
        <v>12895</v>
      </c>
      <c r="H79" s="1721">
        <f>(G79/F79)*100</f>
        <v>100</v>
      </c>
      <c r="L79" s="2461"/>
    </row>
    <row r="80" spans="1:12" s="1687" customFormat="1" ht="18" thickTop="1" thickBot="1" x14ac:dyDescent="0.3">
      <c r="A80" s="1718" t="s">
        <v>522</v>
      </c>
      <c r="B80" s="1717"/>
      <c r="C80" s="1716"/>
      <c r="D80" s="1715"/>
      <c r="E80" s="1714">
        <f>SUM(E78)</f>
        <v>0</v>
      </c>
      <c r="F80" s="1714">
        <f t="shared" ref="F80:G80" si="11">SUM(F78)</f>
        <v>12895</v>
      </c>
      <c r="G80" s="1714">
        <f t="shared" si="11"/>
        <v>12895</v>
      </c>
      <c r="H80" s="1713">
        <f>G80/F80*100</f>
        <v>100</v>
      </c>
      <c r="L80" s="2461">
        <v>12895300</v>
      </c>
    </row>
    <row r="81" spans="1:12" s="1687" customFormat="1" ht="17.25" thickTop="1" x14ac:dyDescent="0.25">
      <c r="A81" s="1701"/>
      <c r="B81" s="1700"/>
      <c r="C81" s="1699"/>
      <c r="D81" s="1698"/>
      <c r="E81" s="1770"/>
      <c r="F81" s="1770"/>
      <c r="G81" s="1770"/>
      <c r="H81" s="1769"/>
      <c r="L81" s="2461"/>
    </row>
    <row r="82" spans="1:12" s="1687" customFormat="1" ht="27.75" customHeight="1" thickBot="1" x14ac:dyDescent="0.3">
      <c r="A82" s="1711" t="s">
        <v>630</v>
      </c>
      <c r="B82" s="1766"/>
      <c r="C82" s="1765"/>
      <c r="D82" s="1764"/>
      <c r="E82" s="1709">
        <f>SUM(E80)</f>
        <v>0</v>
      </c>
      <c r="F82" s="1709">
        <f>SUM(F80)</f>
        <v>12895</v>
      </c>
      <c r="G82" s="1709">
        <f>SUM(G80)</f>
        <v>12895</v>
      </c>
      <c r="H82" s="1708">
        <f>(G82/F82)*100</f>
        <v>100</v>
      </c>
      <c r="L82" s="2461"/>
    </row>
    <row r="83" spans="1:12" ht="15" thickTop="1" x14ac:dyDescent="0.2">
      <c r="L83" s="2461"/>
    </row>
    <row r="84" spans="1:12" x14ac:dyDescent="0.2">
      <c r="L84" s="2461"/>
    </row>
    <row r="85" spans="1:12" s="1183" customFormat="1" ht="15.75" x14ac:dyDescent="0.25">
      <c r="A85" s="1693" t="s">
        <v>782</v>
      </c>
      <c r="B85" s="1767"/>
      <c r="C85" s="1761"/>
      <c r="E85" s="1755" t="s">
        <v>631</v>
      </c>
      <c r="F85" s="1755"/>
      <c r="G85" s="1755"/>
      <c r="H85" s="1754"/>
      <c r="L85" s="2461"/>
    </row>
    <row r="86" spans="1:12" ht="15" thickBot="1" x14ac:dyDescent="0.25">
      <c r="A86" s="1712"/>
      <c r="H86" s="1753" t="s">
        <v>92</v>
      </c>
      <c r="L86" s="2461"/>
    </row>
    <row r="87" spans="1:12" s="1747" customFormat="1" ht="20.25" customHeight="1" thickTop="1" thickBot="1" x14ac:dyDescent="0.25">
      <c r="A87" s="2456" t="s">
        <v>93</v>
      </c>
      <c r="B87" s="2457" t="s">
        <v>94</v>
      </c>
      <c r="C87" s="2458" t="s">
        <v>364</v>
      </c>
      <c r="D87" s="1041" t="s">
        <v>95</v>
      </c>
      <c r="E87" s="1069" t="s">
        <v>328</v>
      </c>
      <c r="F87" s="1069" t="s">
        <v>329</v>
      </c>
      <c r="G87" s="1749" t="s">
        <v>448</v>
      </c>
      <c r="H87" s="1784" t="s">
        <v>449</v>
      </c>
      <c r="L87" s="2461"/>
    </row>
    <row r="88" spans="1:12" s="1037" customFormat="1" ht="15.75" thickTop="1" thickBot="1" x14ac:dyDescent="0.25">
      <c r="A88" s="1042">
        <v>1</v>
      </c>
      <c r="B88" s="1041">
        <v>2</v>
      </c>
      <c r="C88" s="1041">
        <v>3</v>
      </c>
      <c r="D88" s="1041">
        <v>4</v>
      </c>
      <c r="E88" s="1041">
        <v>5</v>
      </c>
      <c r="F88" s="1040">
        <v>6</v>
      </c>
      <c r="G88" s="1040">
        <v>7</v>
      </c>
      <c r="H88" s="1039" t="s">
        <v>33</v>
      </c>
      <c r="I88" s="1043"/>
      <c r="L88" s="2462"/>
    </row>
    <row r="89" spans="1:12" ht="15.75" thickTop="1" x14ac:dyDescent="0.25">
      <c r="A89" s="1726">
        <v>4399</v>
      </c>
      <c r="B89" s="1786">
        <v>5336</v>
      </c>
      <c r="C89" s="1740"/>
      <c r="D89" s="1787" t="s">
        <v>1640</v>
      </c>
      <c r="E89" s="1736">
        <f>E90</f>
        <v>0</v>
      </c>
      <c r="F89" s="1736">
        <f>F90</f>
        <v>10642</v>
      </c>
      <c r="G89" s="1736">
        <f>G90</f>
        <v>10642</v>
      </c>
      <c r="H89" s="1728">
        <f t="shared" ref="H89:H91" si="12">(G89/F89)*100</f>
        <v>100</v>
      </c>
      <c r="L89" s="2461"/>
    </row>
    <row r="90" spans="1:12" ht="15" thickBot="1" x14ac:dyDescent="0.25">
      <c r="A90" s="1726"/>
      <c r="B90" s="1786"/>
      <c r="C90" s="1738" t="s">
        <v>1261</v>
      </c>
      <c r="D90" s="1783" t="s">
        <v>1667</v>
      </c>
      <c r="E90" s="1722">
        <v>0</v>
      </c>
      <c r="F90" s="1722">
        <v>10642</v>
      </c>
      <c r="G90" s="1722">
        <v>10642</v>
      </c>
      <c r="H90" s="1721">
        <f t="shared" si="12"/>
        <v>100</v>
      </c>
      <c r="L90" s="2461"/>
    </row>
    <row r="91" spans="1:12" s="1687" customFormat="1" ht="20.25" customHeight="1" thickTop="1" thickBot="1" x14ac:dyDescent="0.3">
      <c r="A91" s="1718" t="s">
        <v>522</v>
      </c>
      <c r="B91" s="1717"/>
      <c r="C91" s="1716"/>
      <c r="D91" s="1715"/>
      <c r="E91" s="1714">
        <f>E89</f>
        <v>0</v>
      </c>
      <c r="F91" s="1714">
        <f t="shared" ref="F91:G91" si="13">F89</f>
        <v>10642</v>
      </c>
      <c r="G91" s="1714">
        <f t="shared" si="13"/>
        <v>10642</v>
      </c>
      <c r="H91" s="1713">
        <f t="shared" si="12"/>
        <v>100</v>
      </c>
      <c r="L91" s="2461">
        <v>10641800</v>
      </c>
    </row>
    <row r="92" spans="1:12" s="1682" customFormat="1" ht="20.25" customHeight="1" thickTop="1" x14ac:dyDescent="0.25">
      <c r="A92" s="1705"/>
      <c r="B92" s="1760"/>
      <c r="C92" s="1768"/>
      <c r="D92" s="1758"/>
      <c r="E92" s="1706"/>
      <c r="F92" s="1706"/>
      <c r="G92" s="1706"/>
      <c r="H92" s="1703"/>
      <c r="L92" s="2461"/>
    </row>
    <row r="93" spans="1:12" s="1687" customFormat="1" ht="27.75" customHeight="1" thickBot="1" x14ac:dyDescent="0.3">
      <c r="A93" s="1711" t="s">
        <v>562</v>
      </c>
      <c r="B93" s="1766"/>
      <c r="C93" s="1765"/>
      <c r="D93" s="1764"/>
      <c r="E93" s="1709">
        <f>SUM(E91)</f>
        <v>0</v>
      </c>
      <c r="F93" s="1709">
        <f>SUM(F91)</f>
        <v>10642</v>
      </c>
      <c r="G93" s="1709">
        <f>SUM(G91)</f>
        <v>10642</v>
      </c>
      <c r="H93" s="1708">
        <f>(G93/F93)*100</f>
        <v>100</v>
      </c>
      <c r="L93" s="2461"/>
    </row>
    <row r="94" spans="1:12" s="1682" customFormat="1" ht="15" customHeight="1" thickTop="1" x14ac:dyDescent="0.25">
      <c r="A94" s="1705"/>
      <c r="B94" s="1760"/>
      <c r="C94" s="1768"/>
      <c r="D94" s="1758"/>
      <c r="E94" s="1706"/>
      <c r="F94" s="1706"/>
      <c r="G94" s="1706"/>
      <c r="H94" s="1703"/>
      <c r="L94" s="2461"/>
    </row>
    <row r="95" spans="1:12" s="1682" customFormat="1" ht="15" customHeight="1" x14ac:dyDescent="0.25">
      <c r="A95" s="1705"/>
      <c r="B95" s="1760"/>
      <c r="C95" s="1768"/>
      <c r="D95" s="1758"/>
      <c r="E95" s="1706"/>
      <c r="F95" s="1706"/>
      <c r="G95" s="1706"/>
      <c r="H95" s="1703"/>
      <c r="L95" s="2461"/>
    </row>
    <row r="96" spans="1:12" s="1719" customFormat="1" ht="15.75" x14ac:dyDescent="0.25">
      <c r="A96" s="1693" t="s">
        <v>563</v>
      </c>
      <c r="B96" s="1762"/>
      <c r="C96" s="1761"/>
      <c r="E96" s="1755" t="s">
        <v>632</v>
      </c>
      <c r="F96" s="1755"/>
      <c r="G96" s="1755"/>
      <c r="H96" s="1754"/>
      <c r="L96" s="2461"/>
    </row>
    <row r="97" spans="1:12" ht="15" thickBot="1" x14ac:dyDescent="0.25">
      <c r="A97" s="1712"/>
      <c r="H97" s="1753" t="s">
        <v>92</v>
      </c>
      <c r="L97" s="2461"/>
    </row>
    <row r="98" spans="1:12" s="1747" customFormat="1" ht="20.25" customHeight="1" thickTop="1" thickBot="1" x14ac:dyDescent="0.25">
      <c r="A98" s="2456" t="s">
        <v>93</v>
      </c>
      <c r="B98" s="2457" t="s">
        <v>94</v>
      </c>
      <c r="C98" s="2458" t="s">
        <v>364</v>
      </c>
      <c r="D98" s="1041" t="s">
        <v>95</v>
      </c>
      <c r="E98" s="1069" t="s">
        <v>328</v>
      </c>
      <c r="F98" s="1069" t="s">
        <v>329</v>
      </c>
      <c r="G98" s="1749" t="s">
        <v>448</v>
      </c>
      <c r="H98" s="1784" t="s">
        <v>449</v>
      </c>
      <c r="L98" s="2461"/>
    </row>
    <row r="99" spans="1:12" s="1037" customFormat="1" ht="15.75" thickTop="1" thickBot="1" x14ac:dyDescent="0.25">
      <c r="A99" s="1042">
        <v>1</v>
      </c>
      <c r="B99" s="1041">
        <v>2</v>
      </c>
      <c r="C99" s="1041">
        <v>3</v>
      </c>
      <c r="D99" s="1041">
        <v>4</v>
      </c>
      <c r="E99" s="1041">
        <v>5</v>
      </c>
      <c r="F99" s="1040">
        <v>6</v>
      </c>
      <c r="G99" s="1040">
        <v>7</v>
      </c>
      <c r="H99" s="1039" t="s">
        <v>33</v>
      </c>
      <c r="I99" s="1043"/>
      <c r="L99" s="2462"/>
    </row>
    <row r="100" spans="1:12" ht="15.75" thickTop="1" x14ac:dyDescent="0.25">
      <c r="A100" s="1726">
        <v>4399</v>
      </c>
      <c r="B100" s="1786">
        <v>5336</v>
      </c>
      <c r="C100" s="1740"/>
      <c r="D100" s="1787" t="s">
        <v>1640</v>
      </c>
      <c r="E100" s="1736">
        <f>E101</f>
        <v>0</v>
      </c>
      <c r="F100" s="1736">
        <f>F101</f>
        <v>2618</v>
      </c>
      <c r="G100" s="1736">
        <f>G101</f>
        <v>2618</v>
      </c>
      <c r="H100" s="1728">
        <f>(G100/F100)*100</f>
        <v>100</v>
      </c>
      <c r="L100" s="2461"/>
    </row>
    <row r="101" spans="1:12" ht="15" thickBot="1" x14ac:dyDescent="0.25">
      <c r="A101" s="1726"/>
      <c r="B101" s="1786"/>
      <c r="C101" s="1738" t="s">
        <v>1261</v>
      </c>
      <c r="D101" s="1783" t="s">
        <v>1667</v>
      </c>
      <c r="E101" s="1722">
        <v>0</v>
      </c>
      <c r="F101" s="1722">
        <v>2618</v>
      </c>
      <c r="G101" s="1722">
        <v>2618</v>
      </c>
      <c r="H101" s="1721">
        <f>(G101/F101)*100</f>
        <v>100</v>
      </c>
      <c r="L101" s="2461"/>
    </row>
    <row r="102" spans="1:12" s="1687" customFormat="1" ht="20.25" customHeight="1" thickTop="1" thickBot="1" x14ac:dyDescent="0.3">
      <c r="A102" s="1718" t="s">
        <v>522</v>
      </c>
      <c r="B102" s="1717"/>
      <c r="C102" s="1716"/>
      <c r="D102" s="1715"/>
      <c r="E102" s="1714">
        <f>E100</f>
        <v>0</v>
      </c>
      <c r="F102" s="1714">
        <f t="shared" ref="F102:G102" si="14">F100</f>
        <v>2618</v>
      </c>
      <c r="G102" s="1714">
        <f t="shared" si="14"/>
        <v>2618</v>
      </c>
      <c r="H102" s="1713">
        <f>(G102/F102)*100</f>
        <v>100</v>
      </c>
      <c r="L102" s="2461">
        <v>2617600</v>
      </c>
    </row>
    <row r="103" spans="1:12" s="1719" customFormat="1" ht="15.75" thickTop="1" x14ac:dyDescent="0.25">
      <c r="A103" s="1762"/>
      <c r="B103" s="1762"/>
      <c r="C103" s="1761"/>
      <c r="E103" s="1755"/>
      <c r="F103" s="1755"/>
      <c r="G103" s="1755"/>
      <c r="H103" s="1754"/>
      <c r="L103" s="2461"/>
    </row>
    <row r="104" spans="1:12" s="1687" customFormat="1" ht="27.75" customHeight="1" thickBot="1" x14ac:dyDescent="0.3">
      <c r="A104" s="1711" t="s">
        <v>222</v>
      </c>
      <c r="B104" s="1766"/>
      <c r="C104" s="1765"/>
      <c r="D104" s="1764"/>
      <c r="E104" s="1709">
        <f>SUM(E102)</f>
        <v>0</v>
      </c>
      <c r="F104" s="1709">
        <f>SUM(F102)</f>
        <v>2618</v>
      </c>
      <c r="G104" s="1709">
        <f>SUM(G102)</f>
        <v>2618</v>
      </c>
      <c r="H104" s="1708">
        <f>(G104/F104)*100</f>
        <v>100</v>
      </c>
      <c r="L104" s="2461"/>
    </row>
    <row r="105" spans="1:12" s="1682" customFormat="1" ht="14.25" customHeight="1" thickTop="1" x14ac:dyDescent="0.25">
      <c r="A105" s="1705"/>
      <c r="B105" s="1760"/>
      <c r="C105" s="1768"/>
      <c r="D105" s="1758"/>
      <c r="E105" s="1706"/>
      <c r="F105" s="1706"/>
      <c r="G105" s="1706"/>
      <c r="H105" s="1703"/>
      <c r="L105" s="2461"/>
    </row>
    <row r="106" spans="1:12" s="1682" customFormat="1" ht="14.25" customHeight="1" x14ac:dyDescent="0.25">
      <c r="A106" s="1705"/>
      <c r="B106" s="1760"/>
      <c r="C106" s="1768"/>
      <c r="D106" s="1758"/>
      <c r="E106" s="1706"/>
      <c r="F106" s="1706"/>
      <c r="G106" s="1706"/>
      <c r="H106" s="1703"/>
      <c r="L106" s="2461"/>
    </row>
    <row r="107" spans="1:12" s="1682" customFormat="1" ht="14.25" customHeight="1" x14ac:dyDescent="0.25">
      <c r="A107" s="1705"/>
      <c r="B107" s="1760"/>
      <c r="C107" s="1768"/>
      <c r="D107" s="1758"/>
      <c r="E107" s="1706"/>
      <c r="F107" s="1706"/>
      <c r="G107" s="1706"/>
      <c r="H107" s="1703"/>
      <c r="L107" s="2461"/>
    </row>
    <row r="108" spans="1:12" s="1183" customFormat="1" ht="15.75" x14ac:dyDescent="0.25">
      <c r="A108" s="1693" t="s">
        <v>1262</v>
      </c>
      <c r="B108" s="1767"/>
      <c r="C108" s="1761"/>
      <c r="E108" s="1755" t="s">
        <v>633</v>
      </c>
      <c r="F108" s="1755"/>
      <c r="G108" s="1755"/>
      <c r="H108" s="1754"/>
      <c r="L108" s="2461"/>
    </row>
    <row r="109" spans="1:12" ht="15" thickBot="1" x14ac:dyDescent="0.25">
      <c r="A109" s="1712"/>
      <c r="H109" s="1753" t="s">
        <v>92</v>
      </c>
      <c r="L109" s="2461"/>
    </row>
    <row r="110" spans="1:12" s="1747" customFormat="1" ht="20.25" customHeight="1" thickTop="1" thickBot="1" x14ac:dyDescent="0.25">
      <c r="A110" s="2456" t="s">
        <v>93</v>
      </c>
      <c r="B110" s="2457" t="s">
        <v>94</v>
      </c>
      <c r="C110" s="2458" t="s">
        <v>364</v>
      </c>
      <c r="D110" s="1041" t="s">
        <v>95</v>
      </c>
      <c r="E110" s="1069" t="s">
        <v>328</v>
      </c>
      <c r="F110" s="1069" t="s">
        <v>329</v>
      </c>
      <c r="G110" s="1749" t="s">
        <v>448</v>
      </c>
      <c r="H110" s="1784" t="s">
        <v>449</v>
      </c>
      <c r="L110" s="2461"/>
    </row>
    <row r="111" spans="1:12" s="1037" customFormat="1" ht="15.75" thickTop="1" thickBot="1" x14ac:dyDescent="0.25">
      <c r="A111" s="1042">
        <v>1</v>
      </c>
      <c r="B111" s="1041">
        <v>2</v>
      </c>
      <c r="C111" s="1041">
        <v>3</v>
      </c>
      <c r="D111" s="1041">
        <v>4</v>
      </c>
      <c r="E111" s="1041">
        <v>5</v>
      </c>
      <c r="F111" s="1040">
        <v>6</v>
      </c>
      <c r="G111" s="1040">
        <v>7</v>
      </c>
      <c r="H111" s="1039" t="s">
        <v>33</v>
      </c>
      <c r="I111" s="1043"/>
      <c r="L111" s="2462"/>
    </row>
    <row r="112" spans="1:12" ht="15.75" thickTop="1" x14ac:dyDescent="0.25">
      <c r="A112" s="1726">
        <v>4399</v>
      </c>
      <c r="B112" s="1786">
        <v>5336</v>
      </c>
      <c r="C112" s="1740"/>
      <c r="D112" s="1787" t="s">
        <v>1640</v>
      </c>
      <c r="E112" s="1736">
        <f>E113</f>
        <v>0</v>
      </c>
      <c r="F112" s="1736">
        <f>F113</f>
        <v>14742</v>
      </c>
      <c r="G112" s="1736">
        <f>G113</f>
        <v>14742</v>
      </c>
      <c r="H112" s="1728">
        <f t="shared" ref="H112:H114" si="15">(G112/F112)*100</f>
        <v>100</v>
      </c>
      <c r="L112" s="2461"/>
    </row>
    <row r="113" spans="1:12" ht="15" thickBot="1" x14ac:dyDescent="0.25">
      <c r="A113" s="1726"/>
      <c r="B113" s="1786"/>
      <c r="C113" s="1738" t="s">
        <v>1261</v>
      </c>
      <c r="D113" s="1783" t="s">
        <v>1667</v>
      </c>
      <c r="E113" s="1722">
        <v>0</v>
      </c>
      <c r="F113" s="1722">
        <v>14742</v>
      </c>
      <c r="G113" s="1722">
        <v>14742</v>
      </c>
      <c r="H113" s="1721">
        <f t="shared" si="15"/>
        <v>100</v>
      </c>
      <c r="L113" s="2461"/>
    </row>
    <row r="114" spans="1:12" s="1687" customFormat="1" ht="20.25" customHeight="1" thickTop="1" thickBot="1" x14ac:dyDescent="0.3">
      <c r="A114" s="1718" t="s">
        <v>522</v>
      </c>
      <c r="B114" s="1717"/>
      <c r="C114" s="1716"/>
      <c r="D114" s="1715"/>
      <c r="E114" s="1714">
        <f>E112</f>
        <v>0</v>
      </c>
      <c r="F114" s="1714">
        <f t="shared" ref="F114:G114" si="16">F112</f>
        <v>14742</v>
      </c>
      <c r="G114" s="1714">
        <f t="shared" si="16"/>
        <v>14742</v>
      </c>
      <c r="H114" s="1713">
        <f t="shared" si="15"/>
        <v>100</v>
      </c>
      <c r="L114" s="2461">
        <v>14742000</v>
      </c>
    </row>
    <row r="115" spans="1:12" s="1687" customFormat="1" ht="17.25" thickTop="1" x14ac:dyDescent="0.25">
      <c r="A115" s="1782"/>
      <c r="B115" s="1781"/>
      <c r="C115" s="1780"/>
      <c r="D115" s="1779"/>
      <c r="E115" s="1778"/>
      <c r="F115" s="1778"/>
      <c r="G115" s="1778"/>
      <c r="H115" s="1777"/>
      <c r="L115" s="2461"/>
    </row>
    <row r="116" spans="1:12" s="1687" customFormat="1" ht="27.75" customHeight="1" thickBot="1" x14ac:dyDescent="0.3">
      <c r="A116" s="1776" t="s">
        <v>1263</v>
      </c>
      <c r="B116" s="1775"/>
      <c r="C116" s="1774"/>
      <c r="D116" s="1773"/>
      <c r="E116" s="1772">
        <f>E114</f>
        <v>0</v>
      </c>
      <c r="F116" s="1772">
        <f t="shared" ref="F116:G116" si="17">F114</f>
        <v>14742</v>
      </c>
      <c r="G116" s="1772">
        <f t="shared" si="17"/>
        <v>14742</v>
      </c>
      <c r="H116" s="1771">
        <f>(G116/F116)*100</f>
        <v>100</v>
      </c>
      <c r="L116" s="2461"/>
    </row>
    <row r="117" spans="1:12" ht="15" thickTop="1" x14ac:dyDescent="0.2">
      <c r="A117" s="1712"/>
      <c r="L117" s="2461"/>
    </row>
    <row r="118" spans="1:12" x14ac:dyDescent="0.2">
      <c r="A118" s="1712"/>
      <c r="L118" s="2461"/>
    </row>
    <row r="119" spans="1:12" s="1183" customFormat="1" ht="15.75" x14ac:dyDescent="0.25">
      <c r="A119" s="1693" t="s">
        <v>655</v>
      </c>
      <c r="B119" s="1767"/>
      <c r="C119" s="1761"/>
      <c r="E119" s="1755" t="s">
        <v>564</v>
      </c>
      <c r="F119" s="1755"/>
      <c r="G119" s="1755"/>
      <c r="H119" s="1754"/>
      <c r="L119" s="2461"/>
    </row>
    <row r="120" spans="1:12" ht="15" thickBot="1" x14ac:dyDescent="0.25">
      <c r="A120" s="1712"/>
      <c r="H120" s="1753" t="s">
        <v>92</v>
      </c>
      <c r="L120" s="2461"/>
    </row>
    <row r="121" spans="1:12" s="1747" customFormat="1" ht="20.25" customHeight="1" thickTop="1" thickBot="1" x14ac:dyDescent="0.25">
      <c r="A121" s="2456" t="s">
        <v>93</v>
      </c>
      <c r="B121" s="2457" t="s">
        <v>94</v>
      </c>
      <c r="C121" s="2458" t="s">
        <v>364</v>
      </c>
      <c r="D121" s="1041" t="s">
        <v>95</v>
      </c>
      <c r="E121" s="1069" t="s">
        <v>328</v>
      </c>
      <c r="F121" s="1069" t="s">
        <v>329</v>
      </c>
      <c r="G121" s="1749" t="s">
        <v>448</v>
      </c>
      <c r="H121" s="1784" t="s">
        <v>449</v>
      </c>
      <c r="L121" s="2461"/>
    </row>
    <row r="122" spans="1:12" s="1037" customFormat="1" ht="15.75" thickTop="1" thickBot="1" x14ac:dyDescent="0.25">
      <c r="A122" s="1042">
        <v>1</v>
      </c>
      <c r="B122" s="1041">
        <v>2</v>
      </c>
      <c r="C122" s="1041">
        <v>3</v>
      </c>
      <c r="D122" s="1041">
        <v>4</v>
      </c>
      <c r="E122" s="1041">
        <v>5</v>
      </c>
      <c r="F122" s="1040">
        <v>6</v>
      </c>
      <c r="G122" s="1040">
        <v>7</v>
      </c>
      <c r="H122" s="1039" t="s">
        <v>33</v>
      </c>
      <c r="I122" s="1043"/>
      <c r="L122" s="2462"/>
    </row>
    <row r="123" spans="1:12" ht="15.75" thickTop="1" x14ac:dyDescent="0.25">
      <c r="A123" s="1726">
        <v>4399</v>
      </c>
      <c r="B123" s="1786">
        <v>5336</v>
      </c>
      <c r="C123" s="1740"/>
      <c r="D123" s="1787" t="s">
        <v>1640</v>
      </c>
      <c r="E123" s="1736">
        <f>E124</f>
        <v>0</v>
      </c>
      <c r="F123" s="1736">
        <f>F124</f>
        <v>4664</v>
      </c>
      <c r="G123" s="1736">
        <f>G124</f>
        <v>4664</v>
      </c>
      <c r="H123" s="1728">
        <f>(G123/F123)*100</f>
        <v>100</v>
      </c>
      <c r="L123" s="2461"/>
    </row>
    <row r="124" spans="1:12" ht="15" thickBot="1" x14ac:dyDescent="0.25">
      <c r="A124" s="1726"/>
      <c r="B124" s="1786"/>
      <c r="C124" s="1738" t="s">
        <v>1261</v>
      </c>
      <c r="D124" s="1783" t="s">
        <v>1667</v>
      </c>
      <c r="E124" s="1722">
        <v>0</v>
      </c>
      <c r="F124" s="1722">
        <v>4664</v>
      </c>
      <c r="G124" s="1722">
        <v>4664</v>
      </c>
      <c r="H124" s="1721">
        <f>(G124/F124)*100</f>
        <v>100</v>
      </c>
      <c r="L124" s="2461"/>
    </row>
    <row r="125" spans="1:12" s="1687" customFormat="1" ht="20.25" customHeight="1" thickTop="1" thickBot="1" x14ac:dyDescent="0.3">
      <c r="A125" s="1718" t="s">
        <v>522</v>
      </c>
      <c r="B125" s="1717"/>
      <c r="C125" s="1716"/>
      <c r="D125" s="1715"/>
      <c r="E125" s="1714">
        <f>E123</f>
        <v>0</v>
      </c>
      <c r="F125" s="1714">
        <f t="shared" ref="F125:G125" si="18">F123</f>
        <v>4664</v>
      </c>
      <c r="G125" s="1714">
        <f t="shared" si="18"/>
        <v>4664</v>
      </c>
      <c r="H125" s="1713">
        <f>(G125/F125)*100</f>
        <v>100</v>
      </c>
      <c r="L125" s="2461">
        <v>4663800</v>
      </c>
    </row>
    <row r="126" spans="1:12" s="1682" customFormat="1" ht="20.25" customHeight="1" thickTop="1" x14ac:dyDescent="0.25">
      <c r="A126" s="1705"/>
      <c r="B126" s="1760"/>
      <c r="C126" s="1768"/>
      <c r="D126" s="1758"/>
      <c r="E126" s="1706"/>
      <c r="F126" s="1706"/>
      <c r="G126" s="1706"/>
      <c r="H126" s="1703"/>
      <c r="L126" s="2461"/>
    </row>
    <row r="127" spans="1:12" s="1687" customFormat="1" ht="27.75" customHeight="1" thickBot="1" x14ac:dyDescent="0.3">
      <c r="A127" s="1711" t="s">
        <v>656</v>
      </c>
      <c r="B127" s="1766"/>
      <c r="C127" s="1765"/>
      <c r="D127" s="1764"/>
      <c r="E127" s="1709">
        <f>SUM(E125)</f>
        <v>0</v>
      </c>
      <c r="F127" s="1709">
        <f>SUM(F125)</f>
        <v>4664</v>
      </c>
      <c r="G127" s="1709">
        <f>SUM(G125)</f>
        <v>4664</v>
      </c>
      <c r="H127" s="1708">
        <f>(G127/F127)*100</f>
        <v>100</v>
      </c>
      <c r="L127" s="2461"/>
    </row>
    <row r="128" spans="1:12" s="1154" customFormat="1" ht="15.75" thickTop="1" x14ac:dyDescent="0.2">
      <c r="F128" s="1675"/>
      <c r="G128" s="1675"/>
      <c r="H128" s="1674"/>
      <c r="L128" s="2461"/>
    </row>
    <row r="129" spans="1:12" s="1154" customFormat="1" ht="15" x14ac:dyDescent="0.2">
      <c r="F129" s="1675"/>
      <c r="G129" s="1675"/>
      <c r="H129" s="1674"/>
      <c r="L129" s="2461"/>
    </row>
    <row r="130" spans="1:12" s="1183" customFormat="1" ht="15.75" x14ac:dyDescent="0.25">
      <c r="A130" s="1693" t="s">
        <v>223</v>
      </c>
      <c r="B130" s="1767"/>
      <c r="C130" s="1761"/>
      <c r="E130" s="1755" t="s">
        <v>565</v>
      </c>
      <c r="F130" s="1755"/>
      <c r="G130" s="1755"/>
      <c r="H130" s="1754"/>
      <c r="L130" s="2461"/>
    </row>
    <row r="131" spans="1:12" ht="15" thickBot="1" x14ac:dyDescent="0.25">
      <c r="A131" s="1712"/>
      <c r="H131" s="1753" t="s">
        <v>92</v>
      </c>
      <c r="L131" s="2461"/>
    </row>
    <row r="132" spans="1:12" s="1747" customFormat="1" ht="20.25" customHeight="1" thickTop="1" thickBot="1" x14ac:dyDescent="0.25">
      <c r="A132" s="2456" t="s">
        <v>93</v>
      </c>
      <c r="B132" s="2457" t="s">
        <v>94</v>
      </c>
      <c r="C132" s="2458" t="s">
        <v>364</v>
      </c>
      <c r="D132" s="1041" t="s">
        <v>95</v>
      </c>
      <c r="E132" s="1069" t="s">
        <v>328</v>
      </c>
      <c r="F132" s="1069" t="s">
        <v>329</v>
      </c>
      <c r="G132" s="1749" t="s">
        <v>448</v>
      </c>
      <c r="H132" s="1784" t="s">
        <v>449</v>
      </c>
      <c r="L132" s="2461"/>
    </row>
    <row r="133" spans="1:12" s="1037" customFormat="1" ht="15.75" thickTop="1" thickBot="1" x14ac:dyDescent="0.25">
      <c r="A133" s="1042">
        <v>1</v>
      </c>
      <c r="B133" s="1041">
        <v>2</v>
      </c>
      <c r="C133" s="1041">
        <v>3</v>
      </c>
      <c r="D133" s="1041">
        <v>4</v>
      </c>
      <c r="E133" s="1041">
        <v>5</v>
      </c>
      <c r="F133" s="1040">
        <v>6</v>
      </c>
      <c r="G133" s="1040">
        <v>7</v>
      </c>
      <c r="H133" s="1039" t="s">
        <v>33</v>
      </c>
      <c r="I133" s="1043"/>
      <c r="L133" s="2462"/>
    </row>
    <row r="134" spans="1:12" ht="15.75" thickTop="1" x14ac:dyDescent="0.25">
      <c r="A134" s="1726">
        <v>4399</v>
      </c>
      <c r="B134" s="1786">
        <v>5336</v>
      </c>
      <c r="C134" s="1740"/>
      <c r="D134" s="1787" t="s">
        <v>1640</v>
      </c>
      <c r="E134" s="1736">
        <f>E135</f>
        <v>0</v>
      </c>
      <c r="F134" s="1736">
        <f>F135</f>
        <v>8955</v>
      </c>
      <c r="G134" s="1736">
        <f>G135</f>
        <v>8955</v>
      </c>
      <c r="H134" s="1728">
        <f>(G134/F134)*100</f>
        <v>100</v>
      </c>
      <c r="L134" s="2461"/>
    </row>
    <row r="135" spans="1:12" ht="15" thickBot="1" x14ac:dyDescent="0.25">
      <c r="A135" s="1726"/>
      <c r="B135" s="1786"/>
      <c r="C135" s="1738" t="s">
        <v>1261</v>
      </c>
      <c r="D135" s="1783" t="s">
        <v>1667</v>
      </c>
      <c r="E135" s="1722">
        <v>0</v>
      </c>
      <c r="F135" s="1722">
        <v>8955</v>
      </c>
      <c r="G135" s="1722">
        <v>8955</v>
      </c>
      <c r="H135" s="1721">
        <f>(G135/F135)*100</f>
        <v>100</v>
      </c>
      <c r="L135" s="2461"/>
    </row>
    <row r="136" spans="1:12" s="1687" customFormat="1" ht="20.25" customHeight="1" thickTop="1" thickBot="1" x14ac:dyDescent="0.3">
      <c r="A136" s="1718" t="s">
        <v>522</v>
      </c>
      <c r="B136" s="1717"/>
      <c r="C136" s="1716"/>
      <c r="D136" s="1715"/>
      <c r="E136" s="1714">
        <f>E134</f>
        <v>0</v>
      </c>
      <c r="F136" s="1714">
        <f>F134</f>
        <v>8955</v>
      </c>
      <c r="G136" s="1714">
        <f>G134</f>
        <v>8955</v>
      </c>
      <c r="H136" s="1713">
        <f>(G136/F136)*100</f>
        <v>100</v>
      </c>
      <c r="L136" s="2461">
        <v>8954600</v>
      </c>
    </row>
    <row r="137" spans="1:12" s="1687" customFormat="1" ht="20.25" customHeight="1" thickTop="1" x14ac:dyDescent="0.25">
      <c r="A137" s="1701"/>
      <c r="B137" s="1700"/>
      <c r="C137" s="1699"/>
      <c r="D137" s="1698"/>
      <c r="E137" s="1770"/>
      <c r="F137" s="1770"/>
      <c r="G137" s="1770"/>
      <c r="H137" s="1769"/>
      <c r="L137" s="2461"/>
    </row>
    <row r="138" spans="1:12" s="1687" customFormat="1" ht="27.75" customHeight="1" thickBot="1" x14ac:dyDescent="0.3">
      <c r="A138" s="1711" t="s">
        <v>374</v>
      </c>
      <c r="B138" s="1766"/>
      <c r="C138" s="1765"/>
      <c r="D138" s="1764"/>
      <c r="E138" s="1709">
        <f>SUM(E136)</f>
        <v>0</v>
      </c>
      <c r="F138" s="1709">
        <f>SUM(F136)</f>
        <v>8955</v>
      </c>
      <c r="G138" s="1709">
        <f>SUM(G136)</f>
        <v>8955</v>
      </c>
      <c r="H138" s="1708">
        <f>(G138/F138)*100</f>
        <v>100</v>
      </c>
      <c r="L138" s="2461"/>
    </row>
    <row r="139" spans="1:12" ht="15" thickTop="1" x14ac:dyDescent="0.2">
      <c r="L139" s="2461"/>
    </row>
    <row r="140" spans="1:12" x14ac:dyDescent="0.2">
      <c r="L140" s="2461"/>
    </row>
    <row r="141" spans="1:12" s="1183" customFormat="1" ht="15.75" x14ac:dyDescent="0.25">
      <c r="A141" s="1693" t="s">
        <v>241</v>
      </c>
      <c r="B141" s="1767"/>
      <c r="C141" s="1761"/>
      <c r="E141" s="1755" t="s">
        <v>242</v>
      </c>
      <c r="F141" s="1755"/>
      <c r="G141" s="1755"/>
      <c r="H141" s="1754"/>
      <c r="L141" s="2461"/>
    </row>
    <row r="142" spans="1:12" ht="15" thickBot="1" x14ac:dyDescent="0.25">
      <c r="A142" s="1712"/>
      <c r="H142" s="1753" t="s">
        <v>92</v>
      </c>
      <c r="L142" s="2461"/>
    </row>
    <row r="143" spans="1:12" s="1747" customFormat="1" ht="20.25" customHeight="1" thickTop="1" thickBot="1" x14ac:dyDescent="0.25">
      <c r="A143" s="2456" t="s">
        <v>93</v>
      </c>
      <c r="B143" s="2457" t="s">
        <v>94</v>
      </c>
      <c r="C143" s="2458" t="s">
        <v>364</v>
      </c>
      <c r="D143" s="1041" t="s">
        <v>95</v>
      </c>
      <c r="E143" s="1069" t="s">
        <v>328</v>
      </c>
      <c r="F143" s="1069" t="s">
        <v>329</v>
      </c>
      <c r="G143" s="1749" t="s">
        <v>448</v>
      </c>
      <c r="H143" s="1784" t="s">
        <v>449</v>
      </c>
      <c r="L143" s="2461"/>
    </row>
    <row r="144" spans="1:12" s="1037" customFormat="1" ht="15.75" thickTop="1" thickBot="1" x14ac:dyDescent="0.25">
      <c r="A144" s="1042">
        <v>1</v>
      </c>
      <c r="B144" s="1041">
        <v>2</v>
      </c>
      <c r="C144" s="1041">
        <v>3</v>
      </c>
      <c r="D144" s="1041">
        <v>4</v>
      </c>
      <c r="E144" s="1041">
        <v>5</v>
      </c>
      <c r="F144" s="1040">
        <v>6</v>
      </c>
      <c r="G144" s="1040">
        <v>7</v>
      </c>
      <c r="H144" s="1039" t="s">
        <v>33</v>
      </c>
      <c r="I144" s="1043"/>
      <c r="L144" s="2462"/>
    </row>
    <row r="145" spans="1:19" s="1037" customFormat="1" ht="15.75" thickTop="1" x14ac:dyDescent="0.25">
      <c r="A145" s="1726">
        <v>4350</v>
      </c>
      <c r="B145" s="1725">
        <v>5331</v>
      </c>
      <c r="C145" s="2450"/>
      <c r="D145" s="2135" t="s">
        <v>465</v>
      </c>
      <c r="E145" s="1736">
        <f>E146</f>
        <v>0</v>
      </c>
      <c r="F145" s="1736">
        <f>F146</f>
        <v>53</v>
      </c>
      <c r="G145" s="1736">
        <f>G146</f>
        <v>24</v>
      </c>
      <c r="H145" s="1745">
        <f t="shared" ref="H145:H146" si="19">G145/F145*100</f>
        <v>45.283018867924532</v>
      </c>
      <c r="I145" s="1043"/>
      <c r="L145" s="2462"/>
    </row>
    <row r="146" spans="1:19" s="1037" customFormat="1" x14ac:dyDescent="0.2">
      <c r="A146" s="1366"/>
      <c r="B146" s="1143"/>
      <c r="C146" s="1744" t="s">
        <v>1268</v>
      </c>
      <c r="D146" s="1742" t="s">
        <v>1286</v>
      </c>
      <c r="E146" s="1722">
        <v>0</v>
      </c>
      <c r="F146" s="1722">
        <v>53</v>
      </c>
      <c r="G146" s="1722">
        <v>24</v>
      </c>
      <c r="H146" s="1721">
        <f t="shared" si="19"/>
        <v>45.283018867924532</v>
      </c>
      <c r="I146" s="1043"/>
      <c r="L146" s="2462">
        <v>24203.5</v>
      </c>
    </row>
    <row r="147" spans="1:19" s="1719" customFormat="1" ht="15" x14ac:dyDescent="0.25">
      <c r="A147" s="1726">
        <v>4350</v>
      </c>
      <c r="B147" s="1725">
        <v>5336</v>
      </c>
      <c r="C147" s="1746"/>
      <c r="D147" s="1787" t="s">
        <v>1640</v>
      </c>
      <c r="E147" s="1736">
        <f>E148+E149+E150</f>
        <v>61</v>
      </c>
      <c r="F147" s="1736">
        <f>F149+F150</f>
        <v>35</v>
      </c>
      <c r="G147" s="1736">
        <f>G149+G150</f>
        <v>35</v>
      </c>
      <c r="H147" s="1745">
        <f>G147/F147*100</f>
        <v>100</v>
      </c>
      <c r="L147" s="2461"/>
    </row>
    <row r="148" spans="1:19" s="1719" customFormat="1" x14ac:dyDescent="0.2">
      <c r="A148" s="1726"/>
      <c r="B148" s="1725"/>
      <c r="C148" s="1744" t="s">
        <v>1268</v>
      </c>
      <c r="D148" s="1742" t="s">
        <v>1286</v>
      </c>
      <c r="E148" s="1722">
        <v>61</v>
      </c>
      <c r="F148" s="1722">
        <v>0</v>
      </c>
      <c r="G148" s="1722">
        <v>0</v>
      </c>
      <c r="H148" s="1721">
        <v>0</v>
      </c>
      <c r="L148" s="2461"/>
    </row>
    <row r="149" spans="1:19" x14ac:dyDescent="0.2">
      <c r="A149" s="1726"/>
      <c r="B149" s="1725"/>
      <c r="C149" s="1744" t="s">
        <v>1264</v>
      </c>
      <c r="D149" s="1743" t="s">
        <v>1288</v>
      </c>
      <c r="E149" s="1722">
        <v>0</v>
      </c>
      <c r="F149" s="1722">
        <v>4</v>
      </c>
      <c r="G149" s="1722">
        <v>4</v>
      </c>
      <c r="H149" s="1721">
        <f t="shared" ref="H149:H159" si="20">(G149/F149)*100</f>
        <v>100</v>
      </c>
      <c r="L149" s="2461">
        <v>3678.78</v>
      </c>
    </row>
    <row r="150" spans="1:19" x14ac:dyDescent="0.2">
      <c r="A150" s="1726"/>
      <c r="B150" s="1725"/>
      <c r="C150" s="1724" t="s">
        <v>1265</v>
      </c>
      <c r="D150" s="1743" t="s">
        <v>1288</v>
      </c>
      <c r="E150" s="1722">
        <v>0</v>
      </c>
      <c r="F150" s="1722">
        <v>31</v>
      </c>
      <c r="G150" s="1722">
        <v>31</v>
      </c>
      <c r="H150" s="1721">
        <f t="shared" si="20"/>
        <v>100</v>
      </c>
      <c r="L150" s="2461">
        <v>31269.58</v>
      </c>
    </row>
    <row r="151" spans="1:19" ht="15" x14ac:dyDescent="0.25">
      <c r="A151" s="1726">
        <v>4399</v>
      </c>
      <c r="B151" s="1786">
        <v>5336</v>
      </c>
      <c r="C151" s="1740"/>
      <c r="D151" s="1787" t="s">
        <v>1640</v>
      </c>
      <c r="E151" s="1736">
        <f>E152</f>
        <v>0</v>
      </c>
      <c r="F151" s="1736">
        <f>F152</f>
        <v>34210</v>
      </c>
      <c r="G151" s="1736">
        <f>G152</f>
        <v>34210</v>
      </c>
      <c r="H151" s="1728">
        <f t="shared" si="20"/>
        <v>100</v>
      </c>
      <c r="L151" s="2461">
        <v>34209700</v>
      </c>
    </row>
    <row r="152" spans="1:19" ht="15" thickBot="1" x14ac:dyDescent="0.25">
      <c r="A152" s="1726"/>
      <c r="B152" s="1786"/>
      <c r="C152" s="1738" t="s">
        <v>1261</v>
      </c>
      <c r="D152" s="1783" t="s">
        <v>1667</v>
      </c>
      <c r="E152" s="1722">
        <v>0</v>
      </c>
      <c r="F152" s="1722">
        <v>34210</v>
      </c>
      <c r="G152" s="1722">
        <v>34210</v>
      </c>
      <c r="H152" s="1721">
        <f t="shared" si="20"/>
        <v>100</v>
      </c>
      <c r="L152" s="2461"/>
    </row>
    <row r="153" spans="1:19" s="1687" customFormat="1" ht="20.25" customHeight="1" thickTop="1" thickBot="1" x14ac:dyDescent="0.3">
      <c r="A153" s="1718" t="s">
        <v>522</v>
      </c>
      <c r="B153" s="1717"/>
      <c r="C153" s="1716"/>
      <c r="D153" s="1715"/>
      <c r="E153" s="1714">
        <f>SUM(E147)</f>
        <v>61</v>
      </c>
      <c r="F153" s="1714">
        <f>SUM(F147,F151,F145)</f>
        <v>34298</v>
      </c>
      <c r="G153" s="1714">
        <f>SUM(G147,G151,G145)</f>
        <v>34269</v>
      </c>
      <c r="H153" s="1713">
        <f t="shared" si="20"/>
        <v>99.915446964837599</v>
      </c>
      <c r="L153" s="2461"/>
    </row>
    <row r="154" spans="1:19" s="1687" customFormat="1" ht="20.25" customHeight="1" thickTop="1" x14ac:dyDescent="0.25">
      <c r="A154" s="1726">
        <v>4350</v>
      </c>
      <c r="B154" s="1725">
        <v>6351</v>
      </c>
      <c r="C154" s="2451"/>
      <c r="D154" s="1787" t="s">
        <v>320</v>
      </c>
      <c r="E154" s="1736">
        <f>E155</f>
        <v>0</v>
      </c>
      <c r="F154" s="1736">
        <f>F155</f>
        <v>8</v>
      </c>
      <c r="G154" s="1736">
        <f>G155</f>
        <v>8</v>
      </c>
      <c r="H154" s="1728">
        <f t="shared" si="20"/>
        <v>100</v>
      </c>
      <c r="L154" s="2461"/>
    </row>
    <row r="155" spans="1:19" s="1687" customFormat="1" ht="17.25" thickBot="1" x14ac:dyDescent="0.3">
      <c r="A155" s="2452"/>
      <c r="B155" s="2453"/>
      <c r="C155" s="1744" t="s">
        <v>1268</v>
      </c>
      <c r="D155" s="1742" t="s">
        <v>1286</v>
      </c>
      <c r="E155" s="2454">
        <v>0</v>
      </c>
      <c r="F155" s="1722">
        <v>8</v>
      </c>
      <c r="G155" s="1722">
        <v>8</v>
      </c>
      <c r="H155" s="1721">
        <f t="shared" si="20"/>
        <v>100</v>
      </c>
      <c r="L155" s="2461">
        <v>7716.17</v>
      </c>
    </row>
    <row r="156" spans="1:19" s="1719" customFormat="1" ht="15.75" hidden="1" thickBot="1" x14ac:dyDescent="0.3">
      <c r="A156" s="1726">
        <v>4350</v>
      </c>
      <c r="B156" s="1725">
        <v>6356</v>
      </c>
      <c r="C156" s="1746"/>
      <c r="D156" s="1071" t="s">
        <v>950</v>
      </c>
      <c r="E156" s="1736"/>
      <c r="F156" s="1736">
        <f>F157+F158</f>
        <v>0</v>
      </c>
      <c r="G156" s="1736">
        <f>G157+G158</f>
        <v>0</v>
      </c>
      <c r="H156" s="1721" t="e">
        <f t="shared" si="20"/>
        <v>#DIV/0!</v>
      </c>
      <c r="I156" s="1727"/>
      <c r="J156" s="1727"/>
      <c r="L156" s="2461"/>
    </row>
    <row r="157" spans="1:19" s="1719" customFormat="1" ht="15.75" hidden="1" thickBot="1" x14ac:dyDescent="0.3">
      <c r="A157" s="1726"/>
      <c r="B157" s="1725"/>
      <c r="C157" s="1724">
        <v>104113013</v>
      </c>
      <c r="D157" s="1743" t="s">
        <v>1288</v>
      </c>
      <c r="E157" s="1736"/>
      <c r="F157" s="1722"/>
      <c r="G157" s="1722"/>
      <c r="H157" s="1721" t="e">
        <f t="shared" si="20"/>
        <v>#DIV/0!</v>
      </c>
      <c r="I157" s="1727"/>
      <c r="J157" s="1727"/>
      <c r="L157" s="2461"/>
    </row>
    <row r="158" spans="1:19" ht="15" hidden="1" thickBot="1" x14ac:dyDescent="0.25">
      <c r="A158" s="1726"/>
      <c r="B158" s="1725"/>
      <c r="C158" s="1724" t="s">
        <v>1265</v>
      </c>
      <c r="D158" s="1743" t="s">
        <v>1288</v>
      </c>
      <c r="E158" s="1722"/>
      <c r="F158" s="1722"/>
      <c r="G158" s="1722"/>
      <c r="H158" s="1721" t="e">
        <f t="shared" si="20"/>
        <v>#DIV/0!</v>
      </c>
      <c r="L158" s="2461"/>
    </row>
    <row r="159" spans="1:19" s="1687" customFormat="1" ht="20.25" customHeight="1" thickTop="1" thickBot="1" x14ac:dyDescent="0.3">
      <c r="A159" s="1718" t="s">
        <v>523</v>
      </c>
      <c r="B159" s="1717"/>
      <c r="C159" s="1716"/>
      <c r="D159" s="1715"/>
      <c r="E159" s="1714">
        <f>E156+E154</f>
        <v>0</v>
      </c>
      <c r="F159" s="1714">
        <f>F156+F154</f>
        <v>8</v>
      </c>
      <c r="G159" s="1714">
        <f t="shared" ref="G159" si="21">G156+G154</f>
        <v>8</v>
      </c>
      <c r="H159" s="1713">
        <f t="shared" si="20"/>
        <v>100</v>
      </c>
      <c r="L159" s="2461"/>
      <c r="S159" s="1687">
        <v>0</v>
      </c>
    </row>
    <row r="160" spans="1:19" s="1719" customFormat="1" ht="15.75" thickTop="1" x14ac:dyDescent="0.25">
      <c r="A160" s="1763"/>
      <c r="B160" s="1762"/>
      <c r="C160" s="1761"/>
      <c r="E160" s="1755"/>
      <c r="F160" s="1755"/>
      <c r="G160" s="1755"/>
      <c r="H160" s="1754"/>
      <c r="L160" s="2461"/>
    </row>
    <row r="161" spans="1:12" s="1687" customFormat="1" ht="27.75" customHeight="1" thickBot="1" x14ac:dyDescent="0.3">
      <c r="A161" s="1711" t="s">
        <v>637</v>
      </c>
      <c r="B161" s="1766"/>
      <c r="C161" s="1765"/>
      <c r="D161" s="1764"/>
      <c r="E161" s="1709">
        <f>SUM(E153,E159)</f>
        <v>61</v>
      </c>
      <c r="F161" s="1709">
        <f t="shared" ref="F161:G161" si="22">SUM(F153,F159)</f>
        <v>34306</v>
      </c>
      <c r="G161" s="1709">
        <f t="shared" si="22"/>
        <v>34277</v>
      </c>
      <c r="H161" s="1708">
        <f>(G161/F161)*100</f>
        <v>99.915466682213022</v>
      </c>
      <c r="L161" s="2461">
        <f>L158+L157+L155+L151+L150+L149+L146</f>
        <v>34276568.030000001</v>
      </c>
    </row>
    <row r="162" spans="1:12" s="1687" customFormat="1" ht="27.75" customHeight="1" thickTop="1" x14ac:dyDescent="0.25">
      <c r="A162" s="1701"/>
      <c r="B162" s="1700"/>
      <c r="C162" s="1699"/>
      <c r="D162" s="1698"/>
      <c r="E162" s="1770"/>
      <c r="F162" s="1770"/>
      <c r="G162" s="1770"/>
      <c r="H162" s="1769"/>
      <c r="L162" s="2461"/>
    </row>
    <row r="163" spans="1:12" s="1682" customFormat="1" ht="14.25" customHeight="1" x14ac:dyDescent="0.25">
      <c r="A163" s="1705"/>
      <c r="B163" s="1760"/>
      <c r="C163" s="1759"/>
      <c r="D163" s="1758"/>
      <c r="E163" s="1696"/>
      <c r="F163" s="1696"/>
      <c r="G163" s="1696"/>
      <c r="H163" s="1695"/>
      <c r="L163" s="2461"/>
    </row>
    <row r="164" spans="1:12" s="1183" customFormat="1" ht="15.75" x14ac:dyDescent="0.25">
      <c r="A164" s="1693" t="s">
        <v>39</v>
      </c>
      <c r="B164" s="2479"/>
      <c r="C164" s="2479"/>
      <c r="D164" s="2479"/>
      <c r="E164" s="1755" t="s">
        <v>243</v>
      </c>
      <c r="F164" s="1755"/>
      <c r="G164" s="1755"/>
      <c r="H164" s="1754"/>
      <c r="L164" s="2461"/>
    </row>
    <row r="165" spans="1:12" ht="15" thickBot="1" x14ac:dyDescent="0.25">
      <c r="A165" s="1712"/>
      <c r="H165" s="1753" t="s">
        <v>92</v>
      </c>
      <c r="L165" s="2461"/>
    </row>
    <row r="166" spans="1:12" s="1747" customFormat="1" ht="20.25" customHeight="1" thickTop="1" thickBot="1" x14ac:dyDescent="0.25">
      <c r="A166" s="2456" t="s">
        <v>93</v>
      </c>
      <c r="B166" s="2457" t="s">
        <v>94</v>
      </c>
      <c r="C166" s="2458" t="s">
        <v>364</v>
      </c>
      <c r="D166" s="1041" t="s">
        <v>95</v>
      </c>
      <c r="E166" s="1069" t="s">
        <v>328</v>
      </c>
      <c r="F166" s="1069" t="s">
        <v>329</v>
      </c>
      <c r="G166" s="1749" t="s">
        <v>448</v>
      </c>
      <c r="H166" s="1784" t="s">
        <v>449</v>
      </c>
      <c r="L166" s="2461"/>
    </row>
    <row r="167" spans="1:12" s="1037" customFormat="1" ht="15.75" thickTop="1" thickBot="1" x14ac:dyDescent="0.25">
      <c r="A167" s="1042">
        <v>1</v>
      </c>
      <c r="B167" s="1041">
        <v>2</v>
      </c>
      <c r="C167" s="1041">
        <v>3</v>
      </c>
      <c r="D167" s="1041">
        <v>4</v>
      </c>
      <c r="E167" s="1041">
        <v>5</v>
      </c>
      <c r="F167" s="1040">
        <v>6</v>
      </c>
      <c r="G167" s="1040">
        <v>7</v>
      </c>
      <c r="H167" s="1039" t="s">
        <v>33</v>
      </c>
      <c r="I167" s="1043"/>
      <c r="L167" s="2462"/>
    </row>
    <row r="168" spans="1:12" s="1037" customFormat="1" ht="15.75" thickTop="1" x14ac:dyDescent="0.25">
      <c r="A168" s="1726">
        <v>4351</v>
      </c>
      <c r="B168" s="1786">
        <v>5336</v>
      </c>
      <c r="C168" s="1740"/>
      <c r="D168" s="1787" t="s">
        <v>1640</v>
      </c>
      <c r="E168" s="1736">
        <f>E169</f>
        <v>0</v>
      </c>
      <c r="F168" s="1736">
        <f>F169</f>
        <v>30</v>
      </c>
      <c r="G168" s="1736">
        <f>G169</f>
        <v>30</v>
      </c>
      <c r="H168" s="1728">
        <f t="shared" ref="H168:H169" si="23">(G168/F168)*100</f>
        <v>100</v>
      </c>
      <c r="I168" s="1043"/>
      <c r="L168" s="2462"/>
    </row>
    <row r="169" spans="1:12" s="1037" customFormat="1" x14ac:dyDescent="0.2">
      <c r="A169" s="1726"/>
      <c r="B169" s="1786"/>
      <c r="C169" s="1738" t="s">
        <v>959</v>
      </c>
      <c r="D169" s="1783" t="s">
        <v>1856</v>
      </c>
      <c r="E169" s="1722">
        <v>0</v>
      </c>
      <c r="F169" s="1722">
        <v>30</v>
      </c>
      <c r="G169" s="1722">
        <v>30</v>
      </c>
      <c r="H169" s="1721">
        <f t="shared" si="23"/>
        <v>100</v>
      </c>
      <c r="I169" s="1043"/>
      <c r="L169" s="2462">
        <v>30000</v>
      </c>
    </row>
    <row r="170" spans="1:12" ht="15" x14ac:dyDescent="0.25">
      <c r="A170" s="1726">
        <v>4399</v>
      </c>
      <c r="B170" s="1786">
        <v>5336</v>
      </c>
      <c r="C170" s="1740"/>
      <c r="D170" s="1787" t="s">
        <v>1640</v>
      </c>
      <c r="E170" s="1736">
        <f>E171</f>
        <v>0</v>
      </c>
      <c r="F170" s="1736">
        <f>F171</f>
        <v>24532</v>
      </c>
      <c r="G170" s="1736">
        <f>G171</f>
        <v>24532</v>
      </c>
      <c r="H170" s="1728">
        <f t="shared" ref="H170:H172" si="24">(G170/F170)*100</f>
        <v>100</v>
      </c>
      <c r="L170" s="2461"/>
    </row>
    <row r="171" spans="1:12" ht="15" thickBot="1" x14ac:dyDescent="0.25">
      <c r="A171" s="1726"/>
      <c r="B171" s="1786"/>
      <c r="C171" s="1738" t="s">
        <v>1261</v>
      </c>
      <c r="D171" s="1783" t="s">
        <v>1667</v>
      </c>
      <c r="E171" s="1722">
        <v>0</v>
      </c>
      <c r="F171" s="1722">
        <v>24532</v>
      </c>
      <c r="G171" s="1722">
        <v>24532</v>
      </c>
      <c r="H171" s="1721">
        <f t="shared" si="24"/>
        <v>100</v>
      </c>
      <c r="L171" s="2461"/>
    </row>
    <row r="172" spans="1:12" s="1687" customFormat="1" ht="20.25" customHeight="1" thickTop="1" thickBot="1" x14ac:dyDescent="0.3">
      <c r="A172" s="1718" t="s">
        <v>522</v>
      </c>
      <c r="B172" s="1717"/>
      <c r="C172" s="1716"/>
      <c r="D172" s="1715"/>
      <c r="E172" s="1714">
        <f>E170+E168</f>
        <v>0</v>
      </c>
      <c r="F172" s="1714">
        <f t="shared" ref="F172:G172" si="25">F170+F168</f>
        <v>24562</v>
      </c>
      <c r="G172" s="1714">
        <f t="shared" si="25"/>
        <v>24562</v>
      </c>
      <c r="H172" s="1713">
        <f t="shared" si="24"/>
        <v>100</v>
      </c>
      <c r="L172" s="2461"/>
    </row>
    <row r="173" spans="1:12" ht="15" thickTop="1" x14ac:dyDescent="0.2">
      <c r="A173" s="1712"/>
      <c r="L173" s="2461"/>
    </row>
    <row r="174" spans="1:12" s="1687" customFormat="1" ht="27.75" customHeight="1" thickBot="1" x14ac:dyDescent="0.3">
      <c r="A174" s="1711" t="s">
        <v>40</v>
      </c>
      <c r="B174" s="1766"/>
      <c r="C174" s="1765"/>
      <c r="D174" s="1764"/>
      <c r="E174" s="1709">
        <f>SUM(E172)</f>
        <v>0</v>
      </c>
      <c r="F174" s="1709">
        <f>SUM(F172)</f>
        <v>24562</v>
      </c>
      <c r="G174" s="1709">
        <f>SUM(G172)</f>
        <v>24562</v>
      </c>
      <c r="H174" s="1708">
        <f>(G174/F174)*100</f>
        <v>100</v>
      </c>
      <c r="J174" s="1734"/>
      <c r="K174" s="1734"/>
      <c r="L174" s="2461">
        <v>24562300</v>
      </c>
    </row>
    <row r="175" spans="1:12" s="1682" customFormat="1" ht="14.25" customHeight="1" thickTop="1" x14ac:dyDescent="0.25">
      <c r="A175" s="1705"/>
      <c r="B175" s="1760"/>
      <c r="C175" s="1768"/>
      <c r="D175" s="1758"/>
      <c r="E175" s="1706"/>
      <c r="F175" s="1706"/>
      <c r="G175" s="1706"/>
      <c r="H175" s="1703"/>
      <c r="J175" s="1702"/>
      <c r="K175" s="1702"/>
      <c r="L175" s="2461"/>
    </row>
    <row r="176" spans="1:12" s="1682" customFormat="1" ht="14.25" customHeight="1" x14ac:dyDescent="0.25">
      <c r="A176" s="1705"/>
      <c r="B176" s="1760"/>
      <c r="C176" s="1768"/>
      <c r="D176" s="1758"/>
      <c r="E176" s="1706"/>
      <c r="F176" s="1706"/>
      <c r="G176" s="1706"/>
      <c r="H176" s="1703"/>
      <c r="J176" s="1702"/>
      <c r="K176" s="1702"/>
      <c r="L176" s="2461"/>
    </row>
    <row r="177" spans="1:12" s="1183" customFormat="1" ht="14.25" customHeight="1" x14ac:dyDescent="0.25">
      <c r="A177" s="1693" t="s">
        <v>1266</v>
      </c>
      <c r="B177" s="1767"/>
      <c r="C177" s="1761"/>
      <c r="E177" s="1755" t="s">
        <v>638</v>
      </c>
      <c r="F177" s="1755"/>
      <c r="G177" s="1755"/>
      <c r="H177" s="1754"/>
      <c r="L177" s="2461"/>
    </row>
    <row r="178" spans="1:12" ht="15" thickBot="1" x14ac:dyDescent="0.25">
      <c r="A178" s="1712"/>
      <c r="H178" s="1753" t="s">
        <v>92</v>
      </c>
      <c r="L178" s="2461"/>
    </row>
    <row r="179" spans="1:12" s="1747" customFormat="1" ht="20.25" customHeight="1" thickTop="1" thickBot="1" x14ac:dyDescent="0.25">
      <c r="A179" s="2456" t="s">
        <v>93</v>
      </c>
      <c r="B179" s="2457" t="s">
        <v>94</v>
      </c>
      <c r="C179" s="2458" t="s">
        <v>364</v>
      </c>
      <c r="D179" s="1041" t="s">
        <v>95</v>
      </c>
      <c r="E179" s="1069" t="s">
        <v>328</v>
      </c>
      <c r="F179" s="1069" t="s">
        <v>329</v>
      </c>
      <c r="G179" s="1749" t="s">
        <v>448</v>
      </c>
      <c r="H179" s="1784" t="s">
        <v>449</v>
      </c>
      <c r="L179" s="2461"/>
    </row>
    <row r="180" spans="1:12" s="1037" customFormat="1" ht="15.75" thickTop="1" thickBot="1" x14ac:dyDescent="0.25">
      <c r="A180" s="1042">
        <v>1</v>
      </c>
      <c r="B180" s="1041">
        <v>2</v>
      </c>
      <c r="C180" s="1041">
        <v>3</v>
      </c>
      <c r="D180" s="1041">
        <v>4</v>
      </c>
      <c r="E180" s="1041">
        <v>5</v>
      </c>
      <c r="F180" s="1040">
        <v>6</v>
      </c>
      <c r="G180" s="1040">
        <v>7</v>
      </c>
      <c r="H180" s="1039" t="s">
        <v>33</v>
      </c>
      <c r="I180" s="1043"/>
      <c r="L180" s="2462"/>
    </row>
    <row r="181" spans="1:12" ht="15.75" thickTop="1" x14ac:dyDescent="0.25">
      <c r="A181" s="1726">
        <v>4399</v>
      </c>
      <c r="B181" s="1786">
        <v>5336</v>
      </c>
      <c r="C181" s="1740"/>
      <c r="D181" s="1787" t="s">
        <v>1640</v>
      </c>
      <c r="E181" s="1736">
        <f>E182</f>
        <v>0</v>
      </c>
      <c r="F181" s="1736">
        <f>F182</f>
        <v>38390</v>
      </c>
      <c r="G181" s="1736">
        <f>G182</f>
        <v>38390</v>
      </c>
      <c r="H181" s="1728">
        <f t="shared" ref="H181:H183" si="26">(G181/F181)*100</f>
        <v>100</v>
      </c>
      <c r="L181" s="2461"/>
    </row>
    <row r="182" spans="1:12" ht="15" thickBot="1" x14ac:dyDescent="0.25">
      <c r="A182" s="1726"/>
      <c r="B182" s="1786"/>
      <c r="C182" s="1738" t="s">
        <v>1261</v>
      </c>
      <c r="D182" s="1783" t="s">
        <v>1667</v>
      </c>
      <c r="E182" s="1722">
        <v>0</v>
      </c>
      <c r="F182" s="1722">
        <v>38390</v>
      </c>
      <c r="G182" s="1722">
        <v>38390</v>
      </c>
      <c r="H182" s="1721">
        <f t="shared" si="26"/>
        <v>100</v>
      </c>
      <c r="L182" s="2461"/>
    </row>
    <row r="183" spans="1:12" s="1687" customFormat="1" ht="20.25" customHeight="1" thickTop="1" thickBot="1" x14ac:dyDescent="0.3">
      <c r="A183" s="1718" t="s">
        <v>522</v>
      </c>
      <c r="B183" s="1717"/>
      <c r="C183" s="1716"/>
      <c r="D183" s="1715"/>
      <c r="E183" s="1714">
        <f>E181</f>
        <v>0</v>
      </c>
      <c r="F183" s="1714">
        <f t="shared" ref="F183:G183" si="27">F181</f>
        <v>38390</v>
      </c>
      <c r="G183" s="1714">
        <f t="shared" si="27"/>
        <v>38390</v>
      </c>
      <c r="H183" s="1713">
        <f t="shared" si="26"/>
        <v>100</v>
      </c>
      <c r="L183" s="2461">
        <v>38390400</v>
      </c>
    </row>
    <row r="184" spans="1:12" s="1719" customFormat="1" ht="15.75" thickTop="1" x14ac:dyDescent="0.25">
      <c r="A184" s="1763"/>
      <c r="B184" s="1762"/>
      <c r="C184" s="1761"/>
      <c r="E184" s="1755"/>
      <c r="F184" s="1755"/>
      <c r="G184" s="1755"/>
      <c r="H184" s="1754"/>
      <c r="L184" s="2461"/>
    </row>
    <row r="185" spans="1:12" s="1687" customFormat="1" ht="27.75" customHeight="1" thickBot="1" x14ac:dyDescent="0.3">
      <c r="A185" s="1711" t="s">
        <v>138</v>
      </c>
      <c r="B185" s="1766"/>
      <c r="C185" s="1765"/>
      <c r="D185" s="1764"/>
      <c r="E185" s="1709">
        <f>SUM(E183)</f>
        <v>0</v>
      </c>
      <c r="F185" s="1709">
        <f>SUM(F183)</f>
        <v>38390</v>
      </c>
      <c r="G185" s="1709">
        <f>SUM(G183)</f>
        <v>38390</v>
      </c>
      <c r="H185" s="1708">
        <f>(G185/F185)*100</f>
        <v>100</v>
      </c>
      <c r="L185" s="2461"/>
    </row>
    <row r="186" spans="1:12" s="1682" customFormat="1" ht="15" customHeight="1" thickTop="1" x14ac:dyDescent="0.25">
      <c r="A186" s="1705"/>
      <c r="B186" s="1760"/>
      <c r="C186" s="1768"/>
      <c r="D186" s="1758"/>
      <c r="E186" s="1706"/>
      <c r="F186" s="1706"/>
      <c r="G186" s="1706"/>
      <c r="H186" s="1703"/>
      <c r="L186" s="2461"/>
    </row>
    <row r="187" spans="1:12" s="1682" customFormat="1" ht="13.5" customHeight="1" x14ac:dyDescent="0.25">
      <c r="A187" s="1705"/>
      <c r="B187" s="1760"/>
      <c r="C187" s="1768"/>
      <c r="D187" s="1758"/>
      <c r="E187" s="1706"/>
      <c r="F187" s="1706"/>
      <c r="G187" s="1706"/>
      <c r="H187" s="1703"/>
      <c r="L187" s="2461"/>
    </row>
    <row r="188" spans="1:12" s="1719" customFormat="1" ht="15.75" x14ac:dyDescent="0.25">
      <c r="A188" s="1693" t="s">
        <v>1267</v>
      </c>
      <c r="B188" s="1767"/>
      <c r="C188" s="1761"/>
      <c r="D188" s="1183"/>
      <c r="E188" s="1755" t="s">
        <v>639</v>
      </c>
      <c r="F188" s="1755"/>
      <c r="G188" s="1755"/>
      <c r="H188" s="1754"/>
      <c r="L188" s="2461"/>
    </row>
    <row r="189" spans="1:12" ht="15.75" thickBot="1" x14ac:dyDescent="0.25">
      <c r="A189" s="1010"/>
      <c r="B189" s="1013"/>
      <c r="D189" s="1154"/>
      <c r="H189" s="1753" t="s">
        <v>92</v>
      </c>
      <c r="L189" s="2461"/>
    </row>
    <row r="190" spans="1:12" s="1747" customFormat="1" ht="20.25" customHeight="1" thickTop="1" thickBot="1" x14ac:dyDescent="0.25">
      <c r="A190" s="2456" t="s">
        <v>93</v>
      </c>
      <c r="B190" s="2457" t="s">
        <v>94</v>
      </c>
      <c r="C190" s="2458" t="s">
        <v>364</v>
      </c>
      <c r="D190" s="1041" t="s">
        <v>95</v>
      </c>
      <c r="E190" s="1069" t="s">
        <v>328</v>
      </c>
      <c r="F190" s="1069" t="s">
        <v>329</v>
      </c>
      <c r="G190" s="1749" t="s">
        <v>448</v>
      </c>
      <c r="H190" s="1784" t="s">
        <v>449</v>
      </c>
      <c r="L190" s="2461"/>
    </row>
    <row r="191" spans="1:12" s="1037" customFormat="1" ht="15.75" thickTop="1" thickBot="1" x14ac:dyDescent="0.25">
      <c r="A191" s="1042">
        <v>1</v>
      </c>
      <c r="B191" s="1041">
        <v>2</v>
      </c>
      <c r="C191" s="1041">
        <v>3</v>
      </c>
      <c r="D191" s="1041">
        <v>4</v>
      </c>
      <c r="E191" s="1041">
        <v>5</v>
      </c>
      <c r="F191" s="1040">
        <v>6</v>
      </c>
      <c r="G191" s="1040">
        <v>7</v>
      </c>
      <c r="H191" s="1039" t="s">
        <v>33</v>
      </c>
      <c r="I191" s="1043"/>
      <c r="L191" s="2462"/>
    </row>
    <row r="192" spans="1:12" ht="15.75" thickTop="1" x14ac:dyDescent="0.25">
      <c r="A192" s="1726">
        <v>4399</v>
      </c>
      <c r="B192" s="1725">
        <v>5336</v>
      </c>
      <c r="C192" s="1738"/>
      <c r="D192" s="1787" t="s">
        <v>1640</v>
      </c>
      <c r="E192" s="1736">
        <f>E193</f>
        <v>0</v>
      </c>
      <c r="F192" s="1736">
        <f>F193</f>
        <v>9715</v>
      </c>
      <c r="G192" s="1736">
        <f>G193</f>
        <v>9715</v>
      </c>
      <c r="H192" s="1728">
        <f>(G192/F192)*100</f>
        <v>100</v>
      </c>
      <c r="L192" s="2461"/>
    </row>
    <row r="193" spans="1:12" ht="15" thickBot="1" x14ac:dyDescent="0.25">
      <c r="A193" s="1726"/>
      <c r="B193" s="1725"/>
      <c r="C193" s="1738" t="s">
        <v>1261</v>
      </c>
      <c r="D193" s="1783" t="s">
        <v>1667</v>
      </c>
      <c r="E193" s="1722">
        <v>0</v>
      </c>
      <c r="F193" s="1722">
        <v>9715</v>
      </c>
      <c r="G193" s="1722">
        <v>9715</v>
      </c>
      <c r="H193" s="1721">
        <f>(G193/F193)*100</f>
        <v>100</v>
      </c>
      <c r="L193" s="2461"/>
    </row>
    <row r="194" spans="1:12" s="1687" customFormat="1" ht="20.25" customHeight="1" thickTop="1" thickBot="1" x14ac:dyDescent="0.3">
      <c r="A194" s="1718" t="s">
        <v>522</v>
      </c>
      <c r="B194" s="1717"/>
      <c r="C194" s="1716"/>
      <c r="D194" s="1715"/>
      <c r="E194" s="1714">
        <f>E192</f>
        <v>0</v>
      </c>
      <c r="F194" s="1714">
        <f>F192</f>
        <v>9715</v>
      </c>
      <c r="G194" s="1714">
        <f>G192</f>
        <v>9715</v>
      </c>
      <c r="H194" s="1713">
        <f>(G194/F194)*100</f>
        <v>100</v>
      </c>
      <c r="L194" s="2461">
        <v>9714700</v>
      </c>
    </row>
    <row r="195" spans="1:12" s="1687" customFormat="1" ht="20.25" customHeight="1" thickTop="1" x14ac:dyDescent="0.25">
      <c r="A195" s="1701"/>
      <c r="B195" s="1700"/>
      <c r="C195" s="1699"/>
      <c r="D195" s="1698"/>
      <c r="E195" s="1770"/>
      <c r="F195" s="1770"/>
      <c r="G195" s="1770"/>
      <c r="H195" s="1769"/>
      <c r="L195" s="2461"/>
    </row>
    <row r="196" spans="1:12" s="1687" customFormat="1" ht="27.75" customHeight="1" thickBot="1" x14ac:dyDescent="0.3">
      <c r="A196" s="1711" t="s">
        <v>640</v>
      </c>
      <c r="B196" s="1766"/>
      <c r="C196" s="1765"/>
      <c r="D196" s="1764"/>
      <c r="E196" s="1709">
        <f>SUM(E194)</f>
        <v>0</v>
      </c>
      <c r="F196" s="1709">
        <f>SUM(F194)</f>
        <v>9715</v>
      </c>
      <c r="G196" s="1709">
        <f>SUM(G194)</f>
        <v>9715</v>
      </c>
      <c r="H196" s="1708">
        <f>(G196/F196)*100</f>
        <v>100</v>
      </c>
      <c r="L196" s="2461"/>
    </row>
    <row r="197" spans="1:12" s="1682" customFormat="1" ht="15.75" customHeight="1" thickTop="1" x14ac:dyDescent="0.25">
      <c r="A197" s="1705"/>
      <c r="B197" s="1760"/>
      <c r="C197" s="1768"/>
      <c r="D197" s="1758"/>
      <c r="E197" s="1706"/>
      <c r="F197" s="1706"/>
      <c r="G197" s="1706"/>
      <c r="H197" s="1703"/>
      <c r="L197" s="2461"/>
    </row>
    <row r="198" spans="1:12" s="1682" customFormat="1" ht="12.75" customHeight="1" x14ac:dyDescent="0.25">
      <c r="A198" s="1705"/>
      <c r="B198" s="1760"/>
      <c r="C198" s="1768"/>
      <c r="D198" s="1758"/>
      <c r="E198" s="1706"/>
      <c r="F198" s="1706"/>
      <c r="G198" s="1706"/>
      <c r="H198" s="1703"/>
      <c r="L198" s="2461"/>
    </row>
    <row r="199" spans="1:12" s="1183" customFormat="1" ht="15.75" x14ac:dyDescent="0.25">
      <c r="A199" s="1693" t="s">
        <v>642</v>
      </c>
      <c r="B199" s="1767"/>
      <c r="C199" s="1761"/>
      <c r="E199" s="1755" t="s">
        <v>641</v>
      </c>
      <c r="F199" s="1755"/>
      <c r="G199" s="1755"/>
      <c r="L199" s="2461"/>
    </row>
    <row r="200" spans="1:12" s="1154" customFormat="1" ht="15.75" thickBot="1" x14ac:dyDescent="0.25">
      <c r="A200" s="1010"/>
      <c r="B200" s="1013"/>
      <c r="C200" s="1676"/>
      <c r="E200" s="1675"/>
      <c r="F200" s="1675"/>
      <c r="G200" s="1675"/>
      <c r="H200" s="1753" t="s">
        <v>92</v>
      </c>
      <c r="L200" s="2461"/>
    </row>
    <row r="201" spans="1:12" s="1747" customFormat="1" ht="20.25" customHeight="1" thickTop="1" thickBot="1" x14ac:dyDescent="0.25">
      <c r="A201" s="2456" t="s">
        <v>93</v>
      </c>
      <c r="B201" s="2457" t="s">
        <v>94</v>
      </c>
      <c r="C201" s="2458" t="s">
        <v>364</v>
      </c>
      <c r="D201" s="1041" t="s">
        <v>95</v>
      </c>
      <c r="E201" s="1069" t="s">
        <v>328</v>
      </c>
      <c r="F201" s="1069" t="s">
        <v>329</v>
      </c>
      <c r="G201" s="1749" t="s">
        <v>448</v>
      </c>
      <c r="H201" s="1784" t="s">
        <v>449</v>
      </c>
      <c r="L201" s="2461"/>
    </row>
    <row r="202" spans="1:12" s="1037" customFormat="1" ht="15.75" thickTop="1" thickBot="1" x14ac:dyDescent="0.25">
      <c r="A202" s="1042">
        <v>1</v>
      </c>
      <c r="B202" s="1041">
        <v>2</v>
      </c>
      <c r="C202" s="1041">
        <v>3</v>
      </c>
      <c r="D202" s="1041">
        <v>4</v>
      </c>
      <c r="E202" s="1041">
        <v>5</v>
      </c>
      <c r="F202" s="1040">
        <v>6</v>
      </c>
      <c r="G202" s="1040">
        <v>7</v>
      </c>
      <c r="H202" s="1039" t="s">
        <v>33</v>
      </c>
      <c r="I202" s="1043"/>
      <c r="L202" s="2462"/>
    </row>
    <row r="203" spans="1:12" s="1719" customFormat="1" ht="15.75" thickTop="1" x14ac:dyDescent="0.25">
      <c r="A203" s="1726">
        <v>4399</v>
      </c>
      <c r="B203" s="1725">
        <v>5336</v>
      </c>
      <c r="C203" s="1740"/>
      <c r="D203" s="1787" t="s">
        <v>1640</v>
      </c>
      <c r="E203" s="1736">
        <f>E204</f>
        <v>0</v>
      </c>
      <c r="F203" s="1736">
        <f>F204</f>
        <v>19153</v>
      </c>
      <c r="G203" s="1736">
        <f>G204</f>
        <v>19153</v>
      </c>
      <c r="H203" s="1728">
        <f t="shared" ref="H203:H205" si="28">(G203/F203)*100</f>
        <v>100</v>
      </c>
      <c r="L203" s="2461"/>
    </row>
    <row r="204" spans="1:12" s="1719" customFormat="1" ht="15" thickBot="1" x14ac:dyDescent="0.25">
      <c r="A204" s="1726"/>
      <c r="B204" s="1725"/>
      <c r="C204" s="1738" t="s">
        <v>1261</v>
      </c>
      <c r="D204" s="1783" t="s">
        <v>1667</v>
      </c>
      <c r="E204" s="1722">
        <v>0</v>
      </c>
      <c r="F204" s="1722">
        <v>19153</v>
      </c>
      <c r="G204" s="1722">
        <v>19153</v>
      </c>
      <c r="H204" s="1721">
        <f t="shared" si="28"/>
        <v>100</v>
      </c>
      <c r="L204" s="2461"/>
    </row>
    <row r="205" spans="1:12" s="1687" customFormat="1" ht="20.25" customHeight="1" thickTop="1" thickBot="1" x14ac:dyDescent="0.3">
      <c r="A205" s="1718" t="s">
        <v>522</v>
      </c>
      <c r="B205" s="1717"/>
      <c r="C205" s="1716"/>
      <c r="D205" s="1715"/>
      <c r="E205" s="1714">
        <f>E203</f>
        <v>0</v>
      </c>
      <c r="F205" s="1714">
        <f>F203</f>
        <v>19153</v>
      </c>
      <c r="G205" s="1714">
        <f>G203</f>
        <v>19153</v>
      </c>
      <c r="H205" s="1713">
        <f t="shared" si="28"/>
        <v>100</v>
      </c>
      <c r="J205" s="1734"/>
      <c r="K205" s="1734"/>
      <c r="L205" s="2461">
        <v>19152800</v>
      </c>
    </row>
    <row r="206" spans="1:12" s="1687" customFormat="1" ht="20.25" customHeight="1" thickTop="1" x14ac:dyDescent="0.25">
      <c r="A206" s="1701"/>
      <c r="B206" s="1700"/>
      <c r="C206" s="1699"/>
      <c r="D206" s="1698"/>
      <c r="E206" s="1770"/>
      <c r="F206" s="1770"/>
      <c r="G206" s="1770"/>
      <c r="H206" s="1769"/>
      <c r="J206" s="1734"/>
      <c r="K206" s="1734"/>
      <c r="L206" s="2461"/>
    </row>
    <row r="207" spans="1:12" s="1687" customFormat="1" ht="20.25" customHeight="1" thickBot="1" x14ac:dyDescent="0.3">
      <c r="A207" s="1711" t="s">
        <v>643</v>
      </c>
      <c r="B207" s="1766"/>
      <c r="C207" s="1765"/>
      <c r="D207" s="1764"/>
      <c r="E207" s="1709">
        <f>SUM(E205)</f>
        <v>0</v>
      </c>
      <c r="F207" s="1709">
        <f>SUM(F205)</f>
        <v>19153</v>
      </c>
      <c r="G207" s="1709">
        <f>SUM(G205)</f>
        <v>19153</v>
      </c>
      <c r="H207" s="1708">
        <f>(G207/F207)*100</f>
        <v>100</v>
      </c>
      <c r="L207" s="2461"/>
    </row>
    <row r="208" spans="1:12" s="1682" customFormat="1" ht="20.25" customHeight="1" thickTop="1" x14ac:dyDescent="0.25">
      <c r="A208" s="1705"/>
      <c r="B208" s="1760"/>
      <c r="C208" s="1768"/>
      <c r="D208" s="1758"/>
      <c r="E208" s="1706"/>
      <c r="F208" s="1706"/>
      <c r="G208" s="1706"/>
      <c r="H208" s="1703"/>
      <c r="L208" s="2461"/>
    </row>
    <row r="209" spans="1:12" ht="12.75" customHeight="1" x14ac:dyDescent="0.2">
      <c r="L209" s="2461"/>
    </row>
    <row r="210" spans="1:12" s="1183" customFormat="1" ht="13.5" customHeight="1" x14ac:dyDescent="0.25">
      <c r="A210" s="1693" t="s">
        <v>139</v>
      </c>
      <c r="B210" s="1767"/>
      <c r="C210" s="1761"/>
      <c r="E210" s="1755" t="s">
        <v>647</v>
      </c>
      <c r="F210" s="1755"/>
      <c r="G210" s="1755"/>
      <c r="H210" s="1754"/>
      <c r="L210" s="2461"/>
    </row>
    <row r="211" spans="1:12" ht="13.5" customHeight="1" thickBot="1" x14ac:dyDescent="0.25">
      <c r="A211" s="1712"/>
      <c r="H211" s="1753" t="s">
        <v>92</v>
      </c>
      <c r="L211" s="2461"/>
    </row>
    <row r="212" spans="1:12" s="1747" customFormat="1" ht="20.25" customHeight="1" thickTop="1" thickBot="1" x14ac:dyDescent="0.25">
      <c r="A212" s="2456" t="s">
        <v>93</v>
      </c>
      <c r="B212" s="2457" t="s">
        <v>94</v>
      </c>
      <c r="C212" s="2458" t="s">
        <v>364</v>
      </c>
      <c r="D212" s="1041" t="s">
        <v>95</v>
      </c>
      <c r="E212" s="1069" t="s">
        <v>328</v>
      </c>
      <c r="F212" s="1069" t="s">
        <v>329</v>
      </c>
      <c r="G212" s="1749" t="s">
        <v>448</v>
      </c>
      <c r="H212" s="1784" t="s">
        <v>449</v>
      </c>
      <c r="L212" s="2461"/>
    </row>
    <row r="213" spans="1:12" s="1037" customFormat="1" ht="15.75" thickTop="1" thickBot="1" x14ac:dyDescent="0.25">
      <c r="A213" s="1042">
        <v>1</v>
      </c>
      <c r="B213" s="1041">
        <v>2</v>
      </c>
      <c r="C213" s="1041">
        <v>3</v>
      </c>
      <c r="D213" s="1041">
        <v>4</v>
      </c>
      <c r="E213" s="1041">
        <v>5</v>
      </c>
      <c r="F213" s="1040">
        <v>6</v>
      </c>
      <c r="G213" s="1040">
        <v>7</v>
      </c>
      <c r="H213" s="1039" t="s">
        <v>33</v>
      </c>
      <c r="I213" s="1043"/>
      <c r="L213" s="2462"/>
    </row>
    <row r="214" spans="1:12" s="1037" customFormat="1" ht="15.75" thickTop="1" x14ac:dyDescent="0.25">
      <c r="A214" s="1726">
        <v>4324</v>
      </c>
      <c r="B214" s="1725">
        <v>5336</v>
      </c>
      <c r="C214" s="1740"/>
      <c r="D214" s="1739" t="s">
        <v>856</v>
      </c>
      <c r="E214" s="1736">
        <f>E215</f>
        <v>0</v>
      </c>
      <c r="F214" s="1736">
        <f>F215</f>
        <v>599</v>
      </c>
      <c r="G214" s="1736">
        <f>G215</f>
        <v>599</v>
      </c>
      <c r="H214" s="1745">
        <f>G214/F214*100</f>
        <v>100</v>
      </c>
      <c r="I214" s="1043"/>
      <c r="L214" s="2462"/>
    </row>
    <row r="215" spans="1:12" s="1037" customFormat="1" x14ac:dyDescent="0.2">
      <c r="A215" s="1726"/>
      <c r="B215" s="1725"/>
      <c r="C215" s="1738" t="s">
        <v>888</v>
      </c>
      <c r="D215" s="3258" t="s">
        <v>297</v>
      </c>
      <c r="E215" s="1722">
        <v>0</v>
      </c>
      <c r="F215" s="1722">
        <v>599</v>
      </c>
      <c r="G215" s="1722">
        <v>599</v>
      </c>
      <c r="H215" s="1721">
        <f>(G215/F215)*100</f>
        <v>100</v>
      </c>
      <c r="I215" s="1043"/>
      <c r="L215" s="2462"/>
    </row>
    <row r="216" spans="1:12" s="1037" customFormat="1" x14ac:dyDescent="0.2">
      <c r="A216" s="1726"/>
      <c r="B216" s="1725"/>
      <c r="C216" s="1738"/>
      <c r="D216" s="3258"/>
      <c r="E216" s="1722"/>
      <c r="F216" s="1722"/>
      <c r="G216" s="1722"/>
      <c r="H216" s="1721"/>
      <c r="I216" s="1043"/>
      <c r="L216" s="2462"/>
    </row>
    <row r="217" spans="1:12" ht="15" x14ac:dyDescent="0.25">
      <c r="A217" s="1726">
        <v>4399</v>
      </c>
      <c r="B217" s="1725">
        <v>5336</v>
      </c>
      <c r="C217" s="1746"/>
      <c r="D217" s="1739" t="s">
        <v>856</v>
      </c>
      <c r="E217" s="1736">
        <f>E218</f>
        <v>0</v>
      </c>
      <c r="F217" s="1736">
        <f>F218</f>
        <v>4805</v>
      </c>
      <c r="G217" s="1736">
        <f>G218</f>
        <v>4805</v>
      </c>
      <c r="H217" s="1745">
        <f>G217/F217*100</f>
        <v>100</v>
      </c>
      <c r="L217" s="2461"/>
    </row>
    <row r="218" spans="1:12" ht="15" thickBot="1" x14ac:dyDescent="0.25">
      <c r="A218" s="1726"/>
      <c r="B218" s="1725"/>
      <c r="C218" s="1738" t="s">
        <v>1261</v>
      </c>
      <c r="D218" s="1783" t="s">
        <v>1667</v>
      </c>
      <c r="E218" s="1722">
        <v>0</v>
      </c>
      <c r="F218" s="1722">
        <v>4805</v>
      </c>
      <c r="G218" s="1722">
        <v>4805</v>
      </c>
      <c r="H218" s="1721">
        <f>(G218/F218)*100</f>
        <v>100</v>
      </c>
      <c r="L218" s="2461"/>
    </row>
    <row r="219" spans="1:12" s="1687" customFormat="1" ht="20.25" customHeight="1" thickTop="1" thickBot="1" x14ac:dyDescent="0.3">
      <c r="A219" s="1718" t="s">
        <v>522</v>
      </c>
      <c r="B219" s="1717"/>
      <c r="C219" s="1716"/>
      <c r="D219" s="1715"/>
      <c r="E219" s="1714">
        <f>E214+E217</f>
        <v>0</v>
      </c>
      <c r="F219" s="1714">
        <f t="shared" ref="F219:G219" si="29">F214+F217</f>
        <v>5404</v>
      </c>
      <c r="G219" s="1714">
        <f t="shared" si="29"/>
        <v>5404</v>
      </c>
      <c r="H219" s="1713">
        <f>(G219/F219)*100</f>
        <v>100</v>
      </c>
      <c r="J219" s="1734"/>
      <c r="K219" s="1734"/>
      <c r="L219" s="2461">
        <v>5403780</v>
      </c>
    </row>
    <row r="220" spans="1:12" s="1719" customFormat="1" ht="15.75" thickTop="1" x14ac:dyDescent="0.25">
      <c r="A220" s="1763"/>
      <c r="B220" s="1762"/>
      <c r="C220" s="1761"/>
      <c r="E220" s="1755"/>
      <c r="F220" s="1755"/>
      <c r="G220" s="1755"/>
      <c r="H220" s="1754"/>
      <c r="L220" s="2461"/>
    </row>
    <row r="221" spans="1:12" s="1687" customFormat="1" ht="27.75" customHeight="1" thickBot="1" x14ac:dyDescent="0.3">
      <c r="A221" s="1711" t="s">
        <v>0</v>
      </c>
      <c r="B221" s="1766"/>
      <c r="C221" s="1765"/>
      <c r="D221" s="1764"/>
      <c r="E221" s="1709">
        <f>E219</f>
        <v>0</v>
      </c>
      <c r="F221" s="1709">
        <f>F219</f>
        <v>5404</v>
      </c>
      <c r="G221" s="1709">
        <f>G219</f>
        <v>5404</v>
      </c>
      <c r="H221" s="1708">
        <f>(G221/F221)*100</f>
        <v>100</v>
      </c>
      <c r="L221" s="2461"/>
    </row>
    <row r="222" spans="1:12" ht="15" thickTop="1" x14ac:dyDescent="0.2">
      <c r="L222" s="2461"/>
    </row>
    <row r="223" spans="1:12" x14ac:dyDescent="0.2">
      <c r="L223" s="2461"/>
    </row>
    <row r="224" spans="1:12" s="1183" customFormat="1" ht="15.75" x14ac:dyDescent="0.25">
      <c r="A224" s="1693" t="s">
        <v>7</v>
      </c>
      <c r="B224" s="1767"/>
      <c r="C224" s="1761"/>
      <c r="E224" s="1755" t="s">
        <v>644</v>
      </c>
      <c r="F224" s="1755"/>
      <c r="G224" s="1755"/>
      <c r="H224" s="1754"/>
      <c r="L224" s="2461"/>
    </row>
    <row r="225" spans="1:12" ht="15" thickBot="1" x14ac:dyDescent="0.25">
      <c r="A225" s="1712"/>
      <c r="H225" s="1753" t="s">
        <v>92</v>
      </c>
      <c r="L225" s="2461"/>
    </row>
    <row r="226" spans="1:12" s="1747" customFormat="1" ht="20.25" customHeight="1" thickTop="1" thickBot="1" x14ac:dyDescent="0.25">
      <c r="A226" s="2456" t="s">
        <v>93</v>
      </c>
      <c r="B226" s="2457" t="s">
        <v>94</v>
      </c>
      <c r="C226" s="2458" t="s">
        <v>364</v>
      </c>
      <c r="D226" s="1041" t="s">
        <v>95</v>
      </c>
      <c r="E226" s="1069" t="s">
        <v>328</v>
      </c>
      <c r="F226" s="1069" t="s">
        <v>329</v>
      </c>
      <c r="G226" s="1749" t="s">
        <v>448</v>
      </c>
      <c r="H226" s="1784" t="s">
        <v>449</v>
      </c>
      <c r="L226" s="2461"/>
    </row>
    <row r="227" spans="1:12" s="1037" customFormat="1" ht="15.75" thickTop="1" thickBot="1" x14ac:dyDescent="0.25">
      <c r="A227" s="1042">
        <v>1</v>
      </c>
      <c r="B227" s="1041">
        <v>2</v>
      </c>
      <c r="C227" s="1041">
        <v>3</v>
      </c>
      <c r="D227" s="1041">
        <v>4</v>
      </c>
      <c r="E227" s="1041">
        <v>5</v>
      </c>
      <c r="F227" s="1040">
        <v>6</v>
      </c>
      <c r="G227" s="1040">
        <v>7</v>
      </c>
      <c r="H227" s="1039" t="s">
        <v>33</v>
      </c>
      <c r="I227" s="1043"/>
      <c r="L227" s="2462"/>
    </row>
    <row r="228" spans="1:12" ht="15.75" thickTop="1" x14ac:dyDescent="0.25">
      <c r="A228" s="1726">
        <v>4350</v>
      </c>
      <c r="B228" s="1725">
        <v>5331</v>
      </c>
      <c r="C228" s="1740"/>
      <c r="D228" s="2135" t="s">
        <v>465</v>
      </c>
      <c r="E228" s="1736">
        <f>E229</f>
        <v>0</v>
      </c>
      <c r="F228" s="1736">
        <f>F229</f>
        <v>25</v>
      </c>
      <c r="G228" s="1736">
        <f>G229</f>
        <v>20</v>
      </c>
      <c r="H228" s="1728">
        <f t="shared" ref="H228:H236" si="30">(G228/F228)*100</f>
        <v>80</v>
      </c>
      <c r="I228" s="2933"/>
      <c r="J228" s="1054"/>
      <c r="L228" s="2461"/>
    </row>
    <row r="229" spans="1:12" s="1037" customFormat="1" x14ac:dyDescent="0.2">
      <c r="A229" s="1366"/>
      <c r="B229" s="1143"/>
      <c r="C229" s="1744" t="s">
        <v>1268</v>
      </c>
      <c r="D229" s="1742" t="s">
        <v>1286</v>
      </c>
      <c r="E229" s="1722">
        <v>0</v>
      </c>
      <c r="F229" s="1722">
        <v>25</v>
      </c>
      <c r="G229" s="1722">
        <v>20</v>
      </c>
      <c r="H229" s="1721">
        <f t="shared" si="30"/>
        <v>80</v>
      </c>
      <c r="I229" s="1043"/>
      <c r="L229" s="2462"/>
    </row>
    <row r="230" spans="1:12" ht="15" x14ac:dyDescent="0.25">
      <c r="A230" s="1726">
        <v>4350</v>
      </c>
      <c r="B230" s="1725">
        <v>5336</v>
      </c>
      <c r="C230" s="1740"/>
      <c r="D230" s="1739" t="s">
        <v>856</v>
      </c>
      <c r="E230" s="1736">
        <f>E231+E232+E233</f>
        <v>25</v>
      </c>
      <c r="F230" s="1736">
        <f>F233+F232</f>
        <v>239</v>
      </c>
      <c r="G230" s="1736">
        <f>G233+G232</f>
        <v>239</v>
      </c>
      <c r="H230" s="1728">
        <f t="shared" si="30"/>
        <v>100</v>
      </c>
      <c r="L230" s="2461"/>
    </row>
    <row r="231" spans="1:12" x14ac:dyDescent="0.2">
      <c r="A231" s="1726"/>
      <c r="B231" s="1725"/>
      <c r="C231" s="1744" t="s">
        <v>1268</v>
      </c>
      <c r="D231" s="1742" t="s">
        <v>1286</v>
      </c>
      <c r="E231" s="1722">
        <v>25</v>
      </c>
      <c r="F231" s="1722">
        <v>0</v>
      </c>
      <c r="G231" s="1722">
        <v>0</v>
      </c>
      <c r="H231" s="1721">
        <v>0</v>
      </c>
      <c r="L231" s="2461"/>
    </row>
    <row r="232" spans="1:12" x14ac:dyDescent="0.2">
      <c r="A232" s="1726"/>
      <c r="B232" s="1725"/>
      <c r="C232" s="1738" t="s">
        <v>1264</v>
      </c>
      <c r="D232" s="1743" t="s">
        <v>1288</v>
      </c>
      <c r="E232" s="1722">
        <v>0</v>
      </c>
      <c r="F232" s="1722">
        <v>25</v>
      </c>
      <c r="G232" s="1722">
        <v>25</v>
      </c>
      <c r="H232" s="1721">
        <f t="shared" si="30"/>
        <v>100</v>
      </c>
      <c r="L232" s="2461"/>
    </row>
    <row r="233" spans="1:12" x14ac:dyDescent="0.2">
      <c r="A233" s="1726"/>
      <c r="B233" s="1725"/>
      <c r="C233" s="1738" t="s">
        <v>1265</v>
      </c>
      <c r="D233" s="1743" t="s">
        <v>1288</v>
      </c>
      <c r="E233" s="1722">
        <v>0</v>
      </c>
      <c r="F233" s="1722">
        <v>214</v>
      </c>
      <c r="G233" s="1722">
        <v>214</v>
      </c>
      <c r="H233" s="1721">
        <f t="shared" si="30"/>
        <v>100</v>
      </c>
      <c r="L233" s="2461"/>
    </row>
    <row r="234" spans="1:12" ht="15" x14ac:dyDescent="0.25">
      <c r="A234" s="1726">
        <v>4399</v>
      </c>
      <c r="B234" s="1725">
        <v>5336</v>
      </c>
      <c r="C234" s="1740"/>
      <c r="D234" s="1739" t="s">
        <v>856</v>
      </c>
      <c r="E234" s="1736">
        <f>E235</f>
        <v>0</v>
      </c>
      <c r="F234" s="1736">
        <f>F235</f>
        <v>29672</v>
      </c>
      <c r="G234" s="1736">
        <f>G235</f>
        <v>29672</v>
      </c>
      <c r="H234" s="1728">
        <f t="shared" si="30"/>
        <v>100</v>
      </c>
      <c r="L234" s="2461"/>
    </row>
    <row r="235" spans="1:12" ht="15" thickBot="1" x14ac:dyDescent="0.25">
      <c r="A235" s="1726"/>
      <c r="B235" s="1725"/>
      <c r="C235" s="1738" t="s">
        <v>1261</v>
      </c>
      <c r="D235" s="1737" t="s">
        <v>1667</v>
      </c>
      <c r="E235" s="1722">
        <v>0</v>
      </c>
      <c r="F235" s="1722">
        <v>29672</v>
      </c>
      <c r="G235" s="1722">
        <v>29672</v>
      </c>
      <c r="H235" s="1721">
        <f t="shared" si="30"/>
        <v>100</v>
      </c>
      <c r="L235" s="2461"/>
    </row>
    <row r="236" spans="1:12" s="1687" customFormat="1" ht="20.25" customHeight="1" thickTop="1" thickBot="1" x14ac:dyDescent="0.3">
      <c r="A236" s="1718" t="s">
        <v>522</v>
      </c>
      <c r="B236" s="1717"/>
      <c r="C236" s="1716"/>
      <c r="D236" s="1735"/>
      <c r="E236" s="1714">
        <f>E234+E230+E228</f>
        <v>25</v>
      </c>
      <c r="F236" s="1714">
        <f t="shared" ref="F236:G236" si="31">F234+F230+F228</f>
        <v>29936</v>
      </c>
      <c r="G236" s="1714">
        <f t="shared" si="31"/>
        <v>29931</v>
      </c>
      <c r="H236" s="1713">
        <f t="shared" si="30"/>
        <v>99.98329770176376</v>
      </c>
      <c r="L236" s="2461">
        <f>29911344.18+20195.51</f>
        <v>29931539.690000001</v>
      </c>
    </row>
    <row r="237" spans="1:12" s="1719" customFormat="1" ht="15.75" thickTop="1" x14ac:dyDescent="0.25">
      <c r="A237" s="1763"/>
      <c r="B237" s="1762"/>
      <c r="C237" s="1761"/>
      <c r="E237" s="1755"/>
      <c r="F237" s="1755"/>
      <c r="G237" s="1755"/>
      <c r="H237" s="1754"/>
      <c r="L237" s="2461"/>
    </row>
    <row r="238" spans="1:12" s="1687" customFormat="1" ht="27.75" customHeight="1" thickBot="1" x14ac:dyDescent="0.3">
      <c r="A238" s="1711" t="s">
        <v>8</v>
      </c>
      <c r="B238" s="1766"/>
      <c r="C238" s="1765"/>
      <c r="D238" s="1764"/>
      <c r="E238" s="1709">
        <f>SUM(E236)</f>
        <v>25</v>
      </c>
      <c r="F238" s="1709">
        <f>SUM(F236)</f>
        <v>29936</v>
      </c>
      <c r="G238" s="1709">
        <f>SUM(G236)</f>
        <v>29931</v>
      </c>
      <c r="H238" s="1708">
        <f>(G238/F238)*100</f>
        <v>99.98329770176376</v>
      </c>
      <c r="L238" s="2461"/>
    </row>
    <row r="239" spans="1:12" ht="13.5" customHeight="1" thickTop="1" x14ac:dyDescent="0.2">
      <c r="L239" s="2461"/>
    </row>
    <row r="240" spans="1:12" ht="13.5" customHeight="1" x14ac:dyDescent="0.2">
      <c r="L240" s="2461"/>
    </row>
    <row r="241" spans="1:12" s="1183" customFormat="1" ht="14.25" customHeight="1" x14ac:dyDescent="0.25">
      <c r="A241" s="1693" t="s">
        <v>9</v>
      </c>
      <c r="B241" s="1767"/>
      <c r="C241" s="1761"/>
      <c r="E241" s="1755" t="s">
        <v>645</v>
      </c>
      <c r="F241" s="1755"/>
      <c r="G241" s="1755"/>
      <c r="H241" s="1754"/>
      <c r="L241" s="2461"/>
    </row>
    <row r="242" spans="1:12" ht="15" thickBot="1" x14ac:dyDescent="0.25">
      <c r="A242" s="1712"/>
      <c r="H242" s="1753" t="s">
        <v>92</v>
      </c>
      <c r="L242" s="2461"/>
    </row>
    <row r="243" spans="1:12" s="1747" customFormat="1" ht="20.25" customHeight="1" thickTop="1" thickBot="1" x14ac:dyDescent="0.25">
      <c r="A243" s="2456" t="s">
        <v>93</v>
      </c>
      <c r="B243" s="2457" t="s">
        <v>94</v>
      </c>
      <c r="C243" s="2458" t="s">
        <v>364</v>
      </c>
      <c r="D243" s="1041" t="s">
        <v>95</v>
      </c>
      <c r="E243" s="1069" t="s">
        <v>328</v>
      </c>
      <c r="F243" s="1069" t="s">
        <v>329</v>
      </c>
      <c r="G243" s="1749" t="s">
        <v>448</v>
      </c>
      <c r="H243" s="1784" t="s">
        <v>449</v>
      </c>
      <c r="L243" s="2461"/>
    </row>
    <row r="244" spans="1:12" s="1037" customFormat="1" ht="15.75" thickTop="1" thickBot="1" x14ac:dyDescent="0.25">
      <c r="A244" s="1042">
        <v>1</v>
      </c>
      <c r="B244" s="1041">
        <v>2</v>
      </c>
      <c r="C244" s="1041">
        <v>3</v>
      </c>
      <c r="D244" s="1041">
        <v>4</v>
      </c>
      <c r="E244" s="1041">
        <v>5</v>
      </c>
      <c r="F244" s="1040">
        <v>6</v>
      </c>
      <c r="G244" s="1040">
        <v>7</v>
      </c>
      <c r="H244" s="1039" t="s">
        <v>33</v>
      </c>
      <c r="I244" s="1043"/>
      <c r="L244" s="2462"/>
    </row>
    <row r="245" spans="1:12" ht="15.75" thickTop="1" x14ac:dyDescent="0.25">
      <c r="A245" s="1726">
        <v>4399</v>
      </c>
      <c r="B245" s="1725">
        <v>5336</v>
      </c>
      <c r="C245" s="1740"/>
      <c r="D245" s="1739" t="s">
        <v>856</v>
      </c>
      <c r="E245" s="1736">
        <f>E246</f>
        <v>0</v>
      </c>
      <c r="F245" s="1736">
        <f>F246</f>
        <v>7185</v>
      </c>
      <c r="G245" s="1736">
        <f>G246</f>
        <v>7185</v>
      </c>
      <c r="H245" s="1728">
        <f t="shared" ref="H245:H247" si="32">(G245/F245)*100</f>
        <v>100</v>
      </c>
      <c r="L245" s="2461"/>
    </row>
    <row r="246" spans="1:12" ht="15" thickBot="1" x14ac:dyDescent="0.25">
      <c r="A246" s="1726"/>
      <c r="B246" s="1725"/>
      <c r="C246" s="1738" t="s">
        <v>1261</v>
      </c>
      <c r="D246" s="1783" t="s">
        <v>1667</v>
      </c>
      <c r="E246" s="1722">
        <v>0</v>
      </c>
      <c r="F246" s="1722">
        <v>7185</v>
      </c>
      <c r="G246" s="1722">
        <v>7185</v>
      </c>
      <c r="H246" s="1721">
        <f t="shared" si="32"/>
        <v>100</v>
      </c>
      <c r="L246" s="2461"/>
    </row>
    <row r="247" spans="1:12" s="1687" customFormat="1" ht="20.25" customHeight="1" thickTop="1" thickBot="1" x14ac:dyDescent="0.3">
      <c r="A247" s="1718" t="s">
        <v>522</v>
      </c>
      <c r="B247" s="1717"/>
      <c r="C247" s="1716"/>
      <c r="D247" s="1715"/>
      <c r="E247" s="1714">
        <f>E245</f>
        <v>0</v>
      </c>
      <c r="F247" s="1714">
        <f t="shared" ref="F247:G247" si="33">F245</f>
        <v>7185</v>
      </c>
      <c r="G247" s="1714">
        <f t="shared" si="33"/>
        <v>7185</v>
      </c>
      <c r="H247" s="1713">
        <f t="shared" si="32"/>
        <v>100</v>
      </c>
      <c r="L247" s="2461">
        <v>7185000</v>
      </c>
    </row>
    <row r="248" spans="1:12" s="1719" customFormat="1" ht="15.75" thickTop="1" x14ac:dyDescent="0.25">
      <c r="A248" s="1763"/>
      <c r="B248" s="1762"/>
      <c r="C248" s="1761"/>
      <c r="E248" s="1755"/>
      <c r="F248" s="1755"/>
      <c r="G248" s="1755"/>
      <c r="H248" s="1754"/>
      <c r="L248" s="2461"/>
    </row>
    <row r="249" spans="1:12" s="1687" customFormat="1" ht="27.75" customHeight="1" thickBot="1" x14ac:dyDescent="0.3">
      <c r="A249" s="1711" t="s">
        <v>10</v>
      </c>
      <c r="B249" s="1766"/>
      <c r="C249" s="1765"/>
      <c r="D249" s="1764"/>
      <c r="E249" s="1709">
        <f>E247</f>
        <v>0</v>
      </c>
      <c r="F249" s="1709">
        <f t="shared" ref="F249:G249" si="34">F247</f>
        <v>7185</v>
      </c>
      <c r="G249" s="1709">
        <f t="shared" si="34"/>
        <v>7185</v>
      </c>
      <c r="H249" s="1708">
        <f>(G249/F249)*100</f>
        <v>100</v>
      </c>
      <c r="L249" s="2461"/>
    </row>
    <row r="250" spans="1:12" s="1682" customFormat="1" ht="15.6" customHeight="1" thickTop="1" x14ac:dyDescent="0.25">
      <c r="A250" s="1705"/>
      <c r="B250" s="1760"/>
      <c r="C250" s="1768"/>
      <c r="D250" s="1758"/>
      <c r="E250" s="1706"/>
      <c r="F250" s="1706"/>
      <c r="G250" s="1706"/>
      <c r="H250" s="1703"/>
      <c r="L250" s="2461"/>
    </row>
    <row r="251" spans="1:12" s="1682" customFormat="1" ht="13.9" customHeight="1" x14ac:dyDescent="0.25">
      <c r="A251" s="1705"/>
      <c r="B251" s="1760"/>
      <c r="C251" s="1768"/>
      <c r="D251" s="1758"/>
      <c r="E251" s="1706"/>
      <c r="F251" s="1706"/>
      <c r="G251" s="1706"/>
      <c r="H251" s="1703"/>
      <c r="L251" s="2461"/>
    </row>
    <row r="252" spans="1:12" s="1183" customFormat="1" ht="15.75" x14ac:dyDescent="0.25">
      <c r="A252" s="1693" t="s">
        <v>11</v>
      </c>
      <c r="B252" s="1767"/>
      <c r="C252" s="1761"/>
      <c r="E252" s="1755" t="s">
        <v>646</v>
      </c>
      <c r="F252" s="1755"/>
      <c r="G252" s="1755"/>
      <c r="H252" s="1754"/>
      <c r="L252" s="2461"/>
    </row>
    <row r="253" spans="1:12" ht="15" thickBot="1" x14ac:dyDescent="0.25">
      <c r="A253" s="1712"/>
      <c r="H253" s="1753" t="s">
        <v>92</v>
      </c>
      <c r="L253" s="2461"/>
    </row>
    <row r="254" spans="1:12" s="1747" customFormat="1" ht="20.25" customHeight="1" thickTop="1" thickBot="1" x14ac:dyDescent="0.25">
      <c r="A254" s="2456" t="s">
        <v>93</v>
      </c>
      <c r="B254" s="2457" t="s">
        <v>94</v>
      </c>
      <c r="C254" s="2458" t="s">
        <v>364</v>
      </c>
      <c r="D254" s="1041" t="s">
        <v>95</v>
      </c>
      <c r="E254" s="1069" t="s">
        <v>328</v>
      </c>
      <c r="F254" s="1069" t="s">
        <v>329</v>
      </c>
      <c r="G254" s="1749" t="s">
        <v>448</v>
      </c>
      <c r="H254" s="1784" t="s">
        <v>449</v>
      </c>
      <c r="L254" s="2461"/>
    </row>
    <row r="255" spans="1:12" s="1037" customFormat="1" ht="15.75" thickTop="1" thickBot="1" x14ac:dyDescent="0.25">
      <c r="A255" s="1042">
        <v>1</v>
      </c>
      <c r="B255" s="1041">
        <v>2</v>
      </c>
      <c r="C255" s="1041">
        <v>3</v>
      </c>
      <c r="D255" s="1041">
        <v>4</v>
      </c>
      <c r="E255" s="1041">
        <v>5</v>
      </c>
      <c r="F255" s="1040">
        <v>6</v>
      </c>
      <c r="G255" s="1040">
        <v>7</v>
      </c>
      <c r="H255" s="1039" t="s">
        <v>33</v>
      </c>
      <c r="I255" s="1043"/>
      <c r="L255" s="2462"/>
    </row>
    <row r="256" spans="1:12" s="1719" customFormat="1" ht="15.75" thickTop="1" x14ac:dyDescent="0.25">
      <c r="A256" s="1726">
        <v>4350</v>
      </c>
      <c r="B256" s="1725">
        <v>5331</v>
      </c>
      <c r="C256" s="1740"/>
      <c r="D256" s="2135" t="s">
        <v>465</v>
      </c>
      <c r="E256" s="1736">
        <f>E257</f>
        <v>0</v>
      </c>
      <c r="F256" s="1736">
        <f>F257</f>
        <v>38</v>
      </c>
      <c r="G256" s="1736">
        <f>G257</f>
        <v>26</v>
      </c>
      <c r="H256" s="1728">
        <f t="shared" ref="H256:H257" si="35">(G256/F256)*100</f>
        <v>68.421052631578945</v>
      </c>
      <c r="L256" s="2461"/>
    </row>
    <row r="257" spans="1:13" s="1719" customFormat="1" x14ac:dyDescent="0.2">
      <c r="A257" s="1366"/>
      <c r="B257" s="1143"/>
      <c r="C257" s="1744" t="s">
        <v>1268</v>
      </c>
      <c r="D257" s="1742" t="s">
        <v>1286</v>
      </c>
      <c r="E257" s="1722">
        <v>0</v>
      </c>
      <c r="F257" s="1722">
        <v>38</v>
      </c>
      <c r="G257" s="1722">
        <v>26</v>
      </c>
      <c r="H257" s="1721">
        <f t="shared" si="35"/>
        <v>68.421052631578945</v>
      </c>
      <c r="L257" s="2461"/>
    </row>
    <row r="258" spans="1:13" s="1719" customFormat="1" ht="15" x14ac:dyDescent="0.25">
      <c r="A258" s="1726">
        <v>4350</v>
      </c>
      <c r="B258" s="1725">
        <v>5336</v>
      </c>
      <c r="C258" s="1746"/>
      <c r="D258" s="1739" t="s">
        <v>856</v>
      </c>
      <c r="E258" s="1736">
        <f>E259+E260+E261</f>
        <v>38</v>
      </c>
      <c r="F258" s="1736">
        <f>F259+F260+F261</f>
        <v>139</v>
      </c>
      <c r="G258" s="1736">
        <f t="shared" ref="G258" si="36">G259+G260+G261</f>
        <v>139</v>
      </c>
      <c r="H258" s="1745">
        <f>G258/F258*100</f>
        <v>100</v>
      </c>
      <c r="L258" s="2461"/>
    </row>
    <row r="259" spans="1:13" s="1719" customFormat="1" x14ac:dyDescent="0.2">
      <c r="A259" s="1726"/>
      <c r="B259" s="1725"/>
      <c r="C259" s="1744" t="s">
        <v>1268</v>
      </c>
      <c r="D259" s="1742" t="s">
        <v>1286</v>
      </c>
      <c r="E259" s="1722">
        <v>38</v>
      </c>
      <c r="F259" s="1722">
        <v>0</v>
      </c>
      <c r="G259" s="1722">
        <v>0</v>
      </c>
      <c r="H259" s="1721">
        <v>0</v>
      </c>
      <c r="L259" s="2461"/>
    </row>
    <row r="260" spans="1:13" x14ac:dyDescent="0.2">
      <c r="A260" s="1726"/>
      <c r="B260" s="1725"/>
      <c r="C260" s="1744" t="s">
        <v>1264</v>
      </c>
      <c r="D260" s="1743" t="s">
        <v>1288</v>
      </c>
      <c r="E260" s="1722">
        <v>0</v>
      </c>
      <c r="F260" s="1722">
        <v>15</v>
      </c>
      <c r="G260" s="1722">
        <v>15</v>
      </c>
      <c r="H260" s="1721">
        <f t="shared" ref="H260:H264" si="37">(G260/F260)*100</f>
        <v>100</v>
      </c>
      <c r="L260" s="2461"/>
    </row>
    <row r="261" spans="1:13" x14ac:dyDescent="0.2">
      <c r="A261" s="1726"/>
      <c r="B261" s="1725"/>
      <c r="C261" s="1738" t="s">
        <v>1265</v>
      </c>
      <c r="D261" s="1743" t="s">
        <v>1288</v>
      </c>
      <c r="E261" s="1722">
        <v>0</v>
      </c>
      <c r="F261" s="1722">
        <v>124</v>
      </c>
      <c r="G261" s="1722">
        <v>124</v>
      </c>
      <c r="H261" s="1721">
        <f t="shared" si="37"/>
        <v>100</v>
      </c>
      <c r="L261" s="2461"/>
    </row>
    <row r="262" spans="1:13" ht="15" x14ac:dyDescent="0.25">
      <c r="A262" s="1726">
        <v>4399</v>
      </c>
      <c r="B262" s="1725">
        <v>5336</v>
      </c>
      <c r="C262" s="1740"/>
      <c r="D262" s="1739" t="s">
        <v>856</v>
      </c>
      <c r="E262" s="1736">
        <f>E263</f>
        <v>0</v>
      </c>
      <c r="F262" s="1736">
        <f>F263</f>
        <v>11558</v>
      </c>
      <c r="G262" s="1736">
        <f>G263</f>
        <v>11558</v>
      </c>
      <c r="H262" s="1728">
        <f t="shared" si="37"/>
        <v>100</v>
      </c>
      <c r="L262" s="2461"/>
    </row>
    <row r="263" spans="1:13" ht="15" thickBot="1" x14ac:dyDescent="0.25">
      <c r="A263" s="1726"/>
      <c r="B263" s="1725"/>
      <c r="C263" s="1738" t="s">
        <v>1261</v>
      </c>
      <c r="D263" s="1737" t="s">
        <v>1667</v>
      </c>
      <c r="E263" s="1722">
        <v>0</v>
      </c>
      <c r="F263" s="1722">
        <v>11558</v>
      </c>
      <c r="G263" s="1722">
        <v>11558</v>
      </c>
      <c r="H263" s="1721">
        <f t="shared" si="37"/>
        <v>100</v>
      </c>
      <c r="L263" s="2461"/>
    </row>
    <row r="264" spans="1:13" s="1682" customFormat="1" ht="20.25" customHeight="1" thickTop="1" thickBot="1" x14ac:dyDescent="0.3">
      <c r="A264" s="1718" t="s">
        <v>522</v>
      </c>
      <c r="B264" s="1717"/>
      <c r="C264" s="1716"/>
      <c r="D264" s="1735"/>
      <c r="E264" s="1714">
        <f>E256+E258+E262</f>
        <v>38</v>
      </c>
      <c r="F264" s="1714">
        <f t="shared" ref="F264:G264" si="38">F256+F258+F262</f>
        <v>11735</v>
      </c>
      <c r="G264" s="1714">
        <f t="shared" si="38"/>
        <v>11723</v>
      </c>
      <c r="H264" s="1713">
        <f t="shared" si="37"/>
        <v>99.897741798040045</v>
      </c>
      <c r="J264" s="1002"/>
      <c r="K264" s="1002"/>
      <c r="L264" s="2461">
        <f>11697239.76+25959.5</f>
        <v>11723199.26</v>
      </c>
      <c r="M264" s="997"/>
    </row>
    <row r="265" spans="1:13" ht="15" thickTop="1" x14ac:dyDescent="0.2">
      <c r="A265" s="1712"/>
      <c r="J265" s="1002"/>
      <c r="K265" s="1002"/>
      <c r="L265" s="1002"/>
    </row>
    <row r="266" spans="1:13" s="1687" customFormat="1" ht="27.75" customHeight="1" thickBot="1" x14ac:dyDescent="0.3">
      <c r="A266" s="1711" t="s">
        <v>12</v>
      </c>
      <c r="B266" s="1766"/>
      <c r="C266" s="1765"/>
      <c r="D266" s="1764"/>
      <c r="E266" s="1709">
        <f>E264</f>
        <v>38</v>
      </c>
      <c r="F266" s="1709">
        <f t="shared" ref="F266:G266" si="39">F264</f>
        <v>11735</v>
      </c>
      <c r="G266" s="1709">
        <f t="shared" si="39"/>
        <v>11723</v>
      </c>
      <c r="H266" s="1708">
        <f>(G266/F266)*100</f>
        <v>99.897741798040045</v>
      </c>
    </row>
    <row r="267" spans="1:13" s="1687" customFormat="1" ht="16.149999999999999" customHeight="1" thickTop="1" x14ac:dyDescent="0.25">
      <c r="A267" s="1701"/>
      <c r="B267" s="1700"/>
      <c r="C267" s="1699"/>
      <c r="D267" s="1698"/>
      <c r="E267" s="1770"/>
      <c r="F267" s="1770"/>
      <c r="G267" s="1770"/>
      <c r="H267" s="1769"/>
    </row>
    <row r="268" spans="1:13" s="1687" customFormat="1" ht="16.149999999999999" customHeight="1" x14ac:dyDescent="0.25">
      <c r="A268" s="1701"/>
      <c r="B268" s="1700"/>
      <c r="C268" s="1699"/>
      <c r="D268" s="1698"/>
      <c r="E268" s="1770"/>
      <c r="F268" s="1770"/>
      <c r="G268" s="1770"/>
      <c r="H268" s="1769"/>
    </row>
    <row r="269" spans="1:13" s="1183" customFormat="1" ht="15.75" x14ac:dyDescent="0.25">
      <c r="A269" s="1693" t="s">
        <v>349</v>
      </c>
      <c r="B269" s="1767"/>
      <c r="C269" s="1761"/>
      <c r="E269" s="1755" t="s">
        <v>227</v>
      </c>
      <c r="F269" s="1755"/>
      <c r="G269" s="1755"/>
      <c r="H269" s="1754"/>
    </row>
    <row r="270" spans="1:13" ht="15" thickBot="1" x14ac:dyDescent="0.25">
      <c r="A270" s="1712"/>
      <c r="H270" s="1753" t="s">
        <v>92</v>
      </c>
    </row>
    <row r="271" spans="1:13" s="1747" customFormat="1" ht="20.25" customHeight="1" thickTop="1" thickBot="1" x14ac:dyDescent="0.25">
      <c r="A271" s="2456" t="s">
        <v>93</v>
      </c>
      <c r="B271" s="2457" t="s">
        <v>94</v>
      </c>
      <c r="C271" s="2458" t="s">
        <v>364</v>
      </c>
      <c r="D271" s="1041" t="s">
        <v>95</v>
      </c>
      <c r="E271" s="1069" t="s">
        <v>328</v>
      </c>
      <c r="F271" s="1069" t="s">
        <v>329</v>
      </c>
      <c r="G271" s="1749" t="s">
        <v>448</v>
      </c>
      <c r="H271" s="1748" t="s">
        <v>449</v>
      </c>
    </row>
    <row r="272" spans="1:13" s="1037" customFormat="1" ht="13.5" thickTop="1" thickBot="1" x14ac:dyDescent="0.25">
      <c r="A272" s="1042">
        <v>1</v>
      </c>
      <c r="B272" s="1041">
        <v>2</v>
      </c>
      <c r="C272" s="1041">
        <v>3</v>
      </c>
      <c r="D272" s="1041">
        <v>4</v>
      </c>
      <c r="E272" s="1041">
        <v>5</v>
      </c>
      <c r="F272" s="1040">
        <v>6</v>
      </c>
      <c r="G272" s="1040">
        <v>7</v>
      </c>
      <c r="H272" s="1039" t="s">
        <v>33</v>
      </c>
      <c r="I272" s="1043"/>
    </row>
    <row r="273" spans="1:19" ht="15.75" thickTop="1" x14ac:dyDescent="0.25">
      <c r="A273" s="1726">
        <v>4399</v>
      </c>
      <c r="B273" s="1725">
        <v>5336</v>
      </c>
      <c r="C273" s="1740"/>
      <c r="D273" s="1739" t="s">
        <v>856</v>
      </c>
      <c r="E273" s="1736">
        <f>E274</f>
        <v>0</v>
      </c>
      <c r="F273" s="1736">
        <f>F274</f>
        <v>2533</v>
      </c>
      <c r="G273" s="1736">
        <f>G274</f>
        <v>2533</v>
      </c>
      <c r="H273" s="1728">
        <f t="shared" ref="H273:H275" si="40">(G273/F273)*100</f>
        <v>100</v>
      </c>
    </row>
    <row r="274" spans="1:19" ht="15" thickBot="1" x14ac:dyDescent="0.25">
      <c r="A274" s="1726"/>
      <c r="B274" s="1725"/>
      <c r="C274" s="1738" t="s">
        <v>1261</v>
      </c>
      <c r="D274" s="1737" t="s">
        <v>1667</v>
      </c>
      <c r="E274" s="1722">
        <v>0</v>
      </c>
      <c r="F274" s="1722">
        <v>2533</v>
      </c>
      <c r="G274" s="1722">
        <v>2533</v>
      </c>
      <c r="H274" s="1721">
        <f t="shared" si="40"/>
        <v>100</v>
      </c>
    </row>
    <row r="275" spans="1:19" s="1687" customFormat="1" ht="20.25" customHeight="1" thickTop="1" thickBot="1" x14ac:dyDescent="0.3">
      <c r="A275" s="1718" t="s">
        <v>522</v>
      </c>
      <c r="B275" s="1717"/>
      <c r="C275" s="1716"/>
      <c r="D275" s="1715"/>
      <c r="E275" s="1714">
        <f>E273</f>
        <v>0</v>
      </c>
      <c r="F275" s="1714">
        <f t="shared" ref="F275:G275" si="41">F273</f>
        <v>2533</v>
      </c>
      <c r="G275" s="1714">
        <f t="shared" si="41"/>
        <v>2533</v>
      </c>
      <c r="H275" s="1713">
        <f t="shared" si="40"/>
        <v>100</v>
      </c>
      <c r="L275" s="2461">
        <v>2533400</v>
      </c>
    </row>
    <row r="276" spans="1:19" s="1719" customFormat="1" ht="15.75" thickTop="1" x14ac:dyDescent="0.25">
      <c r="A276" s="1763"/>
      <c r="B276" s="1762"/>
      <c r="C276" s="1761"/>
      <c r="E276" s="1755"/>
      <c r="F276" s="1755"/>
      <c r="G276" s="1755"/>
      <c r="H276" s="1754"/>
      <c r="L276" s="2461"/>
      <c r="S276" s="1719">
        <v>0</v>
      </c>
    </row>
    <row r="277" spans="1:19" s="1687" customFormat="1" ht="27.75" customHeight="1" thickBot="1" x14ac:dyDescent="0.3">
      <c r="A277" s="1711" t="s">
        <v>350</v>
      </c>
      <c r="B277" s="1766"/>
      <c r="C277" s="1765"/>
      <c r="D277" s="1764"/>
      <c r="E277" s="1709">
        <f>E275</f>
        <v>0</v>
      </c>
      <c r="F277" s="1709">
        <f>F275</f>
        <v>2533</v>
      </c>
      <c r="G277" s="1709">
        <f>G275</f>
        <v>2533</v>
      </c>
      <c r="H277" s="1708">
        <f>(G277/F277)*100</f>
        <v>100</v>
      </c>
      <c r="L277" s="2461"/>
    </row>
    <row r="278" spans="1:19" s="1682" customFormat="1" ht="15.75" customHeight="1" thickTop="1" x14ac:dyDescent="0.25">
      <c r="A278" s="1705"/>
      <c r="B278" s="1760"/>
      <c r="C278" s="1759"/>
      <c r="D278" s="1758"/>
      <c r="E278" s="1696"/>
      <c r="F278" s="1696"/>
      <c r="G278" s="1696"/>
      <c r="H278" s="1695"/>
      <c r="L278" s="2461"/>
    </row>
    <row r="279" spans="1:19" s="1682" customFormat="1" ht="15.75" customHeight="1" x14ac:dyDescent="0.25">
      <c r="A279" s="1705"/>
      <c r="B279" s="1760"/>
      <c r="C279" s="1759"/>
      <c r="D279" s="1758"/>
      <c r="E279" s="1696"/>
      <c r="F279" s="1696"/>
      <c r="G279" s="1696"/>
      <c r="H279" s="1695"/>
      <c r="L279" s="2461"/>
    </row>
    <row r="280" spans="1:19" s="1183" customFormat="1" ht="15.75" x14ac:dyDescent="0.25">
      <c r="A280" s="1693" t="s">
        <v>229</v>
      </c>
      <c r="B280" s="1767"/>
      <c r="C280" s="1761"/>
      <c r="E280" s="1755" t="s">
        <v>228</v>
      </c>
      <c r="F280" s="1755"/>
      <c r="G280" s="1755"/>
      <c r="H280" s="1754"/>
      <c r="L280" s="2461"/>
    </row>
    <row r="281" spans="1:19" ht="15" thickBot="1" x14ac:dyDescent="0.25">
      <c r="A281" s="1712"/>
      <c r="H281" s="1753" t="s">
        <v>92</v>
      </c>
      <c r="L281" s="2461"/>
    </row>
    <row r="282" spans="1:19" s="1747" customFormat="1" ht="20.25" customHeight="1" thickTop="1" thickBot="1" x14ac:dyDescent="0.25">
      <c r="A282" s="2456" t="s">
        <v>93</v>
      </c>
      <c r="B282" s="2457" t="s">
        <v>94</v>
      </c>
      <c r="C282" s="2458" t="s">
        <v>364</v>
      </c>
      <c r="D282" s="1041" t="s">
        <v>95</v>
      </c>
      <c r="E282" s="1069" t="s">
        <v>328</v>
      </c>
      <c r="F282" s="1069" t="s">
        <v>329</v>
      </c>
      <c r="G282" s="1749" t="s">
        <v>448</v>
      </c>
      <c r="H282" s="1748" t="s">
        <v>449</v>
      </c>
      <c r="L282" s="2461"/>
    </row>
    <row r="283" spans="1:19" s="1037" customFormat="1" ht="15.75" thickTop="1" thickBot="1" x14ac:dyDescent="0.25">
      <c r="A283" s="1042">
        <v>1</v>
      </c>
      <c r="B283" s="1041">
        <v>2</v>
      </c>
      <c r="C283" s="1041">
        <v>3</v>
      </c>
      <c r="D283" s="1041">
        <v>4</v>
      </c>
      <c r="E283" s="1041">
        <v>5</v>
      </c>
      <c r="F283" s="1040">
        <v>6</v>
      </c>
      <c r="G283" s="1040">
        <v>7</v>
      </c>
      <c r="H283" s="1039" t="s">
        <v>33</v>
      </c>
      <c r="I283" s="1043"/>
      <c r="L283" s="2461"/>
    </row>
    <row r="284" spans="1:19" ht="15.75" thickTop="1" x14ac:dyDescent="0.25">
      <c r="A284" s="1726">
        <v>4399</v>
      </c>
      <c r="B284" s="1725">
        <v>5336</v>
      </c>
      <c r="C284" s="1740"/>
      <c r="D284" s="1739" t="s">
        <v>856</v>
      </c>
      <c r="E284" s="1736">
        <f>E285</f>
        <v>0</v>
      </c>
      <c r="F284" s="1736">
        <f>F285</f>
        <v>8883</v>
      </c>
      <c r="G284" s="1736">
        <f>G285</f>
        <v>8883</v>
      </c>
      <c r="H284" s="1728">
        <f t="shared" ref="H284:H286" si="42">(G284/F284)*100</f>
        <v>100</v>
      </c>
      <c r="L284" s="2461"/>
    </row>
    <row r="285" spans="1:19" ht="15" thickBot="1" x14ac:dyDescent="0.25">
      <c r="A285" s="1726"/>
      <c r="B285" s="1725"/>
      <c r="C285" s="1738" t="s">
        <v>1261</v>
      </c>
      <c r="D285" s="1737" t="s">
        <v>1667</v>
      </c>
      <c r="E285" s="1722">
        <v>0</v>
      </c>
      <c r="F285" s="1722">
        <v>8883</v>
      </c>
      <c r="G285" s="1722">
        <v>8883</v>
      </c>
      <c r="H285" s="1721">
        <f t="shared" si="42"/>
        <v>100</v>
      </c>
      <c r="L285" s="2461"/>
    </row>
    <row r="286" spans="1:19" s="1687" customFormat="1" ht="20.25" customHeight="1" thickTop="1" thickBot="1" x14ac:dyDescent="0.3">
      <c r="A286" s="1718" t="s">
        <v>522</v>
      </c>
      <c r="B286" s="1717"/>
      <c r="C286" s="1716"/>
      <c r="D286" s="1735"/>
      <c r="E286" s="1714">
        <f>E284</f>
        <v>0</v>
      </c>
      <c r="F286" s="1714">
        <f t="shared" ref="F286:G286" si="43">F284</f>
        <v>8883</v>
      </c>
      <c r="G286" s="1714">
        <f t="shared" si="43"/>
        <v>8883</v>
      </c>
      <c r="H286" s="1713">
        <f t="shared" si="42"/>
        <v>100</v>
      </c>
      <c r="L286" s="2461">
        <v>8883600</v>
      </c>
    </row>
    <row r="287" spans="1:19" s="1719" customFormat="1" ht="15.75" thickTop="1" x14ac:dyDescent="0.25">
      <c r="A287" s="1763"/>
      <c r="B287" s="1762"/>
      <c r="C287" s="1761"/>
      <c r="E287" s="1755"/>
      <c r="F287" s="1755"/>
      <c r="G287" s="1755"/>
      <c r="H287" s="1754"/>
      <c r="L287" s="2461"/>
    </row>
    <row r="288" spans="1:19" s="1687" customFormat="1" ht="27.75" customHeight="1" thickBot="1" x14ac:dyDescent="0.3">
      <c r="A288" s="1711" t="s">
        <v>230</v>
      </c>
      <c r="B288" s="1766"/>
      <c r="C288" s="1765"/>
      <c r="D288" s="1764"/>
      <c r="E288" s="1709">
        <f>E286</f>
        <v>0</v>
      </c>
      <c r="F288" s="1709">
        <f>F286</f>
        <v>8883</v>
      </c>
      <c r="G288" s="1709">
        <f>G286</f>
        <v>8883</v>
      </c>
      <c r="H288" s="1708">
        <f>(G288/F288)*100</f>
        <v>100</v>
      </c>
      <c r="L288" s="2461"/>
    </row>
    <row r="289" spans="1:12" s="1682" customFormat="1" ht="15.75" customHeight="1" thickTop="1" x14ac:dyDescent="0.25">
      <c r="A289" s="1705"/>
      <c r="B289" s="1760"/>
      <c r="C289" s="1759"/>
      <c r="D289" s="1758"/>
      <c r="E289" s="1696"/>
      <c r="F289" s="1696"/>
      <c r="G289" s="1696"/>
      <c r="H289" s="1695"/>
      <c r="L289" s="2461"/>
    </row>
    <row r="290" spans="1:12" s="1682" customFormat="1" ht="15.75" customHeight="1" x14ac:dyDescent="0.25">
      <c r="A290" s="1705"/>
      <c r="B290" s="1760"/>
      <c r="C290" s="1759"/>
      <c r="D290" s="1758"/>
      <c r="E290" s="1696"/>
      <c r="F290" s="1696"/>
      <c r="G290" s="1696"/>
      <c r="H290" s="1695"/>
      <c r="L290" s="2461"/>
    </row>
    <row r="291" spans="1:12" s="1183" customFormat="1" ht="15.75" x14ac:dyDescent="0.25">
      <c r="A291" s="1693" t="s">
        <v>259</v>
      </c>
      <c r="B291" s="1767"/>
      <c r="C291" s="1761"/>
      <c r="E291" s="1755" t="s">
        <v>231</v>
      </c>
      <c r="F291" s="1755"/>
      <c r="G291" s="1755"/>
      <c r="H291" s="1754"/>
      <c r="L291" s="2461"/>
    </row>
    <row r="292" spans="1:12" ht="15" thickBot="1" x14ac:dyDescent="0.25">
      <c r="A292" s="1712"/>
      <c r="H292" s="1753" t="s">
        <v>92</v>
      </c>
      <c r="L292" s="2461"/>
    </row>
    <row r="293" spans="1:12" s="1747" customFormat="1" ht="20.25" customHeight="1" thickTop="1" thickBot="1" x14ac:dyDescent="0.25">
      <c r="A293" s="2456" t="s">
        <v>93</v>
      </c>
      <c r="B293" s="2457" t="s">
        <v>94</v>
      </c>
      <c r="C293" s="2458" t="s">
        <v>364</v>
      </c>
      <c r="D293" s="1041" t="s">
        <v>95</v>
      </c>
      <c r="E293" s="1069" t="s">
        <v>328</v>
      </c>
      <c r="F293" s="1069" t="s">
        <v>329</v>
      </c>
      <c r="G293" s="1749" t="s">
        <v>448</v>
      </c>
      <c r="H293" s="1748" t="s">
        <v>449</v>
      </c>
      <c r="L293" s="2461"/>
    </row>
    <row r="294" spans="1:12" s="1037" customFormat="1" ht="15.75" thickTop="1" thickBot="1" x14ac:dyDescent="0.25">
      <c r="A294" s="1042">
        <v>1</v>
      </c>
      <c r="B294" s="1041">
        <v>2</v>
      </c>
      <c r="C294" s="1041">
        <v>3</v>
      </c>
      <c r="D294" s="1041">
        <v>4</v>
      </c>
      <c r="E294" s="1041">
        <v>5</v>
      </c>
      <c r="F294" s="1040">
        <v>6</v>
      </c>
      <c r="G294" s="1040">
        <v>7</v>
      </c>
      <c r="H294" s="1039" t="s">
        <v>33</v>
      </c>
      <c r="I294" s="1043"/>
      <c r="L294" s="2461"/>
    </row>
    <row r="295" spans="1:12" ht="15.75" thickTop="1" x14ac:dyDescent="0.25">
      <c r="A295" s="1726">
        <v>4399</v>
      </c>
      <c r="B295" s="1725">
        <v>5336</v>
      </c>
      <c r="C295" s="1740"/>
      <c r="D295" s="1739" t="s">
        <v>856</v>
      </c>
      <c r="E295" s="1736">
        <f>E296</f>
        <v>0</v>
      </c>
      <c r="F295" s="1736">
        <f>F296</f>
        <v>22283</v>
      </c>
      <c r="G295" s="1736">
        <f>G296</f>
        <v>22283</v>
      </c>
      <c r="H295" s="1728">
        <f t="shared" ref="H295:H297" si="44">(G295/F295)*100</f>
        <v>100</v>
      </c>
      <c r="L295" s="2461"/>
    </row>
    <row r="296" spans="1:12" ht="15" thickBot="1" x14ac:dyDescent="0.25">
      <c r="A296" s="1726"/>
      <c r="B296" s="1725"/>
      <c r="C296" s="1738" t="s">
        <v>1261</v>
      </c>
      <c r="D296" s="1737" t="s">
        <v>1667</v>
      </c>
      <c r="E296" s="1722">
        <v>0</v>
      </c>
      <c r="F296" s="1722">
        <v>22283</v>
      </c>
      <c r="G296" s="1722">
        <v>22283</v>
      </c>
      <c r="H296" s="1721">
        <f t="shared" si="44"/>
        <v>100</v>
      </c>
      <c r="L296" s="2461"/>
    </row>
    <row r="297" spans="1:12" s="1687" customFormat="1" ht="20.25" customHeight="1" thickTop="1" thickBot="1" x14ac:dyDescent="0.3">
      <c r="A297" s="1718" t="s">
        <v>522</v>
      </c>
      <c r="B297" s="1717"/>
      <c r="C297" s="1716"/>
      <c r="D297" s="1735"/>
      <c r="E297" s="1714">
        <f>E295</f>
        <v>0</v>
      </c>
      <c r="F297" s="1714">
        <f t="shared" ref="F297:G297" si="45">F295</f>
        <v>22283</v>
      </c>
      <c r="G297" s="1714">
        <f t="shared" si="45"/>
        <v>22283</v>
      </c>
      <c r="H297" s="1713">
        <f t="shared" si="44"/>
        <v>100</v>
      </c>
      <c r="L297" s="2461">
        <v>22282800</v>
      </c>
    </row>
    <row r="298" spans="1:12" s="1687" customFormat="1" ht="20.25" customHeight="1" thickTop="1" thickBot="1" x14ac:dyDescent="0.3">
      <c r="A298" s="1776"/>
      <c r="B298" s="1775"/>
      <c r="C298" s="1774"/>
      <c r="D298" s="1773"/>
      <c r="E298" s="1772"/>
      <c r="F298" s="1772"/>
      <c r="G298" s="1772"/>
      <c r="H298" s="1771"/>
      <c r="L298" s="2461"/>
    </row>
    <row r="299" spans="1:12" s="1687" customFormat="1" ht="22.5" customHeight="1" thickTop="1" thickBot="1" x14ac:dyDescent="0.3">
      <c r="A299" s="1711" t="s">
        <v>260</v>
      </c>
      <c r="B299" s="1766"/>
      <c r="C299" s="1765"/>
      <c r="D299" s="1764"/>
      <c r="E299" s="1709">
        <f>E297</f>
        <v>0</v>
      </c>
      <c r="F299" s="1709">
        <f t="shared" ref="F299:G299" si="46">F297</f>
        <v>22283</v>
      </c>
      <c r="G299" s="1709">
        <f t="shared" si="46"/>
        <v>22283</v>
      </c>
      <c r="H299" s="1708">
        <f>(G299/F299)*100</f>
        <v>100</v>
      </c>
      <c r="L299" s="2461"/>
    </row>
    <row r="300" spans="1:12" s="1682" customFormat="1" ht="15" customHeight="1" thickTop="1" x14ac:dyDescent="0.25">
      <c r="A300" s="1705"/>
      <c r="B300" s="1760"/>
      <c r="C300" s="1759"/>
      <c r="D300" s="1758"/>
      <c r="E300" s="1696"/>
      <c r="F300" s="1696"/>
      <c r="G300" s="1696"/>
      <c r="H300" s="1695"/>
      <c r="L300" s="2461"/>
    </row>
    <row r="301" spans="1:12" s="1682" customFormat="1" ht="15" customHeight="1" x14ac:dyDescent="0.25">
      <c r="A301" s="1705"/>
      <c r="B301" s="1760"/>
      <c r="C301" s="1759"/>
      <c r="D301" s="1758"/>
      <c r="E301" s="1696"/>
      <c r="F301" s="1696"/>
      <c r="G301" s="1696"/>
      <c r="H301" s="1695"/>
      <c r="L301" s="2461"/>
    </row>
    <row r="302" spans="1:12" s="1183" customFormat="1" ht="15.75" x14ac:dyDescent="0.25">
      <c r="A302" s="1693" t="s">
        <v>261</v>
      </c>
      <c r="B302" s="1767"/>
      <c r="C302" s="1761"/>
      <c r="E302" s="1755" t="s">
        <v>232</v>
      </c>
      <c r="F302" s="1755"/>
      <c r="G302" s="1755"/>
      <c r="H302" s="1754"/>
      <c r="L302" s="2461"/>
    </row>
    <row r="303" spans="1:12" ht="15" thickBot="1" x14ac:dyDescent="0.25">
      <c r="A303" s="1712"/>
      <c r="H303" s="1753" t="s">
        <v>92</v>
      </c>
      <c r="L303" s="2461"/>
    </row>
    <row r="304" spans="1:12" s="1747" customFormat="1" ht="20.25" customHeight="1" thickTop="1" thickBot="1" x14ac:dyDescent="0.25">
      <c r="A304" s="2456" t="s">
        <v>93</v>
      </c>
      <c r="B304" s="2457" t="s">
        <v>94</v>
      </c>
      <c r="C304" s="2458" t="s">
        <v>364</v>
      </c>
      <c r="D304" s="1041" t="s">
        <v>95</v>
      </c>
      <c r="E304" s="1069" t="s">
        <v>328</v>
      </c>
      <c r="F304" s="1069" t="s">
        <v>329</v>
      </c>
      <c r="G304" s="1749" t="s">
        <v>448</v>
      </c>
      <c r="H304" s="1748" t="s">
        <v>449</v>
      </c>
      <c r="L304" s="2461"/>
    </row>
    <row r="305" spans="1:12" s="1037" customFormat="1" ht="15.75" thickTop="1" thickBot="1" x14ac:dyDescent="0.25">
      <c r="A305" s="1042">
        <v>1</v>
      </c>
      <c r="B305" s="1041">
        <v>2</v>
      </c>
      <c r="C305" s="1041">
        <v>3</v>
      </c>
      <c r="D305" s="1041">
        <v>4</v>
      </c>
      <c r="E305" s="1041">
        <v>5</v>
      </c>
      <c r="F305" s="1040">
        <v>6</v>
      </c>
      <c r="G305" s="1040">
        <v>7</v>
      </c>
      <c r="H305" s="1039" t="s">
        <v>33</v>
      </c>
      <c r="I305" s="1043"/>
      <c r="L305" s="2461"/>
    </row>
    <row r="306" spans="1:12" ht="15.75" thickTop="1" x14ac:dyDescent="0.25">
      <c r="A306" s="1726">
        <v>4399</v>
      </c>
      <c r="B306" s="1725">
        <v>5336</v>
      </c>
      <c r="C306" s="1740"/>
      <c r="D306" s="1739" t="s">
        <v>856</v>
      </c>
      <c r="E306" s="1736">
        <f>E307</f>
        <v>0</v>
      </c>
      <c r="F306" s="1736">
        <f>F307</f>
        <v>9023</v>
      </c>
      <c r="G306" s="1736">
        <f>G307</f>
        <v>9023</v>
      </c>
      <c r="H306" s="1728">
        <f t="shared" ref="H306:H308" si="47">(G306/F306)*100</f>
        <v>100</v>
      </c>
      <c r="L306" s="2461"/>
    </row>
    <row r="307" spans="1:12" ht="15" thickBot="1" x14ac:dyDescent="0.25">
      <c r="A307" s="1726"/>
      <c r="B307" s="1725"/>
      <c r="C307" s="1738" t="s">
        <v>1261</v>
      </c>
      <c r="D307" s="1737" t="s">
        <v>1667</v>
      </c>
      <c r="E307" s="1722">
        <v>0</v>
      </c>
      <c r="F307" s="1722">
        <v>9023</v>
      </c>
      <c r="G307" s="1722">
        <v>9023</v>
      </c>
      <c r="H307" s="1721">
        <f t="shared" si="47"/>
        <v>100</v>
      </c>
      <c r="L307" s="2461"/>
    </row>
    <row r="308" spans="1:12" s="1687" customFormat="1" ht="20.25" customHeight="1" thickTop="1" thickBot="1" x14ac:dyDescent="0.3">
      <c r="A308" s="1718" t="s">
        <v>522</v>
      </c>
      <c r="B308" s="1717"/>
      <c r="C308" s="1716"/>
      <c r="D308" s="1715"/>
      <c r="E308" s="1714">
        <f>E306</f>
        <v>0</v>
      </c>
      <c r="F308" s="1714">
        <f t="shared" ref="F308:G308" si="48">F306</f>
        <v>9023</v>
      </c>
      <c r="G308" s="1714">
        <f t="shared" si="48"/>
        <v>9023</v>
      </c>
      <c r="H308" s="1713">
        <f t="shared" si="47"/>
        <v>100</v>
      </c>
      <c r="L308" s="2461">
        <v>9023000</v>
      </c>
    </row>
    <row r="309" spans="1:12" s="1687" customFormat="1" ht="20.25" customHeight="1" thickTop="1" x14ac:dyDescent="0.25">
      <c r="A309" s="1701"/>
      <c r="B309" s="1700"/>
      <c r="C309" s="1699"/>
      <c r="D309" s="1698"/>
      <c r="E309" s="1770"/>
      <c r="F309" s="1770"/>
      <c r="G309" s="1770"/>
      <c r="H309" s="1769"/>
      <c r="L309" s="2461"/>
    </row>
    <row r="310" spans="1:12" s="1687" customFormat="1" ht="22.5" customHeight="1" thickBot="1" x14ac:dyDescent="0.3">
      <c r="A310" s="1711" t="s">
        <v>652</v>
      </c>
      <c r="B310" s="1766"/>
      <c r="C310" s="1765"/>
      <c r="D310" s="1764"/>
      <c r="E310" s="1709">
        <f>SUM(E308)</f>
        <v>0</v>
      </c>
      <c r="F310" s="1709">
        <f>SUM(F308)</f>
        <v>9023</v>
      </c>
      <c r="G310" s="1709">
        <f>SUM(G308)</f>
        <v>9023</v>
      </c>
      <c r="H310" s="1708">
        <f>(G310/F310)*100</f>
        <v>100</v>
      </c>
      <c r="L310" s="2461"/>
    </row>
    <row r="311" spans="1:12" s="1682" customFormat="1" ht="14.25" customHeight="1" thickTop="1" x14ac:dyDescent="0.25">
      <c r="A311" s="1705"/>
      <c r="B311" s="1760"/>
      <c r="C311" s="1759"/>
      <c r="D311" s="1758"/>
      <c r="E311" s="1696"/>
      <c r="F311" s="1696"/>
      <c r="G311" s="1696"/>
      <c r="H311" s="1695"/>
      <c r="L311" s="2461"/>
    </row>
    <row r="312" spans="1:12" s="1682" customFormat="1" ht="14.25" customHeight="1" x14ac:dyDescent="0.25">
      <c r="A312" s="1705"/>
      <c r="B312" s="1760"/>
      <c r="C312" s="1759"/>
      <c r="D312" s="1758"/>
      <c r="E312" s="1696"/>
      <c r="F312" s="1696"/>
      <c r="G312" s="1696"/>
      <c r="H312" s="1695"/>
      <c r="L312" s="2461"/>
    </row>
    <row r="313" spans="1:12" s="1183" customFormat="1" ht="15.75" x14ac:dyDescent="0.25">
      <c r="A313" s="1693" t="s">
        <v>1</v>
      </c>
      <c r="B313" s="1767"/>
      <c r="C313" s="1761"/>
      <c r="E313" s="1755" t="s">
        <v>233</v>
      </c>
      <c r="F313" s="1755"/>
      <c r="G313" s="1755"/>
      <c r="H313" s="1754"/>
      <c r="L313" s="2461"/>
    </row>
    <row r="314" spans="1:12" ht="15" thickBot="1" x14ac:dyDescent="0.25">
      <c r="A314" s="1712"/>
      <c r="H314" s="1753" t="s">
        <v>92</v>
      </c>
      <c r="L314" s="2461"/>
    </row>
    <row r="315" spans="1:12" s="1747" customFormat="1" ht="20.25" customHeight="1" thickTop="1" thickBot="1" x14ac:dyDescent="0.25">
      <c r="A315" s="2456" t="s">
        <v>93</v>
      </c>
      <c r="B315" s="2457" t="s">
        <v>94</v>
      </c>
      <c r="C315" s="2458" t="s">
        <v>364</v>
      </c>
      <c r="D315" s="1041" t="s">
        <v>95</v>
      </c>
      <c r="E315" s="1069" t="s">
        <v>328</v>
      </c>
      <c r="F315" s="1069" t="s">
        <v>329</v>
      </c>
      <c r="G315" s="1749" t="s">
        <v>448</v>
      </c>
      <c r="H315" s="1748" t="s">
        <v>449</v>
      </c>
      <c r="L315" s="2461"/>
    </row>
    <row r="316" spans="1:12" s="1037" customFormat="1" ht="15.75" thickTop="1" thickBot="1" x14ac:dyDescent="0.25">
      <c r="A316" s="1042">
        <v>1</v>
      </c>
      <c r="B316" s="1041">
        <v>2</v>
      </c>
      <c r="C316" s="1041">
        <v>3</v>
      </c>
      <c r="D316" s="1041">
        <v>4</v>
      </c>
      <c r="E316" s="1041">
        <v>5</v>
      </c>
      <c r="F316" s="1040">
        <v>6</v>
      </c>
      <c r="G316" s="1040">
        <v>7</v>
      </c>
      <c r="H316" s="1039" t="s">
        <v>33</v>
      </c>
      <c r="I316" s="1043"/>
      <c r="L316" s="2461"/>
    </row>
    <row r="317" spans="1:12" ht="15.75" thickTop="1" x14ac:dyDescent="0.25">
      <c r="A317" s="1726">
        <v>4399</v>
      </c>
      <c r="B317" s="1725">
        <v>5336</v>
      </c>
      <c r="C317" s="1740"/>
      <c r="D317" s="1739" t="s">
        <v>856</v>
      </c>
      <c r="E317" s="1736">
        <f>E318</f>
        <v>0</v>
      </c>
      <c r="F317" s="1736">
        <f>F318</f>
        <v>15743</v>
      </c>
      <c r="G317" s="1736">
        <f>G318</f>
        <v>15743</v>
      </c>
      <c r="H317" s="1728">
        <f t="shared" ref="H317:H319" si="49">(G317/F317)*100</f>
        <v>100</v>
      </c>
      <c r="L317" s="2461"/>
    </row>
    <row r="318" spans="1:12" ht="15" thickBot="1" x14ac:dyDescent="0.25">
      <c r="A318" s="1726"/>
      <c r="B318" s="1725"/>
      <c r="C318" s="1738" t="s">
        <v>1261</v>
      </c>
      <c r="D318" s="1737" t="s">
        <v>1667</v>
      </c>
      <c r="E318" s="1722">
        <v>0</v>
      </c>
      <c r="F318" s="1722">
        <v>15743</v>
      </c>
      <c r="G318" s="1722">
        <v>15743</v>
      </c>
      <c r="H318" s="1721">
        <f t="shared" si="49"/>
        <v>100</v>
      </c>
      <c r="L318" s="2461"/>
    </row>
    <row r="319" spans="1:12" s="1687" customFormat="1" ht="20.25" customHeight="1" thickTop="1" thickBot="1" x14ac:dyDescent="0.3">
      <c r="A319" s="1718" t="s">
        <v>522</v>
      </c>
      <c r="B319" s="1717"/>
      <c r="C319" s="1716"/>
      <c r="D319" s="1715"/>
      <c r="E319" s="1714">
        <f>E317</f>
        <v>0</v>
      </c>
      <c r="F319" s="1714">
        <f t="shared" ref="F319:G319" si="50">F317</f>
        <v>15743</v>
      </c>
      <c r="G319" s="1714">
        <f t="shared" si="50"/>
        <v>15743</v>
      </c>
      <c r="H319" s="1713">
        <f t="shared" si="49"/>
        <v>100</v>
      </c>
      <c r="L319" s="2461">
        <v>15743200</v>
      </c>
    </row>
    <row r="320" spans="1:12" s="1719" customFormat="1" ht="15.75" thickTop="1" x14ac:dyDescent="0.25">
      <c r="A320" s="1763"/>
      <c r="B320" s="1762"/>
      <c r="C320" s="1761"/>
      <c r="E320" s="1755"/>
      <c r="F320" s="1755"/>
      <c r="G320" s="1755"/>
      <c r="H320" s="1754"/>
      <c r="L320" s="2461"/>
    </row>
    <row r="321" spans="1:12" s="1687" customFormat="1" ht="27.75" customHeight="1" thickBot="1" x14ac:dyDescent="0.3">
      <c r="A321" s="1711" t="s">
        <v>3</v>
      </c>
      <c r="B321" s="1766"/>
      <c r="C321" s="1765"/>
      <c r="D321" s="1764"/>
      <c r="E321" s="1709">
        <f>SUM(E319)</f>
        <v>0</v>
      </c>
      <c r="F321" s="1709">
        <f>SUM(F319)</f>
        <v>15743</v>
      </c>
      <c r="G321" s="1709">
        <f>SUM(G319)</f>
        <v>15743</v>
      </c>
      <c r="H321" s="1708">
        <f>(G321/F321)*100</f>
        <v>100</v>
      </c>
      <c r="L321" s="2461"/>
    </row>
    <row r="322" spans="1:12" s="1682" customFormat="1" ht="15" customHeight="1" thickTop="1" x14ac:dyDescent="0.25">
      <c r="A322" s="1705"/>
      <c r="B322" s="1760"/>
      <c r="C322" s="1759"/>
      <c r="D322" s="1758"/>
      <c r="E322" s="1696"/>
      <c r="F322" s="1696"/>
      <c r="G322" s="1696"/>
      <c r="H322" s="1695"/>
      <c r="L322" s="2461"/>
    </row>
    <row r="323" spans="1:12" s="1682" customFormat="1" ht="15" customHeight="1" x14ac:dyDescent="0.25">
      <c r="A323" s="1705"/>
      <c r="B323" s="1760"/>
      <c r="C323" s="1759"/>
      <c r="D323" s="1758"/>
      <c r="E323" s="1696"/>
      <c r="F323" s="1696"/>
      <c r="G323" s="1696"/>
      <c r="H323" s="1695"/>
      <c r="L323" s="2461"/>
    </row>
    <row r="324" spans="1:12" s="1183" customFormat="1" ht="15.75" x14ac:dyDescent="0.25">
      <c r="A324" s="1693" t="s">
        <v>587</v>
      </c>
      <c r="B324" s="1767"/>
      <c r="C324" s="1761"/>
      <c r="E324" s="1755" t="s">
        <v>234</v>
      </c>
      <c r="F324" s="1755"/>
      <c r="G324" s="1755"/>
      <c r="H324" s="1754"/>
      <c r="L324" s="2461"/>
    </row>
    <row r="325" spans="1:12" ht="15" thickBot="1" x14ac:dyDescent="0.25">
      <c r="A325" s="1712"/>
      <c r="H325" s="1753" t="s">
        <v>92</v>
      </c>
      <c r="L325" s="2461"/>
    </row>
    <row r="326" spans="1:12" s="1747" customFormat="1" ht="20.25" customHeight="1" thickTop="1" thickBot="1" x14ac:dyDescent="0.25">
      <c r="A326" s="2456" t="s">
        <v>93</v>
      </c>
      <c r="B326" s="2457" t="s">
        <v>94</v>
      </c>
      <c r="C326" s="2458" t="s">
        <v>364</v>
      </c>
      <c r="D326" s="1041" t="s">
        <v>95</v>
      </c>
      <c r="E326" s="1069" t="s">
        <v>328</v>
      </c>
      <c r="F326" s="1069" t="s">
        <v>329</v>
      </c>
      <c r="G326" s="1749" t="s">
        <v>448</v>
      </c>
      <c r="H326" s="1748" t="s">
        <v>449</v>
      </c>
      <c r="L326" s="2461"/>
    </row>
    <row r="327" spans="1:12" s="1037" customFormat="1" ht="15.75" thickTop="1" thickBot="1" x14ac:dyDescent="0.25">
      <c r="A327" s="1042">
        <v>1</v>
      </c>
      <c r="B327" s="1041">
        <v>2</v>
      </c>
      <c r="C327" s="1041">
        <v>3</v>
      </c>
      <c r="D327" s="1041">
        <v>4</v>
      </c>
      <c r="E327" s="1041">
        <v>5</v>
      </c>
      <c r="F327" s="1040">
        <v>6</v>
      </c>
      <c r="G327" s="1040">
        <v>7</v>
      </c>
      <c r="H327" s="1039" t="s">
        <v>33</v>
      </c>
      <c r="I327" s="1043"/>
      <c r="L327" s="2461"/>
    </row>
    <row r="328" spans="1:12" ht="15.75" thickTop="1" x14ac:dyDescent="0.25">
      <c r="A328" s="1726">
        <v>4399</v>
      </c>
      <c r="B328" s="1725">
        <v>5336</v>
      </c>
      <c r="C328" s="1740"/>
      <c r="D328" s="1739" t="s">
        <v>856</v>
      </c>
      <c r="E328" s="1736">
        <f>E329</f>
        <v>0</v>
      </c>
      <c r="F328" s="1736">
        <f>F329</f>
        <v>40563</v>
      </c>
      <c r="G328" s="1736">
        <f>G329</f>
        <v>40563</v>
      </c>
      <c r="H328" s="1728">
        <f t="shared" ref="H328:H330" si="51">(G328/F328)*100</f>
        <v>100</v>
      </c>
      <c r="L328" s="2461"/>
    </row>
    <row r="329" spans="1:12" ht="15" thickBot="1" x14ac:dyDescent="0.25">
      <c r="A329" s="1726"/>
      <c r="B329" s="1725"/>
      <c r="C329" s="1738" t="s">
        <v>1261</v>
      </c>
      <c r="D329" s="1737" t="s">
        <v>1667</v>
      </c>
      <c r="E329" s="1722">
        <v>0</v>
      </c>
      <c r="F329" s="1722">
        <v>40563</v>
      </c>
      <c r="G329" s="1722">
        <v>40563</v>
      </c>
      <c r="H329" s="1721">
        <f t="shared" si="51"/>
        <v>100</v>
      </c>
      <c r="L329" s="2461"/>
    </row>
    <row r="330" spans="1:12" s="1687" customFormat="1" ht="20.25" customHeight="1" thickTop="1" thickBot="1" x14ac:dyDescent="0.3">
      <c r="A330" s="1718" t="s">
        <v>522</v>
      </c>
      <c r="B330" s="1717"/>
      <c r="C330" s="1716"/>
      <c r="D330" s="1735"/>
      <c r="E330" s="1714">
        <f>E328</f>
        <v>0</v>
      </c>
      <c r="F330" s="1714">
        <f t="shared" ref="F330:G330" si="52">F328</f>
        <v>40563</v>
      </c>
      <c r="G330" s="1714">
        <f t="shared" si="52"/>
        <v>40563</v>
      </c>
      <c r="H330" s="1713">
        <f t="shared" si="51"/>
        <v>100</v>
      </c>
      <c r="L330" s="2461">
        <v>40563400</v>
      </c>
    </row>
    <row r="331" spans="1:12" s="1687" customFormat="1" ht="20.25" customHeight="1" thickTop="1" x14ac:dyDescent="0.25">
      <c r="A331" s="1701"/>
      <c r="B331" s="1700"/>
      <c r="C331" s="1699"/>
      <c r="D331" s="1698"/>
      <c r="E331" s="1770"/>
      <c r="F331" s="1770"/>
      <c r="G331" s="1770"/>
      <c r="H331" s="1769"/>
      <c r="L331" s="2461"/>
    </row>
    <row r="332" spans="1:12" s="1687" customFormat="1" ht="27.75" customHeight="1" thickBot="1" x14ac:dyDescent="0.3">
      <c r="A332" s="1711" t="s">
        <v>588</v>
      </c>
      <c r="B332" s="1766"/>
      <c r="C332" s="1765"/>
      <c r="D332" s="1764"/>
      <c r="E332" s="1709">
        <f>E330</f>
        <v>0</v>
      </c>
      <c r="F332" s="1709">
        <f t="shared" ref="F332:G332" si="53">F330</f>
        <v>40563</v>
      </c>
      <c r="G332" s="1709">
        <f t="shared" si="53"/>
        <v>40563</v>
      </c>
      <c r="H332" s="1708">
        <f>(G332/F332)*100</f>
        <v>100</v>
      </c>
      <c r="L332" s="2461"/>
    </row>
    <row r="333" spans="1:12" s="1682" customFormat="1" ht="14.25" customHeight="1" thickTop="1" x14ac:dyDescent="0.25">
      <c r="A333" s="1705"/>
      <c r="B333" s="1760"/>
      <c r="C333" s="1759"/>
      <c r="D333" s="1758"/>
      <c r="E333" s="1696"/>
      <c r="F333" s="1696"/>
      <c r="G333" s="1696"/>
      <c r="H333" s="1695"/>
      <c r="L333" s="2461"/>
    </row>
    <row r="334" spans="1:12" s="1682" customFormat="1" ht="14.25" customHeight="1" x14ac:dyDescent="0.25">
      <c r="A334" s="1705"/>
      <c r="B334" s="1760"/>
      <c r="C334" s="1759"/>
      <c r="D334" s="1758"/>
      <c r="E334" s="1696"/>
      <c r="F334" s="1696"/>
      <c r="G334" s="1696"/>
      <c r="H334" s="1695"/>
      <c r="L334" s="2461"/>
    </row>
    <row r="335" spans="1:12" s="1183" customFormat="1" ht="15.75" x14ac:dyDescent="0.25">
      <c r="A335" s="1693" t="s">
        <v>212</v>
      </c>
      <c r="B335" s="1767"/>
      <c r="C335" s="1761"/>
      <c r="E335" s="1755" t="s">
        <v>235</v>
      </c>
      <c r="F335" s="1755"/>
      <c r="G335" s="1755"/>
      <c r="H335" s="1754"/>
      <c r="L335" s="2461"/>
    </row>
    <row r="336" spans="1:12" ht="15" thickBot="1" x14ac:dyDescent="0.25">
      <c r="A336" s="1712"/>
      <c r="H336" s="1753" t="s">
        <v>92</v>
      </c>
      <c r="L336" s="2461"/>
    </row>
    <row r="337" spans="1:12" s="1747" customFormat="1" ht="20.25" customHeight="1" thickTop="1" thickBot="1" x14ac:dyDescent="0.25">
      <c r="A337" s="2456" t="s">
        <v>93</v>
      </c>
      <c r="B337" s="2457" t="s">
        <v>94</v>
      </c>
      <c r="C337" s="2458" t="s">
        <v>364</v>
      </c>
      <c r="D337" s="1041" t="s">
        <v>95</v>
      </c>
      <c r="E337" s="1069" t="s">
        <v>328</v>
      </c>
      <c r="F337" s="1069" t="s">
        <v>329</v>
      </c>
      <c r="G337" s="1749" t="s">
        <v>448</v>
      </c>
      <c r="H337" s="1748" t="s">
        <v>449</v>
      </c>
      <c r="L337" s="2461"/>
    </row>
    <row r="338" spans="1:12" s="1037" customFormat="1" ht="15.75" thickTop="1" thickBot="1" x14ac:dyDescent="0.25">
      <c r="A338" s="1042">
        <v>1</v>
      </c>
      <c r="B338" s="1041">
        <v>2</v>
      </c>
      <c r="C338" s="1041">
        <v>3</v>
      </c>
      <c r="D338" s="1041">
        <v>4</v>
      </c>
      <c r="E338" s="1041">
        <v>5</v>
      </c>
      <c r="F338" s="1040">
        <v>6</v>
      </c>
      <c r="G338" s="1040">
        <v>7</v>
      </c>
      <c r="H338" s="1039" t="s">
        <v>33</v>
      </c>
      <c r="I338" s="1043"/>
      <c r="L338" s="2461"/>
    </row>
    <row r="339" spans="1:12" ht="15.75" thickTop="1" x14ac:dyDescent="0.25">
      <c r="A339" s="1726">
        <v>4399</v>
      </c>
      <c r="B339" s="1725">
        <v>5336</v>
      </c>
      <c r="C339" s="1740"/>
      <c r="D339" s="1739" t="s">
        <v>856</v>
      </c>
      <c r="E339" s="1736">
        <f>E340</f>
        <v>0</v>
      </c>
      <c r="F339" s="1736">
        <f>F340</f>
        <v>12850</v>
      </c>
      <c r="G339" s="1736">
        <f>G340</f>
        <v>12850</v>
      </c>
      <c r="H339" s="1728">
        <f>(G339/F339)*100</f>
        <v>100</v>
      </c>
      <c r="L339" s="2461"/>
    </row>
    <row r="340" spans="1:12" ht="15" thickBot="1" x14ac:dyDescent="0.25">
      <c r="A340" s="1726"/>
      <c r="B340" s="1725"/>
      <c r="C340" s="1738" t="s">
        <v>1261</v>
      </c>
      <c r="D340" s="1737" t="s">
        <v>1667</v>
      </c>
      <c r="E340" s="1722">
        <v>0</v>
      </c>
      <c r="F340" s="1722">
        <v>12850</v>
      </c>
      <c r="G340" s="1722">
        <v>12850</v>
      </c>
      <c r="H340" s="1721">
        <f>(G340/F340)*100</f>
        <v>100</v>
      </c>
      <c r="L340" s="2461"/>
    </row>
    <row r="341" spans="1:12" s="1687" customFormat="1" ht="20.25" customHeight="1" thickTop="1" thickBot="1" x14ac:dyDescent="0.3">
      <c r="A341" s="1718" t="s">
        <v>522</v>
      </c>
      <c r="B341" s="1717"/>
      <c r="C341" s="1716"/>
      <c r="D341" s="1735"/>
      <c r="E341" s="1714">
        <f>E339</f>
        <v>0</v>
      </c>
      <c r="F341" s="1714">
        <f t="shared" ref="F341:G341" si="54">F339</f>
        <v>12850</v>
      </c>
      <c r="G341" s="1714">
        <f t="shared" si="54"/>
        <v>12850</v>
      </c>
      <c r="H341" s="1713">
        <f>(G341/F341)*100</f>
        <v>100</v>
      </c>
      <c r="L341" s="2461">
        <v>12850000</v>
      </c>
    </row>
    <row r="342" spans="1:12" ht="15" thickTop="1" x14ac:dyDescent="0.2">
      <c r="A342" s="1712"/>
      <c r="L342" s="2461"/>
    </row>
    <row r="343" spans="1:12" s="1687" customFormat="1" ht="24.75" customHeight="1" thickBot="1" x14ac:dyDescent="0.3">
      <c r="A343" s="1711" t="s">
        <v>264</v>
      </c>
      <c r="B343" s="1766"/>
      <c r="C343" s="1765"/>
      <c r="D343" s="1764"/>
      <c r="E343" s="1709">
        <f>SUM(E341)</f>
        <v>0</v>
      </c>
      <c r="F343" s="1709">
        <f>SUM(F341)</f>
        <v>12850</v>
      </c>
      <c r="G343" s="1709">
        <f>SUM(G341)</f>
        <v>12850</v>
      </c>
      <c r="H343" s="1708">
        <f>(G343/F343)*100</f>
        <v>100</v>
      </c>
      <c r="L343" s="2461"/>
    </row>
    <row r="344" spans="1:12" s="1682" customFormat="1" ht="17.25" customHeight="1" thickTop="1" x14ac:dyDescent="0.25">
      <c r="A344" s="1705"/>
      <c r="B344" s="1760"/>
      <c r="C344" s="1759"/>
      <c r="D344" s="1758"/>
      <c r="E344" s="1696"/>
      <c r="F344" s="1696"/>
      <c r="G344" s="1696"/>
      <c r="H344" s="1695"/>
      <c r="L344" s="2461"/>
    </row>
    <row r="345" spans="1:12" s="1682" customFormat="1" ht="17.25" customHeight="1" x14ac:dyDescent="0.25">
      <c r="A345" s="1705"/>
      <c r="B345" s="1760"/>
      <c r="C345" s="1759"/>
      <c r="D345" s="1758"/>
      <c r="E345" s="1696"/>
      <c r="F345" s="1696"/>
      <c r="G345" s="1696"/>
      <c r="H345" s="1695"/>
      <c r="L345" s="2461"/>
    </row>
    <row r="346" spans="1:12" s="1183" customFormat="1" ht="15.75" x14ac:dyDescent="0.25">
      <c r="A346" s="1693" t="s">
        <v>237</v>
      </c>
      <c r="B346" s="1767"/>
      <c r="C346" s="1761"/>
      <c r="E346" s="1755" t="s">
        <v>236</v>
      </c>
      <c r="F346" s="1755"/>
      <c r="G346" s="1755"/>
      <c r="H346" s="1754"/>
      <c r="L346" s="2461"/>
    </row>
    <row r="347" spans="1:12" ht="15" thickBot="1" x14ac:dyDescent="0.25">
      <c r="A347" s="1712"/>
      <c r="H347" s="1753" t="s">
        <v>92</v>
      </c>
      <c r="L347" s="2461"/>
    </row>
    <row r="348" spans="1:12" s="1747" customFormat="1" ht="20.25" customHeight="1" thickTop="1" thickBot="1" x14ac:dyDescent="0.25">
      <c r="A348" s="2456" t="s">
        <v>93</v>
      </c>
      <c r="B348" s="2457" t="s">
        <v>94</v>
      </c>
      <c r="C348" s="2458" t="s">
        <v>364</v>
      </c>
      <c r="D348" s="1041" t="s">
        <v>95</v>
      </c>
      <c r="E348" s="1069" t="s">
        <v>328</v>
      </c>
      <c r="F348" s="1069" t="s">
        <v>329</v>
      </c>
      <c r="G348" s="1749" t="s">
        <v>448</v>
      </c>
      <c r="H348" s="1748" t="s">
        <v>449</v>
      </c>
      <c r="L348" s="2461"/>
    </row>
    <row r="349" spans="1:12" s="1037" customFormat="1" ht="15.75" thickTop="1" thickBot="1" x14ac:dyDescent="0.25">
      <c r="A349" s="1042">
        <v>1</v>
      </c>
      <c r="B349" s="1041">
        <v>2</v>
      </c>
      <c r="C349" s="1041">
        <v>3</v>
      </c>
      <c r="D349" s="1041">
        <v>4</v>
      </c>
      <c r="E349" s="1041">
        <v>5</v>
      </c>
      <c r="F349" s="1040">
        <v>6</v>
      </c>
      <c r="G349" s="1040">
        <v>7</v>
      </c>
      <c r="H349" s="1039" t="s">
        <v>33</v>
      </c>
      <c r="I349" s="1043"/>
      <c r="L349" s="2461"/>
    </row>
    <row r="350" spans="1:12" ht="15.75" thickTop="1" x14ac:dyDescent="0.25">
      <c r="A350" s="1726">
        <v>4399</v>
      </c>
      <c r="B350" s="1725">
        <v>5336</v>
      </c>
      <c r="C350" s="1740"/>
      <c r="D350" s="1739" t="s">
        <v>856</v>
      </c>
      <c r="E350" s="1736">
        <f>E351</f>
        <v>0</v>
      </c>
      <c r="F350" s="1736">
        <f>F351</f>
        <v>11071</v>
      </c>
      <c r="G350" s="1736">
        <f>G351</f>
        <v>11071</v>
      </c>
      <c r="H350" s="1728">
        <f t="shared" ref="H350:H352" si="55">(G350/F350)*100</f>
        <v>100</v>
      </c>
      <c r="L350" s="2461"/>
    </row>
    <row r="351" spans="1:12" ht="15" thickBot="1" x14ac:dyDescent="0.25">
      <c r="A351" s="1726"/>
      <c r="B351" s="1725"/>
      <c r="C351" s="1738" t="s">
        <v>1261</v>
      </c>
      <c r="D351" s="1737" t="s">
        <v>1667</v>
      </c>
      <c r="E351" s="1722">
        <v>0</v>
      </c>
      <c r="F351" s="1722">
        <v>11071</v>
      </c>
      <c r="G351" s="1722">
        <v>11071</v>
      </c>
      <c r="H351" s="1721">
        <f t="shared" si="55"/>
        <v>100</v>
      </c>
      <c r="L351" s="2461"/>
    </row>
    <row r="352" spans="1:12" s="1687" customFormat="1" ht="20.25" customHeight="1" thickTop="1" thickBot="1" x14ac:dyDescent="0.3">
      <c r="A352" s="1718" t="s">
        <v>522</v>
      </c>
      <c r="B352" s="1717"/>
      <c r="C352" s="1716"/>
      <c r="D352" s="1735"/>
      <c r="E352" s="1714">
        <f>E350</f>
        <v>0</v>
      </c>
      <c r="F352" s="1714">
        <f t="shared" ref="F352:G352" si="56">F350</f>
        <v>11071</v>
      </c>
      <c r="G352" s="1714">
        <f t="shared" si="56"/>
        <v>11071</v>
      </c>
      <c r="H352" s="1713">
        <f t="shared" si="55"/>
        <v>100</v>
      </c>
      <c r="L352" s="2461">
        <v>11070900</v>
      </c>
    </row>
    <row r="353" spans="1:12" s="1687" customFormat="1" ht="20.25" customHeight="1" thickTop="1" x14ac:dyDescent="0.25">
      <c r="A353" s="1701"/>
      <c r="B353" s="1700"/>
      <c r="C353" s="1699"/>
      <c r="D353" s="1698"/>
      <c r="E353" s="1770"/>
      <c r="F353" s="1770"/>
      <c r="G353" s="1770"/>
      <c r="H353" s="1769"/>
      <c r="L353" s="2461"/>
    </row>
    <row r="354" spans="1:12" s="1687" customFormat="1" ht="24.75" customHeight="1" thickBot="1" x14ac:dyDescent="0.3">
      <c r="A354" s="1711" t="s">
        <v>298</v>
      </c>
      <c r="B354" s="1766"/>
      <c r="C354" s="1765"/>
      <c r="D354" s="1764"/>
      <c r="E354" s="1709">
        <f>E352</f>
        <v>0</v>
      </c>
      <c r="F354" s="1709">
        <f t="shared" ref="F354:G354" si="57">F352</f>
        <v>11071</v>
      </c>
      <c r="G354" s="1709">
        <f t="shared" si="57"/>
        <v>11071</v>
      </c>
      <c r="H354" s="1708">
        <f>(G354/F354)*100</f>
        <v>100</v>
      </c>
      <c r="L354" s="2461"/>
    </row>
    <row r="355" spans="1:12" s="1682" customFormat="1" ht="14.25" customHeight="1" thickTop="1" x14ac:dyDescent="0.25">
      <c r="A355" s="1705"/>
      <c r="B355" s="1760"/>
      <c r="C355" s="1759"/>
      <c r="D355" s="1758"/>
      <c r="E355" s="1696"/>
      <c r="F355" s="1696"/>
      <c r="G355" s="1696"/>
      <c r="H355" s="1695"/>
      <c r="L355" s="2461"/>
    </row>
    <row r="356" spans="1:12" s="1682" customFormat="1" ht="14.25" customHeight="1" x14ac:dyDescent="0.25">
      <c r="A356" s="1705"/>
      <c r="B356" s="1760"/>
      <c r="C356" s="1759"/>
      <c r="D356" s="1758"/>
      <c r="E356" s="1696"/>
      <c r="F356" s="1696"/>
      <c r="G356" s="1696"/>
      <c r="H356" s="1695"/>
      <c r="L356" s="2461"/>
    </row>
    <row r="357" spans="1:12" s="1183" customFormat="1" ht="15.75" x14ac:dyDescent="0.25">
      <c r="A357" s="1693" t="s">
        <v>2</v>
      </c>
      <c r="B357" s="1767"/>
      <c r="C357" s="1761"/>
      <c r="E357" s="1755" t="s">
        <v>299</v>
      </c>
      <c r="F357" s="1755"/>
      <c r="G357" s="1755"/>
      <c r="H357" s="1754"/>
      <c r="L357" s="2461"/>
    </row>
    <row r="358" spans="1:12" ht="11.25" customHeight="1" thickBot="1" x14ac:dyDescent="0.25">
      <c r="A358" s="1712"/>
      <c r="H358" s="1753" t="s">
        <v>92</v>
      </c>
      <c r="L358" s="2461"/>
    </row>
    <row r="359" spans="1:12" s="1747" customFormat="1" ht="20.25" customHeight="1" thickTop="1" thickBot="1" x14ac:dyDescent="0.25">
      <c r="A359" s="2456" t="s">
        <v>93</v>
      </c>
      <c r="B359" s="2457" t="s">
        <v>94</v>
      </c>
      <c r="C359" s="2458" t="s">
        <v>364</v>
      </c>
      <c r="D359" s="1041" t="s">
        <v>95</v>
      </c>
      <c r="E359" s="1069" t="s">
        <v>328</v>
      </c>
      <c r="F359" s="1069" t="s">
        <v>329</v>
      </c>
      <c r="G359" s="1749" t="s">
        <v>448</v>
      </c>
      <c r="H359" s="1748" t="s">
        <v>449</v>
      </c>
      <c r="L359" s="2461"/>
    </row>
    <row r="360" spans="1:12" s="1037" customFormat="1" ht="15.75" thickTop="1" thickBot="1" x14ac:dyDescent="0.25">
      <c r="A360" s="1042">
        <v>1</v>
      </c>
      <c r="B360" s="1041">
        <v>2</v>
      </c>
      <c r="C360" s="1041">
        <v>3</v>
      </c>
      <c r="D360" s="1041">
        <v>4</v>
      </c>
      <c r="E360" s="1041">
        <v>5</v>
      </c>
      <c r="F360" s="1040">
        <v>6</v>
      </c>
      <c r="G360" s="1040">
        <v>7</v>
      </c>
      <c r="H360" s="1039" t="s">
        <v>33</v>
      </c>
      <c r="I360" s="1043"/>
      <c r="L360" s="2461"/>
    </row>
    <row r="361" spans="1:12" ht="15.75" thickTop="1" x14ac:dyDescent="0.25">
      <c r="A361" s="1726">
        <v>4399</v>
      </c>
      <c r="B361" s="1725">
        <v>5336</v>
      </c>
      <c r="C361" s="1740"/>
      <c r="D361" s="1739" t="s">
        <v>856</v>
      </c>
      <c r="E361" s="1736">
        <f>E362</f>
        <v>0</v>
      </c>
      <c r="F361" s="1736">
        <f>F362</f>
        <v>16203</v>
      </c>
      <c r="G361" s="1736">
        <f>G362</f>
        <v>16203</v>
      </c>
      <c r="H361" s="1728">
        <f t="shared" ref="H361:H363" si="58">(G361/F361)*100</f>
        <v>100</v>
      </c>
      <c r="L361" s="2461"/>
    </row>
    <row r="362" spans="1:12" ht="15" thickBot="1" x14ac:dyDescent="0.25">
      <c r="A362" s="1726"/>
      <c r="B362" s="1725"/>
      <c r="C362" s="1738" t="s">
        <v>1261</v>
      </c>
      <c r="D362" s="1742" t="s">
        <v>1667</v>
      </c>
      <c r="E362" s="1722">
        <v>0</v>
      </c>
      <c r="F362" s="1722">
        <v>16203</v>
      </c>
      <c r="G362" s="1722">
        <v>16203</v>
      </c>
      <c r="H362" s="1721">
        <f t="shared" si="58"/>
        <v>100</v>
      </c>
      <c r="L362" s="2461"/>
    </row>
    <row r="363" spans="1:12" s="1687" customFormat="1" ht="20.25" customHeight="1" thickTop="1" thickBot="1" x14ac:dyDescent="0.3">
      <c r="A363" s="1718" t="s">
        <v>522</v>
      </c>
      <c r="B363" s="1717"/>
      <c r="C363" s="1716"/>
      <c r="D363" s="1715"/>
      <c r="E363" s="1714">
        <f>E361</f>
        <v>0</v>
      </c>
      <c r="F363" s="1714">
        <f t="shared" ref="F363:G363" si="59">F361</f>
        <v>16203</v>
      </c>
      <c r="G363" s="1714">
        <f t="shared" si="59"/>
        <v>16203</v>
      </c>
      <c r="H363" s="1713">
        <f t="shared" si="58"/>
        <v>100</v>
      </c>
      <c r="J363" s="1734"/>
      <c r="K363" s="1734"/>
      <c r="L363" s="2461">
        <v>16202800</v>
      </c>
    </row>
    <row r="364" spans="1:12" s="1687" customFormat="1" ht="20.25" customHeight="1" thickTop="1" x14ac:dyDescent="0.25">
      <c r="A364" s="1782"/>
      <c r="B364" s="1781"/>
      <c r="C364" s="1780"/>
      <c r="D364" s="1779"/>
      <c r="E364" s="1778"/>
      <c r="F364" s="1778"/>
      <c r="G364" s="1778"/>
      <c r="H364" s="1777"/>
      <c r="L364" s="2461"/>
    </row>
    <row r="365" spans="1:12" s="1687" customFormat="1" ht="26.25" customHeight="1" thickBot="1" x14ac:dyDescent="0.3">
      <c r="A365" s="1776" t="s">
        <v>4</v>
      </c>
      <c r="B365" s="1775"/>
      <c r="C365" s="1774"/>
      <c r="D365" s="1773"/>
      <c r="E365" s="1772">
        <f>SUM(E363)</f>
        <v>0</v>
      </c>
      <c r="F365" s="1772">
        <f>SUM(F363)</f>
        <v>16203</v>
      </c>
      <c r="G365" s="1772">
        <f>SUM(G363)</f>
        <v>16203</v>
      </c>
      <c r="H365" s="1771">
        <f>(G365/F365)*100</f>
        <v>100</v>
      </c>
      <c r="L365" s="2461"/>
    </row>
    <row r="366" spans="1:12" s="1682" customFormat="1" ht="14.25" customHeight="1" thickTop="1" x14ac:dyDescent="0.25">
      <c r="A366" s="1705"/>
      <c r="B366" s="1760"/>
      <c r="C366" s="1759"/>
      <c r="D366" s="1758"/>
      <c r="E366" s="1696"/>
      <c r="F366" s="1696"/>
      <c r="G366" s="1696"/>
      <c r="H366" s="1695"/>
      <c r="L366" s="2461"/>
    </row>
    <row r="367" spans="1:12" s="1682" customFormat="1" ht="14.25" customHeight="1" x14ac:dyDescent="0.25">
      <c r="A367" s="1705"/>
      <c r="B367" s="1760"/>
      <c r="C367" s="1759"/>
      <c r="D367" s="1758"/>
      <c r="E367" s="1696"/>
      <c r="F367" s="1696"/>
      <c r="G367" s="1696"/>
      <c r="H367" s="1695"/>
      <c r="L367" s="2461"/>
    </row>
    <row r="368" spans="1:12" s="1183" customFormat="1" ht="15.75" x14ac:dyDescent="0.25">
      <c r="A368" s="1693" t="s">
        <v>213</v>
      </c>
      <c r="B368" s="1767"/>
      <c r="C368" s="1761"/>
      <c r="E368" s="1755" t="s">
        <v>300</v>
      </c>
      <c r="F368" s="1755"/>
      <c r="G368" s="1755"/>
      <c r="H368" s="1754"/>
      <c r="L368" s="2461"/>
    </row>
    <row r="369" spans="1:14" ht="15" thickBot="1" x14ac:dyDescent="0.25">
      <c r="A369" s="1712"/>
      <c r="H369" s="1753" t="s">
        <v>92</v>
      </c>
      <c r="L369" s="2461"/>
    </row>
    <row r="370" spans="1:14" s="1747" customFormat="1" ht="20.25" customHeight="1" thickTop="1" thickBot="1" x14ac:dyDescent="0.25">
      <c r="A370" s="2456" t="s">
        <v>93</v>
      </c>
      <c r="B370" s="2457" t="s">
        <v>94</v>
      </c>
      <c r="C370" s="2458" t="s">
        <v>364</v>
      </c>
      <c r="D370" s="1041" t="s">
        <v>95</v>
      </c>
      <c r="E370" s="1069" t="s">
        <v>328</v>
      </c>
      <c r="F370" s="1069" t="s">
        <v>329</v>
      </c>
      <c r="G370" s="1749" t="s">
        <v>448</v>
      </c>
      <c r="H370" s="1748" t="s">
        <v>449</v>
      </c>
      <c r="L370" s="2461"/>
    </row>
    <row r="371" spans="1:14" s="1037" customFormat="1" ht="15.75" thickTop="1" thickBot="1" x14ac:dyDescent="0.25">
      <c r="A371" s="1042">
        <v>1</v>
      </c>
      <c r="B371" s="1041">
        <v>2</v>
      </c>
      <c r="C371" s="1041">
        <v>3</v>
      </c>
      <c r="D371" s="1041">
        <v>4</v>
      </c>
      <c r="E371" s="1041">
        <v>5</v>
      </c>
      <c r="F371" s="1040">
        <v>6</v>
      </c>
      <c r="G371" s="1040">
        <v>7</v>
      </c>
      <c r="H371" s="1039" t="s">
        <v>33</v>
      </c>
      <c r="I371" s="1043"/>
      <c r="L371" s="2461"/>
    </row>
    <row r="372" spans="1:14" ht="15.75" thickTop="1" x14ac:dyDescent="0.25">
      <c r="A372" s="1726">
        <v>4399</v>
      </c>
      <c r="B372" s="1725">
        <v>5336</v>
      </c>
      <c r="C372" s="1740"/>
      <c r="D372" s="1739" t="s">
        <v>856</v>
      </c>
      <c r="E372" s="1736">
        <f>E373</f>
        <v>0</v>
      </c>
      <c r="F372" s="1736">
        <f>F373</f>
        <v>10500</v>
      </c>
      <c r="G372" s="1736">
        <f>G373</f>
        <v>10500</v>
      </c>
      <c r="H372" s="1728">
        <f>(G372/F372)*100</f>
        <v>100</v>
      </c>
      <c r="L372" s="2461"/>
    </row>
    <row r="373" spans="1:14" ht="15" thickBot="1" x14ac:dyDescent="0.25">
      <c r="A373" s="1726"/>
      <c r="B373" s="1725"/>
      <c r="C373" s="1738" t="s">
        <v>1261</v>
      </c>
      <c r="D373" s="1737" t="s">
        <v>1667</v>
      </c>
      <c r="E373" s="1722">
        <v>0</v>
      </c>
      <c r="F373" s="1722">
        <v>10500</v>
      </c>
      <c r="G373" s="1722">
        <v>10500</v>
      </c>
      <c r="H373" s="1721">
        <f>(G373/F373)*100</f>
        <v>100</v>
      </c>
      <c r="L373" s="2461"/>
    </row>
    <row r="374" spans="1:14" s="1687" customFormat="1" ht="20.25" customHeight="1" thickTop="1" thickBot="1" x14ac:dyDescent="0.3">
      <c r="A374" s="1718" t="s">
        <v>522</v>
      </c>
      <c r="B374" s="1717"/>
      <c r="C374" s="1716"/>
      <c r="D374" s="1735"/>
      <c r="E374" s="1714">
        <f>E372</f>
        <v>0</v>
      </c>
      <c r="F374" s="1714">
        <f t="shared" ref="F374:G374" si="60">F372</f>
        <v>10500</v>
      </c>
      <c r="G374" s="1714">
        <f t="shared" si="60"/>
        <v>10500</v>
      </c>
      <c r="H374" s="1713">
        <f>(G374/F374)*100</f>
        <v>100</v>
      </c>
      <c r="L374" s="2461">
        <v>10500300</v>
      </c>
    </row>
    <row r="375" spans="1:14" s="1687" customFormat="1" ht="20.25" customHeight="1" thickTop="1" x14ac:dyDescent="0.25">
      <c r="A375" s="1701"/>
      <c r="B375" s="1700"/>
      <c r="C375" s="1699"/>
      <c r="D375" s="1698"/>
      <c r="E375" s="1770"/>
      <c r="F375" s="1770"/>
      <c r="G375" s="1770"/>
      <c r="H375" s="1769"/>
      <c r="L375" s="2461"/>
    </row>
    <row r="376" spans="1:14" s="1687" customFormat="1" ht="29.25" customHeight="1" thickBot="1" x14ac:dyDescent="0.3">
      <c r="A376" s="1711" t="s">
        <v>214</v>
      </c>
      <c r="B376" s="1766"/>
      <c r="C376" s="1765"/>
      <c r="D376" s="1764"/>
      <c r="E376" s="1709">
        <f>SUM(E374)</f>
        <v>0</v>
      </c>
      <c r="F376" s="1709">
        <f>SUM(F374)</f>
        <v>10500</v>
      </c>
      <c r="G376" s="1709">
        <f>SUM(G374)</f>
        <v>10500</v>
      </c>
      <c r="H376" s="1708">
        <f>(G376/F376)*100</f>
        <v>100</v>
      </c>
      <c r="L376" s="2461"/>
    </row>
    <row r="377" spans="1:14" s="1682" customFormat="1" ht="18.75" customHeight="1" thickTop="1" x14ac:dyDescent="0.25">
      <c r="A377" s="1705"/>
      <c r="B377" s="1760"/>
      <c r="C377" s="1768"/>
      <c r="D377" s="1758"/>
      <c r="E377" s="1706"/>
      <c r="F377" s="1706"/>
      <c r="G377" s="1706"/>
      <c r="H377" s="1703"/>
      <c r="L377" s="2461"/>
    </row>
    <row r="378" spans="1:14" s="1682" customFormat="1" ht="18.75" customHeight="1" x14ac:dyDescent="0.25">
      <c r="A378" s="1705"/>
      <c r="B378" s="1760"/>
      <c r="C378" s="1768"/>
      <c r="D378" s="1758"/>
      <c r="E378" s="1706"/>
      <c r="F378" s="1706"/>
      <c r="G378" s="1706"/>
      <c r="H378" s="1703"/>
      <c r="L378" s="2461"/>
    </row>
    <row r="379" spans="1:14" s="1183" customFormat="1" ht="16.5" x14ac:dyDescent="0.25">
      <c r="A379" s="1693" t="s">
        <v>301</v>
      </c>
      <c r="B379" s="1767"/>
      <c r="C379" s="1761"/>
      <c r="E379" s="1755" t="s">
        <v>302</v>
      </c>
      <c r="F379" s="1755"/>
      <c r="G379" s="1755"/>
      <c r="H379" s="1754"/>
      <c r="L379" s="2461"/>
      <c r="N379" s="1734"/>
    </row>
    <row r="380" spans="1:14" ht="15" thickBot="1" x14ac:dyDescent="0.25">
      <c r="A380" s="1712"/>
      <c r="H380" s="1753" t="s">
        <v>92</v>
      </c>
      <c r="L380" s="2461"/>
      <c r="N380" s="1719"/>
    </row>
    <row r="381" spans="1:14" s="1747" customFormat="1" ht="20.25" customHeight="1" thickTop="1" thickBot="1" x14ac:dyDescent="0.25">
      <c r="A381" s="2456" t="s">
        <v>93</v>
      </c>
      <c r="B381" s="2457" t="s">
        <v>94</v>
      </c>
      <c r="C381" s="2458" t="s">
        <v>364</v>
      </c>
      <c r="D381" s="1041" t="s">
        <v>95</v>
      </c>
      <c r="E381" s="1069" t="s">
        <v>328</v>
      </c>
      <c r="F381" s="1069" t="s">
        <v>329</v>
      </c>
      <c r="G381" s="1749" t="s">
        <v>448</v>
      </c>
      <c r="H381" s="1748" t="s">
        <v>449</v>
      </c>
      <c r="L381" s="2461"/>
      <c r="N381" s="997"/>
    </row>
    <row r="382" spans="1:14" s="1037" customFormat="1" ht="18" thickTop="1" thickBot="1" x14ac:dyDescent="0.3">
      <c r="A382" s="1042">
        <v>1</v>
      </c>
      <c r="B382" s="1041">
        <v>2</v>
      </c>
      <c r="C382" s="1041">
        <v>3</v>
      </c>
      <c r="D382" s="1041">
        <v>4</v>
      </c>
      <c r="E382" s="1041">
        <v>5</v>
      </c>
      <c r="F382" s="1040">
        <v>6</v>
      </c>
      <c r="G382" s="1040">
        <v>7</v>
      </c>
      <c r="H382" s="1039" t="s">
        <v>33</v>
      </c>
      <c r="I382" s="1043"/>
      <c r="L382" s="2461"/>
      <c r="N382" s="1687"/>
    </row>
    <row r="383" spans="1:14" s="1037" customFormat="1" ht="17.25" thickTop="1" x14ac:dyDescent="0.25">
      <c r="A383" s="1733">
        <v>4357</v>
      </c>
      <c r="B383" s="1732">
        <v>5331</v>
      </c>
      <c r="C383" s="1731"/>
      <c r="D383" s="2135" t="s">
        <v>465</v>
      </c>
      <c r="E383" s="1729">
        <f>E384</f>
        <v>0</v>
      </c>
      <c r="F383" s="1729">
        <f>F384</f>
        <v>30</v>
      </c>
      <c r="G383" s="1729">
        <f>G384</f>
        <v>17</v>
      </c>
      <c r="H383" s="1745">
        <f t="shared" ref="H383:H384" si="61">G383/F383*100</f>
        <v>56.666666666666664</v>
      </c>
      <c r="I383" s="1043"/>
      <c r="L383" s="2461"/>
      <c r="N383" s="1687"/>
    </row>
    <row r="384" spans="1:14" s="1037" customFormat="1" ht="16.5" x14ac:dyDescent="0.25">
      <c r="A384" s="1726"/>
      <c r="B384" s="1725"/>
      <c r="C384" s="1744" t="s">
        <v>1268</v>
      </c>
      <c r="D384" s="1742" t="s">
        <v>1286</v>
      </c>
      <c r="E384" s="1722">
        <v>0</v>
      </c>
      <c r="F384" s="1722">
        <v>30</v>
      </c>
      <c r="G384" s="1722">
        <v>17</v>
      </c>
      <c r="H384" s="1721">
        <f t="shared" si="61"/>
        <v>56.666666666666664</v>
      </c>
      <c r="I384" s="1043"/>
      <c r="L384" s="2461">
        <v>16308.94</v>
      </c>
      <c r="N384" s="1687"/>
    </row>
    <row r="385" spans="1:14" s="1719" customFormat="1" ht="15" x14ac:dyDescent="0.25">
      <c r="A385" s="1726">
        <v>4357</v>
      </c>
      <c r="B385" s="1725">
        <v>5336</v>
      </c>
      <c r="C385" s="1746"/>
      <c r="D385" s="1739" t="s">
        <v>856</v>
      </c>
      <c r="E385" s="1736">
        <f>E387+E388+E386</f>
        <v>32</v>
      </c>
      <c r="F385" s="1736">
        <f>F387+F388+F386</f>
        <v>425</v>
      </c>
      <c r="G385" s="1736">
        <f>G387+G388+G386</f>
        <v>425</v>
      </c>
      <c r="H385" s="1745">
        <f>G385/F385*100</f>
        <v>100</v>
      </c>
      <c r="L385" s="2461"/>
      <c r="N385" s="997"/>
    </row>
    <row r="386" spans="1:14" s="1719" customFormat="1" x14ac:dyDescent="0.2">
      <c r="A386" s="1726"/>
      <c r="B386" s="1725"/>
      <c r="C386" s="1744" t="s">
        <v>1268</v>
      </c>
      <c r="D386" s="1742" t="s">
        <v>1286</v>
      </c>
      <c r="E386" s="1722">
        <v>32</v>
      </c>
      <c r="F386" s="1722">
        <v>0</v>
      </c>
      <c r="G386" s="1722">
        <v>0</v>
      </c>
      <c r="H386" s="1721">
        <v>0</v>
      </c>
      <c r="L386" s="2461"/>
      <c r="N386" s="997"/>
    </row>
    <row r="387" spans="1:14" ht="16.5" x14ac:dyDescent="0.25">
      <c r="A387" s="1726"/>
      <c r="B387" s="1725"/>
      <c r="C387" s="1744" t="s">
        <v>1264</v>
      </c>
      <c r="D387" s="1743" t="s">
        <v>1288</v>
      </c>
      <c r="E387" s="1722">
        <v>0</v>
      </c>
      <c r="F387" s="1722">
        <v>45</v>
      </c>
      <c r="G387" s="1722">
        <v>45</v>
      </c>
      <c r="H387" s="1721">
        <f t="shared" ref="H387:H391" si="62">(G387/F387)*100</f>
        <v>100</v>
      </c>
      <c r="L387" s="2461">
        <v>44695</v>
      </c>
      <c r="N387" s="1682"/>
    </row>
    <row r="388" spans="1:14" ht="16.5" x14ac:dyDescent="0.25">
      <c r="A388" s="1726"/>
      <c r="B388" s="1725"/>
      <c r="C388" s="1724" t="s">
        <v>1265</v>
      </c>
      <c r="D388" s="1743" t="s">
        <v>1288</v>
      </c>
      <c r="E388" s="1722">
        <v>0</v>
      </c>
      <c r="F388" s="1722">
        <v>380</v>
      </c>
      <c r="G388" s="1722">
        <v>380</v>
      </c>
      <c r="H388" s="1721">
        <f t="shared" si="62"/>
        <v>100</v>
      </c>
      <c r="L388" s="2461">
        <v>379907.49</v>
      </c>
      <c r="N388" s="1682"/>
    </row>
    <row r="389" spans="1:14" ht="16.5" x14ac:dyDescent="0.25">
      <c r="A389" s="1726">
        <v>4399</v>
      </c>
      <c r="B389" s="1725">
        <v>5336</v>
      </c>
      <c r="C389" s="1740"/>
      <c r="D389" s="1739" t="s">
        <v>856</v>
      </c>
      <c r="E389" s="1736">
        <f>E390</f>
        <v>0</v>
      </c>
      <c r="F389" s="1736">
        <f>F390</f>
        <v>23832</v>
      </c>
      <c r="G389" s="1736">
        <f>G390</f>
        <v>23832</v>
      </c>
      <c r="H389" s="1728">
        <f t="shared" si="62"/>
        <v>100</v>
      </c>
      <c r="J389" s="1702"/>
      <c r="K389" s="1702"/>
      <c r="L389" s="2461"/>
      <c r="M389" s="1682"/>
      <c r="N389" s="1682"/>
    </row>
    <row r="390" spans="1:14" ht="15" thickBot="1" x14ac:dyDescent="0.25">
      <c r="A390" s="1726"/>
      <c r="B390" s="1725"/>
      <c r="C390" s="1738" t="s">
        <v>1261</v>
      </c>
      <c r="D390" s="1737" t="s">
        <v>1667</v>
      </c>
      <c r="E390" s="1722">
        <v>0</v>
      </c>
      <c r="F390" s="1722">
        <v>23832</v>
      </c>
      <c r="G390" s="1722">
        <v>23832</v>
      </c>
      <c r="H390" s="1721">
        <f t="shared" si="62"/>
        <v>100</v>
      </c>
      <c r="L390" s="2461">
        <v>23831800</v>
      </c>
    </row>
    <row r="391" spans="1:14" s="1687" customFormat="1" ht="20.25" customHeight="1" thickTop="1" thickBot="1" x14ac:dyDescent="0.3">
      <c r="A391" s="1718" t="s">
        <v>522</v>
      </c>
      <c r="B391" s="1717"/>
      <c r="C391" s="1716"/>
      <c r="D391" s="1735"/>
      <c r="E391" s="1714">
        <f>SUM(E385)</f>
        <v>32</v>
      </c>
      <c r="F391" s="1714">
        <f>SUM(F385,F389,F383)</f>
        <v>24287</v>
      </c>
      <c r="G391" s="1714">
        <f>SUM(G385,G389,G383)</f>
        <v>24274</v>
      </c>
      <c r="H391" s="1713">
        <f t="shared" si="62"/>
        <v>99.946473421995307</v>
      </c>
      <c r="L391" s="2461">
        <f>L390+L388+L387+L384</f>
        <v>24272711.43</v>
      </c>
    </row>
    <row r="392" spans="1:14" s="1719" customFormat="1" ht="15.75" thickTop="1" x14ac:dyDescent="0.25">
      <c r="A392" s="1763"/>
      <c r="B392" s="1762"/>
      <c r="C392" s="1761"/>
      <c r="E392" s="1755"/>
      <c r="F392" s="1755"/>
      <c r="G392" s="1755"/>
      <c r="H392" s="1754"/>
      <c r="L392" s="2461"/>
    </row>
    <row r="393" spans="1:14" s="1687" customFormat="1" ht="27" customHeight="1" thickBot="1" x14ac:dyDescent="0.3">
      <c r="A393" s="1711" t="s">
        <v>303</v>
      </c>
      <c r="B393" s="1766"/>
      <c r="C393" s="1765"/>
      <c r="D393" s="1764"/>
      <c r="E393" s="1709">
        <f>E391</f>
        <v>32</v>
      </c>
      <c r="F393" s="1709">
        <f t="shared" ref="F393:G393" si="63">F391</f>
        <v>24287</v>
      </c>
      <c r="G393" s="1709">
        <f t="shared" si="63"/>
        <v>24274</v>
      </c>
      <c r="H393" s="1708">
        <f>(G393/F393)*100</f>
        <v>99.946473421995307</v>
      </c>
      <c r="L393" s="2461"/>
    </row>
    <row r="394" spans="1:14" s="1682" customFormat="1" ht="15" customHeight="1" thickTop="1" x14ac:dyDescent="0.25">
      <c r="A394" s="1705"/>
      <c r="B394" s="1760"/>
      <c r="C394" s="1759"/>
      <c r="D394" s="1758"/>
      <c r="E394" s="1696"/>
      <c r="F394" s="1696"/>
      <c r="G394" s="1696"/>
      <c r="H394" s="1695"/>
      <c r="L394" s="2461"/>
    </row>
    <row r="395" spans="1:14" s="1682" customFormat="1" ht="15" customHeight="1" x14ac:dyDescent="0.25">
      <c r="A395" s="1705"/>
      <c r="B395" s="1760"/>
      <c r="C395" s="1759"/>
      <c r="D395" s="1758"/>
      <c r="E395" s="1696"/>
      <c r="F395" s="1696"/>
      <c r="G395" s="1696"/>
      <c r="H395" s="1695"/>
      <c r="L395" s="2461"/>
    </row>
    <row r="396" spans="1:14" s="1183" customFormat="1" ht="15.75" x14ac:dyDescent="0.25">
      <c r="A396" s="1757" t="s">
        <v>5</v>
      </c>
      <c r="B396" s="1756"/>
      <c r="C396" s="1756"/>
      <c r="D396" s="1756"/>
      <c r="E396" s="1755" t="s">
        <v>304</v>
      </c>
      <c r="F396" s="1755"/>
      <c r="G396" s="1755"/>
      <c r="H396" s="1754"/>
      <c r="L396" s="2461"/>
    </row>
    <row r="397" spans="1:14" ht="15" thickBot="1" x14ac:dyDescent="0.25">
      <c r="A397" s="1712"/>
      <c r="H397" s="1753" t="s">
        <v>92</v>
      </c>
      <c r="L397" s="2461"/>
    </row>
    <row r="398" spans="1:14" s="1747" customFormat="1" ht="20.25" customHeight="1" thickTop="1" thickBot="1" x14ac:dyDescent="0.25">
      <c r="A398" s="2456" t="s">
        <v>93</v>
      </c>
      <c r="B398" s="2457" t="s">
        <v>94</v>
      </c>
      <c r="C398" s="2458" t="s">
        <v>364</v>
      </c>
      <c r="D398" s="1041" t="s">
        <v>95</v>
      </c>
      <c r="E398" s="1069" t="s">
        <v>328</v>
      </c>
      <c r="F398" s="1069" t="s">
        <v>329</v>
      </c>
      <c r="G398" s="1749" t="s">
        <v>448</v>
      </c>
      <c r="H398" s="1748" t="s">
        <v>449</v>
      </c>
      <c r="L398" s="2461"/>
    </row>
    <row r="399" spans="1:14" s="1037" customFormat="1" ht="15.75" thickTop="1" thickBot="1" x14ac:dyDescent="0.25">
      <c r="A399" s="1042">
        <v>1</v>
      </c>
      <c r="B399" s="1041">
        <v>2</v>
      </c>
      <c r="C399" s="1041">
        <v>3</v>
      </c>
      <c r="D399" s="1041">
        <v>4</v>
      </c>
      <c r="E399" s="1041">
        <v>5</v>
      </c>
      <c r="F399" s="1040">
        <v>6</v>
      </c>
      <c r="G399" s="1040">
        <v>7</v>
      </c>
      <c r="H399" s="1039" t="s">
        <v>33</v>
      </c>
      <c r="I399" s="1043"/>
      <c r="L399" s="2461"/>
    </row>
    <row r="400" spans="1:14" s="1037" customFormat="1" ht="15.75" thickTop="1" x14ac:dyDescent="0.25">
      <c r="A400" s="1726">
        <v>4357</v>
      </c>
      <c r="B400" s="1725">
        <v>5331</v>
      </c>
      <c r="C400" s="1143"/>
      <c r="D400" s="2135" t="s">
        <v>465</v>
      </c>
      <c r="E400" s="1736">
        <f>E401</f>
        <v>0</v>
      </c>
      <c r="F400" s="1736">
        <f>F401</f>
        <v>34</v>
      </c>
      <c r="G400" s="1736">
        <f>G401</f>
        <v>34</v>
      </c>
      <c r="H400" s="1728">
        <f t="shared" ref="H400:H408" si="64">(G400/F400)*100</f>
        <v>100</v>
      </c>
      <c r="I400" s="1043"/>
      <c r="L400" s="2461"/>
    </row>
    <row r="401" spans="1:13" s="1037" customFormat="1" x14ac:dyDescent="0.2">
      <c r="A401" s="1366"/>
      <c r="B401" s="1143"/>
      <c r="C401" s="2480" t="s">
        <v>1268</v>
      </c>
      <c r="D401" s="1783" t="s">
        <v>1286</v>
      </c>
      <c r="E401" s="1722">
        <v>0</v>
      </c>
      <c r="F401" s="1722">
        <v>34</v>
      </c>
      <c r="G401" s="1722">
        <v>34</v>
      </c>
      <c r="H401" s="1721">
        <f t="shared" si="64"/>
        <v>100</v>
      </c>
      <c r="I401" s="1043"/>
      <c r="L401" s="2461">
        <v>34417</v>
      </c>
    </row>
    <row r="402" spans="1:13" ht="15" x14ac:dyDescent="0.25">
      <c r="A402" s="1726">
        <v>4357</v>
      </c>
      <c r="B402" s="1725">
        <v>5336</v>
      </c>
      <c r="C402" s="1740"/>
      <c r="D402" s="1739" t="s">
        <v>856</v>
      </c>
      <c r="E402" s="1736">
        <f>E404+E405+E403</f>
        <v>32</v>
      </c>
      <c r="F402" s="1736">
        <f>F404+F405+F403</f>
        <v>371</v>
      </c>
      <c r="G402" s="1736">
        <f>G404+G405+G403</f>
        <v>371</v>
      </c>
      <c r="H402" s="1728">
        <f t="shared" si="64"/>
        <v>100</v>
      </c>
      <c r="J402" s="1002"/>
      <c r="K402" s="1002"/>
      <c r="L402" s="2461"/>
      <c r="M402" s="1002"/>
    </row>
    <row r="403" spans="1:13" x14ac:dyDescent="0.2">
      <c r="A403" s="1726"/>
      <c r="B403" s="1725"/>
      <c r="C403" s="1744" t="s">
        <v>1268</v>
      </c>
      <c r="D403" s="1742" t="s">
        <v>1286</v>
      </c>
      <c r="E403" s="1722">
        <v>32</v>
      </c>
      <c r="F403" s="1722">
        <v>0</v>
      </c>
      <c r="G403" s="1722">
        <v>0</v>
      </c>
      <c r="H403" s="1721">
        <v>0</v>
      </c>
      <c r="J403" s="1002"/>
      <c r="K403" s="1002"/>
      <c r="L403" s="2461"/>
      <c r="M403" s="1002"/>
    </row>
    <row r="404" spans="1:13" x14ac:dyDescent="0.2">
      <c r="A404" s="1726"/>
      <c r="B404" s="1725"/>
      <c r="C404" s="2480" t="s">
        <v>1264</v>
      </c>
      <c r="D404" s="1743" t="s">
        <v>1288</v>
      </c>
      <c r="E404" s="1722">
        <v>0</v>
      </c>
      <c r="F404" s="1722">
        <v>39</v>
      </c>
      <c r="G404" s="1722">
        <v>39</v>
      </c>
      <c r="H404" s="1721">
        <f t="shared" si="64"/>
        <v>100</v>
      </c>
      <c r="L404" s="2461">
        <v>39010.5</v>
      </c>
    </row>
    <row r="405" spans="1:13" x14ac:dyDescent="0.2">
      <c r="A405" s="1726"/>
      <c r="B405" s="1725"/>
      <c r="C405" s="2480" t="s">
        <v>1265</v>
      </c>
      <c r="D405" s="1743" t="s">
        <v>1288</v>
      </c>
      <c r="E405" s="1722">
        <v>0</v>
      </c>
      <c r="F405" s="1722">
        <v>332</v>
      </c>
      <c r="G405" s="1722">
        <v>332</v>
      </c>
      <c r="H405" s="1721">
        <f t="shared" si="64"/>
        <v>100</v>
      </c>
      <c r="L405" s="2461">
        <v>331589.25</v>
      </c>
    </row>
    <row r="406" spans="1:13" ht="15" x14ac:dyDescent="0.25">
      <c r="A406" s="1726">
        <v>4399</v>
      </c>
      <c r="B406" s="1725">
        <v>5336</v>
      </c>
      <c r="C406" s="1740"/>
      <c r="D406" s="1739" t="s">
        <v>856</v>
      </c>
      <c r="E406" s="1736">
        <f>E407</f>
        <v>0</v>
      </c>
      <c r="F406" s="1736">
        <f>F407</f>
        <v>19954</v>
      </c>
      <c r="G406" s="1736">
        <f>G407</f>
        <v>19954</v>
      </c>
      <c r="H406" s="1728">
        <f t="shared" si="64"/>
        <v>100</v>
      </c>
      <c r="L406" s="2461"/>
    </row>
    <row r="407" spans="1:13" ht="15" thickBot="1" x14ac:dyDescent="0.25">
      <c r="A407" s="1726"/>
      <c r="B407" s="1725"/>
      <c r="C407" s="1738" t="s">
        <v>1261</v>
      </c>
      <c r="D407" s="1737" t="s">
        <v>1667</v>
      </c>
      <c r="E407" s="1722">
        <v>0</v>
      </c>
      <c r="F407" s="1722">
        <v>19954</v>
      </c>
      <c r="G407" s="1722">
        <v>19954</v>
      </c>
      <c r="H407" s="1721">
        <f t="shared" si="64"/>
        <v>100</v>
      </c>
      <c r="L407" s="2461">
        <v>19954600</v>
      </c>
    </row>
    <row r="408" spans="1:13" s="1687" customFormat="1" ht="20.25" customHeight="1" thickTop="1" thickBot="1" x14ac:dyDescent="0.3">
      <c r="A408" s="1718" t="s">
        <v>522</v>
      </c>
      <c r="B408" s="1717"/>
      <c r="C408" s="1716"/>
      <c r="D408" s="1735"/>
      <c r="E408" s="1714">
        <f>E402+E406</f>
        <v>32</v>
      </c>
      <c r="F408" s="1714">
        <f>F402+F406+F400</f>
        <v>20359</v>
      </c>
      <c r="G408" s="1714">
        <f>G402+G406+G400</f>
        <v>20359</v>
      </c>
      <c r="H408" s="1713">
        <f t="shared" si="64"/>
        <v>100</v>
      </c>
      <c r="L408" s="2461">
        <f>L407+L405+L404+L401</f>
        <v>20359616.75</v>
      </c>
    </row>
    <row r="409" spans="1:13" ht="15" thickTop="1" x14ac:dyDescent="0.2">
      <c r="A409" s="1712"/>
      <c r="L409" s="1218"/>
    </row>
    <row r="410" spans="1:13" s="1682" customFormat="1" ht="27.75" customHeight="1" thickBot="1" x14ac:dyDescent="0.3">
      <c r="A410" s="1711" t="s">
        <v>6</v>
      </c>
      <c r="B410" s="1710"/>
      <c r="C410" s="1710"/>
      <c r="D410" s="1710"/>
      <c r="E410" s="1709">
        <f>E408</f>
        <v>32</v>
      </c>
      <c r="F410" s="1709">
        <f t="shared" ref="F410:G410" si="65">F408</f>
        <v>20359</v>
      </c>
      <c r="G410" s="1709">
        <f t="shared" si="65"/>
        <v>20359</v>
      </c>
      <c r="H410" s="1708">
        <f>(G410/F410)*100</f>
        <v>100</v>
      </c>
    </row>
    <row r="411" spans="1:13" s="1682" customFormat="1" ht="27.75" customHeight="1" thickTop="1" x14ac:dyDescent="0.25">
      <c r="A411" s="1701"/>
      <c r="B411" s="2455"/>
      <c r="C411" s="2455"/>
      <c r="D411" s="2455"/>
      <c r="E411" s="1770"/>
      <c r="F411" s="1770"/>
      <c r="G411" s="1770"/>
      <c r="H411" s="1769"/>
    </row>
    <row r="412" spans="1:13" s="1682" customFormat="1" ht="16.5" x14ac:dyDescent="0.25">
      <c r="A412" s="1701"/>
      <c r="B412" s="2455"/>
      <c r="C412" s="2455"/>
      <c r="D412" s="2455"/>
      <c r="E412" s="1770"/>
      <c r="F412" s="1770"/>
      <c r="G412" s="1770"/>
      <c r="H412" s="1769"/>
      <c r="J412" s="1727">
        <f>E79+E90+E101+E113+E124+E135+E146+E148+E149+E150+E152+E169+E171+E182+E193+E204+E215+E218+E229+E231+E232+E233+E235+E246+E257+E259+E260+E261+E263+E274+E285+E296+E307+E318+E329+E340+E351+E362+E373++E384+E387+E388+E390+E401+E404+E405+E407</f>
        <v>124</v>
      </c>
      <c r="K412" s="1727">
        <f>F79+F90+F101+F113+F124+F135+F146+F148+F149+F150+F152+F169+F171+F182+F193+F204+F215+F218+F229+F231+F232+F233+F235+F246+F257+F259+F260+F261+F263+F274+F285+F296+F307+F318+F329+F340+F351+F362+F373++F384+F387+F388+F390+F401+F404+F405+F407</f>
        <v>429192</v>
      </c>
      <c r="L412" s="1727">
        <f>G79+G90+G101+G113+G124+G135+G146+G148+G149+G150+G152+G169+G171+G182+G193+G204+G215+G218+G229+G231+G232+G233+G235+G246+G257+G259+G260+G261+G263+G274+G285+G296+G307+G318+G329+G340+G351+G362+G373++G384+G387+G388+G390+G401+G404+G405+G407</f>
        <v>429133</v>
      </c>
      <c r="M412" s="1719" t="s">
        <v>1281</v>
      </c>
    </row>
    <row r="413" spans="1:13" s="1682" customFormat="1" ht="16.5" x14ac:dyDescent="0.25">
      <c r="A413" s="1701"/>
      <c r="B413" s="2455"/>
      <c r="C413" s="2455"/>
      <c r="D413" s="2455"/>
      <c r="E413" s="1770"/>
      <c r="F413" s="1770"/>
      <c r="G413" s="1770"/>
      <c r="H413" s="1769"/>
      <c r="J413" s="1727">
        <f>E159</f>
        <v>0</v>
      </c>
      <c r="K413" s="1727">
        <f t="shared" ref="K413:L413" si="66">F159</f>
        <v>8</v>
      </c>
      <c r="L413" s="1727">
        <f t="shared" si="66"/>
        <v>8</v>
      </c>
      <c r="M413" s="1719" t="s">
        <v>1282</v>
      </c>
    </row>
    <row r="414" spans="1:13" s="1682" customFormat="1" ht="16.5" x14ac:dyDescent="0.25">
      <c r="A414" s="3181" t="s">
        <v>1151</v>
      </c>
      <c r="B414" s="3181"/>
      <c r="C414" s="3181"/>
      <c r="D414" s="3181"/>
      <c r="E414" s="3181"/>
      <c r="F414" s="3181"/>
      <c r="G414" s="3181"/>
      <c r="H414" s="3181"/>
      <c r="J414" s="1707">
        <f>J412+J413</f>
        <v>124</v>
      </c>
      <c r="K414" s="1707">
        <f>K412+K413</f>
        <v>429200</v>
      </c>
      <c r="L414" s="1707">
        <f>L412+L413</f>
        <v>429141</v>
      </c>
      <c r="M414" s="1122" t="s">
        <v>947</v>
      </c>
    </row>
    <row r="415" spans="1:13" s="1682" customFormat="1" ht="16.5" x14ac:dyDescent="0.25">
      <c r="A415" s="3182" t="s">
        <v>1163</v>
      </c>
      <c r="B415" s="3182"/>
      <c r="C415" s="3182"/>
      <c r="D415" s="3182"/>
      <c r="E415" s="3182"/>
      <c r="F415" s="3182"/>
      <c r="G415" s="3182"/>
      <c r="H415" s="3182"/>
    </row>
    <row r="416" spans="1:13" s="1682" customFormat="1" ht="17.25" thickBot="1" x14ac:dyDescent="0.3">
      <c r="A416" s="33"/>
      <c r="B416" s="570"/>
      <c r="C416" s="571"/>
      <c r="D416" s="372"/>
      <c r="E416" s="373"/>
      <c r="F416" s="560"/>
      <c r="G416" s="373"/>
      <c r="H416" s="1568" t="s">
        <v>92</v>
      </c>
    </row>
    <row r="417" spans="1:8" s="1682" customFormat="1" ht="18" thickTop="1" thickBot="1" x14ac:dyDescent="0.3">
      <c r="A417" s="572" t="s">
        <v>93</v>
      </c>
      <c r="B417" s="573" t="s">
        <v>94</v>
      </c>
      <c r="C417" s="575" t="s">
        <v>364</v>
      </c>
      <c r="D417" s="639" t="s">
        <v>95</v>
      </c>
      <c r="E417" s="639" t="s">
        <v>328</v>
      </c>
      <c r="F417" s="639" t="s">
        <v>329</v>
      </c>
      <c r="G417" s="639" t="s">
        <v>448</v>
      </c>
      <c r="H417" s="576" t="s">
        <v>449</v>
      </c>
    </row>
    <row r="418" spans="1:8" s="1682" customFormat="1" ht="18" thickTop="1" thickBot="1" x14ac:dyDescent="0.3">
      <c r="A418" s="511">
        <v>1</v>
      </c>
      <c r="B418" s="512">
        <v>2</v>
      </c>
      <c r="C418" s="512">
        <v>3</v>
      </c>
      <c r="D418" s="512">
        <v>4</v>
      </c>
      <c r="E418" s="512">
        <v>5</v>
      </c>
      <c r="F418" s="499">
        <v>6</v>
      </c>
      <c r="G418" s="499">
        <v>7</v>
      </c>
      <c r="H418" s="577" t="s">
        <v>33</v>
      </c>
    </row>
    <row r="419" spans="1:8" s="1682" customFormat="1" ht="17.25" hidden="1" thickTop="1" x14ac:dyDescent="0.25">
      <c r="A419" s="2426">
        <v>4399</v>
      </c>
      <c r="B419" s="2492">
        <v>5212</v>
      </c>
      <c r="C419" s="2432" t="s">
        <v>1097</v>
      </c>
      <c r="D419" s="370" t="s">
        <v>1269</v>
      </c>
      <c r="E419" s="310"/>
      <c r="F419" s="308"/>
      <c r="G419" s="310"/>
      <c r="H419" s="504" t="e">
        <f>(G419/F419)*100</f>
        <v>#DIV/0!</v>
      </c>
    </row>
    <row r="420" spans="1:8" s="1682" customFormat="1" ht="17.25" thickTop="1" x14ac:dyDescent="0.25">
      <c r="A420" s="2426">
        <v>4399</v>
      </c>
      <c r="B420" s="2492">
        <v>5213</v>
      </c>
      <c r="C420" s="2432" t="s">
        <v>1097</v>
      </c>
      <c r="D420" s="370" t="s">
        <v>1270</v>
      </c>
      <c r="E420" s="428">
        <v>0</v>
      </c>
      <c r="F420" s="165">
        <v>196</v>
      </c>
      <c r="G420" s="310">
        <v>196</v>
      </c>
      <c r="H420" s="504">
        <f>(G420/F420)*100</f>
        <v>100</v>
      </c>
    </row>
    <row r="421" spans="1:8" s="1682" customFormat="1" ht="16.5" x14ac:dyDescent="0.25">
      <c r="A421" s="2426">
        <v>4399</v>
      </c>
      <c r="B421" s="2492">
        <v>5221</v>
      </c>
      <c r="C421" s="2432" t="s">
        <v>1097</v>
      </c>
      <c r="D421" s="3257" t="s">
        <v>1612</v>
      </c>
      <c r="E421" s="428">
        <v>0</v>
      </c>
      <c r="F421" s="165">
        <v>50</v>
      </c>
      <c r="G421" s="310">
        <v>50</v>
      </c>
      <c r="H421" s="504">
        <f>(G421/F421)*100</f>
        <v>100</v>
      </c>
    </row>
    <row r="422" spans="1:8" s="1682" customFormat="1" ht="16.5" x14ac:dyDescent="0.25">
      <c r="A422" s="2426"/>
      <c r="B422" s="2492"/>
      <c r="C422" s="2432"/>
      <c r="D422" s="3257"/>
      <c r="E422" s="428"/>
      <c r="F422" s="165"/>
      <c r="G422" s="310"/>
      <c r="H422" s="504"/>
    </row>
    <row r="423" spans="1:8" s="1682" customFormat="1" ht="16.5" x14ac:dyDescent="0.25">
      <c r="A423" s="2426">
        <v>4399</v>
      </c>
      <c r="B423" s="2492">
        <v>5222</v>
      </c>
      <c r="C423" s="2432" t="s">
        <v>1097</v>
      </c>
      <c r="D423" s="2467" t="s">
        <v>800</v>
      </c>
      <c r="E423" s="428">
        <v>0</v>
      </c>
      <c r="F423" s="165">
        <v>488</v>
      </c>
      <c r="G423" s="310">
        <v>488</v>
      </c>
      <c r="H423" s="504">
        <f>(G423/F423)*100</f>
        <v>100</v>
      </c>
    </row>
    <row r="424" spans="1:8" s="1682" customFormat="1" ht="16.5" x14ac:dyDescent="0.25">
      <c r="A424" s="2426">
        <v>4399</v>
      </c>
      <c r="B424" s="2492">
        <v>5229</v>
      </c>
      <c r="C424" s="2432" t="s">
        <v>1097</v>
      </c>
      <c r="D424" s="1071" t="s">
        <v>1641</v>
      </c>
      <c r="E424" s="428">
        <v>0</v>
      </c>
      <c r="F424" s="165">
        <v>24</v>
      </c>
      <c r="G424" s="310">
        <v>24</v>
      </c>
      <c r="H424" s="504">
        <f>(G424/F424)*100</f>
        <v>100</v>
      </c>
    </row>
    <row r="425" spans="1:8" s="1682" customFormat="1" ht="16.5" x14ac:dyDescent="0.25">
      <c r="A425" s="2426">
        <v>4399</v>
      </c>
      <c r="B425" s="2492">
        <v>5323</v>
      </c>
      <c r="C425" s="2432" t="s">
        <v>1097</v>
      </c>
      <c r="D425" s="2096" t="s">
        <v>125</v>
      </c>
      <c r="E425" s="428">
        <v>0</v>
      </c>
      <c r="F425" s="165">
        <v>340</v>
      </c>
      <c r="G425" s="310">
        <v>340</v>
      </c>
      <c r="H425" s="504">
        <f>(G425/F425)*100</f>
        <v>100</v>
      </c>
    </row>
    <row r="426" spans="1:8" s="1682" customFormat="1" ht="17.25" thickBot="1" x14ac:dyDescent="0.3">
      <c r="A426" s="2426">
        <v>4399</v>
      </c>
      <c r="B426" s="2492">
        <v>6323</v>
      </c>
      <c r="C426" s="2432" t="s">
        <v>1097</v>
      </c>
      <c r="D426" s="304" t="s">
        <v>1949</v>
      </c>
      <c r="E426" s="428">
        <v>0</v>
      </c>
      <c r="F426" s="308">
        <v>500</v>
      </c>
      <c r="G426" s="310">
        <v>500</v>
      </c>
      <c r="H426" s="504">
        <f>(G426/F426)*100</f>
        <v>100</v>
      </c>
    </row>
    <row r="427" spans="1:8" s="1682" customFormat="1" ht="19.5" thickTop="1" thickBot="1" x14ac:dyDescent="0.3">
      <c r="A427" s="578" t="s">
        <v>1167</v>
      </c>
      <c r="B427" s="744"/>
      <c r="C427" s="580"/>
      <c r="D427" s="581"/>
      <c r="E427" s="582">
        <f>SUM(E419:E426)</f>
        <v>0</v>
      </c>
      <c r="F427" s="582">
        <f>SUM(F419:F426)</f>
        <v>1598</v>
      </c>
      <c r="G427" s="582">
        <f>SUM(G419:G426)</f>
        <v>1598</v>
      </c>
      <c r="H427" s="783">
        <f>(G427/F427)*100</f>
        <v>100</v>
      </c>
    </row>
    <row r="428" spans="1:8" s="1682" customFormat="1" ht="18.75" thickTop="1" x14ac:dyDescent="0.25">
      <c r="A428" s="353"/>
      <c r="B428" s="354"/>
      <c r="C428" s="139"/>
      <c r="D428" s="354"/>
      <c r="E428" s="17"/>
      <c r="F428" s="17"/>
      <c r="G428" s="17"/>
      <c r="H428" s="2359"/>
    </row>
    <row r="429" spans="1:8" s="1682" customFormat="1" ht="16.5" x14ac:dyDescent="0.25">
      <c r="A429" s="3182" t="s">
        <v>1289</v>
      </c>
      <c r="B429" s="3182"/>
      <c r="C429" s="3182"/>
      <c r="D429" s="3182"/>
      <c r="E429" s="3182"/>
      <c r="F429" s="3182"/>
      <c r="G429" s="3182"/>
      <c r="H429" s="3182"/>
    </row>
    <row r="430" spans="1:8" s="1682" customFormat="1" ht="17.25" thickBot="1" x14ac:dyDescent="0.3">
      <c r="A430" s="33"/>
      <c r="B430" s="570"/>
      <c r="C430" s="571"/>
      <c r="D430" s="372"/>
      <c r="E430" s="373"/>
      <c r="F430" s="560"/>
      <c r="G430" s="373"/>
      <c r="H430" s="1568" t="s">
        <v>92</v>
      </c>
    </row>
    <row r="431" spans="1:8" s="1682" customFormat="1" ht="18" thickTop="1" thickBot="1" x14ac:dyDescent="0.3">
      <c r="A431" s="572" t="s">
        <v>93</v>
      </c>
      <c r="B431" s="573" t="s">
        <v>94</v>
      </c>
      <c r="C431" s="575" t="s">
        <v>364</v>
      </c>
      <c r="D431" s="639" t="s">
        <v>95</v>
      </c>
      <c r="E431" s="639" t="s">
        <v>328</v>
      </c>
      <c r="F431" s="639" t="s">
        <v>329</v>
      </c>
      <c r="G431" s="639" t="s">
        <v>448</v>
      </c>
      <c r="H431" s="576" t="s">
        <v>449</v>
      </c>
    </row>
    <row r="432" spans="1:8" s="1682" customFormat="1" ht="18" thickTop="1" thickBot="1" x14ac:dyDescent="0.3">
      <c r="A432" s="511">
        <v>1</v>
      </c>
      <c r="B432" s="512">
        <v>2</v>
      </c>
      <c r="C432" s="512">
        <v>3</v>
      </c>
      <c r="D432" s="512">
        <v>4</v>
      </c>
      <c r="E432" s="512">
        <v>5</v>
      </c>
      <c r="F432" s="499">
        <v>6</v>
      </c>
      <c r="G432" s="499">
        <v>7</v>
      </c>
      <c r="H432" s="577" t="s">
        <v>33</v>
      </c>
    </row>
    <row r="433" spans="1:8" s="1682" customFormat="1" ht="17.25" thickTop="1" x14ac:dyDescent="0.25">
      <c r="A433" s="2426">
        <v>4349</v>
      </c>
      <c r="B433" s="2492">
        <v>5222</v>
      </c>
      <c r="C433" s="2432" t="s">
        <v>1272</v>
      </c>
      <c r="D433" s="2467" t="s">
        <v>800</v>
      </c>
      <c r="E433" s="428">
        <v>0</v>
      </c>
      <c r="F433" s="165">
        <v>132</v>
      </c>
      <c r="G433" s="310">
        <v>132</v>
      </c>
      <c r="H433" s="504">
        <f t="shared" ref="H433:H435" si="67">(G433/F433)*100</f>
        <v>100</v>
      </c>
    </row>
    <row r="434" spans="1:8" s="1682" customFormat="1" ht="16.5" x14ac:dyDescent="0.25">
      <c r="A434" s="2426">
        <v>4349</v>
      </c>
      <c r="B434" s="2492">
        <v>5229</v>
      </c>
      <c r="C434" s="2432" t="s">
        <v>1272</v>
      </c>
      <c r="D434" s="1071" t="s">
        <v>1641</v>
      </c>
      <c r="E434" s="428">
        <v>1500</v>
      </c>
      <c r="F434" s="165">
        <v>78</v>
      </c>
      <c r="G434" s="310">
        <v>78</v>
      </c>
      <c r="H434" s="504">
        <f t="shared" si="67"/>
        <v>100</v>
      </c>
    </row>
    <row r="435" spans="1:8" s="1682" customFormat="1" ht="16.5" x14ac:dyDescent="0.25">
      <c r="A435" s="2426">
        <v>4349</v>
      </c>
      <c r="B435" s="2492">
        <v>5332</v>
      </c>
      <c r="C435" s="2432" t="s">
        <v>1272</v>
      </c>
      <c r="D435" s="1071" t="s">
        <v>1857</v>
      </c>
      <c r="E435" s="428">
        <v>0</v>
      </c>
      <c r="F435" s="165">
        <v>80</v>
      </c>
      <c r="G435" s="310">
        <v>80</v>
      </c>
      <c r="H435" s="504">
        <f t="shared" si="67"/>
        <v>100</v>
      </c>
    </row>
    <row r="436" spans="1:8" s="1682" customFormat="1" ht="16.5" x14ac:dyDescent="0.25">
      <c r="A436" s="2426">
        <v>4349</v>
      </c>
      <c r="B436" s="2492">
        <v>6341</v>
      </c>
      <c r="C436" s="2432" t="s">
        <v>1272</v>
      </c>
      <c r="D436" s="1869" t="s">
        <v>136</v>
      </c>
      <c r="E436" s="428">
        <v>0</v>
      </c>
      <c r="F436" s="428">
        <v>1156</v>
      </c>
      <c r="G436" s="428">
        <v>1144</v>
      </c>
      <c r="H436" s="504">
        <f t="shared" ref="H436:H438" si="68">(G436/F436)*100</f>
        <v>98.961937716262966</v>
      </c>
    </row>
    <row r="437" spans="1:8" s="1682" customFormat="1" ht="30.75" thickBot="1" x14ac:dyDescent="0.3">
      <c r="A437" s="2440">
        <v>4349</v>
      </c>
      <c r="B437" s="2537">
        <v>6349</v>
      </c>
      <c r="C437" s="2534" t="s">
        <v>1272</v>
      </c>
      <c r="D437" s="2936" t="s">
        <v>1950</v>
      </c>
      <c r="E437" s="2319">
        <v>0</v>
      </c>
      <c r="F437" s="2319">
        <v>54</v>
      </c>
      <c r="G437" s="2319">
        <v>53</v>
      </c>
      <c r="H437" s="3010">
        <f t="shared" si="68"/>
        <v>98.148148148148152</v>
      </c>
    </row>
    <row r="438" spans="1:8" s="1682" customFormat="1" ht="19.5" thickTop="1" thickBot="1" x14ac:dyDescent="0.3">
      <c r="A438" s="578" t="s">
        <v>1271</v>
      </c>
      <c r="B438" s="744"/>
      <c r="C438" s="580"/>
      <c r="D438" s="581"/>
      <c r="E438" s="582">
        <f>SUM(E433:E437)</f>
        <v>1500</v>
      </c>
      <c r="F438" s="582">
        <f>SUM(F433:F437)</f>
        <v>1500</v>
      </c>
      <c r="G438" s="582">
        <f>SUM(G433:G437)</f>
        <v>1487</v>
      </c>
      <c r="H438" s="783">
        <f t="shared" si="68"/>
        <v>99.133333333333326</v>
      </c>
    </row>
    <row r="439" spans="1:8" s="1682" customFormat="1" ht="18.75" thickTop="1" x14ac:dyDescent="0.25">
      <c r="A439" s="353"/>
      <c r="B439" s="2351"/>
      <c r="C439" s="57"/>
      <c r="D439" s="354"/>
      <c r="E439" s="17"/>
      <c r="F439" s="17"/>
      <c r="G439" s="17"/>
      <c r="H439" s="2352"/>
    </row>
    <row r="440" spans="1:8" s="1682" customFormat="1" ht="16.5" x14ac:dyDescent="0.25">
      <c r="A440" s="3182" t="s">
        <v>1290</v>
      </c>
      <c r="B440" s="3182"/>
      <c r="C440" s="3182"/>
      <c r="D440" s="3182"/>
      <c r="E440" s="3182"/>
      <c r="F440" s="3182"/>
      <c r="G440" s="3182"/>
      <c r="H440" s="3182"/>
    </row>
    <row r="441" spans="1:8" s="1682" customFormat="1" ht="17.25" thickBot="1" x14ac:dyDescent="0.3">
      <c r="A441" s="33"/>
      <c r="B441" s="570"/>
      <c r="C441" s="571"/>
      <c r="D441" s="372"/>
      <c r="E441" s="373"/>
      <c r="F441" s="560"/>
      <c r="G441" s="373"/>
      <c r="H441" s="1568" t="s">
        <v>92</v>
      </c>
    </row>
    <row r="442" spans="1:8" s="1682" customFormat="1" ht="18" thickTop="1" thickBot="1" x14ac:dyDescent="0.3">
      <c r="A442" s="572" t="s">
        <v>93</v>
      </c>
      <c r="B442" s="573" t="s">
        <v>94</v>
      </c>
      <c r="C442" s="575" t="s">
        <v>364</v>
      </c>
      <c r="D442" s="639" t="s">
        <v>95</v>
      </c>
      <c r="E442" s="639" t="s">
        <v>328</v>
      </c>
      <c r="F442" s="639" t="s">
        <v>329</v>
      </c>
      <c r="G442" s="639" t="s">
        <v>448</v>
      </c>
      <c r="H442" s="576" t="s">
        <v>449</v>
      </c>
    </row>
    <row r="443" spans="1:8" s="1682" customFormat="1" ht="18" thickTop="1" thickBot="1" x14ac:dyDescent="0.3">
      <c r="A443" s="511">
        <v>1</v>
      </c>
      <c r="B443" s="512">
        <v>2</v>
      </c>
      <c r="C443" s="512">
        <v>3</v>
      </c>
      <c r="D443" s="512">
        <v>4</v>
      </c>
      <c r="E443" s="512">
        <v>5</v>
      </c>
      <c r="F443" s="499">
        <v>6</v>
      </c>
      <c r="G443" s="499">
        <v>7</v>
      </c>
      <c r="H443" s="577" t="s">
        <v>33</v>
      </c>
    </row>
    <row r="444" spans="1:8" s="1682" customFormat="1" ht="17.25" thickTop="1" x14ac:dyDescent="0.25">
      <c r="A444" s="2426">
        <v>4349</v>
      </c>
      <c r="B444" s="2492">
        <v>5221</v>
      </c>
      <c r="C444" s="2432" t="s">
        <v>1274</v>
      </c>
      <c r="D444" s="3257" t="s">
        <v>1612</v>
      </c>
      <c r="E444" s="310">
        <v>0</v>
      </c>
      <c r="F444" s="308">
        <v>45</v>
      </c>
      <c r="G444" s="310">
        <v>45</v>
      </c>
      <c r="H444" s="504">
        <f t="shared" ref="H444:H447" si="69">(G444/F444)*100</f>
        <v>100</v>
      </c>
    </row>
    <row r="445" spans="1:8" s="1682" customFormat="1" ht="16.5" x14ac:dyDescent="0.25">
      <c r="A445" s="2426"/>
      <c r="B445" s="2492"/>
      <c r="C445" s="2432"/>
      <c r="D445" s="3257"/>
      <c r="E445" s="310"/>
      <c r="F445" s="308"/>
      <c r="G445" s="310"/>
      <c r="H445" s="504"/>
    </row>
    <row r="446" spans="1:8" s="1682" customFormat="1" ht="16.5" x14ac:dyDescent="0.25">
      <c r="A446" s="2426">
        <v>4349</v>
      </c>
      <c r="B446" s="2492">
        <v>5222</v>
      </c>
      <c r="C446" s="2432" t="s">
        <v>1274</v>
      </c>
      <c r="D446" s="2467" t="s">
        <v>800</v>
      </c>
      <c r="E446" s="310">
        <v>0</v>
      </c>
      <c r="F446" s="308">
        <v>30</v>
      </c>
      <c r="G446" s="310">
        <v>30</v>
      </c>
      <c r="H446" s="504">
        <f t="shared" si="69"/>
        <v>100</v>
      </c>
    </row>
    <row r="447" spans="1:8" s="1682" customFormat="1" ht="16.5" hidden="1" x14ac:dyDescent="0.25">
      <c r="A447" s="2426">
        <v>4349</v>
      </c>
      <c r="B447" s="2492">
        <v>5223</v>
      </c>
      <c r="C447" s="2432" t="s">
        <v>1274</v>
      </c>
      <c r="D447" s="1071" t="s">
        <v>1246</v>
      </c>
      <c r="E447" s="310"/>
      <c r="F447" s="308"/>
      <c r="G447" s="310"/>
      <c r="H447" s="504" t="e">
        <f t="shared" si="69"/>
        <v>#DIV/0!</v>
      </c>
    </row>
    <row r="448" spans="1:8" s="1682" customFormat="1" ht="17.25" thickBot="1" x14ac:dyDescent="0.3">
      <c r="A448" s="2426">
        <v>4349</v>
      </c>
      <c r="B448" s="2492">
        <v>5229</v>
      </c>
      <c r="C448" s="2432" t="s">
        <v>1274</v>
      </c>
      <c r="D448" s="1071" t="s">
        <v>1641</v>
      </c>
      <c r="E448" s="310">
        <v>150</v>
      </c>
      <c r="F448" s="308">
        <v>0</v>
      </c>
      <c r="G448" s="310">
        <v>0</v>
      </c>
      <c r="H448" s="504">
        <v>0</v>
      </c>
    </row>
    <row r="449" spans="1:8" s="1682" customFormat="1" ht="19.5" thickTop="1" thickBot="1" x14ac:dyDescent="0.3">
      <c r="A449" s="578" t="s">
        <v>1273</v>
      </c>
      <c r="B449" s="744"/>
      <c r="C449" s="580"/>
      <c r="D449" s="581"/>
      <c r="E449" s="582">
        <f>SUM(E444:E448)</f>
        <v>150</v>
      </c>
      <c r="F449" s="582">
        <f>SUM(F444:F448)</f>
        <v>75</v>
      </c>
      <c r="G449" s="582">
        <f>SUM(G444:G448)</f>
        <v>75</v>
      </c>
      <c r="H449" s="783">
        <f>(G449/F449)*100</f>
        <v>100</v>
      </c>
    </row>
    <row r="450" spans="1:8" s="1682" customFormat="1" ht="17.25" thickTop="1" x14ac:dyDescent="0.25">
      <c r="A450" s="1701"/>
      <c r="B450" s="2455"/>
      <c r="C450" s="2455"/>
      <c r="D450" s="2455"/>
      <c r="E450" s="1770"/>
      <c r="F450" s="1770"/>
      <c r="G450" s="1770"/>
      <c r="H450" s="1769"/>
    </row>
    <row r="451" spans="1:8" s="1682" customFormat="1" ht="16.5" x14ac:dyDescent="0.25">
      <c r="A451" s="3182" t="s">
        <v>1291</v>
      </c>
      <c r="B451" s="3182"/>
      <c r="C451" s="3182"/>
      <c r="D451" s="3182"/>
      <c r="E451" s="3182"/>
      <c r="F451" s="3182"/>
      <c r="G451" s="3182"/>
      <c r="H451" s="3182"/>
    </row>
    <row r="452" spans="1:8" s="1682" customFormat="1" ht="17.25" thickBot="1" x14ac:dyDescent="0.3">
      <c r="A452" s="33"/>
      <c r="B452" s="570"/>
      <c r="C452" s="571"/>
      <c r="D452" s="372"/>
      <c r="E452" s="373"/>
      <c r="F452" s="560"/>
      <c r="G452" s="373"/>
      <c r="H452" s="1568" t="s">
        <v>92</v>
      </c>
    </row>
    <row r="453" spans="1:8" s="1682" customFormat="1" ht="18" thickTop="1" thickBot="1" x14ac:dyDescent="0.3">
      <c r="A453" s="572" t="s">
        <v>93</v>
      </c>
      <c r="B453" s="573" t="s">
        <v>94</v>
      </c>
      <c r="C453" s="575" t="s">
        <v>364</v>
      </c>
      <c r="D453" s="639" t="s">
        <v>95</v>
      </c>
      <c r="E453" s="639" t="s">
        <v>328</v>
      </c>
      <c r="F453" s="639" t="s">
        <v>329</v>
      </c>
      <c r="G453" s="639" t="s">
        <v>448</v>
      </c>
      <c r="H453" s="576" t="s">
        <v>449</v>
      </c>
    </row>
    <row r="454" spans="1:8" s="1682" customFormat="1" ht="18" thickTop="1" thickBot="1" x14ac:dyDescent="0.3">
      <c r="A454" s="511">
        <v>1</v>
      </c>
      <c r="B454" s="512">
        <v>2</v>
      </c>
      <c r="C454" s="512">
        <v>3</v>
      </c>
      <c r="D454" s="512">
        <v>4</v>
      </c>
      <c r="E454" s="512">
        <v>5</v>
      </c>
      <c r="F454" s="499">
        <v>6</v>
      </c>
      <c r="G454" s="499">
        <v>7</v>
      </c>
      <c r="H454" s="577" t="s">
        <v>33</v>
      </c>
    </row>
    <row r="455" spans="1:8" s="1682" customFormat="1" ht="17.25" thickTop="1" x14ac:dyDescent="0.25">
      <c r="A455" s="2426">
        <v>4339</v>
      </c>
      <c r="B455" s="2492">
        <v>5212</v>
      </c>
      <c r="C455" s="2432" t="s">
        <v>1275</v>
      </c>
      <c r="D455" s="370" t="s">
        <v>1269</v>
      </c>
      <c r="E455" s="310">
        <v>0</v>
      </c>
      <c r="F455" s="308">
        <v>24</v>
      </c>
      <c r="G455" s="310">
        <v>24</v>
      </c>
      <c r="H455" s="504">
        <f t="shared" ref="H455:H460" si="70">(G455/F455)*100</f>
        <v>100</v>
      </c>
    </row>
    <row r="456" spans="1:8" s="1682" customFormat="1" ht="30.75" customHeight="1" x14ac:dyDescent="0.25">
      <c r="A456" s="2440">
        <v>4339</v>
      </c>
      <c r="B456" s="2537">
        <v>5221</v>
      </c>
      <c r="C456" s="2534" t="s">
        <v>1275</v>
      </c>
      <c r="D456" s="2467" t="s">
        <v>1612</v>
      </c>
      <c r="E456" s="429">
        <v>0</v>
      </c>
      <c r="F456" s="1556">
        <v>41</v>
      </c>
      <c r="G456" s="429">
        <v>41</v>
      </c>
      <c r="H456" s="3010">
        <f t="shared" si="70"/>
        <v>100</v>
      </c>
    </row>
    <row r="457" spans="1:8" s="1682" customFormat="1" ht="16.5" x14ac:dyDescent="0.25">
      <c r="A457" s="2426">
        <v>4339</v>
      </c>
      <c r="B457" s="2492">
        <v>5222</v>
      </c>
      <c r="C457" s="2432" t="s">
        <v>1275</v>
      </c>
      <c r="D457" s="2467" t="s">
        <v>800</v>
      </c>
      <c r="E457" s="310">
        <v>0</v>
      </c>
      <c r="F457" s="308">
        <v>1366</v>
      </c>
      <c r="G457" s="310">
        <v>1366</v>
      </c>
      <c r="H457" s="504">
        <f t="shared" si="70"/>
        <v>100</v>
      </c>
    </row>
    <row r="458" spans="1:8" s="1682" customFormat="1" ht="16.5" x14ac:dyDescent="0.25">
      <c r="A458" s="2426">
        <v>4339</v>
      </c>
      <c r="B458" s="2492">
        <v>5223</v>
      </c>
      <c r="C458" s="2432" t="s">
        <v>1275</v>
      </c>
      <c r="D458" s="1071" t="s">
        <v>1246</v>
      </c>
      <c r="E458" s="310">
        <v>0</v>
      </c>
      <c r="F458" s="308">
        <v>27</v>
      </c>
      <c r="G458" s="310">
        <v>27</v>
      </c>
      <c r="H458" s="504">
        <f t="shared" si="70"/>
        <v>100</v>
      </c>
    </row>
    <row r="459" spans="1:8" s="1682" customFormat="1" ht="16.5" x14ac:dyDescent="0.25">
      <c r="A459" s="2426">
        <v>4339</v>
      </c>
      <c r="B459" s="2492">
        <v>5229</v>
      </c>
      <c r="C459" s="2432" t="s">
        <v>1275</v>
      </c>
      <c r="D459" s="1071" t="s">
        <v>1641</v>
      </c>
      <c r="E459" s="310">
        <v>1500</v>
      </c>
      <c r="F459" s="308">
        <v>93</v>
      </c>
      <c r="G459" s="310">
        <v>93</v>
      </c>
      <c r="H459" s="504">
        <f t="shared" si="70"/>
        <v>100</v>
      </c>
    </row>
    <row r="460" spans="1:8" s="1682" customFormat="1" ht="17.25" thickBot="1" x14ac:dyDescent="0.3">
      <c r="A460" s="2426">
        <v>4339</v>
      </c>
      <c r="B460" s="2492">
        <v>5321</v>
      </c>
      <c r="C460" s="2432" t="s">
        <v>1275</v>
      </c>
      <c r="D460" s="1071" t="s">
        <v>566</v>
      </c>
      <c r="E460" s="310">
        <v>0</v>
      </c>
      <c r="F460" s="308">
        <v>24</v>
      </c>
      <c r="G460" s="310">
        <v>24</v>
      </c>
      <c r="H460" s="504">
        <f t="shared" si="70"/>
        <v>100</v>
      </c>
    </row>
    <row r="461" spans="1:8" s="1682" customFormat="1" ht="19.5" thickTop="1" thickBot="1" x14ac:dyDescent="0.3">
      <c r="A461" s="578" t="s">
        <v>1276</v>
      </c>
      <c r="B461" s="744"/>
      <c r="C461" s="580"/>
      <c r="D461" s="581"/>
      <c r="E461" s="582">
        <f>SUM(E455:E460)</f>
        <v>1500</v>
      </c>
      <c r="F461" s="582">
        <f t="shared" ref="F461:G461" si="71">SUM(F455:F460)</f>
        <v>1575</v>
      </c>
      <c r="G461" s="582">
        <f t="shared" si="71"/>
        <v>1575</v>
      </c>
      <c r="H461" s="783">
        <f>(G461/F461)*100</f>
        <v>100</v>
      </c>
    </row>
    <row r="462" spans="1:8" s="1682" customFormat="1" ht="17.25" thickTop="1" x14ac:dyDescent="0.25">
      <c r="A462" s="1701"/>
      <c r="B462" s="2455"/>
      <c r="C462" s="2455"/>
      <c r="D462" s="2455"/>
      <c r="E462" s="1770"/>
      <c r="F462" s="1770"/>
      <c r="G462" s="1770"/>
      <c r="H462" s="1769"/>
    </row>
    <row r="463" spans="1:8" s="1682" customFormat="1" ht="16.5" x14ac:dyDescent="0.25">
      <c r="A463" s="3182" t="s">
        <v>1292</v>
      </c>
      <c r="B463" s="3182"/>
      <c r="C463" s="3182"/>
      <c r="D463" s="3182"/>
      <c r="E463" s="3182"/>
      <c r="F463" s="3182"/>
      <c r="G463" s="3182"/>
      <c r="H463" s="3182"/>
    </row>
    <row r="464" spans="1:8" s="1682" customFormat="1" ht="17.25" thickBot="1" x14ac:dyDescent="0.3">
      <c r="A464" s="33"/>
      <c r="B464" s="570"/>
      <c r="C464" s="571"/>
      <c r="D464" s="372"/>
      <c r="E464" s="373"/>
      <c r="F464" s="560"/>
      <c r="G464" s="373"/>
      <c r="H464" s="1568" t="s">
        <v>92</v>
      </c>
    </row>
    <row r="465" spans="1:8" s="1682" customFormat="1" ht="18" thickTop="1" thickBot="1" x14ac:dyDescent="0.3">
      <c r="A465" s="572" t="s">
        <v>93</v>
      </c>
      <c r="B465" s="573" t="s">
        <v>94</v>
      </c>
      <c r="C465" s="575" t="s">
        <v>364</v>
      </c>
      <c r="D465" s="639" t="s">
        <v>95</v>
      </c>
      <c r="E465" s="639" t="s">
        <v>328</v>
      </c>
      <c r="F465" s="639" t="s">
        <v>329</v>
      </c>
      <c r="G465" s="639" t="s">
        <v>448</v>
      </c>
      <c r="H465" s="576" t="s">
        <v>449</v>
      </c>
    </row>
    <row r="466" spans="1:8" s="1682" customFormat="1" ht="18" thickTop="1" thickBot="1" x14ac:dyDescent="0.3">
      <c r="A466" s="511">
        <v>1</v>
      </c>
      <c r="B466" s="512">
        <v>2</v>
      </c>
      <c r="C466" s="512">
        <v>3</v>
      </c>
      <c r="D466" s="512">
        <v>4</v>
      </c>
      <c r="E466" s="512">
        <v>5</v>
      </c>
      <c r="F466" s="499">
        <v>6</v>
      </c>
      <c r="G466" s="499">
        <v>7</v>
      </c>
      <c r="H466" s="577" t="s">
        <v>33</v>
      </c>
    </row>
    <row r="467" spans="1:8" s="1682" customFormat="1" ht="17.25" thickTop="1" x14ac:dyDescent="0.25">
      <c r="A467" s="2426">
        <v>4399</v>
      </c>
      <c r="B467" s="2492">
        <v>5213</v>
      </c>
      <c r="C467" s="2432" t="s">
        <v>1277</v>
      </c>
      <c r="D467" s="2477" t="s">
        <v>1245</v>
      </c>
      <c r="E467" s="310">
        <v>0</v>
      </c>
      <c r="F467" s="308">
        <v>160</v>
      </c>
      <c r="G467" s="310">
        <v>160</v>
      </c>
      <c r="H467" s="504">
        <f t="shared" ref="H467:H470" si="72">(G467/F467)*100</f>
        <v>100</v>
      </c>
    </row>
    <row r="468" spans="1:8" s="1682" customFormat="1" ht="16.5" x14ac:dyDescent="0.25">
      <c r="A468" s="2426">
        <v>4399</v>
      </c>
      <c r="B468" s="2492">
        <v>5221</v>
      </c>
      <c r="C468" s="2432" t="s">
        <v>1277</v>
      </c>
      <c r="D468" s="3257" t="s">
        <v>1612</v>
      </c>
      <c r="E468" s="310">
        <v>0</v>
      </c>
      <c r="F468" s="308">
        <v>926</v>
      </c>
      <c r="G468" s="310">
        <v>926</v>
      </c>
      <c r="H468" s="504">
        <f t="shared" si="72"/>
        <v>100</v>
      </c>
    </row>
    <row r="469" spans="1:8" s="1682" customFormat="1" ht="16.5" x14ac:dyDescent="0.25">
      <c r="A469" s="2426"/>
      <c r="B469" s="2492"/>
      <c r="C469" s="2432"/>
      <c r="D469" s="3257"/>
      <c r="E469" s="310"/>
      <c r="F469" s="308"/>
      <c r="G469" s="310"/>
      <c r="H469" s="504"/>
    </row>
    <row r="470" spans="1:8" s="1682" customFormat="1" ht="16.5" x14ac:dyDescent="0.25">
      <c r="A470" s="2426">
        <v>4399</v>
      </c>
      <c r="B470" s="2492">
        <v>5222</v>
      </c>
      <c r="C470" s="2432" t="s">
        <v>1277</v>
      </c>
      <c r="D470" s="2467" t="s">
        <v>800</v>
      </c>
      <c r="E470" s="310">
        <v>0</v>
      </c>
      <c r="F470" s="308">
        <v>888</v>
      </c>
      <c r="G470" s="310">
        <v>878</v>
      </c>
      <c r="H470" s="504">
        <f t="shared" si="72"/>
        <v>98.873873873873876</v>
      </c>
    </row>
    <row r="471" spans="1:8" s="1682" customFormat="1" ht="16.5" x14ac:dyDescent="0.25">
      <c r="A471" s="2426">
        <v>4399</v>
      </c>
      <c r="B471" s="2492">
        <v>5223</v>
      </c>
      <c r="C471" s="2432" t="s">
        <v>1277</v>
      </c>
      <c r="D471" s="1071" t="s">
        <v>1246</v>
      </c>
      <c r="E471" s="310">
        <v>0</v>
      </c>
      <c r="F471" s="308">
        <v>224</v>
      </c>
      <c r="G471" s="310">
        <v>224</v>
      </c>
      <c r="H471" s="504">
        <f t="shared" ref="H471:H473" si="73">(G471/F471)*100</f>
        <v>100</v>
      </c>
    </row>
    <row r="472" spans="1:8" s="1682" customFormat="1" ht="16.5" x14ac:dyDescent="0.25">
      <c r="A472" s="2426">
        <v>4399</v>
      </c>
      <c r="B472" s="2492">
        <v>5229</v>
      </c>
      <c r="C472" s="2432" t="s">
        <v>1277</v>
      </c>
      <c r="D472" s="1071" t="s">
        <v>1641</v>
      </c>
      <c r="E472" s="310">
        <v>2300</v>
      </c>
      <c r="F472" s="308">
        <v>90</v>
      </c>
      <c r="G472" s="310">
        <v>90</v>
      </c>
      <c r="H472" s="504">
        <f t="shared" si="73"/>
        <v>100</v>
      </c>
    </row>
    <row r="473" spans="1:8" s="1682" customFormat="1" ht="16.5" x14ac:dyDescent="0.25">
      <c r="A473" s="2426">
        <v>4399</v>
      </c>
      <c r="B473" s="2427">
        <v>5339</v>
      </c>
      <c r="C473" s="2432" t="s">
        <v>1277</v>
      </c>
      <c r="D473" s="3262" t="s">
        <v>1858</v>
      </c>
      <c r="E473" s="310">
        <v>0</v>
      </c>
      <c r="F473" s="310">
        <v>12</v>
      </c>
      <c r="G473" s="310">
        <v>12</v>
      </c>
      <c r="H473" s="1651">
        <f t="shared" si="73"/>
        <v>100</v>
      </c>
    </row>
    <row r="474" spans="1:8" s="1682" customFormat="1" ht="17.25" thickBot="1" x14ac:dyDescent="0.3">
      <c r="A474" s="2428"/>
      <c r="B474" s="2429"/>
      <c r="C474" s="2784"/>
      <c r="D474" s="3263"/>
      <c r="E474" s="310"/>
      <c r="F474" s="426"/>
      <c r="G474" s="426"/>
      <c r="H474" s="2481"/>
    </row>
    <row r="475" spans="1:8" s="1682" customFormat="1" ht="19.5" thickTop="1" thickBot="1" x14ac:dyDescent="0.3">
      <c r="A475" s="578" t="s">
        <v>1279</v>
      </c>
      <c r="B475" s="744"/>
      <c r="C475" s="580"/>
      <c r="D475" s="581"/>
      <c r="E475" s="582">
        <f>SUM(E467:E473)</f>
        <v>2300</v>
      </c>
      <c r="F475" s="582">
        <f t="shared" ref="F475:G475" si="74">SUM(F467:F473)</f>
        <v>2300</v>
      </c>
      <c r="G475" s="582">
        <f t="shared" si="74"/>
        <v>2290</v>
      </c>
      <c r="H475" s="783">
        <f>(G475/F475)*100</f>
        <v>99.565217391304344</v>
      </c>
    </row>
    <row r="476" spans="1:8" s="1682" customFormat="1" ht="17.25" thickTop="1" x14ac:dyDescent="0.25">
      <c r="A476" s="1701"/>
      <c r="B476" s="2455"/>
      <c r="C476" s="2455"/>
      <c r="D476" s="2455"/>
      <c r="E476" s="1770"/>
      <c r="F476" s="1770"/>
      <c r="G476" s="1770"/>
      <c r="H476" s="1769"/>
    </row>
    <row r="477" spans="1:8" s="1682" customFormat="1" ht="16.5" x14ac:dyDescent="0.25">
      <c r="A477" s="3182" t="s">
        <v>1293</v>
      </c>
      <c r="B477" s="3182"/>
      <c r="C477" s="3182"/>
      <c r="D477" s="3182"/>
      <c r="E477" s="3182"/>
      <c r="F477" s="3182"/>
      <c r="G477" s="3182"/>
      <c r="H477" s="3182"/>
    </row>
    <row r="478" spans="1:8" s="1682" customFormat="1" ht="17.25" thickBot="1" x14ac:dyDescent="0.3">
      <c r="A478" s="33"/>
      <c r="B478" s="570"/>
      <c r="C478" s="571"/>
      <c r="D478" s="372"/>
      <c r="E478" s="373"/>
      <c r="F478" s="560"/>
      <c r="G478" s="373"/>
      <c r="H478" s="1568" t="s">
        <v>92</v>
      </c>
    </row>
    <row r="479" spans="1:8" s="1682" customFormat="1" ht="18" thickTop="1" thickBot="1" x14ac:dyDescent="0.3">
      <c r="A479" s="572" t="s">
        <v>93</v>
      </c>
      <c r="B479" s="573" t="s">
        <v>94</v>
      </c>
      <c r="C479" s="575" t="s">
        <v>364</v>
      </c>
      <c r="D479" s="639" t="s">
        <v>95</v>
      </c>
      <c r="E479" s="639" t="s">
        <v>328</v>
      </c>
      <c r="F479" s="639" t="s">
        <v>329</v>
      </c>
      <c r="G479" s="639" t="s">
        <v>448</v>
      </c>
      <c r="H479" s="576" t="s">
        <v>449</v>
      </c>
    </row>
    <row r="480" spans="1:8" s="1682" customFormat="1" ht="18" thickTop="1" thickBot="1" x14ac:dyDescent="0.3">
      <c r="A480" s="511">
        <v>1</v>
      </c>
      <c r="B480" s="512">
        <v>2</v>
      </c>
      <c r="C480" s="512">
        <v>3</v>
      </c>
      <c r="D480" s="512">
        <v>4</v>
      </c>
      <c r="E480" s="512">
        <v>5</v>
      </c>
      <c r="F480" s="499">
        <v>6</v>
      </c>
      <c r="G480" s="499">
        <v>7</v>
      </c>
      <c r="H480" s="577" t="s">
        <v>33</v>
      </c>
    </row>
    <row r="481" spans="1:17" s="1682" customFormat="1" ht="17.25" thickTop="1" x14ac:dyDescent="0.25">
      <c r="A481" s="2426">
        <v>4349</v>
      </c>
      <c r="B481" s="2492">
        <v>5221</v>
      </c>
      <c r="C481" s="2432" t="s">
        <v>1280</v>
      </c>
      <c r="D481" s="3257" t="s">
        <v>1613</v>
      </c>
      <c r="E481" s="310">
        <v>0</v>
      </c>
      <c r="F481" s="308">
        <v>5539</v>
      </c>
      <c r="G481" s="310">
        <v>5539</v>
      </c>
      <c r="H481" s="504">
        <f t="shared" ref="H481:H485" si="75">(G481/F481)*100</f>
        <v>100</v>
      </c>
    </row>
    <row r="482" spans="1:17" s="1682" customFormat="1" ht="16.5" x14ac:dyDescent="0.25">
      <c r="A482" s="2426"/>
      <c r="B482" s="2492"/>
      <c r="C482" s="2432"/>
      <c r="D482" s="3257"/>
      <c r="E482" s="310"/>
      <c r="F482" s="308"/>
      <c r="G482" s="310"/>
      <c r="H482" s="504"/>
    </row>
    <row r="483" spans="1:17" s="1682" customFormat="1" ht="16.5" x14ac:dyDescent="0.25">
      <c r="A483" s="2426">
        <v>4349</v>
      </c>
      <c r="B483" s="2492">
        <v>5222</v>
      </c>
      <c r="C483" s="2432" t="s">
        <v>1280</v>
      </c>
      <c r="D483" s="2467" t="s">
        <v>800</v>
      </c>
      <c r="E483" s="310">
        <v>0</v>
      </c>
      <c r="F483" s="308">
        <v>4360</v>
      </c>
      <c r="G483" s="310">
        <v>4360</v>
      </c>
      <c r="H483" s="504">
        <f t="shared" si="75"/>
        <v>100</v>
      </c>
    </row>
    <row r="484" spans="1:17" s="1682" customFormat="1" ht="16.5" x14ac:dyDescent="0.25">
      <c r="A484" s="2426">
        <v>4349</v>
      </c>
      <c r="B484" s="2492">
        <v>5223</v>
      </c>
      <c r="C484" s="2432" t="s">
        <v>1280</v>
      </c>
      <c r="D484" s="1071" t="s">
        <v>1246</v>
      </c>
      <c r="E484" s="310">
        <v>0</v>
      </c>
      <c r="F484" s="308">
        <v>9277</v>
      </c>
      <c r="G484" s="310">
        <v>9277</v>
      </c>
      <c r="H484" s="504">
        <f t="shared" si="75"/>
        <v>100</v>
      </c>
    </row>
    <row r="485" spans="1:17" s="1682" customFormat="1" ht="17.25" thickBot="1" x14ac:dyDescent="0.3">
      <c r="A485" s="2426">
        <v>4349</v>
      </c>
      <c r="B485" s="2492">
        <v>5229</v>
      </c>
      <c r="C485" s="2432" t="s">
        <v>1280</v>
      </c>
      <c r="D485" s="1071" t="s">
        <v>1641</v>
      </c>
      <c r="E485" s="310">
        <v>20000</v>
      </c>
      <c r="F485" s="308">
        <v>824</v>
      </c>
      <c r="G485" s="310">
        <v>824</v>
      </c>
      <c r="H485" s="504">
        <f t="shared" si="75"/>
        <v>100</v>
      </c>
    </row>
    <row r="486" spans="1:17" s="1682" customFormat="1" ht="19.5" thickTop="1" thickBot="1" x14ac:dyDescent="0.3">
      <c r="A486" s="578" t="s">
        <v>1278</v>
      </c>
      <c r="B486" s="744"/>
      <c r="C486" s="580"/>
      <c r="D486" s="581"/>
      <c r="E486" s="582">
        <f>SUM(E481:E485)</f>
        <v>20000</v>
      </c>
      <c r="F486" s="582">
        <f>SUM(F481:F485)</f>
        <v>20000</v>
      </c>
      <c r="G486" s="582">
        <f>SUM(G481:G485)</f>
        <v>20000</v>
      </c>
      <c r="H486" s="783">
        <f>(G486/F486)*100</f>
        <v>100</v>
      </c>
    </row>
    <row r="487" spans="1:17" s="1682" customFormat="1" ht="17.25" thickTop="1" x14ac:dyDescent="0.25">
      <c r="A487" s="1701"/>
      <c r="B487" s="2455"/>
      <c r="C487" s="2455"/>
      <c r="D487" s="2455"/>
      <c r="E487" s="1770"/>
      <c r="F487" s="1770"/>
      <c r="G487" s="1770"/>
      <c r="H487" s="1769"/>
      <c r="N487" s="372" t="s">
        <v>1512</v>
      </c>
      <c r="O487" s="373">
        <f>E485+E484+E483+E481+E473+E472+E471+E470+E468+E467+E459+E458+E457+E448+E447+E446+E444+E434+E425+E423+E421+E420+E419+E424+E433+E435+E455+E456+E460</f>
        <v>25450</v>
      </c>
      <c r="P487" s="373">
        <f t="shared" ref="P487:Q487" si="76">F485+F484+F483+F481+F473+F472+F471+F470+F468+F467+F459+F458+F457+F448+F447+F446+F444+F434+F425+F423+F421+F420+F419+F424+F433+F435+F455+F456+F460</f>
        <v>25338</v>
      </c>
      <c r="Q487" s="373">
        <f t="shared" si="76"/>
        <v>25328</v>
      </c>
    </row>
    <row r="488" spans="1:17" s="1682" customFormat="1" ht="17.25" thickBot="1" x14ac:dyDescent="0.3">
      <c r="A488" s="1701"/>
      <c r="B488" s="2455"/>
      <c r="C488" s="2455"/>
      <c r="D488" s="2455"/>
      <c r="E488" s="1770"/>
      <c r="F488" s="1770"/>
      <c r="G488" s="1770"/>
      <c r="H488" s="1769"/>
      <c r="N488" s="372" t="s">
        <v>1511</v>
      </c>
      <c r="O488" s="373">
        <f>E436+E426+E437</f>
        <v>0</v>
      </c>
      <c r="P488" s="373">
        <f t="shared" ref="P488:Q488" si="77">F436+F426+F437</f>
        <v>1710</v>
      </c>
      <c r="Q488" s="373">
        <f t="shared" si="77"/>
        <v>1697</v>
      </c>
    </row>
    <row r="489" spans="1:17" s="1682" customFormat="1" ht="19.5" thickTop="1" thickBot="1" x14ac:dyDescent="0.3">
      <c r="A489" s="578" t="s">
        <v>1152</v>
      </c>
      <c r="B489" s="744"/>
      <c r="C489" s="580"/>
      <c r="D489" s="581"/>
      <c r="E489" s="582">
        <f>E486+E475+E461+E449+E438+E427</f>
        <v>25450</v>
      </c>
      <c r="F489" s="582">
        <f t="shared" ref="F489:G489" si="78">F486+F475+F461+F449+F438+F427</f>
        <v>27048</v>
      </c>
      <c r="G489" s="582">
        <f t="shared" si="78"/>
        <v>27025</v>
      </c>
      <c r="H489" s="783">
        <f>(G489/F489)*100</f>
        <v>99.914965986394549</v>
      </c>
      <c r="J489" s="1688">
        <v>25450000</v>
      </c>
      <c r="K489" s="1688">
        <v>27048000</v>
      </c>
      <c r="L489" s="1688">
        <v>27024848</v>
      </c>
      <c r="N489" s="372"/>
      <c r="O489" s="526">
        <f>SUM(O487:O488)</f>
        <v>25450</v>
      </c>
      <c r="P489" s="526">
        <f t="shared" ref="P489:Q489" si="79">SUM(P487:P488)</f>
        <v>27048</v>
      </c>
      <c r="Q489" s="526">
        <f t="shared" si="79"/>
        <v>27025</v>
      </c>
    </row>
    <row r="490" spans="1:17" s="1682" customFormat="1" ht="17.25" thickTop="1" x14ac:dyDescent="0.25">
      <c r="A490" s="1701"/>
      <c r="B490" s="2455"/>
      <c r="C490" s="2455"/>
      <c r="D490" s="2455"/>
      <c r="E490" s="1770"/>
      <c r="F490" s="1770"/>
      <c r="G490" s="1770"/>
      <c r="H490" s="1769"/>
    </row>
    <row r="491" spans="1:17" s="1682" customFormat="1" ht="16.5" customHeight="1" x14ac:dyDescent="0.25">
      <c r="A491" s="1705"/>
      <c r="B491" s="1704"/>
      <c r="C491" s="1704"/>
      <c r="D491" s="1704"/>
      <c r="E491" s="1706"/>
      <c r="F491" s="1706"/>
      <c r="G491" s="1706"/>
      <c r="H491" s="1703"/>
      <c r="J491" s="1702"/>
      <c r="K491" s="1702"/>
      <c r="L491" s="1702"/>
    </row>
    <row r="492" spans="1:17" s="1682" customFormat="1" ht="16.5" x14ac:dyDescent="0.25">
      <c r="A492" s="1705"/>
      <c r="B492" s="1704"/>
      <c r="C492" s="1704"/>
      <c r="D492" s="1704"/>
      <c r="E492" s="1706"/>
      <c r="F492" s="1706"/>
      <c r="G492" s="1706"/>
      <c r="H492" s="1703"/>
      <c r="J492" s="1702"/>
      <c r="K492" s="1702"/>
      <c r="L492" s="1702"/>
    </row>
    <row r="493" spans="1:17" s="1682" customFormat="1" ht="16.5" x14ac:dyDescent="0.25">
      <c r="A493" s="1705"/>
      <c r="B493" s="1704"/>
      <c r="C493" s="1704"/>
      <c r="D493" s="1704"/>
      <c r="E493" s="1706"/>
      <c r="F493" s="1706"/>
      <c r="G493" s="1706"/>
      <c r="H493" s="1703"/>
      <c r="J493" s="1702"/>
      <c r="K493" s="1702"/>
      <c r="L493" s="1702"/>
    </row>
    <row r="494" spans="1:17" s="1682" customFormat="1" ht="16.5" x14ac:dyDescent="0.25">
      <c r="A494" s="1705"/>
      <c r="B494" s="1704"/>
      <c r="C494" s="1704"/>
      <c r="D494" s="1704"/>
      <c r="E494" s="1690"/>
      <c r="F494" s="1690"/>
      <c r="G494" s="1690"/>
      <c r="H494" s="1703"/>
      <c r="J494" s="1702"/>
      <c r="K494" s="1002"/>
      <c r="L494" s="1002"/>
      <c r="M494" s="997"/>
    </row>
    <row r="495" spans="1:17" s="1687" customFormat="1" ht="15.75" customHeight="1" x14ac:dyDescent="0.25">
      <c r="A495" s="1701" t="s">
        <v>539</v>
      </c>
      <c r="B495" s="1700"/>
      <c r="C495" s="1699"/>
      <c r="D495" s="1698"/>
      <c r="E495" s="1690">
        <f>E496+E497+E498+E499</f>
        <v>1571</v>
      </c>
      <c r="F495" s="1690">
        <f>F496+F497+F498+F499</f>
        <v>424203</v>
      </c>
      <c r="G495" s="1690">
        <f>G496+G497+G498+G499+G500</f>
        <v>422031</v>
      </c>
      <c r="H495" s="1689">
        <f>(G495/F495)*100</f>
        <v>99.487980990233453</v>
      </c>
      <c r="J495" s="1688">
        <f>J496+J497+J498+J499+J500</f>
        <v>1571000</v>
      </c>
      <c r="K495" s="1688">
        <f>K496+K497+K498+K499+K500</f>
        <v>424202480</v>
      </c>
      <c r="L495" s="1688">
        <f>L496+L497+L498+L499+L500</f>
        <v>422031500.56999999</v>
      </c>
    </row>
    <row r="496" spans="1:17" s="1682" customFormat="1" ht="15.75" customHeight="1" x14ac:dyDescent="0.25">
      <c r="A496" s="1011" t="s">
        <v>147</v>
      </c>
      <c r="B496" s="1013"/>
      <c r="C496" s="1009"/>
      <c r="D496" s="1154"/>
      <c r="E496" s="1686">
        <f>E15+E16+E18+E21+E22+E24+E25+E35+E37+E40+E42+E43+E46+E66+E67+E68+E27</f>
        <v>1571</v>
      </c>
      <c r="F496" s="1686">
        <f>F15+F16+F18+F21+F22+F24+F25+F35+F37+F40+F42+F43+F46+F66+F67+F68+F27+F47</f>
        <v>1767</v>
      </c>
      <c r="G496" s="1686">
        <f>G15+G16+G18+G21+G22+G24+G25+G35+G37+G40+G42+G43+G46+G66+G67+G68+G27+G47</f>
        <v>1535</v>
      </c>
      <c r="H496" s="1685">
        <f>(G496/F496)*100</f>
        <v>86.870401810979061</v>
      </c>
      <c r="J496" s="1218">
        <v>1571000</v>
      </c>
      <c r="K496" s="1218">
        <f>K15+K16+K18+K21+K24+K25+K35+K37+K40+K42+K43+K46+K47+K66+K67+K68++K27</f>
        <v>1767000</v>
      </c>
      <c r="L496" s="1218">
        <f>L15+L16+L18+L21+L24+L25+L35+L37+L40+L42+L43+L46+L47+L66+L67+L68++L27</f>
        <v>1535131.57</v>
      </c>
    </row>
    <row r="497" spans="1:19" s="1682" customFormat="1" ht="15.75" customHeight="1" x14ac:dyDescent="0.25">
      <c r="A497" s="1011" t="s">
        <v>148</v>
      </c>
      <c r="B497" s="1010"/>
      <c r="C497" s="1009"/>
      <c r="D497" s="1156"/>
      <c r="E497" s="1686">
        <v>0</v>
      </c>
      <c r="F497" s="1686">
        <v>0</v>
      </c>
      <c r="G497" s="1686">
        <v>0</v>
      </c>
      <c r="H497" s="1685">
        <v>0</v>
      </c>
      <c r="J497" s="1218">
        <v>0</v>
      </c>
      <c r="K497" s="1218">
        <v>0</v>
      </c>
      <c r="L497" s="1218">
        <v>0</v>
      </c>
      <c r="M497" s="1697"/>
    </row>
    <row r="498" spans="1:19" s="1682" customFormat="1" ht="15.75" customHeight="1" x14ac:dyDescent="0.25">
      <c r="A498" s="1011" t="s">
        <v>119</v>
      </c>
      <c r="B498" s="1010"/>
      <c r="C498" s="1009"/>
      <c r="D498" s="1156"/>
      <c r="E498" s="1686">
        <f>E13+E19+E26+E29+E31+E33+E44+E48+E50+E53+E55+E57+E59+E61+E63+E65</f>
        <v>0</v>
      </c>
      <c r="F498" s="1686">
        <f>F13+F19+F26+F29+F31+F33+F44+F48+F50+F53+F55+F57+F59+F61+F63+F65</f>
        <v>422436</v>
      </c>
      <c r="G498" s="1686">
        <f t="shared" ref="G498" si="80">G13+G19+G26+G29+G31+G33+G44+G48+G50+G53+G55+G57+G59+G61+G63+G65</f>
        <v>420496</v>
      </c>
      <c r="H498" s="1685">
        <f>(G498/F498)*100</f>
        <v>99.540758836841562</v>
      </c>
      <c r="J498" s="1218">
        <v>0</v>
      </c>
      <c r="K498" s="1218">
        <f>K65+K63+K61+K59+K57+K55+K53+K50+K44+K31+K29+K26+K19+K13+K33+K48</f>
        <v>422435480</v>
      </c>
      <c r="L498" s="1218">
        <f>L65+L63+L61+L59+L57+L55+L53+L50+L44+L31+L29+L26+L19+L13+L33+L48</f>
        <v>420496369</v>
      </c>
      <c r="N498" s="1218"/>
      <c r="O498" s="1218"/>
    </row>
    <row r="499" spans="1:19" s="1682" customFormat="1" ht="15.75" customHeight="1" x14ac:dyDescent="0.25">
      <c r="A499" s="1011" t="s">
        <v>537</v>
      </c>
      <c r="B499" s="1010"/>
      <c r="C499" s="1009"/>
      <c r="D499" s="1156"/>
      <c r="E499" s="1686">
        <v>0</v>
      </c>
      <c r="F499" s="1686">
        <v>0</v>
      </c>
      <c r="G499" s="1686">
        <v>0</v>
      </c>
      <c r="H499" s="1685">
        <v>0</v>
      </c>
      <c r="J499" s="1218">
        <v>0</v>
      </c>
      <c r="K499" s="1218">
        <v>0</v>
      </c>
      <c r="L499" s="1218">
        <v>0</v>
      </c>
    </row>
    <row r="500" spans="1:19" s="1682" customFormat="1" ht="15.75" customHeight="1" x14ac:dyDescent="0.25">
      <c r="A500" s="1011" t="s">
        <v>252</v>
      </c>
      <c r="B500" s="1010"/>
      <c r="C500" s="1009"/>
      <c r="D500" s="1156"/>
      <c r="E500" s="1686">
        <v>0</v>
      </c>
      <c r="F500" s="1686">
        <v>0</v>
      </c>
      <c r="G500" s="1686">
        <v>0</v>
      </c>
      <c r="H500" s="1685">
        <v>0</v>
      </c>
      <c r="J500" s="1218">
        <v>0</v>
      </c>
      <c r="K500" s="1218">
        <v>0</v>
      </c>
      <c r="L500" s="1218">
        <v>0</v>
      </c>
    </row>
    <row r="501" spans="1:19" s="1682" customFormat="1" ht="15.75" customHeight="1" x14ac:dyDescent="0.25">
      <c r="A501" s="1011"/>
      <c r="B501" s="1010"/>
      <c r="C501" s="1009"/>
      <c r="D501" s="1156"/>
      <c r="E501" s="1696"/>
      <c r="F501" s="1696"/>
      <c r="G501" s="1696"/>
      <c r="H501" s="1695"/>
    </row>
    <row r="502" spans="1:19" s="1687" customFormat="1" ht="15.75" customHeight="1" x14ac:dyDescent="0.25">
      <c r="A502" s="1694" t="s">
        <v>149</v>
      </c>
      <c r="B502" s="1693"/>
      <c r="C502" s="1692"/>
      <c r="D502" s="1691"/>
      <c r="E502" s="1690">
        <f>E503+E504+E505+E506</f>
        <v>188</v>
      </c>
      <c r="F502" s="1690">
        <f>F503+F504+F505+F506</f>
        <v>429200</v>
      </c>
      <c r="G502" s="1690">
        <f>G503+G504+G505+G506</f>
        <v>429141</v>
      </c>
      <c r="H502" s="1689">
        <f>(G502/F502)*100</f>
        <v>99.986253494874191</v>
      </c>
      <c r="J502" s="1688">
        <f>J503+J504+J505+J506</f>
        <v>188000</v>
      </c>
      <c r="K502" s="1688">
        <f>K503+K504+K505+K506</f>
        <v>429200314.54000002</v>
      </c>
      <c r="L502" s="1688">
        <f>L503+L504+L505+L506</f>
        <v>429141115.16000003</v>
      </c>
    </row>
    <row r="503" spans="1:19" s="1682" customFormat="1" ht="15.75" customHeight="1" x14ac:dyDescent="0.25">
      <c r="A503" s="1011" t="s">
        <v>946</v>
      </c>
      <c r="B503" s="1010"/>
      <c r="C503" s="1009"/>
      <c r="D503" s="1156"/>
      <c r="E503" s="1686">
        <f>E146+E148+E155+E229+E231+E257+E259+E384+E401+E386+E403</f>
        <v>188</v>
      </c>
      <c r="F503" s="1686">
        <f>F146+F148+F229+F231+F257+F259+F384+F401+F386</f>
        <v>180</v>
      </c>
      <c r="G503" s="1686">
        <f>G146+G148+G229+G231+G257+G259+G384+G401+G386</f>
        <v>121</v>
      </c>
      <c r="H503" s="1685">
        <f>(G503/F503)*100</f>
        <v>67.222222222222229</v>
      </c>
      <c r="J503" s="1218">
        <v>188000</v>
      </c>
      <c r="K503" s="1218">
        <v>180283.83</v>
      </c>
      <c r="L503" s="1218">
        <v>121084.45</v>
      </c>
      <c r="M503" s="1155"/>
      <c r="N503" s="1012"/>
      <c r="O503" s="1012"/>
      <c r="P503" s="1012"/>
      <c r="Q503" s="1012"/>
      <c r="R503" s="1012"/>
      <c r="S503" s="1012">
        <f>SUM(S84:S408)</f>
        <v>0</v>
      </c>
    </row>
    <row r="504" spans="1:19" s="1682" customFormat="1" ht="15.75" customHeight="1" x14ac:dyDescent="0.25">
      <c r="A504" s="1011" t="s">
        <v>945</v>
      </c>
      <c r="B504" s="1010"/>
      <c r="C504" s="1009"/>
      <c r="D504" s="1156"/>
      <c r="E504" s="1686">
        <f>E154</f>
        <v>0</v>
      </c>
      <c r="F504" s="1686">
        <f t="shared" ref="F504:G504" si="81">F154</f>
        <v>8</v>
      </c>
      <c r="G504" s="1686">
        <f t="shared" si="81"/>
        <v>8</v>
      </c>
      <c r="H504" s="1685">
        <f>(G504/F504)*100</f>
        <v>100</v>
      </c>
      <c r="J504" s="1218">
        <v>0</v>
      </c>
      <c r="K504" s="1218">
        <v>7716.17</v>
      </c>
      <c r="L504" s="1218">
        <v>7716.17</v>
      </c>
      <c r="M504" s="1683"/>
    </row>
    <row r="505" spans="1:19" s="1682" customFormat="1" ht="15.75" customHeight="1" x14ac:dyDescent="0.25">
      <c r="A505" s="1011" t="s">
        <v>1064</v>
      </c>
      <c r="B505" s="1677"/>
      <c r="C505" s="1676"/>
      <c r="D505" s="997"/>
      <c r="E505" s="1686">
        <f>E79+E90+E101+E113+E124+E135+E149+E150+E152+E157+E158+E169+E171+E182+E193+E204+E215+E218+E232+E233+E235+E246+E260+E262++E261+E274+E285+E296+E307+E318+E329+E340+E351+E362+E373+E387+E388+E390+E404+E405+E407</f>
        <v>0</v>
      </c>
      <c r="F505" s="1686">
        <f>F79+F90+F101+F113+F124+F135+F149+F150+F152+F157+F158+F169+F171+F182+F193+F204+F215+F218+F232+F233+F235+F246+F260+F262++F261+F274+F285+F296+F307+F318+F329+F340+F351+F362+F373+F387+F388+F390+F404+F405+F407</f>
        <v>429012</v>
      </c>
      <c r="G505" s="1686">
        <f>G79+G90+G101+G113+G124+G135+G149+G150+G152+G157+G158+G169+G171+G182+G193+G204+G215+G218+G232+G233+G235+G246+G260+G262++G261+G274+G285+G296+G307+G318+G329+G340+G351+G362+G373+G387+G388+G390+G404+G405+G407</f>
        <v>429012</v>
      </c>
      <c r="H505" s="1685">
        <f>(G505/F505)*100</f>
        <v>100</v>
      </c>
      <c r="J505" s="1218">
        <v>0</v>
      </c>
      <c r="K505" s="1218">
        <v>429012314.54000002</v>
      </c>
      <c r="L505" s="1218">
        <v>429012314.54000002</v>
      </c>
      <c r="M505" s="1683"/>
    </row>
    <row r="506" spans="1:19" s="1682" customFormat="1" ht="15.75" customHeight="1" x14ac:dyDescent="0.25">
      <c r="A506" s="1011" t="s">
        <v>1065</v>
      </c>
      <c r="B506" s="1677"/>
      <c r="C506" s="1676"/>
      <c r="D506" s="997"/>
      <c r="E506" s="1686">
        <v>0</v>
      </c>
      <c r="F506" s="1686">
        <f>F156</f>
        <v>0</v>
      </c>
      <c r="G506" s="1686">
        <f>G156</f>
        <v>0</v>
      </c>
      <c r="H506" s="1685">
        <v>0</v>
      </c>
      <c r="J506" s="1684">
        <v>0</v>
      </c>
      <c r="K506" s="1218">
        <v>0</v>
      </c>
      <c r="L506" s="1218">
        <v>0</v>
      </c>
      <c r="M506" s="1683"/>
    </row>
    <row r="507" spans="1:19" s="1682" customFormat="1" ht="15.75" customHeight="1" x14ac:dyDescent="0.25">
      <c r="A507" s="1011"/>
      <c r="B507" s="1677"/>
      <c r="C507" s="1676"/>
      <c r="D507" s="997"/>
      <c r="E507" s="1686"/>
      <c r="F507" s="1686"/>
      <c r="G507" s="1686"/>
      <c r="H507" s="1685"/>
      <c r="J507" s="1684"/>
      <c r="K507" s="1218"/>
      <c r="L507" s="1218"/>
      <c r="M507" s="1683"/>
    </row>
    <row r="508" spans="1:19" s="1682" customFormat="1" ht="15.75" customHeight="1" x14ac:dyDescent="0.25">
      <c r="A508" s="732" t="s">
        <v>1151</v>
      </c>
      <c r="B508" s="936"/>
      <c r="C508" s="935"/>
      <c r="D508" s="935"/>
      <c r="E508" s="526">
        <f>E489</f>
        <v>25450</v>
      </c>
      <c r="F508" s="526">
        <f t="shared" ref="F508:G508" si="82">F489</f>
        <v>27048</v>
      </c>
      <c r="G508" s="526">
        <f t="shared" si="82"/>
        <v>27025</v>
      </c>
      <c r="H508" s="641">
        <f>(G508/F508)*100</f>
        <v>99.914965986394549</v>
      </c>
      <c r="J508" s="1688">
        <f>J489</f>
        <v>25450000</v>
      </c>
      <c r="K508" s="1688">
        <f t="shared" ref="K508:L508" si="83">K489</f>
        <v>27048000</v>
      </c>
      <c r="L508" s="1688">
        <f t="shared" si="83"/>
        <v>27024848</v>
      </c>
      <c r="M508" s="1683"/>
    </row>
    <row r="509" spans="1:19" s="1154" customFormat="1" ht="15" x14ac:dyDescent="0.2">
      <c r="A509" s="1013"/>
      <c r="B509" s="1013"/>
      <c r="C509" s="1676"/>
      <c r="E509" s="1675"/>
      <c r="F509" s="1675"/>
      <c r="G509" s="1675"/>
      <c r="H509" s="1674"/>
      <c r="J509" s="1012"/>
      <c r="K509" s="1012"/>
    </row>
    <row r="510" spans="1:19" s="1678" customFormat="1" ht="47.25" customHeight="1" thickBot="1" x14ac:dyDescent="0.35">
      <c r="A510" s="3255" t="s">
        <v>597</v>
      </c>
      <c r="B510" s="3256"/>
      <c r="C510" s="3256"/>
      <c r="D510" s="3256"/>
      <c r="E510" s="1681">
        <f>SUM(E495,E502,E508)</f>
        <v>27209</v>
      </c>
      <c r="F510" s="1681">
        <f t="shared" ref="F510:G510" si="84">SUM(F495,F502,F508)</f>
        <v>880451</v>
      </c>
      <c r="G510" s="1681">
        <f t="shared" si="84"/>
        <v>878197</v>
      </c>
      <c r="H510" s="1680">
        <f>(G510/F510)*100</f>
        <v>99.74399483900865</v>
      </c>
      <c r="J510" s="1679">
        <f>J495+J502+J508</f>
        <v>27209000</v>
      </c>
      <c r="K510" s="1679">
        <f t="shared" ref="K510" si="85">K495+K502+K508</f>
        <v>880450794.53999996</v>
      </c>
      <c r="L510" s="1679">
        <f>L495+L502+L508</f>
        <v>878197463.73000002</v>
      </c>
    </row>
    <row r="511" spans="1:19" ht="15" thickTop="1" x14ac:dyDescent="0.2"/>
    <row r="513" spans="10:12" x14ac:dyDescent="0.2">
      <c r="K513" s="1218">
        <f>732869542.44-K510</f>
        <v>-147581252.0999999</v>
      </c>
    </row>
    <row r="515" spans="10:12" x14ac:dyDescent="0.2">
      <c r="J515" s="1002"/>
      <c r="K515" s="1002"/>
      <c r="L515" s="1002"/>
    </row>
  </sheetData>
  <mergeCells count="17">
    <mergeCell ref="D13:D14"/>
    <mergeCell ref="D38:D39"/>
    <mergeCell ref="D481:D482"/>
    <mergeCell ref="D473:D474"/>
    <mergeCell ref="A510:D510"/>
    <mergeCell ref="D51:D52"/>
    <mergeCell ref="D215:D216"/>
    <mergeCell ref="A414:H414"/>
    <mergeCell ref="A415:H415"/>
    <mergeCell ref="A429:H429"/>
    <mergeCell ref="A440:H440"/>
    <mergeCell ref="A451:H451"/>
    <mergeCell ref="A463:H463"/>
    <mergeCell ref="A477:H477"/>
    <mergeCell ref="D421:D422"/>
    <mergeCell ref="D444:D445"/>
    <mergeCell ref="D468:D469"/>
  </mergeCells>
  <pageMargins left="0.98425196850393704" right="0.98425196850393704" top="0.98425196850393704" bottom="0.98425196850393704" header="0.51181102362204722" footer="0.51181102362204722"/>
  <pageSetup paperSize="9" scale="65" firstPageNumber="76" orientation="portrait" useFirstPageNumber="1" r:id="rId1"/>
  <headerFooter alignWithMargins="0">
    <oddFooter>&amp;L&amp;"Arial,Kurzíva"Zastupitelstvo Olomouckého kraje 25. 6. 2018
5. - Rozpočet Olomouckého kraje 2017 - závěrečný  účet 
Příloha č. 3: Plnění rozpočtu výdajů Olomouckého kraje k 31. 12. 2017&amp;R&amp;"Arial,Kurzíva"Strana &amp;P (celkem 478)</oddFooter>
  </headerFooter>
  <rowBreaks count="8" manualBreakCount="8">
    <brk id="69" max="7" man="1"/>
    <brk id="129" max="7" man="1"/>
    <brk id="187" max="7" man="1"/>
    <brk id="249" max="7" man="1"/>
    <brk id="310" max="7" man="1"/>
    <brk id="367" max="7" man="1"/>
    <brk id="413" max="7" man="1"/>
    <brk id="461" max="7" man="1"/>
  </rowBreaks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FF"/>
  </sheetPr>
  <dimension ref="A1:U125"/>
  <sheetViews>
    <sheetView showGridLines="0" view="pageBreakPreview" zoomScaleNormal="100" zoomScaleSheetLayoutView="100" workbookViewId="0">
      <selection activeCell="H1" sqref="H1"/>
    </sheetView>
  </sheetViews>
  <sheetFormatPr defaultColWidth="9.140625" defaultRowHeight="12.75" x14ac:dyDescent="0.2"/>
  <cols>
    <col min="1" max="1" width="5" style="1829" customWidth="1"/>
    <col min="2" max="2" width="5" style="997" bestFit="1" customWidth="1"/>
    <col min="3" max="3" width="9.5703125" style="1828" customWidth="1"/>
    <col min="4" max="4" width="46.5703125" style="997" customWidth="1"/>
    <col min="5" max="5" width="14.5703125" style="1002" customWidth="1"/>
    <col min="6" max="6" width="14.28515625" style="1002" customWidth="1"/>
    <col min="7" max="7" width="15.28515625" style="1002" customWidth="1"/>
    <col min="8" max="8" width="8.28515625" style="1753" bestFit="1" customWidth="1"/>
    <col min="9" max="9" width="9.140625" style="997"/>
    <col min="10" max="10" width="28.140625" style="997" bestFit="1" customWidth="1"/>
    <col min="11" max="11" width="16.28515625" style="997" customWidth="1"/>
    <col min="12" max="12" width="16.140625" style="997" customWidth="1"/>
    <col min="13" max="13" width="9.5703125" style="997" bestFit="1" customWidth="1"/>
    <col min="14" max="14" width="21.42578125" style="997" customWidth="1"/>
    <col min="15" max="15" width="16.7109375" style="997" customWidth="1"/>
    <col min="16" max="16384" width="9.140625" style="997"/>
  </cols>
  <sheetData>
    <row r="1" spans="1:21" ht="18.75" thickBot="1" x14ac:dyDescent="0.3">
      <c r="A1" s="1082" t="s">
        <v>479</v>
      </c>
      <c r="B1" s="1081"/>
      <c r="C1" s="1874"/>
      <c r="D1" s="1080"/>
      <c r="E1" s="1079"/>
      <c r="F1" s="1078" t="s">
        <v>480</v>
      </c>
      <c r="I1" s="1052"/>
    </row>
    <row r="2" spans="1:21" ht="12.75" customHeight="1" x14ac:dyDescent="0.25">
      <c r="A2" s="1075"/>
      <c r="B2" s="1056"/>
      <c r="C2" s="1873"/>
      <c r="D2" s="1074"/>
      <c r="E2" s="1053"/>
      <c r="F2" s="1053"/>
      <c r="G2" s="1662"/>
      <c r="H2" s="1866"/>
      <c r="I2" s="1052"/>
    </row>
    <row r="3" spans="1:21" ht="12.75" customHeight="1" x14ac:dyDescent="0.25">
      <c r="A3" s="1077" t="s">
        <v>201</v>
      </c>
      <c r="B3" s="1056"/>
      <c r="C3" s="1096" t="s">
        <v>948</v>
      </c>
      <c r="D3" s="1076"/>
      <c r="E3" s="1053"/>
      <c r="F3" s="1662"/>
      <c r="G3" s="1052"/>
      <c r="H3" s="1866"/>
    </row>
    <row r="4" spans="1:21" ht="12.75" customHeight="1" x14ac:dyDescent="0.25">
      <c r="A4" s="1075"/>
      <c r="B4" s="1056"/>
      <c r="C4" s="1096" t="s">
        <v>772</v>
      </c>
      <c r="D4" s="1002"/>
      <c r="E4" s="1053"/>
      <c r="F4" s="1662"/>
      <c r="G4" s="1052"/>
      <c r="H4" s="1866"/>
    </row>
    <row r="5" spans="1:21" ht="12.75" customHeight="1" x14ac:dyDescent="0.25">
      <c r="A5" s="1075"/>
      <c r="B5" s="1056"/>
      <c r="C5" s="1096"/>
      <c r="D5" s="1002"/>
      <c r="E5" s="1053"/>
      <c r="F5" s="1662"/>
      <c r="G5" s="1052"/>
      <c r="H5" s="1866"/>
    </row>
    <row r="6" spans="1:21" ht="12.75" customHeight="1" x14ac:dyDescent="0.25">
      <c r="A6" s="1789" t="s">
        <v>450</v>
      </c>
      <c r="B6" s="1056"/>
      <c r="C6" s="1096"/>
      <c r="D6" s="1002"/>
      <c r="E6" s="1053"/>
      <c r="F6" s="1662"/>
      <c r="G6" s="1052"/>
      <c r="H6" s="1866"/>
    </row>
    <row r="7" spans="1:21" ht="13.5" thickBot="1" x14ac:dyDescent="0.25">
      <c r="A7" s="1050"/>
      <c r="B7" s="1050"/>
      <c r="C7" s="1872"/>
      <c r="D7" s="1070"/>
      <c r="G7" s="1048"/>
      <c r="H7" s="1753" t="s">
        <v>92</v>
      </c>
    </row>
    <row r="8" spans="1:21" s="1043" customFormat="1" ht="20.25" customHeight="1" thickTop="1" thickBot="1" x14ac:dyDescent="0.25">
      <c r="A8" s="1047" t="s">
        <v>93</v>
      </c>
      <c r="B8" s="1046" t="s">
        <v>94</v>
      </c>
      <c r="C8" s="1798" t="s">
        <v>364</v>
      </c>
      <c r="D8" s="1069" t="s">
        <v>95</v>
      </c>
      <c r="E8" s="1069" t="s">
        <v>328</v>
      </c>
      <c r="F8" s="1069" t="s">
        <v>329</v>
      </c>
      <c r="G8" s="1749" t="s">
        <v>448</v>
      </c>
      <c r="H8" s="1797" t="s">
        <v>449</v>
      </c>
    </row>
    <row r="9" spans="1:21" s="1037" customFormat="1" ht="13.5" thickTop="1" thickBot="1" x14ac:dyDescent="0.25">
      <c r="A9" s="1042">
        <v>1</v>
      </c>
      <c r="B9" s="1041">
        <v>2</v>
      </c>
      <c r="C9" s="1041">
        <v>3</v>
      </c>
      <c r="D9" s="1041">
        <v>4</v>
      </c>
      <c r="E9" s="1041">
        <v>5</v>
      </c>
      <c r="F9" s="1040">
        <v>6</v>
      </c>
      <c r="G9" s="1040">
        <v>7</v>
      </c>
      <c r="H9" s="1039" t="s">
        <v>33</v>
      </c>
      <c r="I9" s="1043"/>
    </row>
    <row r="10" spans="1:21" s="1037" customFormat="1" ht="15.75" thickTop="1" x14ac:dyDescent="0.25">
      <c r="A10" s="2609">
        <v>2212</v>
      </c>
      <c r="B10" s="2710">
        <v>5169</v>
      </c>
      <c r="C10" s="2521"/>
      <c r="D10" s="1071" t="s">
        <v>430</v>
      </c>
      <c r="E10" s="1065">
        <v>90</v>
      </c>
      <c r="F10" s="1065">
        <v>90</v>
      </c>
      <c r="G10" s="1065">
        <v>90</v>
      </c>
      <c r="H10" s="1886">
        <f t="shared" ref="H10:H19" si="0">G10/F10*100</f>
        <v>100</v>
      </c>
      <c r="I10" s="1043"/>
      <c r="K10" s="2459">
        <v>90000</v>
      </c>
      <c r="L10" s="2459">
        <v>90000</v>
      </c>
    </row>
    <row r="11" spans="1:21" s="1037" customFormat="1" ht="15" x14ac:dyDescent="0.25">
      <c r="A11" s="2609">
        <v>2223</v>
      </c>
      <c r="B11" s="2710">
        <v>5137</v>
      </c>
      <c r="C11" s="2521"/>
      <c r="D11" s="985" t="s">
        <v>88</v>
      </c>
      <c r="E11" s="1065">
        <v>0</v>
      </c>
      <c r="F11" s="1059">
        <v>21</v>
      </c>
      <c r="G11" s="1065">
        <v>20</v>
      </c>
      <c r="H11" s="1886">
        <f t="shared" si="0"/>
        <v>95.238095238095227</v>
      </c>
      <c r="I11" s="1043"/>
      <c r="K11" s="2459">
        <v>21000</v>
      </c>
      <c r="L11" s="2459">
        <v>20032</v>
      </c>
    </row>
    <row r="12" spans="1:21" s="1875" customFormat="1" ht="14.25" customHeight="1" x14ac:dyDescent="0.25">
      <c r="A12" s="2556">
        <v>2223</v>
      </c>
      <c r="B12" s="2557">
        <v>5166</v>
      </c>
      <c r="C12" s="2517"/>
      <c r="D12" s="1894" t="s">
        <v>317</v>
      </c>
      <c r="E12" s="1030">
        <v>120</v>
      </c>
      <c r="F12" s="1031">
        <v>99</v>
      </c>
      <c r="G12" s="1030">
        <v>0</v>
      </c>
      <c r="H12" s="1886">
        <f t="shared" si="0"/>
        <v>0</v>
      </c>
      <c r="I12" s="2487"/>
      <c r="J12" s="2487"/>
      <c r="K12" s="1936">
        <v>99000</v>
      </c>
      <c r="L12" s="1936">
        <v>0</v>
      </c>
      <c r="M12" s="2487"/>
      <c r="N12" s="2487"/>
      <c r="O12" s="2487"/>
      <c r="P12" s="2487"/>
      <c r="Q12" s="2487"/>
      <c r="R12" s="2487"/>
      <c r="S12" s="2487"/>
      <c r="T12" s="2487"/>
      <c r="U12" s="2487"/>
    </row>
    <row r="13" spans="1:21" s="1875" customFormat="1" ht="14.25" customHeight="1" x14ac:dyDescent="0.25">
      <c r="A13" s="2609">
        <v>2223</v>
      </c>
      <c r="B13" s="2710">
        <v>5192</v>
      </c>
      <c r="C13" s="2521"/>
      <c r="D13" s="1894" t="s">
        <v>826</v>
      </c>
      <c r="E13" s="1065">
        <v>450</v>
      </c>
      <c r="F13" s="1059">
        <v>432</v>
      </c>
      <c r="G13" s="1065">
        <v>137</v>
      </c>
      <c r="H13" s="1886">
        <f t="shared" si="0"/>
        <v>31.712962962962965</v>
      </c>
      <c r="K13" s="1936">
        <v>431720</v>
      </c>
      <c r="L13" s="1936">
        <v>136736</v>
      </c>
    </row>
    <row r="14" spans="1:21" s="1875" customFormat="1" ht="14.25" customHeight="1" x14ac:dyDescent="0.25">
      <c r="A14" s="2609">
        <v>2229</v>
      </c>
      <c r="B14" s="2710">
        <v>5169</v>
      </c>
      <c r="C14" s="2521"/>
      <c r="D14" s="1071" t="s">
        <v>430</v>
      </c>
      <c r="E14" s="1065">
        <v>0</v>
      </c>
      <c r="F14" s="1059">
        <v>25</v>
      </c>
      <c r="G14" s="1065">
        <v>23</v>
      </c>
      <c r="H14" s="1886">
        <f t="shared" si="0"/>
        <v>92</v>
      </c>
      <c r="K14" s="1936">
        <v>25000</v>
      </c>
      <c r="L14" s="1936">
        <v>23269</v>
      </c>
    </row>
    <row r="15" spans="1:21" s="1875" customFormat="1" ht="14.25" customHeight="1" x14ac:dyDescent="0.25">
      <c r="A15" s="2609">
        <v>2299</v>
      </c>
      <c r="B15" s="2710">
        <v>5137</v>
      </c>
      <c r="C15" s="2521"/>
      <c r="D15" s="985" t="s">
        <v>88</v>
      </c>
      <c r="E15" s="1065">
        <v>10</v>
      </c>
      <c r="F15" s="1059">
        <v>10</v>
      </c>
      <c r="G15" s="1065">
        <v>7</v>
      </c>
      <c r="H15" s="1886">
        <f t="shared" si="0"/>
        <v>70</v>
      </c>
      <c r="K15" s="1936">
        <v>10000</v>
      </c>
      <c r="L15" s="1936">
        <v>6966</v>
      </c>
    </row>
    <row r="16" spans="1:21" s="1875" customFormat="1" ht="14.25" customHeight="1" x14ac:dyDescent="0.25">
      <c r="A16" s="2556">
        <v>2299</v>
      </c>
      <c r="B16" s="2557">
        <v>5166</v>
      </c>
      <c r="C16" s="2517"/>
      <c r="D16" s="1894" t="s">
        <v>317</v>
      </c>
      <c r="E16" s="1030">
        <v>100</v>
      </c>
      <c r="F16" s="1031">
        <v>320</v>
      </c>
      <c r="G16" s="1030">
        <v>298</v>
      </c>
      <c r="H16" s="1886">
        <f t="shared" si="0"/>
        <v>93.125</v>
      </c>
      <c r="I16" s="2487"/>
      <c r="J16" s="2487"/>
      <c r="K16" s="1936">
        <v>320000</v>
      </c>
      <c r="L16" s="1936">
        <v>297963</v>
      </c>
      <c r="M16" s="2487"/>
      <c r="N16" s="2487"/>
      <c r="O16" s="2487"/>
      <c r="P16" s="2487"/>
      <c r="Q16" s="2487"/>
      <c r="R16" s="2487"/>
      <c r="S16" s="2487"/>
      <c r="T16" s="2487"/>
      <c r="U16" s="2487"/>
    </row>
    <row r="17" spans="1:21" s="1875" customFormat="1" ht="14.25" customHeight="1" x14ac:dyDescent="0.25">
      <c r="A17" s="2556">
        <v>2299</v>
      </c>
      <c r="B17" s="2557">
        <v>5169</v>
      </c>
      <c r="C17" s="2517"/>
      <c r="D17" s="1071" t="s">
        <v>430</v>
      </c>
      <c r="E17" s="1030">
        <v>0</v>
      </c>
      <c r="F17" s="1031">
        <v>50</v>
      </c>
      <c r="G17" s="1030">
        <v>23</v>
      </c>
      <c r="H17" s="1886">
        <f t="shared" si="0"/>
        <v>46</v>
      </c>
      <c r="I17" s="2487"/>
      <c r="J17" s="2487"/>
      <c r="K17" s="1936">
        <v>50000</v>
      </c>
      <c r="L17" s="1936">
        <v>23269</v>
      </c>
      <c r="M17" s="2487"/>
      <c r="N17" s="2487"/>
      <c r="O17" s="2487"/>
      <c r="P17" s="2487"/>
      <c r="Q17" s="2487"/>
      <c r="R17" s="2487"/>
      <c r="S17" s="2487"/>
      <c r="T17" s="2487"/>
      <c r="U17" s="2487"/>
    </row>
    <row r="18" spans="1:21" s="1875" customFormat="1" ht="14.25" customHeight="1" x14ac:dyDescent="0.25">
      <c r="A18" s="2556">
        <v>6172</v>
      </c>
      <c r="B18" s="2062">
        <v>5164</v>
      </c>
      <c r="C18" s="2517"/>
      <c r="D18" s="2096" t="s">
        <v>101</v>
      </c>
      <c r="E18" s="1030">
        <v>10</v>
      </c>
      <c r="F18" s="1031">
        <v>20</v>
      </c>
      <c r="G18" s="1030">
        <v>16</v>
      </c>
      <c r="H18" s="1886">
        <f t="shared" si="0"/>
        <v>80</v>
      </c>
      <c r="I18" s="2487"/>
      <c r="J18" s="2487"/>
      <c r="K18" s="1936">
        <v>20000</v>
      </c>
      <c r="L18" s="1936">
        <v>16275</v>
      </c>
      <c r="M18" s="2487"/>
      <c r="N18" s="2487"/>
      <c r="O18" s="2487"/>
      <c r="P18" s="2487"/>
      <c r="Q18" s="2487"/>
      <c r="R18" s="2487"/>
      <c r="S18" s="2487"/>
      <c r="T18" s="2487"/>
      <c r="U18" s="2487"/>
    </row>
    <row r="19" spans="1:21" s="1875" customFormat="1" ht="14.25" customHeight="1" thickBot="1" x14ac:dyDescent="0.3">
      <c r="A19" s="2785">
        <v>6409</v>
      </c>
      <c r="B19" s="2058">
        <v>5909</v>
      </c>
      <c r="C19" s="2786"/>
      <c r="D19" s="2488" t="s">
        <v>406</v>
      </c>
      <c r="E19" s="1030">
        <v>0</v>
      </c>
      <c r="F19" s="1031">
        <v>18</v>
      </c>
      <c r="G19" s="1030">
        <v>18</v>
      </c>
      <c r="H19" s="1886">
        <f t="shared" si="0"/>
        <v>100</v>
      </c>
      <c r="I19" s="2487"/>
      <c r="J19" s="2487"/>
      <c r="K19" s="1936">
        <v>18280</v>
      </c>
      <c r="L19" s="1936">
        <v>18280</v>
      </c>
      <c r="M19" s="2487"/>
      <c r="N19" s="2487"/>
      <c r="O19" s="2487"/>
      <c r="P19" s="2487"/>
      <c r="Q19" s="2487"/>
      <c r="R19" s="2487"/>
      <c r="S19" s="2487"/>
      <c r="T19" s="2487"/>
      <c r="U19" s="2487"/>
    </row>
    <row r="20" spans="1:21" s="1014" customFormat="1" ht="30.75" customHeight="1" thickTop="1" thickBot="1" x14ac:dyDescent="0.3">
      <c r="A20" s="1020" t="s">
        <v>132</v>
      </c>
      <c r="B20" s="1019"/>
      <c r="C20" s="1793"/>
      <c r="D20" s="1019"/>
      <c r="E20" s="1016">
        <f>E10+E12+E13+E16+E18+E15+E14+E11+E17+E19</f>
        <v>780</v>
      </c>
      <c r="F20" s="1016">
        <f t="shared" ref="F20:G20" si="1">F10+F12+F13+F16+F18+F15+F14+F11+F17+F19</f>
        <v>1085</v>
      </c>
      <c r="G20" s="1016">
        <f t="shared" si="1"/>
        <v>632</v>
      </c>
      <c r="H20" s="1871">
        <f>(G20/F20)*100</f>
        <v>58.248847926267274</v>
      </c>
      <c r="K20" s="2463">
        <f>SUM(K10:K19)</f>
        <v>1085000</v>
      </c>
      <c r="L20" s="2463">
        <f>SUM(L10:L19)</f>
        <v>632790</v>
      </c>
    </row>
    <row r="21" spans="1:21" s="1014" customFormat="1" ht="16.5" customHeight="1" thickTop="1" x14ac:dyDescent="0.25">
      <c r="A21" s="1868"/>
      <c r="B21" s="1867"/>
      <c r="C21" s="1094"/>
      <c r="D21" s="1867"/>
      <c r="E21" s="1052"/>
      <c r="F21" s="1052"/>
      <c r="G21" s="1052"/>
      <c r="H21" s="1866"/>
    </row>
    <row r="22" spans="1:21" ht="15.75" hidden="1" x14ac:dyDescent="0.25">
      <c r="A22" s="1057" t="s">
        <v>594</v>
      </c>
      <c r="B22" s="1057"/>
      <c r="C22" s="1676"/>
      <c r="E22" s="1799"/>
      <c r="F22" s="1799"/>
      <c r="G22" s="1799"/>
    </row>
    <row r="23" spans="1:21" ht="13.5" hidden="1" thickBot="1" x14ac:dyDescent="0.25">
      <c r="A23" s="1677"/>
      <c r="B23" s="1677"/>
      <c r="C23" s="1676"/>
      <c r="E23" s="1799"/>
      <c r="F23" s="1799"/>
      <c r="G23" s="1799"/>
      <c r="H23" s="1753" t="s">
        <v>92</v>
      </c>
    </row>
    <row r="24" spans="1:21" s="1043" customFormat="1" ht="20.25" hidden="1" customHeight="1" thickTop="1" thickBot="1" x14ac:dyDescent="0.25">
      <c r="A24" s="1047" t="s">
        <v>93</v>
      </c>
      <c r="B24" s="1046" t="s">
        <v>94</v>
      </c>
      <c r="C24" s="1798" t="s">
        <v>364</v>
      </c>
      <c r="D24" s="1069" t="s">
        <v>95</v>
      </c>
      <c r="E24" s="1069" t="s">
        <v>328</v>
      </c>
      <c r="F24" s="1069" t="s">
        <v>329</v>
      </c>
      <c r="G24" s="1749" t="s">
        <v>448</v>
      </c>
      <c r="H24" s="1797" t="s">
        <v>449</v>
      </c>
    </row>
    <row r="25" spans="1:21" s="1037" customFormat="1" ht="13.5" hidden="1" thickTop="1" thickBot="1" x14ac:dyDescent="0.25">
      <c r="A25" s="1042">
        <v>1</v>
      </c>
      <c r="B25" s="1041">
        <v>2</v>
      </c>
      <c r="C25" s="1041">
        <v>3</v>
      </c>
      <c r="D25" s="1041">
        <v>4</v>
      </c>
      <c r="E25" s="1041">
        <v>5</v>
      </c>
      <c r="F25" s="1040">
        <v>6</v>
      </c>
      <c r="G25" s="1040">
        <v>7</v>
      </c>
      <c r="H25" s="1039" t="s">
        <v>33</v>
      </c>
      <c r="I25" s="1043"/>
    </row>
    <row r="26" spans="1:21" s="1037" customFormat="1" ht="15.75" hidden="1" thickTop="1" x14ac:dyDescent="0.25">
      <c r="A26" s="2609">
        <v>2221</v>
      </c>
      <c r="B26" s="2787">
        <v>6123</v>
      </c>
      <c r="C26" s="2517"/>
      <c r="D26" s="1989" t="s">
        <v>586</v>
      </c>
      <c r="E26" s="1030"/>
      <c r="F26" s="1030">
        <f t="shared" ref="F26:G26" si="2">F27</f>
        <v>0</v>
      </c>
      <c r="G26" s="1030">
        <f t="shared" si="2"/>
        <v>0</v>
      </c>
      <c r="H26" s="1886" t="e">
        <f t="shared" ref="H26:H27" si="3">G26/F26*100</f>
        <v>#DIV/0!</v>
      </c>
      <c r="I26" s="1043"/>
    </row>
    <row r="27" spans="1:21" s="1037" customFormat="1" ht="14.25" hidden="1" x14ac:dyDescent="0.2">
      <c r="A27" s="2609"/>
      <c r="B27" s="2787"/>
      <c r="C27" s="2521" t="s">
        <v>952</v>
      </c>
      <c r="D27" s="2465" t="s">
        <v>833</v>
      </c>
      <c r="E27" s="1022"/>
      <c r="F27" s="1870"/>
      <c r="G27" s="1022"/>
      <c r="H27" s="2064" t="e">
        <f t="shared" si="3"/>
        <v>#DIV/0!</v>
      </c>
      <c r="I27" s="1043"/>
      <c r="K27" s="2459"/>
      <c r="L27" s="2459"/>
    </row>
    <row r="28" spans="1:21" s="1875" customFormat="1" ht="13.5" hidden="1" customHeight="1" x14ac:dyDescent="0.25">
      <c r="A28" s="2609">
        <v>2299</v>
      </c>
      <c r="B28" s="2062">
        <v>6123</v>
      </c>
      <c r="C28" s="2517"/>
      <c r="D28" s="1989" t="s">
        <v>586</v>
      </c>
      <c r="E28" s="1030">
        <f>E29</f>
        <v>0</v>
      </c>
      <c r="F28" s="1031">
        <f>F30+F29</f>
        <v>0</v>
      </c>
      <c r="G28" s="1030">
        <f>G30+G29</f>
        <v>0</v>
      </c>
      <c r="H28" s="1886" t="e">
        <f>G28/F28*100</f>
        <v>#DIV/0!</v>
      </c>
      <c r="K28" s="2459"/>
      <c r="L28" s="2459"/>
    </row>
    <row r="29" spans="1:21" s="1875" customFormat="1" ht="13.5" hidden="1" customHeight="1" x14ac:dyDescent="0.25">
      <c r="A29" s="2609"/>
      <c r="B29" s="2557"/>
      <c r="C29" s="2517" t="s">
        <v>871</v>
      </c>
      <c r="D29" s="2329" t="s">
        <v>600</v>
      </c>
      <c r="E29" s="1022"/>
      <c r="F29" s="1031"/>
      <c r="G29" s="1030"/>
      <c r="H29" s="2064"/>
      <c r="K29" s="2459"/>
      <c r="L29" s="2459"/>
    </row>
    <row r="30" spans="1:21" s="1875" customFormat="1" ht="13.5" hidden="1" customHeight="1" thickBot="1" x14ac:dyDescent="0.25">
      <c r="A30" s="2788"/>
      <c r="B30" s="2557"/>
      <c r="C30" s="2517" t="s">
        <v>1086</v>
      </c>
      <c r="D30" s="2329" t="s">
        <v>1206</v>
      </c>
      <c r="E30" s="1022"/>
      <c r="F30" s="1023"/>
      <c r="G30" s="1022"/>
      <c r="H30" s="2064" t="e">
        <f>G30/F30*100</f>
        <v>#DIV/0!</v>
      </c>
      <c r="K30" s="2459"/>
      <c r="L30" s="2459"/>
    </row>
    <row r="31" spans="1:21" s="1014" customFormat="1" ht="33.75" hidden="1" customHeight="1" thickTop="1" thickBot="1" x14ac:dyDescent="0.3">
      <c r="A31" s="1020" t="s">
        <v>133</v>
      </c>
      <c r="B31" s="1019"/>
      <c r="C31" s="1793"/>
      <c r="D31" s="1019"/>
      <c r="E31" s="1792">
        <f>E28+E26</f>
        <v>0</v>
      </c>
      <c r="F31" s="1792">
        <f>F28+F26</f>
        <v>0</v>
      </c>
      <c r="G31" s="1792">
        <f>G28+G26</f>
        <v>0</v>
      </c>
      <c r="H31" s="1791" t="e">
        <f>(G31/F31)*100</f>
        <v>#DIV/0!</v>
      </c>
      <c r="J31" s="1790"/>
      <c r="K31" s="2463"/>
      <c r="L31" s="2463"/>
      <c r="M31" s="1790"/>
    </row>
    <row r="32" spans="1:21" s="1014" customFormat="1" ht="17.25" customHeight="1" x14ac:dyDescent="0.25">
      <c r="A32" s="1868"/>
      <c r="B32" s="1867"/>
      <c r="C32" s="1094"/>
      <c r="D32" s="1867"/>
      <c r="E32" s="1052"/>
      <c r="F32" s="1052"/>
      <c r="G32" s="1052"/>
      <c r="H32" s="1866"/>
    </row>
    <row r="33" spans="1:9" s="1014" customFormat="1" ht="17.25" customHeight="1" x14ac:dyDescent="0.25">
      <c r="A33" s="1868"/>
      <c r="B33" s="1867"/>
      <c r="C33" s="1094"/>
      <c r="D33" s="1867"/>
      <c r="E33" s="1052"/>
      <c r="F33" s="1052"/>
      <c r="G33" s="1052"/>
      <c r="H33" s="1866"/>
    </row>
    <row r="34" spans="1:9" ht="15.75" x14ac:dyDescent="0.25">
      <c r="A34" s="1057" t="s">
        <v>91</v>
      </c>
      <c r="C34" s="1853"/>
      <c r="D34" s="1783"/>
      <c r="E34" s="1851"/>
      <c r="F34" s="1852"/>
      <c r="G34" s="1851"/>
    </row>
    <row r="35" spans="1:9" ht="15" x14ac:dyDescent="0.25">
      <c r="A35" s="3266" t="s">
        <v>720</v>
      </c>
      <c r="B35" s="3267"/>
      <c r="C35" s="3267"/>
      <c r="D35" s="3267"/>
      <c r="E35" s="1851" t="s">
        <v>721</v>
      </c>
      <c r="F35" s="1852"/>
      <c r="G35" s="1851"/>
    </row>
    <row r="36" spans="1:9" ht="15" x14ac:dyDescent="0.25">
      <c r="A36" s="3267"/>
      <c r="B36" s="3267"/>
      <c r="C36" s="3267"/>
      <c r="D36" s="3267"/>
      <c r="E36" s="1851"/>
      <c r="F36" s="1852"/>
      <c r="G36" s="1851"/>
    </row>
    <row r="37" spans="1:9" ht="15.75" thickBot="1" x14ac:dyDescent="0.3">
      <c r="A37" s="1854"/>
      <c r="C37" s="1853"/>
      <c r="D37" s="1783"/>
      <c r="E37" s="1851"/>
      <c r="F37" s="1852"/>
      <c r="G37" s="1851"/>
      <c r="H37" s="1753" t="s">
        <v>583</v>
      </c>
    </row>
    <row r="38" spans="1:9" s="1043" customFormat="1" ht="20.25" customHeight="1" thickTop="1" thickBot="1" x14ac:dyDescent="0.25">
      <c r="A38" s="1047" t="s">
        <v>93</v>
      </c>
      <c r="B38" s="1046" t="s">
        <v>94</v>
      </c>
      <c r="C38" s="1798" t="s">
        <v>364</v>
      </c>
      <c r="D38" s="1044" t="s">
        <v>95</v>
      </c>
      <c r="E38" s="1069" t="s">
        <v>328</v>
      </c>
      <c r="F38" s="1069" t="s">
        <v>329</v>
      </c>
      <c r="G38" s="1749" t="s">
        <v>448</v>
      </c>
      <c r="H38" s="1797" t="s">
        <v>449</v>
      </c>
    </row>
    <row r="39" spans="1:9" s="1037" customFormat="1" ht="13.5" thickTop="1" thickBot="1" x14ac:dyDescent="0.25">
      <c r="A39" s="1042">
        <v>1</v>
      </c>
      <c r="B39" s="1041">
        <v>2</v>
      </c>
      <c r="C39" s="1041">
        <v>3</v>
      </c>
      <c r="D39" s="1041">
        <v>4</v>
      </c>
      <c r="E39" s="1041">
        <v>5</v>
      </c>
      <c r="F39" s="1040">
        <v>6</v>
      </c>
      <c r="G39" s="1040">
        <v>7</v>
      </c>
      <c r="H39" s="1039" t="s">
        <v>33</v>
      </c>
      <c r="I39" s="1043"/>
    </row>
    <row r="40" spans="1:9" s="1037" customFormat="1" ht="15.75" thickTop="1" x14ac:dyDescent="0.25">
      <c r="A40" s="2489">
        <v>2292</v>
      </c>
      <c r="B40" s="2522">
        <v>5336</v>
      </c>
      <c r="C40" s="2469"/>
      <c r="D40" s="1787" t="s">
        <v>1303</v>
      </c>
      <c r="E40" s="1062"/>
      <c r="F40" s="1030">
        <f>F41</f>
        <v>219966</v>
      </c>
      <c r="G40" s="1030">
        <f>G41</f>
        <v>219966</v>
      </c>
      <c r="H40" s="2339">
        <f>G40/F40*100</f>
        <v>100</v>
      </c>
      <c r="I40" s="1043"/>
    </row>
    <row r="41" spans="1:9" s="1037" customFormat="1" ht="15" customHeight="1" x14ac:dyDescent="0.2">
      <c r="A41" s="1864"/>
      <c r="B41" s="1143"/>
      <c r="C41" s="2469" t="s">
        <v>955</v>
      </c>
      <c r="D41" s="3271" t="s">
        <v>1305</v>
      </c>
      <c r="E41" s="1143"/>
      <c r="F41" s="1794">
        <v>219966</v>
      </c>
      <c r="G41" s="1794">
        <v>219966</v>
      </c>
      <c r="H41" s="2490">
        <f>G41/F41*100</f>
        <v>100</v>
      </c>
      <c r="I41" s="1043"/>
    </row>
    <row r="42" spans="1:9" s="1037" customFormat="1" thickBot="1" x14ac:dyDescent="0.25">
      <c r="A42" s="1864"/>
      <c r="B42" s="1143"/>
      <c r="C42" s="2469"/>
      <c r="D42" s="3272"/>
      <c r="E42" s="1143"/>
      <c r="F42" s="1862"/>
      <c r="G42" s="1862"/>
      <c r="H42" s="1861"/>
      <c r="I42" s="1043"/>
    </row>
    <row r="43" spans="1:9" s="1014" customFormat="1" ht="19.5" customHeight="1" thickTop="1" thickBot="1" x14ac:dyDescent="0.3">
      <c r="A43" s="1020" t="s">
        <v>522</v>
      </c>
      <c r="B43" s="1846"/>
      <c r="C43" s="1847"/>
      <c r="D43" s="1846"/>
      <c r="E43" s="1845">
        <f>E40</f>
        <v>0</v>
      </c>
      <c r="F43" s="1845">
        <f t="shared" ref="F43:G43" si="4">F40</f>
        <v>219966</v>
      </c>
      <c r="G43" s="1845">
        <f t="shared" si="4"/>
        <v>219966</v>
      </c>
      <c r="H43" s="1844">
        <f>(G43/F43)*100</f>
        <v>100</v>
      </c>
    </row>
    <row r="44" spans="1:9" ht="16.5" thickTop="1" x14ac:dyDescent="0.25">
      <c r="A44" s="1057"/>
      <c r="C44" s="1853"/>
      <c r="D44" s="1783"/>
      <c r="E44" s="1851"/>
      <c r="F44" s="1852"/>
      <c r="G44" s="1851"/>
    </row>
    <row r="45" spans="1:9" s="1687" customFormat="1" ht="23.25" customHeight="1" x14ac:dyDescent="0.25">
      <c r="A45" s="3268" t="s">
        <v>722</v>
      </c>
      <c r="B45" s="3269"/>
      <c r="C45" s="3269"/>
      <c r="D45" s="3269"/>
      <c r="E45" s="1860">
        <f>E43</f>
        <v>0</v>
      </c>
      <c r="F45" s="1860">
        <f>F43</f>
        <v>219966</v>
      </c>
      <c r="G45" s="1860">
        <f>G43</f>
        <v>219966</v>
      </c>
      <c r="H45" s="1859">
        <f>(G45/F45)*100</f>
        <v>100</v>
      </c>
    </row>
    <row r="46" spans="1:9" ht="15.75" thickBot="1" x14ac:dyDescent="0.3">
      <c r="A46" s="3270"/>
      <c r="B46" s="3270"/>
      <c r="C46" s="3270"/>
      <c r="D46" s="3270"/>
      <c r="E46" s="1857"/>
      <c r="F46" s="1858"/>
      <c r="G46" s="1857"/>
      <c r="H46" s="1856"/>
    </row>
    <row r="47" spans="1:9" ht="16.5" thickTop="1" x14ac:dyDescent="0.25">
      <c r="A47" s="1057"/>
      <c r="C47" s="1853"/>
      <c r="D47" s="1783"/>
      <c r="E47" s="1851"/>
      <c r="F47" s="1852"/>
      <c r="G47" s="1851"/>
    </row>
    <row r="48" spans="1:9" ht="15.75" x14ac:dyDescent="0.25">
      <c r="A48" s="1057"/>
      <c r="C48" s="1853"/>
      <c r="D48" s="1783"/>
      <c r="E48" s="1851"/>
      <c r="F48" s="1852"/>
      <c r="G48" s="1851"/>
    </row>
    <row r="49" spans="1:21" ht="15.75" x14ac:dyDescent="0.25">
      <c r="A49" s="1057"/>
      <c r="C49" s="1853"/>
      <c r="D49" s="1783"/>
      <c r="E49" s="1851"/>
      <c r="F49" s="1852"/>
      <c r="G49" s="1851"/>
    </row>
    <row r="50" spans="1:21" ht="15.75" x14ac:dyDescent="0.25">
      <c r="A50" s="1855" t="s">
        <v>90</v>
      </c>
      <c r="C50" s="1853"/>
      <c r="D50" s="1783"/>
      <c r="E50" s="1851" t="s">
        <v>691</v>
      </c>
      <c r="F50" s="1852"/>
      <c r="G50" s="1851"/>
    </row>
    <row r="51" spans="1:21" ht="15.75" thickBot="1" x14ac:dyDescent="0.3">
      <c r="A51" s="1854"/>
      <c r="C51" s="1853"/>
      <c r="D51" s="1783"/>
      <c r="E51" s="1851"/>
      <c r="F51" s="1852"/>
      <c r="G51" s="1851"/>
      <c r="H51" s="1753" t="s">
        <v>583</v>
      </c>
    </row>
    <row r="52" spans="1:21" s="1043" customFormat="1" ht="20.25" customHeight="1" thickTop="1" thickBot="1" x14ac:dyDescent="0.25">
      <c r="A52" s="1047" t="s">
        <v>93</v>
      </c>
      <c r="B52" s="1046" t="s">
        <v>94</v>
      </c>
      <c r="C52" s="1798" t="s">
        <v>364</v>
      </c>
      <c r="D52" s="1044" t="s">
        <v>95</v>
      </c>
      <c r="E52" s="1069" t="s">
        <v>328</v>
      </c>
      <c r="F52" s="1069" t="s">
        <v>329</v>
      </c>
      <c r="G52" s="1749" t="s">
        <v>448</v>
      </c>
      <c r="H52" s="1797" t="s">
        <v>449</v>
      </c>
    </row>
    <row r="53" spans="1:21" s="1037" customFormat="1" ht="13.5" thickTop="1" thickBot="1" x14ac:dyDescent="0.25">
      <c r="A53" s="1042">
        <v>1</v>
      </c>
      <c r="B53" s="1041">
        <v>2</v>
      </c>
      <c r="C53" s="1041">
        <v>3</v>
      </c>
      <c r="D53" s="1041">
        <v>4</v>
      </c>
      <c r="E53" s="1041">
        <v>5</v>
      </c>
      <c r="F53" s="1040">
        <v>6</v>
      </c>
      <c r="G53" s="1040">
        <v>7</v>
      </c>
      <c r="H53" s="1039" t="s">
        <v>33</v>
      </c>
      <c r="I53" s="1043"/>
    </row>
    <row r="54" spans="1:21" s="1037" customFormat="1" ht="15.75" thickTop="1" x14ac:dyDescent="0.25">
      <c r="A54" s="2516">
        <v>2212</v>
      </c>
      <c r="B54" s="2522">
        <v>5331</v>
      </c>
      <c r="C54" s="1143"/>
      <c r="D54" s="1787" t="s">
        <v>465</v>
      </c>
      <c r="E54" s="1030">
        <f>E55</f>
        <v>0</v>
      </c>
      <c r="F54" s="1030">
        <f t="shared" ref="F54:G54" si="5">F55</f>
        <v>14543</v>
      </c>
      <c r="G54" s="1030">
        <f t="shared" si="5"/>
        <v>14543</v>
      </c>
      <c r="H54" s="1886">
        <f t="shared" ref="H54:H62" si="6">G54/F54*100</f>
        <v>100</v>
      </c>
      <c r="I54" s="1043"/>
    </row>
    <row r="55" spans="1:21" s="1037" customFormat="1" ht="14.25" x14ac:dyDescent="0.2">
      <c r="A55" s="1864"/>
      <c r="B55" s="1143"/>
      <c r="C55" s="2521" t="s">
        <v>952</v>
      </c>
      <c r="D55" s="2465" t="s">
        <v>833</v>
      </c>
      <c r="E55" s="1022">
        <v>0</v>
      </c>
      <c r="F55" s="1023">
        <v>14543</v>
      </c>
      <c r="G55" s="1022">
        <v>14543</v>
      </c>
      <c r="H55" s="2064">
        <f>G55/F55*100</f>
        <v>100</v>
      </c>
      <c r="I55" s="1043"/>
    </row>
    <row r="56" spans="1:21" s="2487" customFormat="1" ht="15" x14ac:dyDescent="0.25">
      <c r="A56" s="2516">
        <v>2212</v>
      </c>
      <c r="B56" s="2522">
        <v>6351</v>
      </c>
      <c r="C56" s="2521"/>
      <c r="D56" s="1787" t="s">
        <v>320</v>
      </c>
      <c r="E56" s="1030">
        <f>E57+E58+E59</f>
        <v>75929</v>
      </c>
      <c r="F56" s="1030">
        <f t="shared" ref="F56:G56" si="7">F57+F58+F59</f>
        <v>324890</v>
      </c>
      <c r="G56" s="1030">
        <f t="shared" si="7"/>
        <v>324890</v>
      </c>
      <c r="H56" s="1886">
        <f t="shared" si="6"/>
        <v>100</v>
      </c>
      <c r="I56" s="1929"/>
      <c r="J56" s="1875"/>
      <c r="K56" s="1875"/>
      <c r="L56" s="1875"/>
      <c r="M56" s="1875"/>
      <c r="N56" s="1875"/>
      <c r="O56" s="1875"/>
      <c r="P56" s="1875"/>
      <c r="Q56" s="1875"/>
      <c r="R56" s="1875"/>
      <c r="S56" s="1875"/>
      <c r="T56" s="1875"/>
      <c r="U56" s="1875"/>
    </row>
    <row r="57" spans="1:21" s="2487" customFormat="1" ht="14.25" x14ac:dyDescent="0.2">
      <c r="A57" s="2516"/>
      <c r="B57" s="2522"/>
      <c r="C57" s="2521" t="s">
        <v>952</v>
      </c>
      <c r="D57" s="2465" t="s">
        <v>833</v>
      </c>
      <c r="E57" s="1022">
        <v>75929</v>
      </c>
      <c r="F57" s="1023">
        <v>255117</v>
      </c>
      <c r="G57" s="1022">
        <v>255117</v>
      </c>
      <c r="H57" s="2064">
        <f t="shared" si="6"/>
        <v>100</v>
      </c>
      <c r="I57" s="1929"/>
      <c r="J57" s="1875"/>
      <c r="K57" s="1875"/>
      <c r="L57" s="1875"/>
      <c r="M57" s="1875"/>
      <c r="N57" s="1875"/>
      <c r="O57" s="1875"/>
      <c r="P57" s="1875"/>
      <c r="Q57" s="1875"/>
      <c r="R57" s="1875"/>
      <c r="S57" s="1875"/>
      <c r="T57" s="1875"/>
      <c r="U57" s="1875"/>
    </row>
    <row r="58" spans="1:21" s="2487" customFormat="1" ht="14.25" x14ac:dyDescent="0.2">
      <c r="A58" s="2516"/>
      <c r="B58" s="2522"/>
      <c r="C58" s="2521" t="s">
        <v>1480</v>
      </c>
      <c r="D58" s="2465" t="s">
        <v>1866</v>
      </c>
      <c r="E58" s="1022">
        <v>0</v>
      </c>
      <c r="F58" s="1023">
        <v>9788</v>
      </c>
      <c r="G58" s="1022">
        <v>9788</v>
      </c>
      <c r="H58" s="2064">
        <f t="shared" si="6"/>
        <v>100</v>
      </c>
      <c r="I58" s="1929"/>
      <c r="J58" s="1875"/>
      <c r="K58" s="1875"/>
      <c r="L58" s="1875"/>
      <c r="M58" s="1875"/>
      <c r="N58" s="1875"/>
      <c r="O58" s="1875"/>
      <c r="P58" s="1875"/>
      <c r="Q58" s="1875"/>
      <c r="R58" s="1875"/>
      <c r="S58" s="1875"/>
      <c r="T58" s="1875"/>
      <c r="U58" s="1875"/>
    </row>
    <row r="59" spans="1:21" s="2487" customFormat="1" ht="14.25" x14ac:dyDescent="0.2">
      <c r="A59" s="2516"/>
      <c r="B59" s="2522"/>
      <c r="C59" s="2521" t="s">
        <v>1865</v>
      </c>
      <c r="D59" s="2465" t="s">
        <v>1867</v>
      </c>
      <c r="E59" s="1022">
        <v>0</v>
      </c>
      <c r="F59" s="1023">
        <v>59985</v>
      </c>
      <c r="G59" s="1022">
        <v>59985</v>
      </c>
      <c r="H59" s="2064">
        <f t="shared" si="6"/>
        <v>100</v>
      </c>
      <c r="I59" s="1929"/>
      <c r="J59" s="1875"/>
      <c r="K59" s="1875"/>
      <c r="L59" s="1875"/>
      <c r="M59" s="1875"/>
      <c r="N59" s="1875"/>
      <c r="O59" s="1875"/>
      <c r="P59" s="1875"/>
      <c r="Q59" s="1875"/>
      <c r="R59" s="1875"/>
      <c r="S59" s="1875"/>
      <c r="T59" s="1875"/>
      <c r="U59" s="1875"/>
    </row>
    <row r="60" spans="1:21" s="2487" customFormat="1" ht="15" x14ac:dyDescent="0.25">
      <c r="A60" s="2516">
        <v>2212</v>
      </c>
      <c r="B60" s="2522">
        <v>6356</v>
      </c>
      <c r="C60" s="2517"/>
      <c r="D60" s="1071" t="s">
        <v>950</v>
      </c>
      <c r="E60" s="1030">
        <f>E61+E62</f>
        <v>0</v>
      </c>
      <c r="F60" s="1030">
        <f>F61+F62</f>
        <v>11685</v>
      </c>
      <c r="G60" s="1030">
        <f>G61+G62</f>
        <v>11685</v>
      </c>
      <c r="H60" s="1886">
        <f t="shared" si="6"/>
        <v>100</v>
      </c>
      <c r="I60" s="1929"/>
      <c r="J60" s="1875"/>
      <c r="K60" s="1875"/>
      <c r="L60" s="1875"/>
      <c r="M60" s="1875"/>
      <c r="N60" s="1875"/>
      <c r="O60" s="1875"/>
      <c r="P60" s="1875"/>
      <c r="Q60" s="1875"/>
      <c r="R60" s="1875"/>
      <c r="S60" s="1875"/>
      <c r="T60" s="1875"/>
      <c r="U60" s="1875"/>
    </row>
    <row r="61" spans="1:21" s="2487" customFormat="1" ht="25.5" x14ac:dyDescent="0.2">
      <c r="A61" s="2516"/>
      <c r="B61" s="2522"/>
      <c r="C61" s="3011" t="s">
        <v>1861</v>
      </c>
      <c r="D61" s="2937" t="s">
        <v>1863</v>
      </c>
      <c r="E61" s="2482">
        <v>0</v>
      </c>
      <c r="F61" s="2485">
        <v>649</v>
      </c>
      <c r="G61" s="2482">
        <v>649</v>
      </c>
      <c r="H61" s="2958">
        <f t="shared" si="6"/>
        <v>100</v>
      </c>
      <c r="I61" s="1929"/>
      <c r="J61" s="2491"/>
      <c r="K61" s="2491"/>
      <c r="L61" s="2491"/>
      <c r="M61" s="1875"/>
      <c r="N61" s="1875"/>
      <c r="O61" s="1875"/>
      <c r="P61" s="1875"/>
      <c r="Q61" s="1875"/>
      <c r="R61" s="1875"/>
      <c r="S61" s="1875"/>
      <c r="T61" s="1875"/>
      <c r="U61" s="1875"/>
    </row>
    <row r="62" spans="1:21" s="2487" customFormat="1" ht="26.25" thickBot="1" x14ac:dyDescent="0.25">
      <c r="A62" s="2516"/>
      <c r="B62" s="2522"/>
      <c r="C62" s="3011" t="s">
        <v>1862</v>
      </c>
      <c r="D62" s="2937" t="s">
        <v>1864</v>
      </c>
      <c r="E62" s="2847">
        <v>0</v>
      </c>
      <c r="F62" s="2485">
        <v>11036</v>
      </c>
      <c r="G62" s="2482">
        <v>11036</v>
      </c>
      <c r="H62" s="2958">
        <f t="shared" si="6"/>
        <v>100</v>
      </c>
      <c r="I62" s="1929"/>
      <c r="J62" s="2491"/>
      <c r="K62" s="2491"/>
      <c r="L62" s="2491"/>
      <c r="M62" s="1875"/>
      <c r="N62" s="1875"/>
      <c r="O62" s="1875"/>
      <c r="P62" s="1875"/>
      <c r="Q62" s="1875"/>
      <c r="R62" s="1875"/>
      <c r="S62" s="1875"/>
      <c r="T62" s="1875"/>
      <c r="U62" s="1875"/>
    </row>
    <row r="63" spans="1:21" ht="20.25" customHeight="1" thickTop="1" thickBot="1" x14ac:dyDescent="0.3">
      <c r="A63" s="1718" t="s">
        <v>523</v>
      </c>
      <c r="B63" s="1717"/>
      <c r="C63" s="1716"/>
      <c r="D63" s="1715"/>
      <c r="E63" s="1843">
        <f>E56+E54+E60</f>
        <v>75929</v>
      </c>
      <c r="F63" s="1843">
        <f t="shared" ref="F63:G63" si="8">F56+F54+F60</f>
        <v>351118</v>
      </c>
      <c r="G63" s="1843">
        <f t="shared" si="8"/>
        <v>351118</v>
      </c>
      <c r="H63" s="1842">
        <f>(G63/F63)*100</f>
        <v>100</v>
      </c>
      <c r="J63" s="1841">
        <f>E65+E45</f>
        <v>75929</v>
      </c>
      <c r="K63" s="1841">
        <f>F65+F45</f>
        <v>571084</v>
      </c>
      <c r="L63" s="1841">
        <f>G65+G45</f>
        <v>571084</v>
      </c>
    </row>
    <row r="64" spans="1:21" ht="20.25" customHeight="1" thickTop="1" x14ac:dyDescent="0.25">
      <c r="A64" s="1782"/>
      <c r="B64" s="1781"/>
      <c r="C64" s="1780"/>
      <c r="D64" s="1779"/>
      <c r="E64" s="1840"/>
      <c r="F64" s="1840"/>
      <c r="G64" s="1840"/>
      <c r="H64" s="1839"/>
    </row>
    <row r="65" spans="1:12" s="1687" customFormat="1" ht="23.25" customHeight="1" thickBot="1" x14ac:dyDescent="0.3">
      <c r="A65" s="1776" t="s">
        <v>466</v>
      </c>
      <c r="B65" s="1775"/>
      <c r="C65" s="1774"/>
      <c r="D65" s="1773"/>
      <c r="E65" s="1838">
        <f>E63</f>
        <v>75929</v>
      </c>
      <c r="F65" s="1838">
        <f t="shared" ref="F65:G65" si="9">F63</f>
        <v>351118</v>
      </c>
      <c r="G65" s="1838">
        <f t="shared" si="9"/>
        <v>351118</v>
      </c>
      <c r="H65" s="1837">
        <f>(G65/F65)*100</f>
        <v>100</v>
      </c>
    </row>
    <row r="66" spans="1:12" s="1687" customFormat="1" ht="17.25" thickTop="1" x14ac:dyDescent="0.25">
      <c r="A66" s="1701"/>
      <c r="B66" s="1700"/>
      <c r="C66" s="1699"/>
      <c r="D66" s="1698"/>
      <c r="E66" s="1884"/>
      <c r="F66" s="1884"/>
      <c r="G66" s="1884"/>
      <c r="H66" s="2486"/>
    </row>
    <row r="67" spans="1:12" s="1687" customFormat="1" ht="16.5" x14ac:dyDescent="0.25">
      <c r="A67" s="1701"/>
      <c r="B67" s="1700"/>
      <c r="C67" s="1699"/>
      <c r="D67" s="1698"/>
      <c r="E67" s="1884"/>
      <c r="F67" s="1884"/>
      <c r="G67" s="1884"/>
      <c r="H67" s="2486"/>
    </row>
    <row r="68" spans="1:12" s="1687" customFormat="1" ht="16.5" x14ac:dyDescent="0.25">
      <c r="A68" s="3181" t="s">
        <v>1151</v>
      </c>
      <c r="B68" s="3181"/>
      <c r="C68" s="3181"/>
      <c r="D68" s="3181"/>
      <c r="E68" s="3181"/>
      <c r="F68" s="3181"/>
      <c r="G68" s="3181"/>
      <c r="H68" s="3181"/>
    </row>
    <row r="69" spans="1:12" s="1687" customFormat="1" ht="16.5" x14ac:dyDescent="0.25">
      <c r="A69" s="3182" t="s">
        <v>1163</v>
      </c>
      <c r="B69" s="3182"/>
      <c r="C69" s="3182"/>
      <c r="D69" s="3182"/>
      <c r="E69" s="3182"/>
      <c r="F69" s="3182"/>
      <c r="G69" s="3182"/>
      <c r="H69" s="3182"/>
    </row>
    <row r="70" spans="1:12" s="1687" customFormat="1" ht="17.25" thickBot="1" x14ac:dyDescent="0.3">
      <c r="A70" s="33"/>
      <c r="B70" s="570"/>
      <c r="C70" s="571"/>
      <c r="D70" s="372"/>
      <c r="E70" s="373"/>
      <c r="F70" s="560"/>
      <c r="G70" s="373"/>
      <c r="H70" s="1568" t="s">
        <v>92</v>
      </c>
    </row>
    <row r="71" spans="1:12" s="1687" customFormat="1" ht="18" thickTop="1" thickBot="1" x14ac:dyDescent="0.3">
      <c r="A71" s="572" t="s">
        <v>93</v>
      </c>
      <c r="B71" s="573" t="s">
        <v>94</v>
      </c>
      <c r="C71" s="575" t="s">
        <v>364</v>
      </c>
      <c r="D71" s="639" t="s">
        <v>95</v>
      </c>
      <c r="E71" s="639" t="s">
        <v>328</v>
      </c>
      <c r="F71" s="639" t="s">
        <v>329</v>
      </c>
      <c r="G71" s="639" t="s">
        <v>448</v>
      </c>
      <c r="H71" s="576" t="s">
        <v>449</v>
      </c>
    </row>
    <row r="72" spans="1:12" s="1687" customFormat="1" ht="18" thickTop="1" thickBot="1" x14ac:dyDescent="0.3">
      <c r="A72" s="511">
        <v>1</v>
      </c>
      <c r="B72" s="512">
        <v>2</v>
      </c>
      <c r="C72" s="512">
        <v>3</v>
      </c>
      <c r="D72" s="512">
        <v>4</v>
      </c>
      <c r="E72" s="512">
        <v>5</v>
      </c>
      <c r="F72" s="499">
        <v>6</v>
      </c>
      <c r="G72" s="499">
        <v>7</v>
      </c>
      <c r="H72" s="577" t="s">
        <v>33</v>
      </c>
    </row>
    <row r="73" spans="1:12" s="1687" customFormat="1" ht="17.25" hidden="1" thickTop="1" x14ac:dyDescent="0.25">
      <c r="A73" s="2426">
        <v>2212</v>
      </c>
      <c r="B73" s="2492">
        <v>5321</v>
      </c>
      <c r="C73" s="2432" t="s">
        <v>1097</v>
      </c>
      <c r="D73" s="370" t="s">
        <v>566</v>
      </c>
      <c r="E73" s="310"/>
      <c r="F73" s="308"/>
      <c r="G73" s="310"/>
      <c r="H73" s="504" t="e">
        <f t="shared" ref="H73:H78" si="10">(G73/F73)*100</f>
        <v>#DIV/0!</v>
      </c>
    </row>
    <row r="74" spans="1:12" s="1687" customFormat="1" ht="17.25" thickTop="1" x14ac:dyDescent="0.25">
      <c r="A74" s="2426">
        <v>2212</v>
      </c>
      <c r="B74" s="2492">
        <v>6341</v>
      </c>
      <c r="C74" s="2432" t="s">
        <v>1097</v>
      </c>
      <c r="D74" s="2449" t="s">
        <v>136</v>
      </c>
      <c r="E74" s="428">
        <v>0</v>
      </c>
      <c r="F74" s="165">
        <v>439</v>
      </c>
      <c r="G74" s="310">
        <v>0</v>
      </c>
      <c r="H74" s="504">
        <f t="shared" si="10"/>
        <v>0</v>
      </c>
    </row>
    <row r="75" spans="1:12" s="1687" customFormat="1" ht="16.5" x14ac:dyDescent="0.25">
      <c r="A75" s="2426">
        <v>2219</v>
      </c>
      <c r="B75" s="2492">
        <v>6341</v>
      </c>
      <c r="C75" s="2432" t="s">
        <v>1097</v>
      </c>
      <c r="D75" s="2449" t="s">
        <v>136</v>
      </c>
      <c r="E75" s="428">
        <v>0</v>
      </c>
      <c r="F75" s="165">
        <v>2000</v>
      </c>
      <c r="G75" s="310">
        <v>2000</v>
      </c>
      <c r="H75" s="504">
        <f t="shared" si="10"/>
        <v>100</v>
      </c>
    </row>
    <row r="76" spans="1:12" s="1687" customFormat="1" ht="16.5" x14ac:dyDescent="0.25">
      <c r="A76" s="2426">
        <v>2223</v>
      </c>
      <c r="B76" s="2492">
        <v>5339</v>
      </c>
      <c r="C76" s="2432" t="s">
        <v>1097</v>
      </c>
      <c r="D76" s="1071" t="s">
        <v>1304</v>
      </c>
      <c r="E76" s="428">
        <v>0</v>
      </c>
      <c r="F76" s="165">
        <v>1000</v>
      </c>
      <c r="G76" s="310">
        <v>1000</v>
      </c>
      <c r="H76" s="504">
        <f t="shared" si="10"/>
        <v>100</v>
      </c>
    </row>
    <row r="77" spans="1:12" s="1687" customFormat="1" ht="17.25" thickBot="1" x14ac:dyDescent="0.3">
      <c r="A77" s="2426">
        <v>2242</v>
      </c>
      <c r="B77" s="2492">
        <v>5222</v>
      </c>
      <c r="C77" s="2432" t="s">
        <v>1097</v>
      </c>
      <c r="D77" s="1032" t="s">
        <v>800</v>
      </c>
      <c r="E77" s="428">
        <v>0</v>
      </c>
      <c r="F77" s="165">
        <v>40</v>
      </c>
      <c r="G77" s="310">
        <v>40</v>
      </c>
      <c r="H77" s="504">
        <f t="shared" si="10"/>
        <v>100</v>
      </c>
    </row>
    <row r="78" spans="1:12" s="1687" customFormat="1" ht="19.5" thickTop="1" thickBot="1" x14ac:dyDescent="0.3">
      <c r="A78" s="578" t="s">
        <v>1167</v>
      </c>
      <c r="B78" s="744"/>
      <c r="C78" s="580"/>
      <c r="D78" s="581"/>
      <c r="E78" s="582">
        <f>SUM(E73:E77)</f>
        <v>0</v>
      </c>
      <c r="F78" s="582">
        <f t="shared" ref="F78:G78" si="11">SUM(F73:F77)</f>
        <v>3479</v>
      </c>
      <c r="G78" s="582">
        <f t="shared" si="11"/>
        <v>3040</v>
      </c>
      <c r="H78" s="783">
        <f t="shared" si="10"/>
        <v>87.381431445817753</v>
      </c>
      <c r="L78" s="1688">
        <v>3040403.28</v>
      </c>
    </row>
    <row r="79" spans="1:12" s="1687" customFormat="1" ht="18.75" thickTop="1" x14ac:dyDescent="0.25">
      <c r="A79" s="353"/>
      <c r="B79" s="354"/>
      <c r="C79" s="139"/>
      <c r="D79" s="354"/>
      <c r="E79" s="17"/>
      <c r="F79" s="17"/>
      <c r="G79" s="17"/>
      <c r="H79" s="2359"/>
      <c r="L79" s="1688"/>
    </row>
    <row r="80" spans="1:12" s="1687" customFormat="1" ht="16.5" x14ac:dyDescent="0.25">
      <c r="A80" s="3182" t="s">
        <v>1294</v>
      </c>
      <c r="B80" s="3182"/>
      <c r="C80" s="3182"/>
      <c r="D80" s="3182"/>
      <c r="E80" s="3182"/>
      <c r="F80" s="3182"/>
      <c r="G80" s="3182"/>
      <c r="H80" s="3182"/>
      <c r="L80" s="1688"/>
    </row>
    <row r="81" spans="1:12" s="1687" customFormat="1" ht="17.25" thickBot="1" x14ac:dyDescent="0.3">
      <c r="A81" s="33"/>
      <c r="B81" s="570"/>
      <c r="C81" s="571"/>
      <c r="D81" s="372"/>
      <c r="E81" s="373"/>
      <c r="F81" s="560"/>
      <c r="G81" s="373"/>
      <c r="H81" s="1568" t="s">
        <v>92</v>
      </c>
      <c r="L81" s="1688"/>
    </row>
    <row r="82" spans="1:12" s="1687" customFormat="1" ht="18" thickTop="1" thickBot="1" x14ac:dyDescent="0.3">
      <c r="A82" s="572" t="s">
        <v>93</v>
      </c>
      <c r="B82" s="573" t="s">
        <v>94</v>
      </c>
      <c r="C82" s="575" t="s">
        <v>364</v>
      </c>
      <c r="D82" s="639" t="s">
        <v>95</v>
      </c>
      <c r="E82" s="639" t="s">
        <v>328</v>
      </c>
      <c r="F82" s="639" t="s">
        <v>329</v>
      </c>
      <c r="G82" s="639" t="s">
        <v>448</v>
      </c>
      <c r="H82" s="576" t="s">
        <v>449</v>
      </c>
      <c r="L82" s="1688"/>
    </row>
    <row r="83" spans="1:12" s="1687" customFormat="1" ht="18" thickTop="1" thickBot="1" x14ac:dyDescent="0.3">
      <c r="A83" s="511">
        <v>1</v>
      </c>
      <c r="B83" s="512">
        <v>2</v>
      </c>
      <c r="C83" s="512">
        <v>3</v>
      </c>
      <c r="D83" s="512">
        <v>4</v>
      </c>
      <c r="E83" s="512">
        <v>5</v>
      </c>
      <c r="F83" s="499">
        <v>6</v>
      </c>
      <c r="G83" s="499">
        <v>7</v>
      </c>
      <c r="H83" s="577" t="s">
        <v>33</v>
      </c>
      <c r="L83" s="1688"/>
    </row>
    <row r="84" spans="1:12" s="1687" customFormat="1" ht="18" thickTop="1" thickBot="1" x14ac:dyDescent="0.3">
      <c r="A84" s="2426">
        <v>2219</v>
      </c>
      <c r="B84" s="2492">
        <v>6341</v>
      </c>
      <c r="C84" s="2432" t="s">
        <v>1295</v>
      </c>
      <c r="D84" s="2449" t="s">
        <v>136</v>
      </c>
      <c r="E84" s="428">
        <v>7000</v>
      </c>
      <c r="F84" s="165">
        <v>10414</v>
      </c>
      <c r="G84" s="310">
        <v>9395</v>
      </c>
      <c r="H84" s="504">
        <f>(G84/F84)*100</f>
        <v>90.215095064336467</v>
      </c>
      <c r="L84" s="1688"/>
    </row>
    <row r="85" spans="1:12" s="1687" customFormat="1" ht="19.5" thickTop="1" thickBot="1" x14ac:dyDescent="0.3">
      <c r="A85" s="578" t="s">
        <v>1296</v>
      </c>
      <c r="B85" s="744"/>
      <c r="C85" s="580"/>
      <c r="D85" s="581"/>
      <c r="E85" s="582">
        <f>SUM(E84:E84)</f>
        <v>7000</v>
      </c>
      <c r="F85" s="582">
        <f>SUM(F84:F84)</f>
        <v>10414</v>
      </c>
      <c r="G85" s="582">
        <f>SUM(G84:G84)</f>
        <v>9395</v>
      </c>
      <c r="H85" s="783">
        <f t="shared" ref="H85" si="12">(G85/F85)*100</f>
        <v>90.215095064336467</v>
      </c>
      <c r="L85" s="1688">
        <v>9394590.9399999995</v>
      </c>
    </row>
    <row r="86" spans="1:12" s="1687" customFormat="1" ht="18.75" thickTop="1" x14ac:dyDescent="0.25">
      <c r="A86" s="353"/>
      <c r="B86" s="2351"/>
      <c r="C86" s="57"/>
      <c r="D86" s="354"/>
      <c r="E86" s="17"/>
      <c r="F86" s="17"/>
      <c r="G86" s="17"/>
      <c r="H86" s="2352"/>
      <c r="L86" s="1719"/>
    </row>
    <row r="87" spans="1:12" s="1687" customFormat="1" ht="16.5" x14ac:dyDescent="0.25">
      <c r="A87" s="3182" t="s">
        <v>1297</v>
      </c>
      <c r="B87" s="3182"/>
      <c r="C87" s="3182"/>
      <c r="D87" s="3182"/>
      <c r="E87" s="3182"/>
      <c r="F87" s="3182"/>
      <c r="G87" s="3182"/>
      <c r="H87" s="3182"/>
      <c r="L87" s="1719"/>
    </row>
    <row r="88" spans="1:12" s="1687" customFormat="1" ht="17.25" thickBot="1" x14ac:dyDescent="0.3">
      <c r="A88" s="33"/>
      <c r="B88" s="570"/>
      <c r="C88" s="571"/>
      <c r="D88" s="372"/>
      <c r="E88" s="373"/>
      <c r="F88" s="560"/>
      <c r="G88" s="373"/>
      <c r="H88" s="1568" t="s">
        <v>92</v>
      </c>
      <c r="L88" s="1719"/>
    </row>
    <row r="89" spans="1:12" s="1687" customFormat="1" ht="18" thickTop="1" thickBot="1" x14ac:dyDescent="0.3">
      <c r="A89" s="572" t="s">
        <v>93</v>
      </c>
      <c r="B89" s="573" t="s">
        <v>94</v>
      </c>
      <c r="C89" s="575" t="s">
        <v>364</v>
      </c>
      <c r="D89" s="639" t="s">
        <v>95</v>
      </c>
      <c r="E89" s="639" t="s">
        <v>328</v>
      </c>
      <c r="F89" s="639" t="s">
        <v>329</v>
      </c>
      <c r="G89" s="639" t="s">
        <v>448</v>
      </c>
      <c r="H89" s="576" t="s">
        <v>449</v>
      </c>
      <c r="L89" s="1719"/>
    </row>
    <row r="90" spans="1:12" s="1687" customFormat="1" ht="18" thickTop="1" thickBot="1" x14ac:dyDescent="0.3">
      <c r="A90" s="511">
        <v>1</v>
      </c>
      <c r="B90" s="512">
        <v>2</v>
      </c>
      <c r="C90" s="512">
        <v>3</v>
      </c>
      <c r="D90" s="512">
        <v>4</v>
      </c>
      <c r="E90" s="512">
        <v>5</v>
      </c>
      <c r="F90" s="499">
        <v>6</v>
      </c>
      <c r="G90" s="499">
        <v>7</v>
      </c>
      <c r="H90" s="577" t="s">
        <v>33</v>
      </c>
      <c r="L90" s="1719"/>
    </row>
    <row r="91" spans="1:12" s="1687" customFormat="1" ht="17.25" customHeight="1" thickTop="1" x14ac:dyDescent="0.25">
      <c r="A91" s="2426">
        <v>2212</v>
      </c>
      <c r="B91" s="2492">
        <v>5321</v>
      </c>
      <c r="C91" s="2432" t="s">
        <v>1298</v>
      </c>
      <c r="D91" s="370" t="s">
        <v>566</v>
      </c>
      <c r="E91" s="310">
        <v>0</v>
      </c>
      <c r="F91" s="308">
        <v>407</v>
      </c>
      <c r="G91" s="310">
        <v>334</v>
      </c>
      <c r="H91" s="504">
        <f t="shared" ref="H91:H92" si="13">(G91/F91)*100</f>
        <v>82.063882063882062</v>
      </c>
      <c r="L91" s="1719"/>
    </row>
    <row r="92" spans="1:12" s="1687" customFormat="1" ht="17.25" customHeight="1" thickBot="1" x14ac:dyDescent="0.3">
      <c r="A92" s="2426">
        <v>2212</v>
      </c>
      <c r="B92" s="2492">
        <v>6341</v>
      </c>
      <c r="C92" s="2432" t="s">
        <v>1298</v>
      </c>
      <c r="D92" s="2449" t="s">
        <v>136</v>
      </c>
      <c r="E92" s="310">
        <v>7000</v>
      </c>
      <c r="F92" s="308">
        <v>4811</v>
      </c>
      <c r="G92" s="310">
        <v>4554</v>
      </c>
      <c r="H92" s="504">
        <f t="shared" si="13"/>
        <v>94.658075244231966</v>
      </c>
      <c r="L92" s="1719"/>
    </row>
    <row r="93" spans="1:12" s="1687" customFormat="1" ht="19.5" thickTop="1" thickBot="1" x14ac:dyDescent="0.3">
      <c r="A93" s="578" t="s">
        <v>1299</v>
      </c>
      <c r="B93" s="744"/>
      <c r="C93" s="580"/>
      <c r="D93" s="581"/>
      <c r="E93" s="582">
        <f>SUM(E91:E92)</f>
        <v>7000</v>
      </c>
      <c r="F93" s="582">
        <f t="shared" ref="F93:G93" si="14">SUM(F91:F92)</f>
        <v>5218</v>
      </c>
      <c r="G93" s="582">
        <f t="shared" si="14"/>
        <v>4888</v>
      </c>
      <c r="H93" s="783">
        <f>(G93/F93)*100</f>
        <v>93.675737830586442</v>
      </c>
      <c r="L93" s="1688">
        <v>4888064.5</v>
      </c>
    </row>
    <row r="94" spans="1:12" s="1687" customFormat="1" ht="17.25" thickTop="1" x14ac:dyDescent="0.25">
      <c r="A94" s="1701"/>
      <c r="B94" s="1700"/>
      <c r="C94" s="1699"/>
      <c r="D94" s="1698"/>
      <c r="E94" s="1884"/>
      <c r="F94" s="1884"/>
      <c r="G94" s="1884"/>
      <c r="H94" s="2486"/>
      <c r="L94" s="1719"/>
    </row>
    <row r="95" spans="1:12" s="1687" customFormat="1" ht="16.5" x14ac:dyDescent="0.25">
      <c r="A95" s="3182" t="s">
        <v>1302</v>
      </c>
      <c r="B95" s="3182"/>
      <c r="C95" s="3182"/>
      <c r="D95" s="3182"/>
      <c r="E95" s="3182"/>
      <c r="F95" s="3182"/>
      <c r="G95" s="3182"/>
      <c r="H95" s="3182"/>
      <c r="L95" s="1719"/>
    </row>
    <row r="96" spans="1:12" s="1687" customFormat="1" ht="17.25" thickBot="1" x14ac:dyDescent="0.3">
      <c r="A96" s="33"/>
      <c r="B96" s="570"/>
      <c r="C96" s="571"/>
      <c r="D96" s="372"/>
      <c r="E96" s="373"/>
      <c r="F96" s="560"/>
      <c r="G96" s="373"/>
      <c r="H96" s="1568" t="s">
        <v>92</v>
      </c>
      <c r="L96" s="1719"/>
    </row>
    <row r="97" spans="1:17" s="1687" customFormat="1" ht="18" thickTop="1" thickBot="1" x14ac:dyDescent="0.3">
      <c r="A97" s="572" t="s">
        <v>93</v>
      </c>
      <c r="B97" s="573" t="s">
        <v>94</v>
      </c>
      <c r="C97" s="575" t="s">
        <v>364</v>
      </c>
      <c r="D97" s="639" t="s">
        <v>95</v>
      </c>
      <c r="E97" s="639" t="s">
        <v>328</v>
      </c>
      <c r="F97" s="639" t="s">
        <v>329</v>
      </c>
      <c r="G97" s="639" t="s">
        <v>448</v>
      </c>
      <c r="H97" s="576" t="s">
        <v>449</v>
      </c>
      <c r="L97" s="1719"/>
    </row>
    <row r="98" spans="1:17" s="1687" customFormat="1" ht="18" thickTop="1" thickBot="1" x14ac:dyDescent="0.3">
      <c r="A98" s="511">
        <v>1</v>
      </c>
      <c r="B98" s="512">
        <v>2</v>
      </c>
      <c r="C98" s="512">
        <v>3</v>
      </c>
      <c r="D98" s="512">
        <v>4</v>
      </c>
      <c r="E98" s="512">
        <v>5</v>
      </c>
      <c r="F98" s="499">
        <v>6</v>
      </c>
      <c r="G98" s="499">
        <v>7</v>
      </c>
      <c r="H98" s="577" t="s">
        <v>33</v>
      </c>
      <c r="L98" s="1719"/>
    </row>
    <row r="99" spans="1:17" s="1687" customFormat="1" ht="18" thickTop="1" thickBot="1" x14ac:dyDescent="0.3">
      <c r="A99" s="2426">
        <v>2212</v>
      </c>
      <c r="B99" s="2492">
        <v>6341</v>
      </c>
      <c r="C99" s="2432" t="s">
        <v>1300</v>
      </c>
      <c r="D99" s="2449" t="s">
        <v>136</v>
      </c>
      <c r="E99" s="310">
        <v>7000</v>
      </c>
      <c r="F99" s="308">
        <v>1144</v>
      </c>
      <c r="G99" s="310">
        <v>1060</v>
      </c>
      <c r="H99" s="504">
        <f t="shared" ref="H99" si="15">(G99/F99)*100</f>
        <v>92.657342657342653</v>
      </c>
      <c r="L99" s="1719"/>
    </row>
    <row r="100" spans="1:17" ht="19.5" thickTop="1" thickBot="1" x14ac:dyDescent="0.3">
      <c r="A100" s="578" t="s">
        <v>1301</v>
      </c>
      <c r="B100" s="744"/>
      <c r="C100" s="580"/>
      <c r="D100" s="581"/>
      <c r="E100" s="582">
        <f>SUM(E99:E99)</f>
        <v>7000</v>
      </c>
      <c r="F100" s="582">
        <f>SUM(F99:F99)</f>
        <v>1144</v>
      </c>
      <c r="G100" s="582">
        <f>SUM(G99:G99)</f>
        <v>1060</v>
      </c>
      <c r="H100" s="783">
        <f>(G100/F100)*100</f>
        <v>92.657342657342653</v>
      </c>
      <c r="L100" s="1688">
        <v>1059550.76</v>
      </c>
      <c r="N100" s="372" t="s">
        <v>1512</v>
      </c>
      <c r="O100" s="373">
        <f>E77+E76+E73+E91</f>
        <v>0</v>
      </c>
      <c r="P100" s="373">
        <f t="shared" ref="P100:Q100" si="16">F77+F76+F73+F91</f>
        <v>1447</v>
      </c>
      <c r="Q100" s="373">
        <f t="shared" si="16"/>
        <v>1374</v>
      </c>
    </row>
    <row r="101" spans="1:17" ht="14.25" thickTop="1" thickBot="1" x14ac:dyDescent="0.25">
      <c r="N101" s="372" t="s">
        <v>1511</v>
      </c>
      <c r="O101" s="373">
        <f>E99+E92+E84+E74+E75</f>
        <v>21000</v>
      </c>
      <c r="P101" s="373">
        <f t="shared" ref="P101:Q101" si="17">F99+F92+F84+F74+F75</f>
        <v>18808</v>
      </c>
      <c r="Q101" s="373">
        <f t="shared" si="17"/>
        <v>17009</v>
      </c>
    </row>
    <row r="102" spans="1:17" ht="19.5" thickTop="1" thickBot="1" x14ac:dyDescent="0.3">
      <c r="A102" s="578" t="s">
        <v>1152</v>
      </c>
      <c r="B102" s="744"/>
      <c r="C102" s="580"/>
      <c r="D102" s="581"/>
      <c r="E102" s="582">
        <f>E100+E93+E85+E78</f>
        <v>21000</v>
      </c>
      <c r="F102" s="582">
        <f t="shared" ref="F102:G102" si="18">F100+F93+F85+F78</f>
        <v>20255</v>
      </c>
      <c r="G102" s="582">
        <f t="shared" si="18"/>
        <v>18383</v>
      </c>
      <c r="H102" s="783">
        <f>(G102/F102)*100</f>
        <v>90.757837570970139</v>
      </c>
      <c r="L102" s="1218">
        <f>L100+L93+L85+L78</f>
        <v>18382609.48</v>
      </c>
      <c r="N102" s="372"/>
      <c r="O102" s="526">
        <f>SUM(O100:O101)</f>
        <v>21000</v>
      </c>
      <c r="P102" s="526">
        <f t="shared" ref="P102:Q102" si="19">SUM(P100:P101)</f>
        <v>20255</v>
      </c>
      <c r="Q102" s="526">
        <f t="shared" si="19"/>
        <v>18383</v>
      </c>
    </row>
    <row r="103" spans="1:17" ht="13.5" thickTop="1" x14ac:dyDescent="0.2"/>
    <row r="108" spans="1:17" ht="16.5" x14ac:dyDescent="0.25">
      <c r="A108" s="1701" t="s">
        <v>1945</v>
      </c>
      <c r="B108" s="1700"/>
      <c r="C108" s="1699"/>
      <c r="D108" s="1698"/>
      <c r="E108" s="1151">
        <f>E109+E110+E111+E112</f>
        <v>780</v>
      </c>
      <c r="F108" s="1151">
        <f>F109+F110+F111+F112</f>
        <v>1085</v>
      </c>
      <c r="G108" s="1151">
        <f>G109+G110+G111+G112</f>
        <v>632</v>
      </c>
      <c r="H108" s="1834">
        <f>(G108/F108)*100</f>
        <v>58.248847926267274</v>
      </c>
      <c r="J108" s="1720">
        <f>J109+J110+J111+J112</f>
        <v>780000</v>
      </c>
      <c r="K108" s="1720">
        <f>K109+K110+K111+K112</f>
        <v>1085000</v>
      </c>
      <c r="L108" s="1720">
        <f>L109+L110+L111+L112</f>
        <v>632790</v>
      </c>
    </row>
    <row r="109" spans="1:17" ht="15" x14ac:dyDescent="0.2">
      <c r="A109" s="1011" t="s">
        <v>147</v>
      </c>
      <c r="B109" s="1013"/>
      <c r="C109" s="1009"/>
      <c r="D109" s="1154"/>
      <c r="E109" s="1012">
        <f>E20</f>
        <v>780</v>
      </c>
      <c r="F109" s="1012">
        <f>F20</f>
        <v>1085</v>
      </c>
      <c r="G109" s="1012">
        <f>G20</f>
        <v>632</v>
      </c>
      <c r="H109" s="1833">
        <f>(G109/F109)*100</f>
        <v>58.248847926267274</v>
      </c>
      <c r="J109" s="1836">
        <v>780000</v>
      </c>
      <c r="K109" s="1836">
        <f>K20</f>
        <v>1085000</v>
      </c>
      <c r="L109" s="1836">
        <f>L20</f>
        <v>632790</v>
      </c>
    </row>
    <row r="110" spans="1:17" ht="15" x14ac:dyDescent="0.2">
      <c r="A110" s="1011" t="s">
        <v>148</v>
      </c>
      <c r="B110" s="1010"/>
      <c r="C110" s="1009"/>
      <c r="D110" s="1156"/>
      <c r="E110" s="1012">
        <f>E31</f>
        <v>0</v>
      </c>
      <c r="F110" s="1012">
        <f>F31</f>
        <v>0</v>
      </c>
      <c r="G110" s="1012">
        <f>G31</f>
        <v>0</v>
      </c>
      <c r="H110" s="1833">
        <v>0</v>
      </c>
      <c r="J110" s="1836">
        <v>0</v>
      </c>
      <c r="K110" s="1836">
        <v>0</v>
      </c>
      <c r="L110" s="1836">
        <v>0</v>
      </c>
    </row>
    <row r="111" spans="1:17" ht="15" x14ac:dyDescent="0.2">
      <c r="A111" s="1011" t="s">
        <v>119</v>
      </c>
      <c r="B111" s="1010"/>
      <c r="C111" s="1009"/>
      <c r="D111" s="1156"/>
      <c r="E111" s="1012">
        <v>0</v>
      </c>
      <c r="F111" s="1012">
        <v>0</v>
      </c>
      <c r="G111" s="1012">
        <v>0</v>
      </c>
      <c r="H111" s="1833">
        <v>0</v>
      </c>
      <c r="J111" s="1836">
        <v>0</v>
      </c>
      <c r="K111" s="1836">
        <v>0</v>
      </c>
      <c r="L111" s="1836">
        <v>0</v>
      </c>
    </row>
    <row r="112" spans="1:17" ht="15" x14ac:dyDescent="0.2">
      <c r="A112" s="1011" t="s">
        <v>537</v>
      </c>
      <c r="B112" s="1010"/>
      <c r="C112" s="1009"/>
      <c r="D112" s="1156"/>
      <c r="E112" s="1012">
        <v>0</v>
      </c>
      <c r="F112" s="1012">
        <v>0</v>
      </c>
      <c r="G112" s="1012">
        <v>0</v>
      </c>
      <c r="H112" s="1833">
        <v>0</v>
      </c>
      <c r="J112" s="1836">
        <v>0</v>
      </c>
      <c r="K112" s="1836">
        <v>0</v>
      </c>
      <c r="L112" s="1836">
        <v>0</v>
      </c>
      <c r="M112" s="1002"/>
    </row>
    <row r="113" spans="1:15" ht="15" x14ac:dyDescent="0.2">
      <c r="A113" s="1011"/>
      <c r="B113" s="1010"/>
      <c r="C113" s="1009"/>
      <c r="D113" s="1156"/>
      <c r="E113" s="1012"/>
      <c r="F113" s="1012"/>
      <c r="G113" s="1012"/>
      <c r="H113" s="1835"/>
      <c r="L113" s="1160"/>
      <c r="M113" s="1160"/>
    </row>
    <row r="114" spans="1:15" ht="16.5" x14ac:dyDescent="0.25">
      <c r="A114" s="1694" t="s">
        <v>149</v>
      </c>
      <c r="B114" s="1010"/>
      <c r="C114" s="1009"/>
      <c r="D114" s="1156"/>
      <c r="E114" s="1151">
        <f>E115+E116+E117+E118</f>
        <v>75929</v>
      </c>
      <c r="F114" s="1151">
        <f>F115+F116+F117+F118</f>
        <v>571084</v>
      </c>
      <c r="G114" s="1151">
        <f>G115+G116+G117+G118</f>
        <v>571084</v>
      </c>
      <c r="H114" s="1834">
        <f>(G114/F114)*100</f>
        <v>100</v>
      </c>
      <c r="J114" s="1688">
        <f>J115+J116+J117+J118</f>
        <v>75929000</v>
      </c>
      <c r="K114" s="1688">
        <f>K115+K116+K117+K118</f>
        <v>571083187.59000003</v>
      </c>
      <c r="L114" s="1688">
        <f>L115+L116+L117+L118</f>
        <v>571083187.59000003</v>
      </c>
      <c r="M114" s="1002"/>
    </row>
    <row r="115" spans="1:15" ht="15" x14ac:dyDescent="0.2">
      <c r="A115" s="1011" t="s">
        <v>946</v>
      </c>
      <c r="B115" s="1010"/>
      <c r="C115" s="1009"/>
      <c r="D115" s="1156"/>
      <c r="E115" s="1012">
        <f>E54</f>
        <v>0</v>
      </c>
      <c r="F115" s="1012">
        <f t="shared" ref="F115:G115" si="20">F54</f>
        <v>14543</v>
      </c>
      <c r="G115" s="1012">
        <f t="shared" si="20"/>
        <v>14543</v>
      </c>
      <c r="H115" s="1833">
        <f>(G115/F115)*100</f>
        <v>100</v>
      </c>
      <c r="J115" s="1218">
        <v>0</v>
      </c>
      <c r="K115" s="1218">
        <v>14543000</v>
      </c>
      <c r="L115" s="1218">
        <v>14543000</v>
      </c>
    </row>
    <row r="116" spans="1:15" ht="15" x14ac:dyDescent="0.2">
      <c r="A116" s="1011" t="s">
        <v>945</v>
      </c>
      <c r="B116" s="1010"/>
      <c r="C116" s="1009"/>
      <c r="D116" s="1156"/>
      <c r="E116" s="1012">
        <f>E63-E118</f>
        <v>75929</v>
      </c>
      <c r="F116" s="1012">
        <f>F63-F118-F115</f>
        <v>324890</v>
      </c>
      <c r="G116" s="1012">
        <f>G63-G118-G115</f>
        <v>324890</v>
      </c>
      <c r="H116" s="1833">
        <f>(G116/F116)*100</f>
        <v>100</v>
      </c>
      <c r="J116" s="1218">
        <v>75929000</v>
      </c>
      <c r="K116" s="1218">
        <v>324889950.95999998</v>
      </c>
      <c r="L116" s="1218">
        <f>255116748.33+9788512.69+59984689.94</f>
        <v>324889950.96000004</v>
      </c>
    </row>
    <row r="117" spans="1:15" ht="15" x14ac:dyDescent="0.2">
      <c r="A117" s="1011" t="s">
        <v>1064</v>
      </c>
      <c r="B117" s="1677"/>
      <c r="C117" s="1676"/>
      <c r="E117" s="1012">
        <f>E43</f>
        <v>0</v>
      </c>
      <c r="F117" s="1012">
        <f t="shared" ref="F117:G117" si="21">F43</f>
        <v>219966</v>
      </c>
      <c r="G117" s="1012">
        <f t="shared" si="21"/>
        <v>219966</v>
      </c>
      <c r="H117" s="1833">
        <f>(G117/F117)*100</f>
        <v>100</v>
      </c>
      <c r="J117" s="1218">
        <v>0</v>
      </c>
      <c r="K117" s="1218">
        <v>219965730</v>
      </c>
      <c r="L117" s="1218">
        <v>219965730</v>
      </c>
      <c r="N117" s="1218">
        <f>K117+K118</f>
        <v>231650236.63</v>
      </c>
      <c r="O117" s="1218">
        <f>L117+L118</f>
        <v>231650236.63</v>
      </c>
    </row>
    <row r="118" spans="1:15" ht="15" x14ac:dyDescent="0.2">
      <c r="A118" s="1011" t="s">
        <v>1065</v>
      </c>
      <c r="B118" s="1677"/>
      <c r="C118" s="1676"/>
      <c r="E118" s="1012">
        <v>0</v>
      </c>
      <c r="F118" s="1012">
        <f>F61+F62</f>
        <v>11685</v>
      </c>
      <c r="G118" s="1012">
        <f>G61+G62</f>
        <v>11685</v>
      </c>
      <c r="H118" s="1833">
        <f>(G118/F118)*100</f>
        <v>100</v>
      </c>
      <c r="J118" s="1218">
        <v>0</v>
      </c>
      <c r="K118" s="1218">
        <v>11684506.630000001</v>
      </c>
      <c r="L118" s="1218">
        <v>11684506.630000001</v>
      </c>
    </row>
    <row r="120" spans="1:15" ht="15.75" x14ac:dyDescent="0.25">
      <c r="A120" s="732" t="s">
        <v>1151</v>
      </c>
      <c r="B120" s="936"/>
      <c r="C120" s="935"/>
      <c r="D120" s="935"/>
      <c r="E120" s="526">
        <f>E102</f>
        <v>21000</v>
      </c>
      <c r="F120" s="526">
        <f t="shared" ref="F120:G120" si="22">F102</f>
        <v>20255</v>
      </c>
      <c r="G120" s="526">
        <f t="shared" si="22"/>
        <v>18383</v>
      </c>
      <c r="H120" s="641">
        <f>(G120/F120)*100</f>
        <v>90.757837570970139</v>
      </c>
      <c r="J120" s="1688">
        <v>21000000</v>
      </c>
      <c r="K120" s="1688">
        <v>20255745.890000001</v>
      </c>
      <c r="L120" s="1688">
        <f>L102</f>
        <v>18382609.48</v>
      </c>
    </row>
    <row r="122" spans="1:15" s="1004" customFormat="1" ht="47.25" customHeight="1" thickBot="1" x14ac:dyDescent="0.4">
      <c r="A122" s="3264" t="s">
        <v>225</v>
      </c>
      <c r="B122" s="3265"/>
      <c r="C122" s="3265"/>
      <c r="D122" s="3265"/>
      <c r="E122" s="1832">
        <f>SUM(E108,E114,E120)</f>
        <v>97709</v>
      </c>
      <c r="F122" s="1832">
        <f>SUM(F108,F114,F120)</f>
        <v>592424</v>
      </c>
      <c r="G122" s="1832">
        <f>SUM(G108,G114,G120)</f>
        <v>590099</v>
      </c>
      <c r="H122" s="1831">
        <f>(G122/F122)*100</f>
        <v>99.607544596437691</v>
      </c>
      <c r="J122" s="1830">
        <f>J108+J114+J120</f>
        <v>97709000</v>
      </c>
      <c r="K122" s="1830">
        <f t="shared" ref="K122" si="23">K108+K114+K120</f>
        <v>592423933.48000002</v>
      </c>
      <c r="L122" s="1830">
        <f>L108+L114+L120</f>
        <v>590098587.07000005</v>
      </c>
    </row>
    <row r="123" spans="1:15" ht="13.5" thickTop="1" x14ac:dyDescent="0.2"/>
    <row r="124" spans="1:15" x14ac:dyDescent="0.2">
      <c r="E124" s="1218"/>
      <c r="F124" s="1218"/>
      <c r="G124" s="1218"/>
    </row>
    <row r="125" spans="1:15" x14ac:dyDescent="0.2">
      <c r="J125" s="1002"/>
      <c r="K125" s="1002"/>
      <c r="L125" s="1002"/>
    </row>
  </sheetData>
  <mergeCells count="9">
    <mergeCell ref="A95:H95"/>
    <mergeCell ref="A122:D122"/>
    <mergeCell ref="A35:D36"/>
    <mergeCell ref="A45:D46"/>
    <mergeCell ref="D41:D42"/>
    <mergeCell ref="A68:H68"/>
    <mergeCell ref="A69:H69"/>
    <mergeCell ref="A80:H80"/>
    <mergeCell ref="A87:H87"/>
  </mergeCells>
  <pageMargins left="0.98425196850393704" right="0.98425196850393704" top="0.98425196850393704" bottom="0.98425196850393704" header="0.51181102362204722" footer="0.51181102362204722"/>
  <pageSetup paperSize="9" scale="67" firstPageNumber="85" orientation="portrait" useFirstPageNumber="1" r:id="rId1"/>
  <headerFooter alignWithMargins="0">
    <oddFooter>&amp;L&amp;"Arial,Kurzíva"Zastupitelstvo Olomouckého kraje 25. 6. 2018
5. - Rozpočet Olomouckého kraje 2017 - závěrečný  účet 
Příloha č. 3: Plnění rozpočtu výdajů Olomouckého kraje k 31. 12. 2017&amp;R&amp;"Arial,Kurzíva"Strana &amp;P (celkem 478)</oddFooter>
  </headerFooter>
  <rowBreaks count="1" manualBreakCount="1">
    <brk id="65" max="7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FF"/>
  </sheetPr>
  <dimension ref="A1:N78"/>
  <sheetViews>
    <sheetView showGridLines="0" view="pageBreakPreview" zoomScaleNormal="100" zoomScaleSheetLayoutView="100" workbookViewId="0">
      <selection activeCell="A2" sqref="A2:H2"/>
    </sheetView>
  </sheetViews>
  <sheetFormatPr defaultColWidth="9.140625" defaultRowHeight="12.75" x14ac:dyDescent="0.2"/>
  <cols>
    <col min="1" max="1" width="5.42578125" style="1677" customWidth="1"/>
    <col min="2" max="2" width="5.140625" style="1677" customWidth="1"/>
    <col min="3" max="3" width="9.85546875" style="1676" customWidth="1"/>
    <col min="4" max="4" width="45.85546875" style="997" customWidth="1"/>
    <col min="5" max="5" width="14.7109375" style="1002" customWidth="1"/>
    <col min="6" max="6" width="14.5703125" style="1002" customWidth="1"/>
    <col min="7" max="7" width="13.140625" style="1002" customWidth="1"/>
    <col min="8" max="8" width="7.28515625" style="1753" customWidth="1"/>
    <col min="9" max="9" width="9.140625" style="997"/>
    <col min="10" max="11" width="13.7109375" style="997" bestFit="1" customWidth="1"/>
    <col min="12" max="12" width="18.7109375" style="997" bestFit="1" customWidth="1"/>
    <col min="13" max="13" width="9.140625" style="997"/>
    <col min="14" max="14" width="10.140625" style="997" bestFit="1" customWidth="1"/>
    <col min="15" max="15" width="12.28515625" style="997" customWidth="1"/>
    <col min="16" max="16384" width="9.140625" style="997"/>
  </cols>
  <sheetData>
    <row r="1" spans="1:11" s="1821" customFormat="1" ht="18.75" thickBot="1" x14ac:dyDescent="0.3">
      <c r="A1" s="1827" t="s">
        <v>1913</v>
      </c>
      <c r="B1" s="1826"/>
      <c r="C1" s="1900"/>
      <c r="D1" s="1824"/>
      <c r="E1" s="1899"/>
      <c r="F1" s="1899" t="s">
        <v>226</v>
      </c>
      <c r="G1" s="1898"/>
      <c r="H1" s="1897"/>
    </row>
    <row r="2" spans="1:11" ht="32.25" customHeight="1" x14ac:dyDescent="0.2">
      <c r="A2" s="3198" t="s">
        <v>1912</v>
      </c>
      <c r="B2" s="3198"/>
      <c r="C2" s="3198"/>
      <c r="D2" s="3198"/>
      <c r="E2" s="3198"/>
      <c r="F2" s="3198"/>
      <c r="G2" s="3198"/>
      <c r="H2" s="3198"/>
    </row>
    <row r="3" spans="1:11" x14ac:dyDescent="0.2">
      <c r="A3" s="1712"/>
    </row>
    <row r="4" spans="1:11" s="1697" customFormat="1" ht="14.25" x14ac:dyDescent="0.2">
      <c r="A4" s="1820" t="s">
        <v>201</v>
      </c>
      <c r="B4" s="1819"/>
      <c r="C4" s="1096" t="s">
        <v>948</v>
      </c>
      <c r="E4" s="1878"/>
      <c r="F4" s="1878"/>
      <c r="G4" s="1878"/>
      <c r="H4" s="1674"/>
    </row>
    <row r="5" spans="1:11" ht="14.25" x14ac:dyDescent="0.2">
      <c r="A5" s="1712"/>
      <c r="C5" s="1818" t="s">
        <v>1916</v>
      </c>
    </row>
    <row r="6" spans="1:11" x14ac:dyDescent="0.2">
      <c r="A6" s="1712"/>
    </row>
    <row r="7" spans="1:11" ht="15.75" x14ac:dyDescent="0.25">
      <c r="A7" s="1789" t="s">
        <v>450</v>
      </c>
    </row>
    <row r="8" spans="1:11" ht="13.5" thickBot="1" x14ac:dyDescent="0.25">
      <c r="H8" s="1753" t="s">
        <v>92</v>
      </c>
    </row>
    <row r="9" spans="1:11" s="1043" customFormat="1" ht="20.25" customHeight="1" thickTop="1" thickBot="1" x14ac:dyDescent="0.25">
      <c r="A9" s="1047" t="s">
        <v>93</v>
      </c>
      <c r="B9" s="1046" t="s">
        <v>94</v>
      </c>
      <c r="C9" s="1798" t="s">
        <v>364</v>
      </c>
      <c r="D9" s="1069" t="s">
        <v>95</v>
      </c>
      <c r="E9" s="1069" t="s">
        <v>328</v>
      </c>
      <c r="F9" s="1069" t="s">
        <v>329</v>
      </c>
      <c r="G9" s="1749" t="s">
        <v>448</v>
      </c>
      <c r="H9" s="1797" t="s">
        <v>449</v>
      </c>
    </row>
    <row r="10" spans="1:11" s="1037" customFormat="1" ht="13.5" thickTop="1" thickBot="1" x14ac:dyDescent="0.25">
      <c r="A10" s="1042">
        <v>1</v>
      </c>
      <c r="B10" s="1041">
        <v>2</v>
      </c>
      <c r="C10" s="1041">
        <v>3</v>
      </c>
      <c r="D10" s="1041">
        <v>4</v>
      </c>
      <c r="E10" s="1041">
        <v>5</v>
      </c>
      <c r="F10" s="1040">
        <v>6</v>
      </c>
      <c r="G10" s="1040">
        <v>7</v>
      </c>
      <c r="H10" s="1039" t="s">
        <v>33</v>
      </c>
      <c r="I10" s="1043"/>
    </row>
    <row r="11" spans="1:11" s="1816" customFormat="1" ht="15.75" hidden="1" thickTop="1" x14ac:dyDescent="0.25">
      <c r="A11" s="2494">
        <v>3319</v>
      </c>
      <c r="B11" s="2495">
        <v>5166</v>
      </c>
      <c r="C11" s="2496"/>
      <c r="D11" s="1894" t="s">
        <v>317</v>
      </c>
      <c r="E11" s="1849"/>
      <c r="F11" s="1811"/>
      <c r="G11" s="1811"/>
      <c r="H11" s="1896">
        <v>0</v>
      </c>
    </row>
    <row r="12" spans="1:11" s="1816" customFormat="1" ht="16.5" thickTop="1" thickBot="1" x14ac:dyDescent="0.3">
      <c r="A12" s="2497">
        <v>3419</v>
      </c>
      <c r="B12" s="2498">
        <v>5169</v>
      </c>
      <c r="C12" s="2499"/>
      <c r="D12" s="1071" t="s">
        <v>430</v>
      </c>
      <c r="E12" s="1066">
        <v>0</v>
      </c>
      <c r="F12" s="1065">
        <v>4235</v>
      </c>
      <c r="G12" s="1065">
        <v>4235</v>
      </c>
      <c r="H12" s="1058">
        <f t="shared" ref="H12" si="0">(G12/F12)*100</f>
        <v>100</v>
      </c>
    </row>
    <row r="13" spans="1:11" s="1014" customFormat="1" ht="35.25" customHeight="1" thickTop="1" thickBot="1" x14ac:dyDescent="0.3">
      <c r="A13" s="1020" t="s">
        <v>132</v>
      </c>
      <c r="B13" s="1846"/>
      <c r="C13" s="1793"/>
      <c r="D13" s="1846"/>
      <c r="E13" s="1016">
        <f>E12+E11</f>
        <v>0</v>
      </c>
      <c r="F13" s="1016">
        <f t="shared" ref="F13:G13" si="1">F12+F11</f>
        <v>4235</v>
      </c>
      <c r="G13" s="1016">
        <f t="shared" si="1"/>
        <v>4235</v>
      </c>
      <c r="H13" s="1893">
        <f t="shared" ref="H13" si="2">(G13/F13)*100</f>
        <v>100</v>
      </c>
      <c r="J13" s="1790"/>
      <c r="K13" s="1790"/>
    </row>
    <row r="14" spans="1:11" s="1014" customFormat="1" ht="18.75" thickTop="1" x14ac:dyDescent="0.25">
      <c r="A14" s="1868"/>
      <c r="B14" s="1867"/>
      <c r="C14" s="1094"/>
      <c r="D14" s="1867"/>
      <c r="E14" s="1052"/>
      <c r="F14" s="1052"/>
      <c r="G14" s="1052"/>
      <c r="H14" s="1834"/>
      <c r="J14" s="1790"/>
      <c r="K14" s="1790"/>
    </row>
    <row r="15" spans="1:11" s="1014" customFormat="1" ht="18" x14ac:dyDescent="0.25">
      <c r="A15" s="1868"/>
      <c r="B15" s="1867"/>
      <c r="C15" s="1094"/>
      <c r="D15" s="1867"/>
      <c r="E15" s="1052"/>
      <c r="F15" s="1052"/>
      <c r="G15" s="1052"/>
      <c r="H15" s="1834"/>
      <c r="J15" s="1790"/>
      <c r="K15" s="1790"/>
    </row>
    <row r="16" spans="1:11" s="1014" customFormat="1" ht="15.75" hidden="1" x14ac:dyDescent="0.2">
      <c r="A16" s="3181" t="s">
        <v>1151</v>
      </c>
      <c r="B16" s="3181"/>
      <c r="C16" s="3181"/>
      <c r="D16" s="3181"/>
      <c r="E16" s="3181"/>
      <c r="F16" s="3181"/>
      <c r="G16" s="3181"/>
      <c r="H16" s="3181"/>
      <c r="J16" s="1790"/>
      <c r="K16" s="1790"/>
    </row>
    <row r="17" spans="1:11" s="1014" customFormat="1" ht="15" hidden="1" x14ac:dyDescent="0.2">
      <c r="A17" s="3182" t="s">
        <v>1163</v>
      </c>
      <c r="B17" s="3182"/>
      <c r="C17" s="3182"/>
      <c r="D17" s="3182"/>
      <c r="E17" s="3182"/>
      <c r="F17" s="3182"/>
      <c r="G17" s="3182"/>
      <c r="H17" s="3182"/>
      <c r="J17" s="1790"/>
      <c r="K17" s="1790"/>
    </row>
    <row r="18" spans="1:11" s="1014" customFormat="1" ht="16.5" hidden="1" thickBot="1" x14ac:dyDescent="0.3">
      <c r="A18" s="33"/>
      <c r="B18" s="570"/>
      <c r="C18" s="571"/>
      <c r="D18" s="372"/>
      <c r="E18" s="373"/>
      <c r="F18" s="560"/>
      <c r="G18" s="373"/>
      <c r="H18" s="1568" t="s">
        <v>92</v>
      </c>
      <c r="J18" s="1790"/>
      <c r="K18" s="1790"/>
    </row>
    <row r="19" spans="1:11" s="1014" customFormat="1" ht="16.5" hidden="1" thickTop="1" thickBot="1" x14ac:dyDescent="0.25">
      <c r="A19" s="572" t="s">
        <v>93</v>
      </c>
      <c r="B19" s="573" t="s">
        <v>94</v>
      </c>
      <c r="C19" s="575" t="s">
        <v>364</v>
      </c>
      <c r="D19" s="639" t="s">
        <v>95</v>
      </c>
      <c r="E19" s="639" t="s">
        <v>328</v>
      </c>
      <c r="F19" s="639" t="s">
        <v>329</v>
      </c>
      <c r="G19" s="639" t="s">
        <v>448</v>
      </c>
      <c r="H19" s="576" t="s">
        <v>449</v>
      </c>
      <c r="J19" s="1790"/>
      <c r="K19" s="1790"/>
    </row>
    <row r="20" spans="1:11" s="1014" customFormat="1" ht="16.5" hidden="1" thickTop="1" thickBot="1" x14ac:dyDescent="0.25">
      <c r="A20" s="511">
        <v>1</v>
      </c>
      <c r="B20" s="512">
        <v>2</v>
      </c>
      <c r="C20" s="512">
        <v>3</v>
      </c>
      <c r="D20" s="512">
        <v>4</v>
      </c>
      <c r="E20" s="512">
        <v>5</v>
      </c>
      <c r="F20" s="499">
        <v>6</v>
      </c>
      <c r="G20" s="499">
        <v>7</v>
      </c>
      <c r="H20" s="577" t="s">
        <v>33</v>
      </c>
      <c r="J20" s="1790"/>
      <c r="K20" s="1790"/>
    </row>
    <row r="21" spans="1:11" s="1014" customFormat="1" ht="30.75" hidden="1" thickTop="1" x14ac:dyDescent="0.25">
      <c r="A21" s="2426">
        <v>3311</v>
      </c>
      <c r="B21" s="2492">
        <v>5213</v>
      </c>
      <c r="C21" s="2432" t="s">
        <v>1097</v>
      </c>
      <c r="D21" s="2536" t="s">
        <v>1359</v>
      </c>
      <c r="E21" s="310"/>
      <c r="F21" s="308"/>
      <c r="G21" s="310"/>
      <c r="H21" s="504">
        <v>0</v>
      </c>
      <c r="J21" s="1790"/>
      <c r="K21" s="1790"/>
    </row>
    <row r="22" spans="1:11" s="1014" customFormat="1" ht="15.75" hidden="1" x14ac:dyDescent="0.25">
      <c r="A22" s="2426">
        <v>3315</v>
      </c>
      <c r="B22" s="2492">
        <v>5339</v>
      </c>
      <c r="C22" s="2432" t="s">
        <v>1097</v>
      </c>
      <c r="D22" s="2449" t="s">
        <v>1615</v>
      </c>
      <c r="E22" s="428"/>
      <c r="F22" s="165"/>
      <c r="G22" s="310"/>
      <c r="H22" s="504">
        <v>0</v>
      </c>
      <c r="J22" s="1790"/>
      <c r="K22" s="1790"/>
    </row>
    <row r="23" spans="1:11" s="1014" customFormat="1" ht="16.5" hidden="1" thickBot="1" x14ac:dyDescent="0.3">
      <c r="A23" s="2426">
        <v>3319</v>
      </c>
      <c r="B23" s="2492">
        <v>5222</v>
      </c>
      <c r="C23" s="2432" t="s">
        <v>1097</v>
      </c>
      <c r="D23" s="1032" t="s">
        <v>800</v>
      </c>
      <c r="E23" s="428"/>
      <c r="F23" s="165"/>
      <c r="G23" s="310"/>
      <c r="H23" s="504">
        <v>0</v>
      </c>
      <c r="J23" s="1790"/>
      <c r="K23" s="1790"/>
    </row>
    <row r="24" spans="1:11" s="1014" customFormat="1" ht="19.5" hidden="1" thickTop="1" thickBot="1" x14ac:dyDescent="0.3">
      <c r="A24" s="578" t="s">
        <v>1167</v>
      </c>
      <c r="B24" s="744"/>
      <c r="C24" s="580"/>
      <c r="D24" s="581"/>
      <c r="E24" s="582">
        <f>SUM(E21:E23)</f>
        <v>0</v>
      </c>
      <c r="F24" s="582">
        <f t="shared" ref="F24:G24" si="3">SUM(F21:F23)</f>
        <v>0</v>
      </c>
      <c r="G24" s="582">
        <f t="shared" si="3"/>
        <v>0</v>
      </c>
      <c r="H24" s="783">
        <v>0</v>
      </c>
      <c r="J24" s="1790"/>
      <c r="K24" s="1790"/>
    </row>
    <row r="25" spans="1:11" s="1014" customFormat="1" ht="18.75" hidden="1" thickTop="1" x14ac:dyDescent="0.25">
      <c r="A25" s="1868"/>
      <c r="B25" s="1867"/>
      <c r="C25" s="1094"/>
      <c r="D25" s="1867"/>
      <c r="E25" s="1052"/>
      <c r="F25" s="1052"/>
      <c r="G25" s="1052"/>
      <c r="H25" s="1834"/>
      <c r="J25" s="1790"/>
      <c r="K25" s="1790"/>
    </row>
    <row r="26" spans="1:11" s="1014" customFormat="1" ht="15" hidden="1" x14ac:dyDescent="0.2">
      <c r="A26" s="3182" t="s">
        <v>1185</v>
      </c>
      <c r="B26" s="3182"/>
      <c r="C26" s="3182"/>
      <c r="D26" s="3182"/>
      <c r="E26" s="3182"/>
      <c r="F26" s="3182"/>
      <c r="G26" s="3182"/>
      <c r="H26" s="3182"/>
      <c r="J26" s="1790"/>
      <c r="K26" s="1790"/>
    </row>
    <row r="27" spans="1:11" s="1014" customFormat="1" ht="16.5" hidden="1" thickBot="1" x14ac:dyDescent="0.3">
      <c r="A27" s="33"/>
      <c r="B27" s="570"/>
      <c r="C27" s="571"/>
      <c r="D27" s="372"/>
      <c r="E27" s="373"/>
      <c r="F27" s="560"/>
      <c r="G27" s="373"/>
      <c r="H27" s="1568" t="s">
        <v>92</v>
      </c>
      <c r="J27" s="1790"/>
      <c r="K27" s="1790"/>
    </row>
    <row r="28" spans="1:11" s="1014" customFormat="1" ht="16.5" hidden="1" thickTop="1" thickBot="1" x14ac:dyDescent="0.25">
      <c r="A28" s="572" t="s">
        <v>93</v>
      </c>
      <c r="B28" s="573" t="s">
        <v>94</v>
      </c>
      <c r="C28" s="575" t="s">
        <v>364</v>
      </c>
      <c r="D28" s="639" t="s">
        <v>95</v>
      </c>
      <c r="E28" s="639" t="s">
        <v>328</v>
      </c>
      <c r="F28" s="639" t="s">
        <v>329</v>
      </c>
      <c r="G28" s="639" t="s">
        <v>448</v>
      </c>
      <c r="H28" s="576" t="s">
        <v>449</v>
      </c>
      <c r="J28" s="1790"/>
      <c r="K28" s="1790"/>
    </row>
    <row r="29" spans="1:11" s="1014" customFormat="1" ht="16.5" hidden="1" thickTop="1" thickBot="1" x14ac:dyDescent="0.25">
      <c r="A29" s="511">
        <v>1</v>
      </c>
      <c r="B29" s="512">
        <v>2</v>
      </c>
      <c r="C29" s="512">
        <v>3</v>
      </c>
      <c r="D29" s="512">
        <v>4</v>
      </c>
      <c r="E29" s="512">
        <v>5</v>
      </c>
      <c r="F29" s="499">
        <v>6</v>
      </c>
      <c r="G29" s="499">
        <v>7</v>
      </c>
      <c r="H29" s="577" t="s">
        <v>33</v>
      </c>
      <c r="J29" s="1790"/>
      <c r="K29" s="1790"/>
    </row>
    <row r="30" spans="1:11" s="1014" customFormat="1" ht="17.25" hidden="1" thickTop="1" thickBot="1" x14ac:dyDescent="0.3">
      <c r="A30" s="2426">
        <v>3319</v>
      </c>
      <c r="B30" s="2492">
        <v>5222</v>
      </c>
      <c r="C30" s="2432" t="s">
        <v>898</v>
      </c>
      <c r="D30" s="1032" t="s">
        <v>800</v>
      </c>
      <c r="E30" s="310"/>
      <c r="F30" s="308"/>
      <c r="G30" s="310"/>
      <c r="H30" s="504">
        <v>0</v>
      </c>
      <c r="J30" s="1790"/>
      <c r="K30" s="1790"/>
    </row>
    <row r="31" spans="1:11" s="1014" customFormat="1" ht="19.5" hidden="1" thickTop="1" thickBot="1" x14ac:dyDescent="0.3">
      <c r="A31" s="578" t="s">
        <v>1186</v>
      </c>
      <c r="B31" s="744"/>
      <c r="C31" s="580"/>
      <c r="D31" s="581"/>
      <c r="E31" s="582">
        <f>SUM(E30:E30)</f>
        <v>0</v>
      </c>
      <c r="F31" s="582">
        <f>SUM(F30:F30)</f>
        <v>0</v>
      </c>
      <c r="G31" s="582">
        <f>SUM(G30:G30)</f>
        <v>0</v>
      </c>
      <c r="H31" s="783">
        <v>0</v>
      </c>
      <c r="J31" s="1790"/>
      <c r="K31" s="1790"/>
    </row>
    <row r="32" spans="1:11" s="1014" customFormat="1" ht="18.75" hidden="1" thickTop="1" x14ac:dyDescent="0.25">
      <c r="A32" s="1868"/>
      <c r="B32" s="1867"/>
      <c r="C32" s="1094"/>
      <c r="D32" s="1867"/>
      <c r="E32" s="1052"/>
      <c r="F32" s="1052"/>
      <c r="G32" s="1052"/>
      <c r="H32" s="1834"/>
      <c r="J32" s="1790"/>
      <c r="K32" s="1790"/>
    </row>
    <row r="33" spans="1:12" s="1014" customFormat="1" ht="15" hidden="1" x14ac:dyDescent="0.2">
      <c r="A33" s="3182" t="s">
        <v>1187</v>
      </c>
      <c r="B33" s="3182"/>
      <c r="C33" s="3182"/>
      <c r="D33" s="3182"/>
      <c r="E33" s="3182"/>
      <c r="F33" s="3182"/>
      <c r="G33" s="3182"/>
      <c r="H33" s="3182"/>
      <c r="J33" s="1790"/>
      <c r="K33" s="1790"/>
    </row>
    <row r="34" spans="1:12" s="1014" customFormat="1" ht="16.5" hidden="1" thickBot="1" x14ac:dyDescent="0.3">
      <c r="A34" s="33"/>
      <c r="B34" s="570"/>
      <c r="C34" s="571"/>
      <c r="D34" s="372"/>
      <c r="E34" s="373"/>
      <c r="F34" s="560"/>
      <c r="G34" s="373"/>
      <c r="H34" s="1568" t="s">
        <v>92</v>
      </c>
      <c r="J34" s="1790"/>
      <c r="K34" s="1790"/>
    </row>
    <row r="35" spans="1:12" ht="14.25" hidden="1" thickTop="1" thickBot="1" x14ac:dyDescent="0.25">
      <c r="A35" s="572" t="s">
        <v>93</v>
      </c>
      <c r="B35" s="573" t="s">
        <v>94</v>
      </c>
      <c r="C35" s="575" t="s">
        <v>364</v>
      </c>
      <c r="D35" s="639" t="s">
        <v>95</v>
      </c>
      <c r="E35" s="639" t="s">
        <v>328</v>
      </c>
      <c r="F35" s="639" t="s">
        <v>329</v>
      </c>
      <c r="G35" s="639" t="s">
        <v>448</v>
      </c>
      <c r="H35" s="576" t="s">
        <v>449</v>
      </c>
    </row>
    <row r="36" spans="1:12" s="1014" customFormat="1" ht="16.5" hidden="1" thickTop="1" thickBot="1" x14ac:dyDescent="0.25">
      <c r="A36" s="511">
        <v>1</v>
      </c>
      <c r="B36" s="512">
        <v>2</v>
      </c>
      <c r="C36" s="512">
        <v>3</v>
      </c>
      <c r="D36" s="512">
        <v>4</v>
      </c>
      <c r="E36" s="512">
        <v>5</v>
      </c>
      <c r="F36" s="499">
        <v>6</v>
      </c>
      <c r="G36" s="499">
        <v>7</v>
      </c>
      <c r="H36" s="577" t="s">
        <v>33</v>
      </c>
      <c r="K36" s="1790"/>
      <c r="L36" s="1790"/>
    </row>
    <row r="37" spans="1:12" s="1014" customFormat="1" ht="17.25" hidden="1" thickTop="1" thickBot="1" x14ac:dyDescent="0.3">
      <c r="A37" s="2426">
        <v>3319</v>
      </c>
      <c r="B37" s="2492">
        <v>5222</v>
      </c>
      <c r="C37" s="2432" t="s">
        <v>992</v>
      </c>
      <c r="D37" s="1032" t="s">
        <v>800</v>
      </c>
      <c r="E37" s="310"/>
      <c r="F37" s="308"/>
      <c r="G37" s="310"/>
      <c r="H37" s="504">
        <v>0</v>
      </c>
      <c r="K37" s="1790"/>
      <c r="L37" s="1790"/>
    </row>
    <row r="38" spans="1:12" ht="19.5" hidden="1" thickTop="1" thickBot="1" x14ac:dyDescent="0.3">
      <c r="A38" s="578" t="s">
        <v>1188</v>
      </c>
      <c r="B38" s="744"/>
      <c r="C38" s="580"/>
      <c r="D38" s="581"/>
      <c r="E38" s="582">
        <f>SUM(E37:E37)</f>
        <v>0</v>
      </c>
      <c r="F38" s="582">
        <f>SUM(F37:F37)</f>
        <v>0</v>
      </c>
      <c r="G38" s="582">
        <f>SUM(G37:G37)</f>
        <v>0</v>
      </c>
      <c r="H38" s="783">
        <v>0</v>
      </c>
    </row>
    <row r="39" spans="1:12" ht="18.75" hidden="1" thickTop="1" x14ac:dyDescent="0.25">
      <c r="A39" s="353"/>
      <c r="B39" s="2351"/>
      <c r="C39" s="57"/>
      <c r="D39" s="354"/>
      <c r="E39" s="17"/>
      <c r="F39" s="17"/>
      <c r="G39" s="17"/>
      <c r="H39" s="2352"/>
    </row>
    <row r="40" spans="1:12" hidden="1" x14ac:dyDescent="0.2">
      <c r="A40" s="3182" t="s">
        <v>1309</v>
      </c>
      <c r="B40" s="3182"/>
      <c r="C40" s="3182"/>
      <c r="D40" s="3182"/>
      <c r="E40" s="3182"/>
      <c r="F40" s="3182"/>
      <c r="G40" s="3182"/>
      <c r="H40" s="3182"/>
    </row>
    <row r="41" spans="1:12" ht="16.5" hidden="1" thickBot="1" x14ac:dyDescent="0.3">
      <c r="A41" s="33"/>
      <c r="B41" s="570"/>
      <c r="C41" s="571"/>
      <c r="D41" s="372"/>
      <c r="E41" s="373"/>
      <c r="F41" s="560"/>
      <c r="G41" s="373"/>
      <c r="H41" s="1568" t="s">
        <v>92</v>
      </c>
    </row>
    <row r="42" spans="1:12" ht="14.25" hidden="1" thickTop="1" thickBot="1" x14ac:dyDescent="0.25">
      <c r="A42" s="572" t="s">
        <v>93</v>
      </c>
      <c r="B42" s="573" t="s">
        <v>94</v>
      </c>
      <c r="C42" s="575" t="s">
        <v>364</v>
      </c>
      <c r="D42" s="639" t="s">
        <v>95</v>
      </c>
      <c r="E42" s="639" t="s">
        <v>328</v>
      </c>
      <c r="F42" s="639" t="s">
        <v>329</v>
      </c>
      <c r="G42" s="639" t="s">
        <v>448</v>
      </c>
      <c r="H42" s="576" t="s">
        <v>449</v>
      </c>
    </row>
    <row r="43" spans="1:12" ht="14.25" hidden="1" thickTop="1" thickBot="1" x14ac:dyDescent="0.25">
      <c r="A43" s="511">
        <v>1</v>
      </c>
      <c r="B43" s="512">
        <v>2</v>
      </c>
      <c r="C43" s="512">
        <v>3</v>
      </c>
      <c r="D43" s="512">
        <v>4</v>
      </c>
      <c r="E43" s="512">
        <v>5</v>
      </c>
      <c r="F43" s="499">
        <v>6</v>
      </c>
      <c r="G43" s="499">
        <v>7</v>
      </c>
      <c r="H43" s="577" t="s">
        <v>33</v>
      </c>
    </row>
    <row r="44" spans="1:12" ht="16.5" hidden="1" thickTop="1" thickBot="1" x14ac:dyDescent="0.3">
      <c r="A44" s="2426">
        <v>3319</v>
      </c>
      <c r="B44" s="2492">
        <v>5222</v>
      </c>
      <c r="C44" s="2432" t="s">
        <v>1140</v>
      </c>
      <c r="D44" s="1032" t="s">
        <v>800</v>
      </c>
      <c r="E44" s="310"/>
      <c r="F44" s="308"/>
      <c r="G44" s="310"/>
      <c r="H44" s="504">
        <v>0</v>
      </c>
    </row>
    <row r="45" spans="1:12" ht="19.5" hidden="1" thickTop="1" thickBot="1" x14ac:dyDescent="0.3">
      <c r="A45" s="578" t="s">
        <v>1306</v>
      </c>
      <c r="B45" s="744"/>
      <c r="C45" s="580"/>
      <c r="D45" s="581"/>
      <c r="E45" s="582">
        <f>SUM(E44:E44)</f>
        <v>0</v>
      </c>
      <c r="F45" s="582">
        <f>SUM(F44:F44)</f>
        <v>0</v>
      </c>
      <c r="G45" s="582">
        <f>SUM(G44:G44)</f>
        <v>0</v>
      </c>
      <c r="H45" s="783">
        <v>0</v>
      </c>
    </row>
    <row r="46" spans="1:12" ht="18.75" hidden="1" thickTop="1" x14ac:dyDescent="0.25">
      <c r="A46" s="353"/>
      <c r="B46" s="2351"/>
      <c r="C46" s="57"/>
      <c r="D46" s="354"/>
      <c r="E46" s="17"/>
      <c r="F46" s="17"/>
      <c r="G46" s="17"/>
      <c r="H46" s="2352"/>
    </row>
    <row r="47" spans="1:12" hidden="1" x14ac:dyDescent="0.2">
      <c r="A47" s="3182" t="s">
        <v>1310</v>
      </c>
      <c r="B47" s="3182"/>
      <c r="C47" s="3182"/>
      <c r="D47" s="3182"/>
      <c r="E47" s="3182"/>
      <c r="F47" s="3182"/>
      <c r="G47" s="3182"/>
      <c r="H47" s="3182"/>
    </row>
    <row r="48" spans="1:12" ht="16.5" hidden="1" thickBot="1" x14ac:dyDescent="0.3">
      <c r="A48" s="33"/>
      <c r="B48" s="570"/>
      <c r="C48" s="571"/>
      <c r="D48" s="372"/>
      <c r="E48" s="373"/>
      <c r="F48" s="560"/>
      <c r="G48" s="373"/>
      <c r="H48" s="1568" t="s">
        <v>92</v>
      </c>
    </row>
    <row r="49" spans="1:14" ht="14.25" hidden="1" thickTop="1" thickBot="1" x14ac:dyDescent="0.25">
      <c r="A49" s="572" t="s">
        <v>93</v>
      </c>
      <c r="B49" s="573" t="s">
        <v>94</v>
      </c>
      <c r="C49" s="575" t="s">
        <v>364</v>
      </c>
      <c r="D49" s="639" t="s">
        <v>95</v>
      </c>
      <c r="E49" s="639" t="s">
        <v>328</v>
      </c>
      <c r="F49" s="639" t="s">
        <v>329</v>
      </c>
      <c r="G49" s="639" t="s">
        <v>448</v>
      </c>
      <c r="H49" s="576" t="s">
        <v>449</v>
      </c>
    </row>
    <row r="50" spans="1:14" ht="14.25" hidden="1" thickTop="1" thickBot="1" x14ac:dyDescent="0.25">
      <c r="A50" s="511">
        <v>1</v>
      </c>
      <c r="B50" s="512">
        <v>2</v>
      </c>
      <c r="C50" s="512">
        <v>3</v>
      </c>
      <c r="D50" s="512">
        <v>4</v>
      </c>
      <c r="E50" s="512">
        <v>5</v>
      </c>
      <c r="F50" s="499">
        <v>6</v>
      </c>
      <c r="G50" s="499">
        <v>7</v>
      </c>
      <c r="H50" s="577" t="s">
        <v>33</v>
      </c>
    </row>
    <row r="51" spans="1:14" ht="16.5" hidden="1" thickTop="1" thickBot="1" x14ac:dyDescent="0.3">
      <c r="A51" s="2426">
        <v>3319</v>
      </c>
      <c r="B51" s="2492">
        <v>5222</v>
      </c>
      <c r="C51" s="2432" t="s">
        <v>1226</v>
      </c>
      <c r="D51" s="1032" t="s">
        <v>800</v>
      </c>
      <c r="E51" s="310"/>
      <c r="F51" s="308"/>
      <c r="G51" s="310"/>
      <c r="H51" s="504">
        <v>0</v>
      </c>
    </row>
    <row r="52" spans="1:14" ht="19.5" hidden="1" thickTop="1" thickBot="1" x14ac:dyDescent="0.3">
      <c r="A52" s="578" t="s">
        <v>1227</v>
      </c>
      <c r="B52" s="744"/>
      <c r="C52" s="580"/>
      <c r="D52" s="581"/>
      <c r="E52" s="582">
        <f>SUM(E51:E51)</f>
        <v>0</v>
      </c>
      <c r="F52" s="582">
        <f>SUM(F51:F51)</f>
        <v>0</v>
      </c>
      <c r="G52" s="582">
        <f>SUM(G51:G51)</f>
        <v>0</v>
      </c>
      <c r="H52" s="783">
        <v>0</v>
      </c>
    </row>
    <row r="53" spans="1:14" ht="18.75" hidden="1" thickTop="1" x14ac:dyDescent="0.25">
      <c r="A53" s="353"/>
      <c r="B53" s="2351"/>
      <c r="C53" s="57"/>
      <c r="D53" s="354"/>
      <c r="E53" s="17"/>
      <c r="F53" s="17"/>
      <c r="G53" s="17"/>
      <c r="H53" s="2352"/>
    </row>
    <row r="54" spans="1:14" hidden="1" x14ac:dyDescent="0.2">
      <c r="A54" s="3182" t="s">
        <v>1311</v>
      </c>
      <c r="B54" s="3182"/>
      <c r="C54" s="3182"/>
      <c r="D54" s="3182"/>
      <c r="E54" s="3182"/>
      <c r="F54" s="3182"/>
      <c r="G54" s="3182"/>
      <c r="H54" s="3182"/>
    </row>
    <row r="55" spans="1:14" ht="16.5" hidden="1" thickBot="1" x14ac:dyDescent="0.3">
      <c r="A55" s="33"/>
      <c r="B55" s="570"/>
      <c r="C55" s="571"/>
      <c r="D55" s="372"/>
      <c r="E55" s="373"/>
      <c r="F55" s="560"/>
      <c r="G55" s="373"/>
      <c r="H55" s="1568" t="s">
        <v>92</v>
      </c>
    </row>
    <row r="56" spans="1:14" ht="14.25" hidden="1" thickTop="1" thickBot="1" x14ac:dyDescent="0.25">
      <c r="A56" s="572" t="s">
        <v>93</v>
      </c>
      <c r="B56" s="573" t="s">
        <v>94</v>
      </c>
      <c r="C56" s="575" t="s">
        <v>364</v>
      </c>
      <c r="D56" s="639" t="s">
        <v>95</v>
      </c>
      <c r="E56" s="639" t="s">
        <v>328</v>
      </c>
      <c r="F56" s="639" t="s">
        <v>329</v>
      </c>
      <c r="G56" s="639" t="s">
        <v>448</v>
      </c>
      <c r="H56" s="576" t="s">
        <v>449</v>
      </c>
    </row>
    <row r="57" spans="1:14" ht="14.25" hidden="1" thickTop="1" thickBot="1" x14ac:dyDescent="0.25">
      <c r="A57" s="511">
        <v>1</v>
      </c>
      <c r="B57" s="512">
        <v>2</v>
      </c>
      <c r="C57" s="512">
        <v>3</v>
      </c>
      <c r="D57" s="512">
        <v>4</v>
      </c>
      <c r="E57" s="512">
        <v>5</v>
      </c>
      <c r="F57" s="499">
        <v>6</v>
      </c>
      <c r="G57" s="499">
        <v>7</v>
      </c>
      <c r="H57" s="577" t="s">
        <v>33</v>
      </c>
      <c r="K57" s="372" t="s">
        <v>1512</v>
      </c>
      <c r="L57" s="373">
        <f>E61</f>
        <v>0</v>
      </c>
      <c r="M57" s="373">
        <f t="shared" ref="M57:N57" si="4">F61</f>
        <v>0</v>
      </c>
      <c r="N57" s="373">
        <f t="shared" si="4"/>
        <v>0</v>
      </c>
    </row>
    <row r="58" spans="1:14" ht="16.5" hidden="1" thickTop="1" thickBot="1" x14ac:dyDescent="0.3">
      <c r="A58" s="2426">
        <v>3314</v>
      </c>
      <c r="B58" s="2492">
        <v>5321</v>
      </c>
      <c r="C58" s="2432" t="s">
        <v>1307</v>
      </c>
      <c r="D58" s="1032" t="s">
        <v>566</v>
      </c>
      <c r="E58" s="310"/>
      <c r="F58" s="308"/>
      <c r="G58" s="310"/>
      <c r="H58" s="504">
        <v>0</v>
      </c>
      <c r="K58" s="372"/>
      <c r="L58" s="373"/>
      <c r="M58" s="373"/>
      <c r="N58" s="373"/>
    </row>
    <row r="59" spans="1:14" ht="19.5" hidden="1" thickTop="1" thickBot="1" x14ac:dyDescent="0.3">
      <c r="A59" s="578" t="s">
        <v>1308</v>
      </c>
      <c r="B59" s="744"/>
      <c r="C59" s="580"/>
      <c r="D59" s="581"/>
      <c r="E59" s="582">
        <f>SUM(E58:E58)</f>
        <v>0</v>
      </c>
      <c r="F59" s="582">
        <f>SUM(F58:F58)</f>
        <v>0</v>
      </c>
      <c r="G59" s="582">
        <f>SUM(G58:G58)</f>
        <v>0</v>
      </c>
      <c r="H59" s="783">
        <v>0</v>
      </c>
      <c r="K59" s="372"/>
      <c r="L59" s="526">
        <f>SUM(L57:L58)</f>
        <v>0</v>
      </c>
      <c r="M59" s="526">
        <f t="shared" ref="M59:N59" si="5">SUM(M57:M58)</f>
        <v>0</v>
      </c>
      <c r="N59" s="526">
        <f t="shared" si="5"/>
        <v>0</v>
      </c>
    </row>
    <row r="60" spans="1:14" ht="14.25" hidden="1" thickTop="1" thickBot="1" x14ac:dyDescent="0.25"/>
    <row r="61" spans="1:14" ht="19.5" hidden="1" thickTop="1" thickBot="1" x14ac:dyDescent="0.3">
      <c r="A61" s="578" t="s">
        <v>1152</v>
      </c>
      <c r="B61" s="744"/>
      <c r="C61" s="580"/>
      <c r="D61" s="581"/>
      <c r="E61" s="582">
        <f>E59+E52+E45+E38+E31+E24</f>
        <v>0</v>
      </c>
      <c r="F61" s="582">
        <f t="shared" ref="F61:G61" si="6">F59+F52+F45+F38+F31+F24</f>
        <v>0</v>
      </c>
      <c r="G61" s="582">
        <f t="shared" si="6"/>
        <v>0</v>
      </c>
      <c r="H61" s="783">
        <v>0</v>
      </c>
    </row>
    <row r="65" spans="1:12" ht="16.5" x14ac:dyDescent="0.25">
      <c r="A65" s="1701" t="s">
        <v>1914</v>
      </c>
      <c r="B65" s="1700"/>
      <c r="C65" s="1699"/>
      <c r="D65" s="1698"/>
      <c r="E65" s="1151">
        <f>E66+E67+E68+E69</f>
        <v>0</v>
      </c>
      <c r="F65" s="1151">
        <f>F66+F67+F68+F69</f>
        <v>4235</v>
      </c>
      <c r="G65" s="1151">
        <f>G66+G67+G68+G69</f>
        <v>4235</v>
      </c>
      <c r="H65" s="1166">
        <f>G65/F65*100</f>
        <v>100</v>
      </c>
      <c r="J65" s="1688">
        <f>J66+J67+J68+J69</f>
        <v>0</v>
      </c>
      <c r="K65" s="1688">
        <f>K66+K67+K68+K69</f>
        <v>4235000</v>
      </c>
      <c r="L65" s="1688">
        <f>L66+L67+L68+L69</f>
        <v>4235000</v>
      </c>
    </row>
    <row r="66" spans="1:12" ht="15" x14ac:dyDescent="0.2">
      <c r="A66" s="1011" t="s">
        <v>147</v>
      </c>
      <c r="B66" s="1013"/>
      <c r="C66" s="1009"/>
      <c r="D66" s="1154"/>
      <c r="E66" s="1012">
        <f>E13</f>
        <v>0</v>
      </c>
      <c r="F66" s="1012">
        <f>F13</f>
        <v>4235</v>
      </c>
      <c r="G66" s="1012">
        <f>G13</f>
        <v>4235</v>
      </c>
      <c r="H66" s="1007">
        <f>G66/F66*100</f>
        <v>100</v>
      </c>
      <c r="J66" s="1218">
        <v>0</v>
      </c>
      <c r="K66" s="1218">
        <v>4235000</v>
      </c>
      <c r="L66" s="1218">
        <v>4235000</v>
      </c>
    </row>
    <row r="67" spans="1:12" ht="15" x14ac:dyDescent="0.2">
      <c r="A67" s="1011" t="s">
        <v>148</v>
      </c>
      <c r="B67" s="1010"/>
      <c r="C67" s="1009"/>
      <c r="D67" s="1156"/>
      <c r="E67" s="1012">
        <v>0</v>
      </c>
      <c r="F67" s="1012">
        <v>0</v>
      </c>
      <c r="G67" s="1012">
        <v>0</v>
      </c>
      <c r="H67" s="1007">
        <v>0</v>
      </c>
      <c r="J67" s="1218">
        <v>0</v>
      </c>
      <c r="K67" s="1218">
        <v>0</v>
      </c>
      <c r="L67" s="1218">
        <v>0</v>
      </c>
    </row>
    <row r="68" spans="1:12" ht="15" x14ac:dyDescent="0.2">
      <c r="A68" s="1011" t="s">
        <v>119</v>
      </c>
      <c r="B68" s="1010"/>
      <c r="C68" s="1009"/>
      <c r="D68" s="1156"/>
      <c r="E68" s="1012">
        <v>0</v>
      </c>
      <c r="F68" s="1012">
        <v>0</v>
      </c>
      <c r="G68" s="1012">
        <v>0</v>
      </c>
      <c r="H68" s="1877">
        <v>0</v>
      </c>
      <c r="J68" s="1218">
        <v>0</v>
      </c>
      <c r="K68" s="1218">
        <v>0</v>
      </c>
      <c r="L68" s="1218">
        <v>0</v>
      </c>
    </row>
    <row r="69" spans="1:12" ht="15" x14ac:dyDescent="0.2">
      <c r="A69" s="1011" t="s">
        <v>537</v>
      </c>
      <c r="B69" s="1010"/>
      <c r="C69" s="1009"/>
      <c r="D69" s="1156"/>
      <c r="E69" s="1012">
        <v>0</v>
      </c>
      <c r="F69" s="1012">
        <v>0</v>
      </c>
      <c r="G69" s="1012">
        <v>0</v>
      </c>
      <c r="H69" s="1877">
        <v>0</v>
      </c>
      <c r="J69" s="1218">
        <v>0</v>
      </c>
      <c r="K69" s="1218">
        <v>0</v>
      </c>
      <c r="L69" s="1218">
        <v>0</v>
      </c>
    </row>
    <row r="70" spans="1:12" ht="15" x14ac:dyDescent="0.2">
      <c r="A70" s="1011"/>
      <c r="B70" s="1010"/>
      <c r="C70" s="1009"/>
      <c r="D70" s="1156"/>
    </row>
    <row r="71" spans="1:12" ht="16.5" x14ac:dyDescent="0.25">
      <c r="A71" s="1694" t="s">
        <v>1151</v>
      </c>
      <c r="B71" s="1010"/>
      <c r="C71" s="1009"/>
      <c r="D71" s="1156"/>
      <c r="E71" s="1151">
        <f>E61</f>
        <v>0</v>
      </c>
      <c r="F71" s="1151">
        <f t="shared" ref="F71:G71" si="7">F61</f>
        <v>0</v>
      </c>
      <c r="G71" s="1151">
        <f t="shared" si="7"/>
        <v>0</v>
      </c>
      <c r="H71" s="1166">
        <v>0</v>
      </c>
      <c r="J71" s="1688">
        <v>0</v>
      </c>
      <c r="K71" s="1688">
        <v>0</v>
      </c>
      <c r="L71" s="1688">
        <v>0</v>
      </c>
    </row>
    <row r="75" spans="1:12" s="1004" customFormat="1" ht="47.25" customHeight="1" thickBot="1" x14ac:dyDescent="0.4">
      <c r="A75" s="3273" t="s">
        <v>1915</v>
      </c>
      <c r="B75" s="3274"/>
      <c r="C75" s="3274"/>
      <c r="D75" s="3274"/>
      <c r="E75" s="1876">
        <f>E71+E65</f>
        <v>0</v>
      </c>
      <c r="F75" s="1876">
        <f t="shared" ref="F75:G75" si="8">F71+F65</f>
        <v>4235</v>
      </c>
      <c r="G75" s="1876">
        <f t="shared" si="8"/>
        <v>4235</v>
      </c>
      <c r="H75" s="1680">
        <f>(G75/F75)*100</f>
        <v>100</v>
      </c>
      <c r="I75" s="1875"/>
      <c r="J75" s="1679">
        <f>J65+J71</f>
        <v>0</v>
      </c>
      <c r="K75" s="1679">
        <f>K65+K71</f>
        <v>4235000</v>
      </c>
      <c r="L75" s="1679">
        <f>L65+L71</f>
        <v>4235000</v>
      </c>
    </row>
    <row r="76" spans="1:12" ht="13.5" thickTop="1" x14ac:dyDescent="0.2"/>
    <row r="78" spans="1:12" x14ac:dyDescent="0.2">
      <c r="K78" s="1002"/>
      <c r="L78" s="1002"/>
    </row>
  </sheetData>
  <mergeCells count="9">
    <mergeCell ref="A2:H2"/>
    <mergeCell ref="A75:D75"/>
    <mergeCell ref="A16:H16"/>
    <mergeCell ref="A17:H17"/>
    <mergeCell ref="A26:H26"/>
    <mergeCell ref="A33:H33"/>
    <mergeCell ref="A40:H40"/>
    <mergeCell ref="A47:H47"/>
    <mergeCell ref="A54:H54"/>
  </mergeCells>
  <pageMargins left="0.98425196850393704" right="0.98425196850393704" top="0.98425196850393704" bottom="0.98425196850393704" header="0.51181102362204722" footer="0.51181102362204722"/>
  <pageSetup paperSize="9" scale="70" firstPageNumber="87" orientation="portrait" useFirstPageNumber="1" r:id="rId1"/>
  <headerFooter alignWithMargins="0">
    <oddFooter>&amp;L&amp;"Arial,Kurzíva"Zastupitelstvo Olomouckého kraje 25. 6. 2018
5. - Rozpočet Olomouckého kraje 2017 - závěrečný  účet 
Příloha č. 3: Plnění rozpočtu výdajů Olomouckého kraje k 31. 12. 2017&amp;R&amp;"Arial,Kurzíva"Strana &amp;P (celkem 478)</oddFooter>
  </headerFooter>
  <ignoredErrors>
    <ignoredError sqref="E24:G24" formulaRange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FF"/>
  </sheetPr>
  <dimension ref="A1:S218"/>
  <sheetViews>
    <sheetView showGridLines="0" view="pageBreakPreview" topLeftCell="A182" zoomScaleNormal="100" zoomScaleSheetLayoutView="100" workbookViewId="0">
      <selection activeCell="H35" sqref="H35"/>
    </sheetView>
  </sheetViews>
  <sheetFormatPr defaultColWidth="9.140625" defaultRowHeight="14.25" x14ac:dyDescent="0.2"/>
  <cols>
    <col min="1" max="1" width="5" style="1677" customWidth="1"/>
    <col min="2" max="2" width="5.28515625" style="1677" customWidth="1"/>
    <col min="3" max="3" width="9.5703125" style="1676" customWidth="1"/>
    <col min="4" max="4" width="47.140625" style="997" customWidth="1"/>
    <col min="5" max="6" width="14.5703125" style="1002" customWidth="1"/>
    <col min="7" max="7" width="14.85546875" style="1002" customWidth="1"/>
    <col min="8" max="8" width="8.42578125" style="1901" customWidth="1"/>
    <col min="9" max="9" width="9.140625" style="997"/>
    <col min="10" max="10" width="13.7109375" style="1697" bestFit="1" customWidth="1"/>
    <col min="11" max="11" width="14" style="1697" customWidth="1"/>
    <col min="12" max="12" width="14.5703125" style="1697" customWidth="1"/>
    <col min="13" max="13" width="12.7109375" style="1697" bestFit="1" customWidth="1"/>
    <col min="14" max="14" width="19" style="1697" customWidth="1"/>
    <col min="15" max="15" width="13.85546875" style="1697" customWidth="1"/>
    <col min="16" max="18" width="9.140625" style="997"/>
    <col min="19" max="19" width="9.28515625" style="997" bestFit="1" customWidth="1"/>
    <col min="20" max="16384" width="9.140625" style="997"/>
  </cols>
  <sheetData>
    <row r="1" spans="1:15" s="1821" customFormat="1" ht="18.75" thickBot="1" x14ac:dyDescent="0.3">
      <c r="A1" s="1827" t="s">
        <v>558</v>
      </c>
      <c r="B1" s="1826"/>
      <c r="C1" s="1900"/>
      <c r="D1" s="1824"/>
      <c r="E1" s="1899"/>
      <c r="F1" s="1899" t="s">
        <v>43</v>
      </c>
      <c r="G1" s="1898"/>
      <c r="H1" s="1934"/>
      <c r="J1" s="1697"/>
      <c r="K1" s="1697"/>
      <c r="L1" s="1697"/>
      <c r="M1" s="1697"/>
      <c r="N1" s="1697"/>
      <c r="O1" s="1697"/>
    </row>
    <row r="2" spans="1:15" x14ac:dyDescent="0.2">
      <c r="A2" s="1712"/>
    </row>
    <row r="3" spans="1:15" s="1697" customFormat="1" x14ac:dyDescent="0.2">
      <c r="A3" s="1820" t="s">
        <v>201</v>
      </c>
      <c r="B3" s="1819"/>
      <c r="C3" s="3275" t="s">
        <v>968</v>
      </c>
      <c r="D3" s="3276"/>
      <c r="E3" s="1878"/>
      <c r="F3" s="1878"/>
      <c r="G3" s="1878"/>
      <c r="H3" s="1932"/>
    </row>
    <row r="4" spans="1:15" x14ac:dyDescent="0.2">
      <c r="A4" s="1712"/>
      <c r="C4" s="1820" t="s">
        <v>783</v>
      </c>
      <c r="D4" s="1819"/>
      <c r="E4" s="1931"/>
      <c r="F4" s="997"/>
    </row>
    <row r="5" spans="1:15" ht="12.75" customHeight="1" x14ac:dyDescent="0.2">
      <c r="A5" s="1712"/>
      <c r="C5" s="1931"/>
    </row>
    <row r="6" spans="1:15" ht="15.75" x14ac:dyDescent="0.25">
      <c r="A6" s="1789" t="s">
        <v>450</v>
      </c>
    </row>
    <row r="7" spans="1:15" ht="15" thickBot="1" x14ac:dyDescent="0.25">
      <c r="H7" s="1901" t="s">
        <v>92</v>
      </c>
    </row>
    <row r="8" spans="1:15" s="1043" customFormat="1" ht="20.25" customHeight="1" thickTop="1" thickBot="1" x14ac:dyDescent="0.25">
      <c r="A8" s="1047" t="s">
        <v>93</v>
      </c>
      <c r="B8" s="1046" t="s">
        <v>94</v>
      </c>
      <c r="C8" s="1798" t="s">
        <v>364</v>
      </c>
      <c r="D8" s="1069" t="s">
        <v>95</v>
      </c>
      <c r="E8" s="1069" t="s">
        <v>328</v>
      </c>
      <c r="F8" s="1069" t="s">
        <v>329</v>
      </c>
      <c r="G8" s="1749" t="s">
        <v>448</v>
      </c>
      <c r="H8" s="1784" t="s">
        <v>449</v>
      </c>
      <c r="J8" s="1929"/>
      <c r="K8" s="1929"/>
      <c r="L8" s="1929"/>
      <c r="M8" s="1929"/>
      <c r="N8" s="1929"/>
      <c r="O8" s="1929"/>
    </row>
    <row r="9" spans="1:15" s="1037" customFormat="1" ht="13.5" thickTop="1" thickBot="1" x14ac:dyDescent="0.25">
      <c r="A9" s="1042">
        <v>1</v>
      </c>
      <c r="B9" s="1041">
        <v>2</v>
      </c>
      <c r="C9" s="1041">
        <v>3</v>
      </c>
      <c r="D9" s="1041">
        <v>4</v>
      </c>
      <c r="E9" s="1041">
        <v>5</v>
      </c>
      <c r="F9" s="1040">
        <v>6</v>
      </c>
      <c r="G9" s="1040">
        <v>7</v>
      </c>
      <c r="H9" s="1920" t="s">
        <v>33</v>
      </c>
      <c r="I9" s="1043"/>
    </row>
    <row r="10" spans="1:15" s="1875" customFormat="1" ht="15.75" thickTop="1" x14ac:dyDescent="0.25">
      <c r="A10" s="2512">
        <v>3513</v>
      </c>
      <c r="B10" s="2068">
        <v>5169</v>
      </c>
      <c r="C10" s="2513"/>
      <c r="D10" s="2514" t="s">
        <v>430</v>
      </c>
      <c r="E10" s="1811">
        <f>E11+E12+E13</f>
        <v>14549</v>
      </c>
      <c r="F10" s="1811">
        <f t="shared" ref="F10:G10" si="0">F11+F12+F13</f>
        <v>17952</v>
      </c>
      <c r="G10" s="1811">
        <f t="shared" si="0"/>
        <v>16351</v>
      </c>
      <c r="H10" s="2515">
        <f>G10/F10*100</f>
        <v>91.081773618538321</v>
      </c>
    </row>
    <row r="11" spans="1:15" s="1875" customFormat="1" x14ac:dyDescent="0.2">
      <c r="A11" s="2516"/>
      <c r="B11" s="2062"/>
      <c r="C11" s="2517" t="s">
        <v>1312</v>
      </c>
      <c r="D11" s="2518" t="s">
        <v>1351</v>
      </c>
      <c r="E11" s="1022">
        <v>10864</v>
      </c>
      <c r="F11" s="1023">
        <v>14175</v>
      </c>
      <c r="G11" s="1022">
        <v>13887</v>
      </c>
      <c r="H11" s="2304">
        <f t="shared" ref="H11:H28" si="1">(G11/F11)*100</f>
        <v>97.968253968253975</v>
      </c>
    </row>
    <row r="12" spans="1:15" s="1875" customFormat="1" x14ac:dyDescent="0.2">
      <c r="A12" s="2516"/>
      <c r="B12" s="2062"/>
      <c r="C12" s="2517" t="s">
        <v>1313</v>
      </c>
      <c r="D12" s="2518" t="s">
        <v>1352</v>
      </c>
      <c r="E12" s="1022">
        <v>2600</v>
      </c>
      <c r="F12" s="1023">
        <v>2592</v>
      </c>
      <c r="G12" s="1022">
        <v>2364</v>
      </c>
      <c r="H12" s="2304">
        <f t="shared" si="1"/>
        <v>91.203703703703709</v>
      </c>
    </row>
    <row r="13" spans="1:15" s="1875" customFormat="1" x14ac:dyDescent="0.2">
      <c r="A13" s="2516"/>
      <c r="B13" s="2062"/>
      <c r="C13" s="2517" t="s">
        <v>1870</v>
      </c>
      <c r="D13" s="2518" t="s">
        <v>1871</v>
      </c>
      <c r="E13" s="1022">
        <v>1085</v>
      </c>
      <c r="F13" s="1023">
        <v>1185</v>
      </c>
      <c r="G13" s="1022">
        <v>100</v>
      </c>
      <c r="H13" s="2304">
        <f t="shared" si="1"/>
        <v>8.4388185654008439</v>
      </c>
    </row>
    <row r="14" spans="1:15" s="1875" customFormat="1" ht="15" x14ac:dyDescent="0.25">
      <c r="A14" s="2516">
        <v>3522</v>
      </c>
      <c r="B14" s="2062">
        <v>5169</v>
      </c>
      <c r="C14" s="2519"/>
      <c r="D14" s="2520" t="s">
        <v>430</v>
      </c>
      <c r="E14" s="1030">
        <f>E15</f>
        <v>7000</v>
      </c>
      <c r="F14" s="1030">
        <f>F15</f>
        <v>7000</v>
      </c>
      <c r="G14" s="1030">
        <f>G15</f>
        <v>6099</v>
      </c>
      <c r="H14" s="2305">
        <f t="shared" si="1"/>
        <v>87.128571428571433</v>
      </c>
    </row>
    <row r="15" spans="1:15" s="1875" customFormat="1" x14ac:dyDescent="0.2">
      <c r="A15" s="2516"/>
      <c r="B15" s="2062"/>
      <c r="C15" s="2517" t="s">
        <v>1314</v>
      </c>
      <c r="D15" s="2518" t="s">
        <v>1353</v>
      </c>
      <c r="E15" s="1022">
        <v>7000</v>
      </c>
      <c r="F15" s="1023">
        <v>7000</v>
      </c>
      <c r="G15" s="1022">
        <v>6099</v>
      </c>
      <c r="H15" s="2304">
        <f t="shared" si="1"/>
        <v>87.128571428571433</v>
      </c>
    </row>
    <row r="16" spans="1:15" s="1875" customFormat="1" ht="15" x14ac:dyDescent="0.25">
      <c r="A16" s="2516">
        <v>3522</v>
      </c>
      <c r="B16" s="2062">
        <v>5171</v>
      </c>
      <c r="C16" s="2517"/>
      <c r="D16" s="3110" t="s">
        <v>456</v>
      </c>
      <c r="E16" s="1031">
        <f>E17</f>
        <v>0</v>
      </c>
      <c r="F16" s="1030">
        <f>F17</f>
        <v>480</v>
      </c>
      <c r="G16" s="1030">
        <f>G17</f>
        <v>480</v>
      </c>
      <c r="H16" s="2305">
        <f t="shared" si="1"/>
        <v>100</v>
      </c>
    </row>
    <row r="17" spans="1:12" s="1875" customFormat="1" x14ac:dyDescent="0.2">
      <c r="A17" s="2516"/>
      <c r="B17" s="2062"/>
      <c r="C17" s="2521" t="s">
        <v>953</v>
      </c>
      <c r="D17" s="2518" t="s">
        <v>1103</v>
      </c>
      <c r="E17" s="1022">
        <v>0</v>
      </c>
      <c r="F17" s="1023">
        <v>480</v>
      </c>
      <c r="G17" s="1022">
        <v>480</v>
      </c>
      <c r="H17" s="2304">
        <f t="shared" si="1"/>
        <v>100</v>
      </c>
    </row>
    <row r="18" spans="1:12" s="1875" customFormat="1" ht="15" x14ac:dyDescent="0.25">
      <c r="A18" s="2516">
        <v>3522</v>
      </c>
      <c r="B18" s="2062">
        <v>5213</v>
      </c>
      <c r="C18" s="2517"/>
      <c r="D18" s="1032" t="s">
        <v>1875</v>
      </c>
      <c r="E18" s="1030">
        <f>E19</f>
        <v>0</v>
      </c>
      <c r="F18" s="1030">
        <f t="shared" ref="F18" si="2">F19</f>
        <v>19166</v>
      </c>
      <c r="G18" s="1030">
        <f t="shared" ref="G18" si="3">G19</f>
        <v>16319</v>
      </c>
      <c r="H18" s="2305">
        <f t="shared" ref="H18:H19" si="4">(G18/F18)*100</f>
        <v>85.145570280705414</v>
      </c>
    </row>
    <row r="19" spans="1:12" s="1875" customFormat="1" ht="25.5" x14ac:dyDescent="0.2">
      <c r="A19" s="2516"/>
      <c r="B19" s="2062"/>
      <c r="C19" s="3011" t="s">
        <v>1868</v>
      </c>
      <c r="D19" s="2946" t="s">
        <v>1869</v>
      </c>
      <c r="E19" s="2482">
        <v>0</v>
      </c>
      <c r="F19" s="2485">
        <v>19166</v>
      </c>
      <c r="G19" s="2482">
        <v>16319</v>
      </c>
      <c r="H19" s="2475">
        <f t="shared" si="4"/>
        <v>85.145570280705414</v>
      </c>
      <c r="J19" s="1936">
        <v>19166341.600000001</v>
      </c>
      <c r="K19" s="1936">
        <v>16318982.300000001</v>
      </c>
      <c r="L19" s="1936"/>
    </row>
    <row r="20" spans="1:12" s="1875" customFormat="1" ht="15" x14ac:dyDescent="0.25">
      <c r="A20" s="2516">
        <v>3522</v>
      </c>
      <c r="B20" s="2062">
        <v>5339</v>
      </c>
      <c r="C20" s="2517"/>
      <c r="D20" s="1032" t="s">
        <v>1615</v>
      </c>
      <c r="E20" s="1030">
        <f>E21</f>
        <v>0</v>
      </c>
      <c r="F20" s="1030">
        <f t="shared" ref="F20" si="5">F21</f>
        <v>2380</v>
      </c>
      <c r="G20" s="1030">
        <f t="shared" ref="G20" si="6">G21</f>
        <v>0</v>
      </c>
      <c r="H20" s="2305">
        <f t="shared" ref="H20:H21" si="7">(G20/F20)*100</f>
        <v>0</v>
      </c>
      <c r="J20" s="1936"/>
      <c r="K20" s="1936"/>
      <c r="L20" s="1936"/>
    </row>
    <row r="21" spans="1:12" s="1875" customFormat="1" ht="25.5" x14ac:dyDescent="0.2">
      <c r="A21" s="2516"/>
      <c r="B21" s="2062"/>
      <c r="C21" s="3011" t="s">
        <v>1868</v>
      </c>
      <c r="D21" s="2946" t="s">
        <v>1869</v>
      </c>
      <c r="E21" s="2482">
        <v>0</v>
      </c>
      <c r="F21" s="2485">
        <v>2380</v>
      </c>
      <c r="G21" s="2482">
        <v>0</v>
      </c>
      <c r="H21" s="2475">
        <f t="shared" si="7"/>
        <v>0</v>
      </c>
      <c r="J21" s="1936">
        <v>2379840</v>
      </c>
      <c r="K21" s="1936">
        <v>0</v>
      </c>
      <c r="L21" s="1936"/>
    </row>
    <row r="22" spans="1:12" s="1875" customFormat="1" ht="15" x14ac:dyDescent="0.25">
      <c r="A22" s="2516">
        <v>3525</v>
      </c>
      <c r="B22" s="2062">
        <v>5223</v>
      </c>
      <c r="C22" s="2517"/>
      <c r="D22" s="2535" t="s">
        <v>1365</v>
      </c>
      <c r="E22" s="1030">
        <f>E23</f>
        <v>0</v>
      </c>
      <c r="F22" s="1030">
        <f t="shared" ref="F22" si="8">F23</f>
        <v>201</v>
      </c>
      <c r="G22" s="1030">
        <f t="shared" ref="G22" si="9">G23</f>
        <v>201</v>
      </c>
      <c r="H22" s="2305">
        <f t="shared" ref="H22:H23" si="10">(G22/F22)*100</f>
        <v>100</v>
      </c>
      <c r="J22" s="1936"/>
      <c r="K22" s="1936"/>
      <c r="L22" s="1936"/>
    </row>
    <row r="23" spans="1:12" s="1875" customFormat="1" ht="25.5" x14ac:dyDescent="0.2">
      <c r="A23" s="2516"/>
      <c r="B23" s="2062"/>
      <c r="C23" s="3011" t="s">
        <v>1868</v>
      </c>
      <c r="D23" s="2946" t="s">
        <v>1869</v>
      </c>
      <c r="E23" s="2482">
        <v>0</v>
      </c>
      <c r="F23" s="2485">
        <v>201</v>
      </c>
      <c r="G23" s="2482">
        <v>201</v>
      </c>
      <c r="H23" s="2475">
        <f t="shared" si="10"/>
        <v>100</v>
      </c>
      <c r="J23" s="1936">
        <v>201000</v>
      </c>
      <c r="K23" s="1936">
        <v>201000</v>
      </c>
      <c r="L23" s="1936"/>
    </row>
    <row r="24" spans="1:12" s="1875" customFormat="1" ht="15" x14ac:dyDescent="0.25">
      <c r="A24" s="2516">
        <v>3526</v>
      </c>
      <c r="B24" s="2062">
        <v>5213</v>
      </c>
      <c r="C24" s="2517"/>
      <c r="D24" s="1032" t="s">
        <v>1875</v>
      </c>
      <c r="E24" s="1030">
        <f>E25</f>
        <v>0</v>
      </c>
      <c r="F24" s="1030">
        <f t="shared" ref="F24" si="11">F25</f>
        <v>1096</v>
      </c>
      <c r="G24" s="1030">
        <f t="shared" ref="G24" si="12">G25</f>
        <v>839</v>
      </c>
      <c r="H24" s="2305">
        <f t="shared" ref="H24:H25" si="13">(G24/F24)*100</f>
        <v>76.551094890510953</v>
      </c>
      <c r="J24" s="1936"/>
      <c r="K24" s="1936"/>
      <c r="L24" s="1936"/>
    </row>
    <row r="25" spans="1:12" s="1875" customFormat="1" ht="25.5" x14ac:dyDescent="0.2">
      <c r="A25" s="2516"/>
      <c r="B25" s="2062"/>
      <c r="C25" s="3011" t="s">
        <v>1868</v>
      </c>
      <c r="D25" s="2946" t="s">
        <v>1869</v>
      </c>
      <c r="E25" s="2482">
        <v>0</v>
      </c>
      <c r="F25" s="2485">
        <v>1096</v>
      </c>
      <c r="G25" s="2482">
        <v>839</v>
      </c>
      <c r="H25" s="2475">
        <f t="shared" si="13"/>
        <v>76.551094890510953</v>
      </c>
      <c r="J25" s="1936">
        <v>1096066.3999999999</v>
      </c>
      <c r="K25" s="1936">
        <v>839322.4</v>
      </c>
      <c r="L25" s="1936"/>
    </row>
    <row r="26" spans="1:12" s="1875" customFormat="1" ht="15" x14ac:dyDescent="0.25">
      <c r="A26" s="2516">
        <v>3526</v>
      </c>
      <c r="B26" s="2062">
        <v>5311</v>
      </c>
      <c r="C26" s="2517"/>
      <c r="D26" s="1032" t="s">
        <v>831</v>
      </c>
      <c r="E26" s="1030">
        <f>E27</f>
        <v>0</v>
      </c>
      <c r="F26" s="1030">
        <f t="shared" ref="F26" si="14">F27</f>
        <v>177</v>
      </c>
      <c r="G26" s="1030">
        <f t="shared" ref="G26" si="15">G27</f>
        <v>177</v>
      </c>
      <c r="H26" s="2305">
        <f t="shared" ref="H26:H27" si="16">(G26/F26)*100</f>
        <v>100</v>
      </c>
      <c r="J26" s="1936"/>
      <c r="K26" s="1936"/>
      <c r="L26" s="1936"/>
    </row>
    <row r="27" spans="1:12" s="1875" customFormat="1" ht="25.5" x14ac:dyDescent="0.2">
      <c r="A27" s="2516"/>
      <c r="B27" s="2062"/>
      <c r="C27" s="3011" t="s">
        <v>1868</v>
      </c>
      <c r="D27" s="2946" t="s">
        <v>1869</v>
      </c>
      <c r="E27" s="2482">
        <v>0</v>
      </c>
      <c r="F27" s="2485">
        <v>177</v>
      </c>
      <c r="G27" s="2482">
        <v>177</v>
      </c>
      <c r="H27" s="2475">
        <f t="shared" si="16"/>
        <v>100</v>
      </c>
      <c r="J27" s="1936">
        <v>176880</v>
      </c>
      <c r="K27" s="1936">
        <v>176880</v>
      </c>
      <c r="L27" s="1936"/>
    </row>
    <row r="28" spans="1:12" s="1875" customFormat="1" ht="15" hidden="1" x14ac:dyDescent="0.25">
      <c r="A28" s="2516">
        <v>3532</v>
      </c>
      <c r="B28" s="2062">
        <v>5169</v>
      </c>
      <c r="C28" s="2517"/>
      <c r="D28" s="2520" t="s">
        <v>430</v>
      </c>
      <c r="E28" s="1030"/>
      <c r="F28" s="1031"/>
      <c r="G28" s="1030"/>
      <c r="H28" s="2305" t="e">
        <f t="shared" si="1"/>
        <v>#DIV/0!</v>
      </c>
      <c r="J28" s="1936"/>
      <c r="K28" s="1936"/>
      <c r="L28" s="1936"/>
    </row>
    <row r="29" spans="1:12" s="1875" customFormat="1" ht="15" x14ac:dyDescent="0.25">
      <c r="A29" s="2516">
        <v>3544</v>
      </c>
      <c r="B29" s="2062">
        <v>5311</v>
      </c>
      <c r="C29" s="2517"/>
      <c r="D29" s="2520" t="s">
        <v>831</v>
      </c>
      <c r="E29" s="1030">
        <f>E30</f>
        <v>200</v>
      </c>
      <c r="F29" s="1030">
        <f t="shared" ref="F29:G29" si="17">F30</f>
        <v>200</v>
      </c>
      <c r="G29" s="1030">
        <f t="shared" si="17"/>
        <v>200</v>
      </c>
      <c r="H29" s="2305">
        <f>(G29/F29)*100</f>
        <v>100</v>
      </c>
      <c r="J29" s="1936"/>
      <c r="K29" s="1936"/>
      <c r="L29" s="1936"/>
    </row>
    <row r="30" spans="1:12" s="1875" customFormat="1" x14ac:dyDescent="0.2">
      <c r="A30" s="2516"/>
      <c r="B30" s="2062"/>
      <c r="C30" s="2517" t="s">
        <v>1087</v>
      </c>
      <c r="D30" s="2518" t="s">
        <v>1354</v>
      </c>
      <c r="E30" s="1022">
        <v>200</v>
      </c>
      <c r="F30" s="1023">
        <v>200</v>
      </c>
      <c r="G30" s="1022">
        <v>200</v>
      </c>
      <c r="H30" s="2304">
        <f>(G30/F30)*100</f>
        <v>100</v>
      </c>
      <c r="J30" s="1936"/>
      <c r="K30" s="1936"/>
      <c r="L30" s="1936"/>
    </row>
    <row r="31" spans="1:12" s="1875" customFormat="1" ht="15" x14ac:dyDescent="0.25">
      <c r="A31" s="2516">
        <v>3599</v>
      </c>
      <c r="B31" s="2522">
        <v>5169</v>
      </c>
      <c r="C31" s="2519"/>
      <c r="D31" s="2520" t="s">
        <v>430</v>
      </c>
      <c r="E31" s="1030">
        <f>E33+E34+E32</f>
        <v>2000</v>
      </c>
      <c r="F31" s="1030">
        <f t="shared" ref="F31:G31" si="18">F33+F34+F32</f>
        <v>4061</v>
      </c>
      <c r="G31" s="1030">
        <f t="shared" si="18"/>
        <v>3021</v>
      </c>
      <c r="H31" s="2305">
        <f t="shared" ref="H31:H36" si="19">(G31/F31)*100</f>
        <v>74.390544200935722</v>
      </c>
      <c r="J31" s="1936"/>
      <c r="K31" s="1936"/>
      <c r="L31" s="1936"/>
    </row>
    <row r="32" spans="1:12" s="1875" customFormat="1" x14ac:dyDescent="0.2">
      <c r="A32" s="2516"/>
      <c r="B32" s="2522"/>
      <c r="C32" s="2521" t="s">
        <v>871</v>
      </c>
      <c r="D32" s="2518" t="s">
        <v>600</v>
      </c>
      <c r="E32" s="1022">
        <v>1200</v>
      </c>
      <c r="F32" s="1023">
        <v>1050</v>
      </c>
      <c r="G32" s="1022">
        <v>10</v>
      </c>
      <c r="H32" s="2304">
        <f t="shared" si="19"/>
        <v>0.95238095238095244</v>
      </c>
      <c r="J32" s="1936"/>
      <c r="K32" s="1936"/>
      <c r="L32" s="1936"/>
    </row>
    <row r="33" spans="1:19" s="1875" customFormat="1" x14ac:dyDescent="0.2">
      <c r="A33" s="2516"/>
      <c r="B33" s="2522"/>
      <c r="C33" s="2521" t="s">
        <v>967</v>
      </c>
      <c r="D33" s="2523" t="s">
        <v>1643</v>
      </c>
      <c r="E33" s="1022">
        <v>250</v>
      </c>
      <c r="F33" s="1023">
        <v>942</v>
      </c>
      <c r="G33" s="1022">
        <v>942</v>
      </c>
      <c r="H33" s="2304">
        <f t="shared" si="19"/>
        <v>100</v>
      </c>
      <c r="J33" s="1936">
        <v>3011362.47</v>
      </c>
      <c r="K33" s="1936">
        <v>3011362.47</v>
      </c>
      <c r="L33" s="1936"/>
      <c r="M33" s="1936">
        <f>J19+J21+J23+J25+J27+J33</f>
        <v>26031490.469999999</v>
      </c>
      <c r="N33" s="1936">
        <f>K19+K21+K23+K25+K27+K33</f>
        <v>20547547.169999998</v>
      </c>
    </row>
    <row r="34" spans="1:19" s="1875" customFormat="1" x14ac:dyDescent="0.2">
      <c r="A34" s="2516"/>
      <c r="B34" s="2522"/>
      <c r="C34" s="2521" t="s">
        <v>966</v>
      </c>
      <c r="D34" s="2523" t="s">
        <v>284</v>
      </c>
      <c r="E34" s="1022">
        <v>550</v>
      </c>
      <c r="F34" s="1023">
        <v>2069</v>
      </c>
      <c r="G34" s="1022">
        <v>2069</v>
      </c>
      <c r="H34" s="2304">
        <f t="shared" si="19"/>
        <v>100</v>
      </c>
      <c r="J34" s="1936"/>
      <c r="K34" s="1936"/>
      <c r="L34" s="1936"/>
    </row>
    <row r="35" spans="1:19" s="1875" customFormat="1" ht="15" x14ac:dyDescent="0.25">
      <c r="A35" s="2516">
        <v>3599</v>
      </c>
      <c r="B35" s="2522">
        <v>5175</v>
      </c>
      <c r="C35" s="2521"/>
      <c r="D35" s="2524" t="s">
        <v>828</v>
      </c>
      <c r="E35" s="1030">
        <v>5</v>
      </c>
      <c r="F35" s="1031">
        <v>5</v>
      </c>
      <c r="G35" s="1030">
        <v>4</v>
      </c>
      <c r="H35" s="2305">
        <f t="shared" si="19"/>
        <v>80</v>
      </c>
      <c r="J35" s="1936"/>
      <c r="K35" s="1936"/>
      <c r="L35" s="1936"/>
    </row>
    <row r="36" spans="1:19" s="1875" customFormat="1" ht="15" x14ac:dyDescent="0.25">
      <c r="A36" s="2516">
        <v>6172</v>
      </c>
      <c r="B36" s="2522">
        <v>5169</v>
      </c>
      <c r="C36" s="2519"/>
      <c r="D36" s="2520" t="s">
        <v>430</v>
      </c>
      <c r="E36" s="1030">
        <v>10</v>
      </c>
      <c r="F36" s="1030">
        <v>13</v>
      </c>
      <c r="G36" s="1030">
        <v>13</v>
      </c>
      <c r="H36" s="2305">
        <f t="shared" si="19"/>
        <v>100</v>
      </c>
      <c r="J36" s="1936"/>
      <c r="K36" s="1936"/>
      <c r="L36" s="1936"/>
    </row>
    <row r="37" spans="1:19" s="1875" customFormat="1" ht="15.75" thickBot="1" x14ac:dyDescent="0.3">
      <c r="A37" s="2788">
        <v>6330</v>
      </c>
      <c r="B37" s="2525">
        <v>5345</v>
      </c>
      <c r="C37" s="2526"/>
      <c r="D37" s="2942" t="s">
        <v>397</v>
      </c>
      <c r="E37" s="1806">
        <v>0</v>
      </c>
      <c r="F37" s="1806">
        <v>0</v>
      </c>
      <c r="G37" s="1806">
        <v>28382</v>
      </c>
      <c r="H37" s="2339">
        <v>0</v>
      </c>
      <c r="J37" s="1936"/>
      <c r="K37" s="1936"/>
      <c r="L37" s="1936"/>
    </row>
    <row r="38" spans="1:19" s="1014" customFormat="1" ht="35.25" customHeight="1" thickTop="1" thickBot="1" x14ac:dyDescent="0.3">
      <c r="A38" s="1020" t="s">
        <v>132</v>
      </c>
      <c r="B38" s="1019"/>
      <c r="C38" s="1793"/>
      <c r="D38" s="1019"/>
      <c r="E38" s="1016">
        <f>E36+E35+E31+E29+E28+E14+E10+E37+E16+E18+E20+E22+E24+E26</f>
        <v>23764</v>
      </c>
      <c r="F38" s="1016">
        <f t="shared" ref="F38:G38" si="20">F36+F35+F31+F29+F28+F14+F10+F37+F16+F18+F20+F22+F24+F26</f>
        <v>52731</v>
      </c>
      <c r="G38" s="1016">
        <f t="shared" si="20"/>
        <v>72086</v>
      </c>
      <c r="H38" s="1015">
        <f>(G38/F38)*100</f>
        <v>136.70516394530731</v>
      </c>
      <c r="J38" s="2947"/>
      <c r="K38" s="2947"/>
      <c r="L38" s="2947"/>
      <c r="M38" s="1929"/>
      <c r="N38" s="1929"/>
      <c r="O38" s="1929"/>
    </row>
    <row r="39" spans="1:19" s="1014" customFormat="1" ht="18" customHeight="1" thickTop="1" x14ac:dyDescent="0.25">
      <c r="A39" s="1868"/>
      <c r="B39" s="1867"/>
      <c r="C39" s="1094"/>
      <c r="D39" s="1867"/>
      <c r="E39" s="1052"/>
      <c r="F39" s="1052"/>
      <c r="G39" s="1052"/>
      <c r="H39" s="1930"/>
      <c r="J39" s="1929"/>
      <c r="K39" s="1929"/>
      <c r="L39" s="1929"/>
      <c r="M39" s="1929"/>
      <c r="N39" s="1929"/>
      <c r="O39" s="1929"/>
    </row>
    <row r="40" spans="1:19" s="1014" customFormat="1" ht="18" customHeight="1" x14ac:dyDescent="0.25">
      <c r="A40" s="1868"/>
      <c r="B40" s="1867"/>
      <c r="C40" s="1094"/>
      <c r="D40" s="1867"/>
      <c r="E40" s="1052"/>
      <c r="F40" s="1052"/>
      <c r="G40" s="1052"/>
      <c r="H40" s="1930"/>
      <c r="J40" s="1929"/>
      <c r="K40" s="1929"/>
      <c r="L40" s="1929"/>
      <c r="M40" s="1929"/>
      <c r="N40" s="1929"/>
      <c r="O40" s="1929"/>
    </row>
    <row r="41" spans="1:19" s="1014" customFormat="1" ht="18.75" customHeight="1" x14ac:dyDescent="0.25">
      <c r="A41" s="1868"/>
      <c r="B41" s="1867"/>
      <c r="C41" s="1094"/>
      <c r="D41" s="1867"/>
      <c r="E41" s="1052"/>
      <c r="F41" s="1052"/>
      <c r="G41" s="1052"/>
      <c r="H41" s="1927"/>
      <c r="J41" s="1790"/>
      <c r="K41" s="1790"/>
      <c r="L41" s="1790"/>
      <c r="M41" s="1790"/>
      <c r="N41" s="1790"/>
      <c r="O41" s="1790"/>
      <c r="P41" s="1790"/>
      <c r="Q41" s="1790"/>
      <c r="R41" s="1790"/>
      <c r="S41" s="1790"/>
    </row>
    <row r="42" spans="1:19" ht="15.75" x14ac:dyDescent="0.25">
      <c r="A42" s="1789" t="s">
        <v>323</v>
      </c>
    </row>
    <row r="43" spans="1:19" ht="15.75" x14ac:dyDescent="0.25">
      <c r="A43" s="1693" t="s">
        <v>591</v>
      </c>
      <c r="E43" s="1151" t="s">
        <v>169</v>
      </c>
    </row>
    <row r="44" spans="1:19" ht="15" thickBot="1" x14ac:dyDescent="0.25">
      <c r="A44" s="1926"/>
      <c r="H44" s="1901" t="s">
        <v>92</v>
      </c>
    </row>
    <row r="45" spans="1:19" s="1747" customFormat="1" ht="20.25" customHeight="1" thickTop="1" thickBot="1" x14ac:dyDescent="0.25">
      <c r="A45" s="1921" t="s">
        <v>93</v>
      </c>
      <c r="B45" s="1752" t="s">
        <v>94</v>
      </c>
      <c r="C45" s="1751" t="s">
        <v>364</v>
      </c>
      <c r="D45" s="1750" t="s">
        <v>95</v>
      </c>
      <c r="E45" s="1069" t="s">
        <v>328</v>
      </c>
      <c r="F45" s="1069" t="s">
        <v>329</v>
      </c>
      <c r="G45" s="1749" t="s">
        <v>448</v>
      </c>
      <c r="H45" s="1784" t="s">
        <v>449</v>
      </c>
      <c r="J45" s="1697"/>
      <c r="K45" s="1697"/>
      <c r="L45" s="1697"/>
      <c r="M45" s="1697"/>
      <c r="N45" s="1697"/>
      <c r="O45" s="1697"/>
    </row>
    <row r="46" spans="1:19" s="1037" customFormat="1" ht="13.5" thickTop="1" thickBot="1" x14ac:dyDescent="0.25">
      <c r="A46" s="1042">
        <v>1</v>
      </c>
      <c r="B46" s="1041">
        <v>2</v>
      </c>
      <c r="C46" s="1041">
        <v>3</v>
      </c>
      <c r="D46" s="1041">
        <v>4</v>
      </c>
      <c r="E46" s="1041">
        <v>5</v>
      </c>
      <c r="F46" s="1040">
        <v>6</v>
      </c>
      <c r="G46" s="1040">
        <v>7</v>
      </c>
      <c r="H46" s="1920" t="s">
        <v>33</v>
      </c>
      <c r="I46" s="1043"/>
    </row>
    <row r="47" spans="1:19" ht="15.75" thickTop="1" x14ac:dyDescent="0.25">
      <c r="A47" s="2500">
        <v>3523</v>
      </c>
      <c r="B47" s="2501">
        <v>5336</v>
      </c>
      <c r="C47" s="2502"/>
      <c r="D47" s="1785" t="s">
        <v>1640</v>
      </c>
      <c r="E47" s="1883">
        <f>E49+E50+E48</f>
        <v>0</v>
      </c>
      <c r="F47" s="1883">
        <f t="shared" ref="F47:G47" si="21">F49+F50+F48</f>
        <v>3304</v>
      </c>
      <c r="G47" s="1883">
        <f t="shared" si="21"/>
        <v>3132</v>
      </c>
      <c r="H47" s="1919">
        <f t="shared" ref="H47:H58" si="22">G47/F47*100</f>
        <v>94.794188861985475</v>
      </c>
    </row>
    <row r="48" spans="1:19" ht="25.5" x14ac:dyDescent="0.2">
      <c r="A48" s="2500"/>
      <c r="B48" s="2503"/>
      <c r="C48" s="2469" t="s">
        <v>1868</v>
      </c>
      <c r="D48" s="2934" t="s">
        <v>1869</v>
      </c>
      <c r="E48" s="2530">
        <v>0</v>
      </c>
      <c r="F48" s="2530">
        <v>1586</v>
      </c>
      <c r="G48" s="2530">
        <v>1414</v>
      </c>
      <c r="H48" s="2531">
        <f t="shared" si="22"/>
        <v>89.155107187894075</v>
      </c>
    </row>
    <row r="49" spans="1:15" ht="25.5" x14ac:dyDescent="0.2">
      <c r="A49" s="2500"/>
      <c r="B49" s="2503"/>
      <c r="C49" s="2149" t="s">
        <v>1315</v>
      </c>
      <c r="D49" s="2493" t="s">
        <v>1360</v>
      </c>
      <c r="E49" s="2530">
        <v>0</v>
      </c>
      <c r="F49" s="2530">
        <v>258</v>
      </c>
      <c r="G49" s="2530">
        <v>258</v>
      </c>
      <c r="H49" s="2531">
        <f t="shared" si="22"/>
        <v>100</v>
      </c>
    </row>
    <row r="50" spans="1:15" ht="26.25" thickBot="1" x14ac:dyDescent="0.25">
      <c r="A50" s="2500"/>
      <c r="B50" s="2503"/>
      <c r="C50" s="1025" t="s">
        <v>1316</v>
      </c>
      <c r="D50" s="2527" t="s">
        <v>1361</v>
      </c>
      <c r="E50" s="2540">
        <v>0</v>
      </c>
      <c r="F50" s="3012">
        <v>1460</v>
      </c>
      <c r="G50" s="3012">
        <v>1460</v>
      </c>
      <c r="H50" s="2531">
        <f t="shared" si="22"/>
        <v>100</v>
      </c>
    </row>
    <row r="51" spans="1:15" s="1687" customFormat="1" ht="20.25" customHeight="1" thickTop="1" thickBot="1" x14ac:dyDescent="0.3">
      <c r="A51" s="1718" t="s">
        <v>522</v>
      </c>
      <c r="B51" s="1717"/>
      <c r="C51" s="1716"/>
      <c r="D51" s="1715"/>
      <c r="E51" s="1843">
        <f>SUM(E47)</f>
        <v>0</v>
      </c>
      <c r="F51" s="1843">
        <f>SUM(F47)</f>
        <v>3304</v>
      </c>
      <c r="G51" s="1843">
        <f>SUM(G47)</f>
        <v>3132</v>
      </c>
      <c r="H51" s="1925">
        <f t="shared" si="22"/>
        <v>94.794188861985475</v>
      </c>
      <c r="J51" s="1878"/>
      <c r="K51" s="1878"/>
      <c r="L51" s="1878"/>
      <c r="M51" s="1697"/>
      <c r="N51" s="1697"/>
      <c r="O51" s="1697"/>
    </row>
    <row r="52" spans="1:15" s="1687" customFormat="1" ht="17.25" hidden="1" thickTop="1" x14ac:dyDescent="0.25">
      <c r="A52" s="1726">
        <v>3523</v>
      </c>
      <c r="B52" s="1725">
        <v>6351</v>
      </c>
      <c r="C52" s="2451"/>
      <c r="D52" s="1796" t="s">
        <v>320</v>
      </c>
      <c r="E52" s="2505">
        <f>E53+E54+E55</f>
        <v>0</v>
      </c>
      <c r="F52" s="2505">
        <f t="shared" ref="F52:G52" si="23">F53+F54+F55</f>
        <v>0</v>
      </c>
      <c r="G52" s="2505">
        <f t="shared" si="23"/>
        <v>0</v>
      </c>
      <c r="H52" s="1919" t="e">
        <f t="shared" si="22"/>
        <v>#DIV/0!</v>
      </c>
      <c r="J52" s="1878"/>
      <c r="K52" s="1878"/>
      <c r="L52" s="1878"/>
      <c r="M52" s="1697"/>
      <c r="N52" s="1697"/>
      <c r="O52" s="1697"/>
    </row>
    <row r="53" spans="1:15" s="1687" customFormat="1" ht="25.5" hidden="1" x14ac:dyDescent="0.25">
      <c r="A53" s="2452"/>
      <c r="B53" s="2453"/>
      <c r="C53" s="2149" t="s">
        <v>963</v>
      </c>
      <c r="D53" s="2532" t="s">
        <v>1355</v>
      </c>
      <c r="E53" s="2529"/>
      <c r="F53" s="2530"/>
      <c r="G53" s="2530"/>
      <c r="H53" s="2531" t="e">
        <f t="shared" si="22"/>
        <v>#DIV/0!</v>
      </c>
      <c r="J53" s="1878"/>
      <c r="K53" s="1878"/>
      <c r="L53" s="1878"/>
      <c r="M53" s="1697"/>
      <c r="N53" s="1697"/>
      <c r="O53" s="1697"/>
    </row>
    <row r="54" spans="1:15" s="1687" customFormat="1" ht="16.5" hidden="1" x14ac:dyDescent="0.25">
      <c r="A54" s="2452"/>
      <c r="B54" s="2453"/>
      <c r="C54" s="2504" t="s">
        <v>951</v>
      </c>
      <c r="D54" s="2532" t="s">
        <v>832</v>
      </c>
      <c r="E54" s="623"/>
      <c r="F54" s="623"/>
      <c r="G54" s="623"/>
      <c r="H54" s="1881" t="e">
        <f t="shared" si="22"/>
        <v>#DIV/0!</v>
      </c>
      <c r="J54" s="1878"/>
      <c r="K54" s="1878"/>
      <c r="L54" s="1878"/>
      <c r="M54" s="1697"/>
      <c r="N54" s="1697"/>
      <c r="O54" s="1697"/>
    </row>
    <row r="55" spans="1:15" s="1687" customFormat="1" ht="16.5" hidden="1" x14ac:dyDescent="0.25">
      <c r="A55" s="2452"/>
      <c r="B55" s="2453"/>
      <c r="C55" s="2504" t="s">
        <v>965</v>
      </c>
      <c r="D55" s="2532" t="s">
        <v>1356</v>
      </c>
      <c r="E55" s="623"/>
      <c r="F55" s="623"/>
      <c r="G55" s="623"/>
      <c r="H55" s="1881" t="e">
        <f t="shared" si="22"/>
        <v>#DIV/0!</v>
      </c>
      <c r="J55" s="1878"/>
      <c r="K55" s="1878"/>
      <c r="L55" s="1878"/>
      <c r="M55" s="1697"/>
      <c r="N55" s="1697"/>
      <c r="O55" s="1697"/>
    </row>
    <row r="56" spans="1:15" ht="30.75" thickTop="1" x14ac:dyDescent="0.2">
      <c r="A56" s="2544">
        <v>3523</v>
      </c>
      <c r="B56" s="2545">
        <v>6356</v>
      </c>
      <c r="C56" s="2506"/>
      <c r="D56" s="1264" t="s">
        <v>805</v>
      </c>
      <c r="E56" s="2547">
        <f>E58+E57</f>
        <v>0</v>
      </c>
      <c r="F56" s="2547">
        <f>F58+F57</f>
        <v>26665</v>
      </c>
      <c r="G56" s="2547">
        <f>G58+G57</f>
        <v>26665</v>
      </c>
      <c r="H56" s="2548">
        <f t="shared" si="22"/>
        <v>100</v>
      </c>
      <c r="J56" s="997"/>
      <c r="K56" s="997"/>
      <c r="L56" s="997"/>
      <c r="M56" s="997"/>
      <c r="N56" s="997"/>
      <c r="O56" s="997"/>
    </row>
    <row r="57" spans="1:15" ht="25.5" x14ac:dyDescent="0.2">
      <c r="A57" s="1726"/>
      <c r="B57" s="1725"/>
      <c r="C57" s="2469" t="s">
        <v>1317</v>
      </c>
      <c r="D57" s="2542" t="s">
        <v>1362</v>
      </c>
      <c r="E57" s="2541">
        <v>0</v>
      </c>
      <c r="F57" s="2541">
        <v>4000</v>
      </c>
      <c r="G57" s="2541">
        <v>4000</v>
      </c>
      <c r="H57" s="2531">
        <f t="shared" si="22"/>
        <v>100</v>
      </c>
      <c r="J57" s="997"/>
      <c r="K57" s="997"/>
      <c r="L57" s="997"/>
      <c r="M57" s="997"/>
      <c r="N57" s="997"/>
      <c r="O57" s="997"/>
    </row>
    <row r="58" spans="1:15" ht="26.25" thickBot="1" x14ac:dyDescent="0.25">
      <c r="A58" s="1726"/>
      <c r="B58" s="1725"/>
      <c r="C58" s="2469" t="s">
        <v>1363</v>
      </c>
      <c r="D58" s="2543" t="s">
        <v>1364</v>
      </c>
      <c r="E58" s="2530">
        <v>0</v>
      </c>
      <c r="F58" s="2530">
        <v>22665</v>
      </c>
      <c r="G58" s="2530">
        <v>22665</v>
      </c>
      <c r="H58" s="2531">
        <f t="shared" si="22"/>
        <v>100</v>
      </c>
      <c r="J58" s="997"/>
      <c r="K58" s="997"/>
      <c r="L58" s="997"/>
      <c r="M58" s="997"/>
      <c r="N58" s="997"/>
      <c r="O58" s="997"/>
    </row>
    <row r="59" spans="1:15" ht="20.25" customHeight="1" thickTop="1" thickBot="1" x14ac:dyDescent="0.3">
      <c r="A59" s="1718" t="s">
        <v>523</v>
      </c>
      <c r="B59" s="1717"/>
      <c r="C59" s="1716"/>
      <c r="D59" s="1715"/>
      <c r="E59" s="1714">
        <f>E56+E52</f>
        <v>0</v>
      </c>
      <c r="F59" s="1714">
        <f t="shared" ref="F59:G59" si="24">F56+F52</f>
        <v>26665</v>
      </c>
      <c r="G59" s="1714">
        <f t="shared" si="24"/>
        <v>26665</v>
      </c>
      <c r="H59" s="2507">
        <f t="shared" ref="H59" si="25">G59/F59*100</f>
        <v>100</v>
      </c>
      <c r="J59" s="997"/>
      <c r="K59" s="997"/>
      <c r="L59" s="997"/>
      <c r="M59" s="997"/>
      <c r="N59" s="997"/>
      <c r="O59" s="997"/>
    </row>
    <row r="60" spans="1:15" ht="14.25" customHeight="1" thickTop="1" x14ac:dyDescent="0.25">
      <c r="A60" s="1924"/>
      <c r="B60" s="1700"/>
      <c r="C60" s="1699"/>
      <c r="D60" s="1698"/>
      <c r="E60" s="1884"/>
      <c r="F60" s="1884"/>
      <c r="G60" s="1884"/>
      <c r="H60" s="1923"/>
    </row>
    <row r="61" spans="1:15" s="1687" customFormat="1" ht="27.75" customHeight="1" thickBot="1" x14ac:dyDescent="0.3">
      <c r="A61" s="1776" t="s">
        <v>592</v>
      </c>
      <c r="B61" s="1766"/>
      <c r="C61" s="1765"/>
      <c r="D61" s="1764"/>
      <c r="E61" s="1880">
        <f>E51+E59</f>
        <v>0</v>
      </c>
      <c r="F61" s="1880">
        <f>F51+F59</f>
        <v>29969</v>
      </c>
      <c r="G61" s="1880">
        <f>G51+G59</f>
        <v>29797</v>
      </c>
      <c r="H61" s="1917">
        <f>(G61/F61)*100</f>
        <v>99.426073609396383</v>
      </c>
      <c r="J61" s="1697"/>
      <c r="K61" s="1697"/>
      <c r="L61" s="1697"/>
      <c r="M61" s="1697"/>
      <c r="N61" s="1697"/>
      <c r="O61" s="1697"/>
    </row>
    <row r="62" spans="1:15" ht="15" thickTop="1" x14ac:dyDescent="0.2">
      <c r="A62" s="1712"/>
    </row>
    <row r="63" spans="1:15" x14ac:dyDescent="0.2">
      <c r="A63" s="1712"/>
    </row>
    <row r="64" spans="1:15" s="1687" customFormat="1" ht="18" customHeight="1" x14ac:dyDescent="0.25">
      <c r="A64" s="1701"/>
      <c r="B64" s="1700"/>
      <c r="C64" s="1699"/>
      <c r="D64" s="1698"/>
      <c r="E64" s="1884"/>
      <c r="F64" s="1884"/>
      <c r="G64" s="1884"/>
      <c r="H64" s="1916"/>
      <c r="J64" s="1697"/>
      <c r="K64" s="1697"/>
      <c r="L64" s="1697"/>
      <c r="M64" s="1697"/>
      <c r="N64" s="1697"/>
      <c r="O64" s="1697"/>
    </row>
    <row r="65" spans="1:15" s="1687" customFormat="1" ht="15.75" customHeight="1" x14ac:dyDescent="0.25">
      <c r="A65" s="1693" t="s">
        <v>784</v>
      </c>
      <c r="B65" s="1700"/>
      <c r="C65" s="1699"/>
      <c r="D65" s="1698"/>
      <c r="E65" s="1151" t="s">
        <v>170</v>
      </c>
      <c r="F65" s="1884"/>
      <c r="G65" s="1884"/>
      <c r="H65" s="3277" t="s">
        <v>92</v>
      </c>
      <c r="J65" s="1697"/>
      <c r="K65" s="1697"/>
      <c r="L65" s="1697"/>
      <c r="M65" s="1697"/>
      <c r="N65" s="1697"/>
      <c r="O65" s="1697"/>
    </row>
    <row r="66" spans="1:15" s="1183" customFormat="1" ht="11.25" customHeight="1" thickBot="1" x14ac:dyDescent="0.3">
      <c r="A66" s="1922"/>
      <c r="B66" s="1767"/>
      <c r="C66" s="1692"/>
      <c r="E66" s="1151"/>
      <c r="F66" s="1151"/>
      <c r="G66" s="1151"/>
      <c r="H66" s="3278"/>
      <c r="J66" s="1697"/>
      <c r="K66" s="1697"/>
      <c r="L66" s="1697"/>
      <c r="M66" s="1697"/>
      <c r="N66" s="1697"/>
      <c r="O66" s="1697"/>
    </row>
    <row r="67" spans="1:15" s="1747" customFormat="1" ht="20.25" customHeight="1" thickTop="1" thickBot="1" x14ac:dyDescent="0.25">
      <c r="A67" s="1921" t="s">
        <v>93</v>
      </c>
      <c r="B67" s="1752" t="s">
        <v>94</v>
      </c>
      <c r="C67" s="1751" t="s">
        <v>364</v>
      </c>
      <c r="D67" s="1750" t="s">
        <v>95</v>
      </c>
      <c r="E67" s="1069" t="s">
        <v>328</v>
      </c>
      <c r="F67" s="1069" t="s">
        <v>329</v>
      </c>
      <c r="G67" s="1749" t="s">
        <v>448</v>
      </c>
      <c r="H67" s="1784" t="s">
        <v>449</v>
      </c>
      <c r="J67" s="1697"/>
      <c r="K67" s="1697"/>
      <c r="L67" s="1697"/>
      <c r="M67" s="1697"/>
      <c r="N67" s="1697"/>
      <c r="O67" s="1697"/>
    </row>
    <row r="68" spans="1:15" s="1037" customFormat="1" ht="13.5" thickTop="1" thickBot="1" x14ac:dyDescent="0.25">
      <c r="A68" s="1042">
        <v>1</v>
      </c>
      <c r="B68" s="1041">
        <v>2</v>
      </c>
      <c r="C68" s="1041">
        <v>3</v>
      </c>
      <c r="D68" s="1041">
        <v>4</v>
      </c>
      <c r="E68" s="1041">
        <v>5</v>
      </c>
      <c r="F68" s="1040">
        <v>6</v>
      </c>
      <c r="G68" s="1040">
        <v>7</v>
      </c>
      <c r="H68" s="1920" t="s">
        <v>33</v>
      </c>
      <c r="I68" s="1043"/>
    </row>
    <row r="69" spans="1:15" ht="15.75" thickTop="1" x14ac:dyDescent="0.25">
      <c r="A69" s="1726">
        <v>4324</v>
      </c>
      <c r="B69" s="1725">
        <v>5336</v>
      </c>
      <c r="C69" s="1738"/>
      <c r="D69" s="1785" t="s">
        <v>1640</v>
      </c>
      <c r="E69" s="1883">
        <f>E70</f>
        <v>0</v>
      </c>
      <c r="F69" s="1119">
        <f>F70</f>
        <v>1474</v>
      </c>
      <c r="G69" s="1115">
        <f>G70</f>
        <v>1474</v>
      </c>
      <c r="H69" s="1887">
        <f t="shared" ref="H69:H70" si="26">G69/F69*100</f>
        <v>100</v>
      </c>
    </row>
    <row r="70" spans="1:15" x14ac:dyDescent="0.2">
      <c r="A70" s="1726"/>
      <c r="B70" s="1725"/>
      <c r="C70" s="1738" t="s">
        <v>888</v>
      </c>
      <c r="D70" s="3283" t="s">
        <v>489</v>
      </c>
      <c r="E70" s="627">
        <v>0</v>
      </c>
      <c r="F70" s="628">
        <v>1474</v>
      </c>
      <c r="G70" s="1882">
        <v>1474</v>
      </c>
      <c r="H70" s="1881">
        <f t="shared" si="26"/>
        <v>100</v>
      </c>
    </row>
    <row r="71" spans="1:15" ht="15" thickBot="1" x14ac:dyDescent="0.25">
      <c r="A71" s="1726"/>
      <c r="B71" s="1725"/>
      <c r="C71" s="1738"/>
      <c r="D71" s="3283"/>
      <c r="E71" s="627"/>
      <c r="F71" s="628"/>
      <c r="G71" s="1882"/>
      <c r="H71" s="1881"/>
    </row>
    <row r="72" spans="1:15" s="1687" customFormat="1" ht="20.25" customHeight="1" thickTop="1" thickBot="1" x14ac:dyDescent="0.3">
      <c r="A72" s="1718" t="s">
        <v>522</v>
      </c>
      <c r="B72" s="1717"/>
      <c r="C72" s="1716"/>
      <c r="D72" s="1715"/>
      <c r="E72" s="1843">
        <f>E69</f>
        <v>0</v>
      </c>
      <c r="F72" s="1843">
        <f t="shared" ref="F72:G72" si="27">F69</f>
        <v>1474</v>
      </c>
      <c r="G72" s="1843">
        <f t="shared" si="27"/>
        <v>1474</v>
      </c>
      <c r="H72" s="1918">
        <f>(G72/F72)*100</f>
        <v>100</v>
      </c>
      <c r="J72" s="1878"/>
      <c r="K72" s="1878"/>
      <c r="L72" s="1878"/>
      <c r="M72" s="1697"/>
      <c r="N72" s="1697"/>
      <c r="O72" s="1697"/>
    </row>
    <row r="73" spans="1:15" s="1687" customFormat="1" ht="20.25" customHeight="1" thickTop="1" x14ac:dyDescent="0.25">
      <c r="A73" s="1701"/>
      <c r="B73" s="1700"/>
      <c r="C73" s="1699"/>
      <c r="D73" s="1698"/>
      <c r="E73" s="1884"/>
      <c r="F73" s="1884"/>
      <c r="G73" s="1884"/>
      <c r="H73" s="1916"/>
      <c r="J73" s="1878"/>
      <c r="K73" s="1878"/>
      <c r="L73" s="1878"/>
      <c r="M73" s="1697"/>
      <c r="N73" s="1697"/>
      <c r="O73" s="1697"/>
    </row>
    <row r="74" spans="1:15" s="1687" customFormat="1" ht="27.75" customHeight="1" thickBot="1" x14ac:dyDescent="0.3">
      <c r="A74" s="1711" t="s">
        <v>785</v>
      </c>
      <c r="B74" s="1766"/>
      <c r="C74" s="1765"/>
      <c r="D74" s="1764"/>
      <c r="E74" s="1880">
        <f>E72</f>
        <v>0</v>
      </c>
      <c r="F74" s="1880">
        <f>F72</f>
        <v>1474</v>
      </c>
      <c r="G74" s="1880">
        <f>G72</f>
        <v>1474</v>
      </c>
      <c r="H74" s="1917">
        <f>(G74/F74)*100</f>
        <v>100</v>
      </c>
      <c r="J74" s="1697"/>
      <c r="K74" s="1697"/>
      <c r="L74" s="1697"/>
      <c r="M74" s="1697"/>
      <c r="N74" s="1697"/>
      <c r="O74" s="1697"/>
    </row>
    <row r="75" spans="1:15" s="1687" customFormat="1" ht="27.75" customHeight="1" thickTop="1" x14ac:dyDescent="0.25">
      <c r="A75" s="1701"/>
      <c r="B75" s="1700"/>
      <c r="C75" s="1699"/>
      <c r="D75" s="1698"/>
      <c r="E75" s="1884"/>
      <c r="F75" s="1884"/>
      <c r="G75" s="1884"/>
      <c r="H75" s="1916"/>
      <c r="J75" s="1697"/>
      <c r="K75" s="1697"/>
      <c r="L75" s="1697"/>
      <c r="M75" s="1697"/>
      <c r="N75" s="1697"/>
      <c r="O75" s="1697"/>
    </row>
    <row r="76" spans="1:15" s="1687" customFormat="1" ht="15" customHeight="1" x14ac:dyDescent="0.25">
      <c r="A76" s="1693" t="s">
        <v>383</v>
      </c>
      <c r="B76" s="1700"/>
      <c r="C76" s="1699"/>
      <c r="D76" s="1698"/>
      <c r="E76" s="1151" t="s">
        <v>32</v>
      </c>
      <c r="F76" s="1884"/>
      <c r="G76" s="1884"/>
      <c r="H76" s="1923"/>
      <c r="J76" s="1697"/>
      <c r="K76" s="1697"/>
      <c r="L76" s="1697"/>
      <c r="M76" s="1697"/>
      <c r="N76" s="1697"/>
      <c r="O76" s="1697"/>
    </row>
    <row r="77" spans="1:15" s="1183" customFormat="1" ht="13.5" customHeight="1" thickBot="1" x14ac:dyDescent="0.3">
      <c r="A77" s="1922"/>
      <c r="B77" s="1767"/>
      <c r="C77" s="1692"/>
      <c r="E77" s="1151"/>
      <c r="F77" s="1151"/>
      <c r="G77" s="1151"/>
      <c r="H77" s="1901" t="s">
        <v>92</v>
      </c>
      <c r="J77" s="1697"/>
      <c r="K77" s="1697"/>
      <c r="L77" s="1697"/>
      <c r="M77" s="1697"/>
      <c r="N77" s="1697"/>
      <c r="O77" s="1697"/>
    </row>
    <row r="78" spans="1:15" s="1747" customFormat="1" ht="20.25" customHeight="1" thickTop="1" thickBot="1" x14ac:dyDescent="0.25">
      <c r="A78" s="1921" t="s">
        <v>93</v>
      </c>
      <c r="B78" s="1752" t="s">
        <v>94</v>
      </c>
      <c r="C78" s="1751" t="s">
        <v>364</v>
      </c>
      <c r="D78" s="1750" t="s">
        <v>95</v>
      </c>
      <c r="E78" s="1069" t="s">
        <v>328</v>
      </c>
      <c r="F78" s="1069" t="s">
        <v>329</v>
      </c>
      <c r="G78" s="1749" t="s">
        <v>448</v>
      </c>
      <c r="H78" s="1784" t="s">
        <v>449</v>
      </c>
      <c r="J78" s="1697"/>
      <c r="K78" s="1697"/>
      <c r="L78" s="1697"/>
      <c r="M78" s="1697"/>
      <c r="N78" s="1697"/>
      <c r="O78" s="1697"/>
    </row>
    <row r="79" spans="1:15" s="1037" customFormat="1" ht="13.5" thickTop="1" thickBot="1" x14ac:dyDescent="0.25">
      <c r="A79" s="1042">
        <v>1</v>
      </c>
      <c r="B79" s="1041">
        <v>2</v>
      </c>
      <c r="C79" s="1041">
        <v>3</v>
      </c>
      <c r="D79" s="1041">
        <v>4</v>
      </c>
      <c r="E79" s="1041">
        <v>5</v>
      </c>
      <c r="F79" s="1040">
        <v>6</v>
      </c>
      <c r="G79" s="1040">
        <v>7</v>
      </c>
      <c r="H79" s="1920" t="s">
        <v>33</v>
      </c>
      <c r="I79" s="1043"/>
    </row>
    <row r="80" spans="1:15" ht="15.75" thickTop="1" x14ac:dyDescent="0.25">
      <c r="A80" s="1726">
        <v>3533</v>
      </c>
      <c r="B80" s="1725">
        <v>5336</v>
      </c>
      <c r="C80" s="1738"/>
      <c r="D80" s="1785" t="s">
        <v>1640</v>
      </c>
      <c r="E80" s="1115">
        <f>E81</f>
        <v>0</v>
      </c>
      <c r="F80" s="1115">
        <f>F81</f>
        <v>6339</v>
      </c>
      <c r="G80" s="1115">
        <f>G81</f>
        <v>6339</v>
      </c>
      <c r="H80" s="1887">
        <f t="shared" ref="H80:H81" si="28">G80/F80*100</f>
        <v>100</v>
      </c>
    </row>
    <row r="81" spans="1:15" x14ac:dyDescent="0.2">
      <c r="A81" s="1726"/>
      <c r="B81" s="1725"/>
      <c r="C81" s="1738" t="s">
        <v>964</v>
      </c>
      <c r="D81" s="3281" t="s">
        <v>1318</v>
      </c>
      <c r="E81" s="1882">
        <v>0</v>
      </c>
      <c r="F81" s="1882">
        <v>6339</v>
      </c>
      <c r="G81" s="1882">
        <v>6339</v>
      </c>
      <c r="H81" s="1881">
        <f t="shared" si="28"/>
        <v>100</v>
      </c>
    </row>
    <row r="82" spans="1:15" ht="15" thickBot="1" x14ac:dyDescent="0.25">
      <c r="A82" s="1726"/>
      <c r="B82" s="1725"/>
      <c r="C82" s="1738"/>
      <c r="D82" s="3282"/>
      <c r="E82" s="1882"/>
      <c r="F82" s="1882"/>
      <c r="G82" s="1882"/>
      <c r="H82" s="1881"/>
    </row>
    <row r="83" spans="1:15" s="1687" customFormat="1" ht="20.25" customHeight="1" thickTop="1" thickBot="1" x14ac:dyDescent="0.3">
      <c r="A83" s="1718" t="s">
        <v>522</v>
      </c>
      <c r="B83" s="1717"/>
      <c r="C83" s="1716"/>
      <c r="D83" s="1715"/>
      <c r="E83" s="1843">
        <f>E80</f>
        <v>0</v>
      </c>
      <c r="F83" s="1843">
        <f t="shared" ref="F83:G83" si="29">F80</f>
        <v>6339</v>
      </c>
      <c r="G83" s="1843">
        <f t="shared" si="29"/>
        <v>6339</v>
      </c>
      <c r="H83" s="1918">
        <f>(G83/F83)*100</f>
        <v>100</v>
      </c>
      <c r="J83" s="1878"/>
      <c r="K83" s="1878"/>
      <c r="L83" s="1878"/>
      <c r="M83" s="1697"/>
      <c r="N83" s="1697"/>
      <c r="O83" s="1697"/>
    </row>
    <row r="84" spans="1:15" ht="30.75" hidden="1" thickTop="1" x14ac:dyDescent="0.25">
      <c r="A84" s="2544">
        <v>3533</v>
      </c>
      <c r="B84" s="2545">
        <v>6356</v>
      </c>
      <c r="C84" s="1028"/>
      <c r="D84" s="1264" t="s">
        <v>805</v>
      </c>
      <c r="E84" s="1558"/>
      <c r="F84" s="2546">
        <f>F85</f>
        <v>0</v>
      </c>
      <c r="G84" s="2546">
        <f>G85</f>
        <v>0</v>
      </c>
      <c r="H84" s="2533" t="e">
        <f>G84/F84*100</f>
        <v>#DIV/0!</v>
      </c>
      <c r="J84" s="997"/>
      <c r="K84" s="997"/>
      <c r="L84" s="997"/>
      <c r="M84" s="997"/>
      <c r="N84" s="997"/>
      <c r="O84" s="997"/>
    </row>
    <row r="85" spans="1:15" hidden="1" x14ac:dyDescent="0.2">
      <c r="A85" s="1726"/>
      <c r="B85" s="1725"/>
      <c r="C85" s="1028" t="s">
        <v>962</v>
      </c>
      <c r="D85" s="3279" t="s">
        <v>961</v>
      </c>
      <c r="E85" s="622"/>
      <c r="F85" s="623"/>
      <c r="G85" s="623"/>
      <c r="H85" s="1881" t="e">
        <f>G85/F85*100</f>
        <v>#DIV/0!</v>
      </c>
      <c r="J85" s="997"/>
      <c r="K85" s="997"/>
      <c r="L85" s="997"/>
      <c r="M85" s="997"/>
      <c r="N85" s="997"/>
      <c r="O85" s="997"/>
    </row>
    <row r="86" spans="1:15" ht="15" hidden="1" thickBot="1" x14ac:dyDescent="0.25">
      <c r="A86" s="1726"/>
      <c r="B86" s="1725"/>
      <c r="C86" s="1028"/>
      <c r="D86" s="3280"/>
      <c r="E86" s="622"/>
      <c r="F86" s="623"/>
      <c r="G86" s="623"/>
      <c r="H86" s="1881"/>
      <c r="J86" s="997"/>
      <c r="K86" s="997"/>
      <c r="L86" s="997"/>
      <c r="M86" s="997"/>
      <c r="N86" s="997"/>
      <c r="O86" s="997"/>
    </row>
    <row r="87" spans="1:15" ht="20.25" hidden="1" customHeight="1" thickTop="1" thickBot="1" x14ac:dyDescent="0.3">
      <c r="A87" s="1718" t="s">
        <v>523</v>
      </c>
      <c r="B87" s="1717"/>
      <c r="C87" s="1716"/>
      <c r="D87" s="1715"/>
      <c r="E87" s="1714">
        <f>E84</f>
        <v>0</v>
      </c>
      <c r="F87" s="1714">
        <f>F84</f>
        <v>0</v>
      </c>
      <c r="G87" s="1714">
        <f>G84</f>
        <v>0</v>
      </c>
      <c r="H87" s="1885" t="e">
        <f>G87/F87*100</f>
        <v>#DIV/0!</v>
      </c>
      <c r="J87" s="997"/>
      <c r="K87" s="997"/>
      <c r="L87" s="997"/>
      <c r="M87" s="997"/>
      <c r="N87" s="997"/>
      <c r="O87" s="997"/>
    </row>
    <row r="88" spans="1:15" ht="17.25" thickTop="1" x14ac:dyDescent="0.25">
      <c r="A88" s="1782"/>
    </row>
    <row r="89" spans="1:15" s="1687" customFormat="1" ht="27.75" customHeight="1" thickBot="1" x14ac:dyDescent="0.3">
      <c r="A89" s="1776" t="s">
        <v>1644</v>
      </c>
      <c r="B89" s="1766"/>
      <c r="C89" s="1765"/>
      <c r="D89" s="1764"/>
      <c r="E89" s="1880">
        <f>E83+E87</f>
        <v>0</v>
      </c>
      <c r="F89" s="1880">
        <f>F83+F87</f>
        <v>6339</v>
      </c>
      <c r="G89" s="1880">
        <f>G83+G87</f>
        <v>6339</v>
      </c>
      <c r="H89" s="1917">
        <f>(G89/F89)*100</f>
        <v>100</v>
      </c>
      <c r="J89" s="1697"/>
      <c r="K89" s="1697"/>
      <c r="L89" s="1697"/>
      <c r="M89" s="1697"/>
      <c r="N89" s="1697"/>
      <c r="O89" s="1697"/>
    </row>
    <row r="90" spans="1:15" s="1687" customFormat="1" ht="17.25" thickTop="1" x14ac:dyDescent="0.25">
      <c r="A90" s="1701"/>
      <c r="B90" s="1700"/>
      <c r="C90" s="1699"/>
      <c r="D90" s="1698"/>
      <c r="E90" s="1884"/>
      <c r="F90" s="1884"/>
      <c r="G90" s="1884"/>
      <c r="H90" s="1916"/>
      <c r="J90" s="1697"/>
      <c r="K90" s="1697"/>
      <c r="L90" s="1697"/>
      <c r="M90" s="1697"/>
      <c r="N90" s="1697"/>
      <c r="O90" s="1697"/>
    </row>
    <row r="91" spans="1:15" s="1687" customFormat="1" ht="16.5" x14ac:dyDescent="0.25">
      <c r="A91" s="1701"/>
      <c r="B91" s="1700"/>
      <c r="C91" s="1699"/>
      <c r="D91" s="1698"/>
      <c r="E91" s="1884"/>
      <c r="F91" s="1884"/>
      <c r="G91" s="1884"/>
      <c r="H91" s="1916"/>
      <c r="J91" s="1697"/>
      <c r="K91" s="1697"/>
      <c r="L91" s="1697"/>
      <c r="M91" s="1697"/>
      <c r="N91" s="1697"/>
      <c r="O91" s="1697"/>
    </row>
    <row r="92" spans="1:15" s="1687" customFormat="1" ht="16.5" x14ac:dyDescent="0.25">
      <c r="A92" s="3181" t="s">
        <v>1151</v>
      </c>
      <c r="B92" s="3181"/>
      <c r="C92" s="3181"/>
      <c r="D92" s="3181"/>
      <c r="E92" s="3181"/>
      <c r="F92" s="3181"/>
      <c r="G92" s="3181"/>
      <c r="H92" s="3181"/>
      <c r="J92" s="1697"/>
      <c r="K92" s="1697"/>
      <c r="L92" s="1697"/>
      <c r="M92" s="1697"/>
      <c r="N92" s="1697"/>
      <c r="O92" s="1697"/>
    </row>
    <row r="93" spans="1:15" s="1687" customFormat="1" ht="16.5" x14ac:dyDescent="0.25">
      <c r="A93" s="3182" t="s">
        <v>1163</v>
      </c>
      <c r="B93" s="3182"/>
      <c r="C93" s="3182"/>
      <c r="D93" s="3182"/>
      <c r="E93" s="3182"/>
      <c r="F93" s="3182"/>
      <c r="G93" s="3182"/>
      <c r="H93" s="3182"/>
      <c r="J93" s="1697"/>
      <c r="K93" s="1697"/>
      <c r="L93" s="1697"/>
      <c r="M93" s="1697"/>
      <c r="N93" s="1697"/>
      <c r="O93" s="1697"/>
    </row>
    <row r="94" spans="1:15" s="1687" customFormat="1" ht="17.25" thickBot="1" x14ac:dyDescent="0.3">
      <c r="A94" s="33"/>
      <c r="B94" s="570"/>
      <c r="C94" s="571"/>
      <c r="D94" s="372"/>
      <c r="E94" s="373"/>
      <c r="F94" s="560"/>
      <c r="G94" s="373"/>
      <c r="H94" s="1568" t="s">
        <v>92</v>
      </c>
      <c r="J94" s="1697"/>
      <c r="K94" s="1697"/>
      <c r="L94" s="1697"/>
      <c r="M94" s="1697"/>
      <c r="N94" s="1697"/>
      <c r="O94" s="1697"/>
    </row>
    <row r="95" spans="1:15" s="1687" customFormat="1" ht="18" thickTop="1" thickBot="1" x14ac:dyDescent="0.3">
      <c r="A95" s="572" t="s">
        <v>93</v>
      </c>
      <c r="B95" s="573" t="s">
        <v>94</v>
      </c>
      <c r="C95" s="575" t="s">
        <v>364</v>
      </c>
      <c r="D95" s="639" t="s">
        <v>95</v>
      </c>
      <c r="E95" s="639" t="s">
        <v>328</v>
      </c>
      <c r="F95" s="639" t="s">
        <v>329</v>
      </c>
      <c r="G95" s="639" t="s">
        <v>448</v>
      </c>
      <c r="H95" s="576" t="s">
        <v>449</v>
      </c>
      <c r="J95" s="1697"/>
      <c r="K95" s="1697"/>
      <c r="L95" s="1697"/>
      <c r="M95" s="1697"/>
      <c r="N95" s="1697"/>
      <c r="O95" s="1697"/>
    </row>
    <row r="96" spans="1:15" s="1687" customFormat="1" ht="18" thickTop="1" thickBot="1" x14ac:dyDescent="0.3">
      <c r="A96" s="511">
        <v>1</v>
      </c>
      <c r="B96" s="512">
        <v>2</v>
      </c>
      <c r="C96" s="512">
        <v>3</v>
      </c>
      <c r="D96" s="512">
        <v>4</v>
      </c>
      <c r="E96" s="512">
        <v>5</v>
      </c>
      <c r="F96" s="499">
        <v>6</v>
      </c>
      <c r="G96" s="499">
        <v>7</v>
      </c>
      <c r="H96" s="577" t="s">
        <v>33</v>
      </c>
      <c r="J96" s="1697"/>
      <c r="K96" s="1697"/>
      <c r="L96" s="1697"/>
      <c r="M96" s="1697"/>
      <c r="N96" s="1697"/>
      <c r="O96" s="1697"/>
    </row>
    <row r="97" spans="1:15" s="1687" customFormat="1" ht="30.75" thickTop="1" x14ac:dyDescent="0.25">
      <c r="A97" s="2440">
        <v>3522</v>
      </c>
      <c r="B97" s="2537">
        <v>6313</v>
      </c>
      <c r="C97" s="2534" t="s">
        <v>1097</v>
      </c>
      <c r="D97" s="1375" t="s">
        <v>1647</v>
      </c>
      <c r="E97" s="429">
        <v>0</v>
      </c>
      <c r="F97" s="1556">
        <v>510</v>
      </c>
      <c r="G97" s="429">
        <v>478</v>
      </c>
      <c r="H97" s="2533">
        <f>G97/F97*100</f>
        <v>93.725490196078425</v>
      </c>
      <c r="J97" s="1697"/>
      <c r="K97" s="1697"/>
      <c r="L97" s="1697"/>
      <c r="M97" s="1697"/>
      <c r="N97" s="1697"/>
      <c r="O97" s="1697"/>
    </row>
    <row r="98" spans="1:15" s="1687" customFormat="1" ht="16.5" x14ac:dyDescent="0.25">
      <c r="A98" s="2440">
        <v>3543</v>
      </c>
      <c r="B98" s="2537">
        <v>5222</v>
      </c>
      <c r="C98" s="2432" t="s">
        <v>1097</v>
      </c>
      <c r="D98" s="1032" t="s">
        <v>800</v>
      </c>
      <c r="E98" s="429">
        <v>0</v>
      </c>
      <c r="F98" s="1556">
        <v>800</v>
      </c>
      <c r="G98" s="429">
        <v>800</v>
      </c>
      <c r="H98" s="1887">
        <f t="shared" ref="H98:H105" si="30">G98/F98*100</f>
        <v>100</v>
      </c>
      <c r="J98" s="1697"/>
      <c r="K98" s="1697"/>
      <c r="L98" s="1697"/>
      <c r="M98" s="1697"/>
      <c r="N98" s="1697"/>
      <c r="O98" s="1697"/>
    </row>
    <row r="99" spans="1:15" s="1687" customFormat="1" ht="16.5" x14ac:dyDescent="0.25">
      <c r="A99" s="2426">
        <v>3549</v>
      </c>
      <c r="B99" s="2492">
        <v>5223</v>
      </c>
      <c r="C99" s="2432" t="s">
        <v>1097</v>
      </c>
      <c r="D99" s="2535" t="s">
        <v>1365</v>
      </c>
      <c r="E99" s="704">
        <v>0</v>
      </c>
      <c r="F99" s="2923">
        <v>734</v>
      </c>
      <c r="G99" s="704">
        <v>734</v>
      </c>
      <c r="H99" s="2944">
        <f t="shared" si="30"/>
        <v>100</v>
      </c>
      <c r="J99" s="1697"/>
      <c r="K99" s="1697"/>
      <c r="L99" s="1697"/>
      <c r="M99" s="1697"/>
      <c r="N99" s="1697"/>
      <c r="O99" s="1697"/>
    </row>
    <row r="100" spans="1:15" s="1687" customFormat="1" ht="30" x14ac:dyDescent="0.25">
      <c r="A100" s="2426">
        <v>3549</v>
      </c>
      <c r="B100" s="2492">
        <v>6313</v>
      </c>
      <c r="C100" s="2534" t="s">
        <v>1097</v>
      </c>
      <c r="D100" s="2943" t="s">
        <v>1872</v>
      </c>
      <c r="E100" s="429">
        <v>0</v>
      </c>
      <c r="F100" s="1556">
        <v>137</v>
      </c>
      <c r="G100" s="429">
        <v>137</v>
      </c>
      <c r="H100" s="2533">
        <f t="shared" si="30"/>
        <v>100</v>
      </c>
      <c r="J100" s="1697"/>
      <c r="K100" s="1697"/>
      <c r="L100" s="1697"/>
      <c r="M100" s="1697"/>
      <c r="N100" s="1697"/>
      <c r="O100" s="1697"/>
    </row>
    <row r="101" spans="1:15" s="1687" customFormat="1" ht="16.5" x14ac:dyDescent="0.25">
      <c r="A101" s="2426">
        <v>3549</v>
      </c>
      <c r="B101" s="2492">
        <v>6323</v>
      </c>
      <c r="C101" s="2432" t="s">
        <v>1097</v>
      </c>
      <c r="D101" s="2535" t="s">
        <v>1873</v>
      </c>
      <c r="E101" s="704">
        <v>0</v>
      </c>
      <c r="F101" s="2923">
        <v>195</v>
      </c>
      <c r="G101" s="704">
        <v>195</v>
      </c>
      <c r="H101" s="2944">
        <f t="shared" si="30"/>
        <v>100</v>
      </c>
      <c r="J101" s="1697"/>
      <c r="K101" s="1697"/>
      <c r="L101" s="1697"/>
      <c r="M101" s="1697"/>
      <c r="N101" s="1697"/>
      <c r="O101" s="1697"/>
    </row>
    <row r="102" spans="1:15" s="1687" customFormat="1" ht="16.5" x14ac:dyDescent="0.25">
      <c r="A102" s="2426">
        <v>3592</v>
      </c>
      <c r="B102" s="2492">
        <v>5222</v>
      </c>
      <c r="C102" s="2432" t="s">
        <v>1097</v>
      </c>
      <c r="D102" s="2535" t="s">
        <v>800</v>
      </c>
      <c r="E102" s="704">
        <v>0</v>
      </c>
      <c r="F102" s="2923">
        <v>300</v>
      </c>
      <c r="G102" s="704">
        <v>300</v>
      </c>
      <c r="H102" s="2944">
        <f t="shared" si="30"/>
        <v>100</v>
      </c>
      <c r="J102" s="1697"/>
      <c r="K102" s="1697"/>
      <c r="L102" s="1697"/>
      <c r="M102" s="1697"/>
      <c r="N102" s="1697"/>
      <c r="O102" s="1697"/>
    </row>
    <row r="103" spans="1:15" s="1687" customFormat="1" ht="16.5" x14ac:dyDescent="0.25">
      <c r="A103" s="2426">
        <v>3599</v>
      </c>
      <c r="B103" s="2492">
        <v>5222</v>
      </c>
      <c r="C103" s="2432" t="s">
        <v>1097</v>
      </c>
      <c r="D103" s="2535" t="s">
        <v>800</v>
      </c>
      <c r="E103" s="2822">
        <v>0</v>
      </c>
      <c r="F103" s="983">
        <v>300</v>
      </c>
      <c r="G103" s="704">
        <v>300</v>
      </c>
      <c r="H103" s="2944">
        <f t="shared" si="30"/>
        <v>100</v>
      </c>
      <c r="J103" s="1697"/>
      <c r="K103" s="1697"/>
      <c r="L103" s="1697"/>
      <c r="M103" s="1697"/>
      <c r="N103" s="1697"/>
      <c r="O103" s="1697"/>
    </row>
    <row r="104" spans="1:15" s="1687" customFormat="1" ht="17.25" thickBot="1" x14ac:dyDescent="0.3">
      <c r="A104" s="2426">
        <v>3599</v>
      </c>
      <c r="B104" s="2492">
        <v>5229</v>
      </c>
      <c r="C104" s="2432" t="s">
        <v>1097</v>
      </c>
      <c r="D104" s="2945" t="s">
        <v>1229</v>
      </c>
      <c r="E104" s="2822">
        <v>0</v>
      </c>
      <c r="F104" s="983">
        <v>500</v>
      </c>
      <c r="G104" s="704">
        <v>500</v>
      </c>
      <c r="H104" s="2944">
        <f t="shared" si="30"/>
        <v>100</v>
      </c>
      <c r="J104" s="1697"/>
      <c r="K104" s="1697"/>
      <c r="L104" s="1697"/>
      <c r="M104" s="1697"/>
      <c r="N104" s="1697"/>
      <c r="O104" s="1697"/>
    </row>
    <row r="105" spans="1:15" s="1687" customFormat="1" ht="19.5" thickTop="1" thickBot="1" x14ac:dyDescent="0.3">
      <c r="A105" s="578" t="s">
        <v>1167</v>
      </c>
      <c r="B105" s="744"/>
      <c r="C105" s="580"/>
      <c r="D105" s="581"/>
      <c r="E105" s="582">
        <f>SUM(E97:E104)</f>
        <v>0</v>
      </c>
      <c r="F105" s="582">
        <f t="shared" ref="F105:G105" si="31">SUM(F97:F104)</f>
        <v>3476</v>
      </c>
      <c r="G105" s="582">
        <f t="shared" si="31"/>
        <v>3444</v>
      </c>
      <c r="H105" s="2509">
        <f t="shared" si="30"/>
        <v>99.079401611047174</v>
      </c>
      <c r="J105" s="1697"/>
      <c r="K105" s="1697"/>
      <c r="L105" s="1697"/>
      <c r="M105" s="1697"/>
      <c r="N105" s="1697"/>
      <c r="O105" s="1697"/>
    </row>
    <row r="106" spans="1:15" s="1687" customFormat="1" ht="17.25" thickTop="1" x14ac:dyDescent="0.25">
      <c r="A106" s="1701"/>
      <c r="B106" s="1700"/>
      <c r="C106" s="1699"/>
      <c r="D106" s="1698"/>
      <c r="E106" s="1884"/>
      <c r="F106" s="1884"/>
      <c r="G106" s="1884"/>
      <c r="H106" s="1916"/>
      <c r="J106" s="1697"/>
      <c r="K106" s="1697"/>
      <c r="L106" s="1697"/>
      <c r="M106" s="1697"/>
      <c r="N106" s="1697"/>
      <c r="O106" s="1697"/>
    </row>
    <row r="107" spans="1:15" s="1687" customFormat="1" ht="16.5" x14ac:dyDescent="0.25">
      <c r="A107" s="3182" t="s">
        <v>1339</v>
      </c>
      <c r="B107" s="3182"/>
      <c r="C107" s="3182"/>
      <c r="D107" s="3182"/>
      <c r="E107" s="3182"/>
      <c r="F107" s="3182"/>
      <c r="G107" s="3182"/>
      <c r="H107" s="3182"/>
      <c r="J107" s="1697"/>
      <c r="K107" s="1697"/>
      <c r="L107" s="1697"/>
      <c r="M107" s="1697"/>
      <c r="N107" s="1697"/>
      <c r="O107" s="1697"/>
    </row>
    <row r="108" spans="1:15" s="1687" customFormat="1" ht="17.25" thickBot="1" x14ac:dyDescent="0.3">
      <c r="A108" s="33"/>
      <c r="B108" s="570"/>
      <c r="C108" s="571"/>
      <c r="D108" s="372"/>
      <c r="E108" s="373"/>
      <c r="F108" s="560"/>
      <c r="G108" s="373"/>
      <c r="H108" s="1568" t="s">
        <v>92</v>
      </c>
      <c r="J108" s="1697"/>
      <c r="K108" s="1697"/>
      <c r="L108" s="1697"/>
      <c r="M108" s="1697"/>
      <c r="N108" s="1697"/>
      <c r="O108" s="1697"/>
    </row>
    <row r="109" spans="1:15" s="1687" customFormat="1" ht="18" thickTop="1" thickBot="1" x14ac:dyDescent="0.3">
      <c r="A109" s="572" t="s">
        <v>93</v>
      </c>
      <c r="B109" s="573" t="s">
        <v>94</v>
      </c>
      <c r="C109" s="575" t="s">
        <v>364</v>
      </c>
      <c r="D109" s="639" t="s">
        <v>95</v>
      </c>
      <c r="E109" s="639" t="s">
        <v>328</v>
      </c>
      <c r="F109" s="639" t="s">
        <v>329</v>
      </c>
      <c r="G109" s="639" t="s">
        <v>448</v>
      </c>
      <c r="H109" s="576" t="s">
        <v>449</v>
      </c>
      <c r="J109" s="1697"/>
      <c r="K109" s="1697"/>
      <c r="L109" s="1697"/>
      <c r="M109" s="1697"/>
      <c r="N109" s="1697"/>
      <c r="O109" s="1697"/>
    </row>
    <row r="110" spans="1:15" s="1687" customFormat="1" ht="18" thickTop="1" thickBot="1" x14ac:dyDescent="0.3">
      <c r="A110" s="511">
        <v>1</v>
      </c>
      <c r="B110" s="512">
        <v>2</v>
      </c>
      <c r="C110" s="512">
        <v>3</v>
      </c>
      <c r="D110" s="512">
        <v>4</v>
      </c>
      <c r="E110" s="512">
        <v>5</v>
      </c>
      <c r="F110" s="499">
        <v>6</v>
      </c>
      <c r="G110" s="499">
        <v>7</v>
      </c>
      <c r="H110" s="577" t="s">
        <v>33</v>
      </c>
      <c r="J110" s="1697"/>
      <c r="K110" s="1697"/>
      <c r="L110" s="1697"/>
      <c r="M110" s="1697"/>
      <c r="N110" s="1697"/>
      <c r="O110" s="1697"/>
    </row>
    <row r="111" spans="1:15" s="1687" customFormat="1" ht="17.25" thickTop="1" x14ac:dyDescent="0.25">
      <c r="A111" s="2426">
        <v>3543</v>
      </c>
      <c r="B111" s="2492">
        <v>5221</v>
      </c>
      <c r="C111" s="2432" t="s">
        <v>1319</v>
      </c>
      <c r="D111" s="1032" t="s">
        <v>1357</v>
      </c>
      <c r="E111" s="310">
        <v>95</v>
      </c>
      <c r="F111" s="308">
        <v>95</v>
      </c>
      <c r="G111" s="310">
        <v>40</v>
      </c>
      <c r="H111" s="1887">
        <f>G111/F111*100</f>
        <v>42.105263157894733</v>
      </c>
      <c r="J111" s="1697"/>
      <c r="K111" s="1697"/>
      <c r="L111" s="1697"/>
      <c r="M111" s="1697"/>
      <c r="N111" s="1697"/>
      <c r="O111" s="1697"/>
    </row>
    <row r="112" spans="1:15" s="1687" customFormat="1" ht="16.5" x14ac:dyDescent="0.25">
      <c r="A112" s="2426">
        <v>3543</v>
      </c>
      <c r="B112" s="2492">
        <v>5222</v>
      </c>
      <c r="C112" s="2432" t="s">
        <v>1319</v>
      </c>
      <c r="D112" s="1032" t="s">
        <v>800</v>
      </c>
      <c r="E112" s="428">
        <v>305</v>
      </c>
      <c r="F112" s="165">
        <v>275</v>
      </c>
      <c r="G112" s="310">
        <v>275</v>
      </c>
      <c r="H112" s="1887">
        <f t="shared" ref="H112:H114" si="32">G112/F112*100</f>
        <v>100</v>
      </c>
      <c r="J112" s="1697"/>
      <c r="K112" s="1697"/>
      <c r="L112" s="1697"/>
      <c r="M112" s="1697"/>
      <c r="N112" s="1697"/>
      <c r="O112" s="1697"/>
    </row>
    <row r="113" spans="1:15" s="1687" customFormat="1" ht="17.25" thickBot="1" x14ac:dyDescent="0.3">
      <c r="A113" s="2426">
        <v>3543</v>
      </c>
      <c r="B113" s="2492">
        <v>5321</v>
      </c>
      <c r="C113" s="2432" t="s">
        <v>1319</v>
      </c>
      <c r="D113" s="1032" t="s">
        <v>566</v>
      </c>
      <c r="E113" s="428">
        <v>0</v>
      </c>
      <c r="F113" s="165">
        <v>30</v>
      </c>
      <c r="G113" s="310">
        <v>30</v>
      </c>
      <c r="H113" s="1887">
        <f t="shared" si="32"/>
        <v>100</v>
      </c>
      <c r="J113" s="1697"/>
      <c r="K113" s="1697"/>
      <c r="L113" s="1697"/>
      <c r="M113" s="1697"/>
      <c r="N113" s="1697"/>
      <c r="O113" s="1697"/>
    </row>
    <row r="114" spans="1:15" s="1687" customFormat="1" ht="19.5" thickTop="1" thickBot="1" x14ac:dyDescent="0.3">
      <c r="A114" s="578" t="s">
        <v>1320</v>
      </c>
      <c r="B114" s="744"/>
      <c r="C114" s="580"/>
      <c r="D114" s="581"/>
      <c r="E114" s="582">
        <f>SUM(E111:E113)</f>
        <v>400</v>
      </c>
      <c r="F114" s="582">
        <f t="shared" ref="F114" si="33">SUM(F111:F113)</f>
        <v>400</v>
      </c>
      <c r="G114" s="582">
        <f t="shared" ref="G114" si="34">SUM(G111:G113)</f>
        <v>345</v>
      </c>
      <c r="H114" s="2509">
        <f t="shared" si="32"/>
        <v>86.25</v>
      </c>
      <c r="J114" s="1697"/>
      <c r="K114" s="1697"/>
      <c r="L114" s="1697"/>
      <c r="M114" s="1697"/>
      <c r="N114" s="1697"/>
      <c r="O114" s="1697"/>
    </row>
    <row r="115" spans="1:15" s="1687" customFormat="1" ht="17.25" thickTop="1" x14ac:dyDescent="0.25">
      <c r="A115" s="1701"/>
      <c r="B115" s="1700"/>
      <c r="C115" s="1699"/>
      <c r="D115" s="1698"/>
      <c r="E115" s="1884"/>
      <c r="F115" s="1884"/>
      <c r="G115" s="1884"/>
      <c r="H115" s="1916"/>
      <c r="J115" s="1697"/>
      <c r="K115" s="1697"/>
      <c r="L115" s="1697"/>
      <c r="M115" s="1697"/>
      <c r="N115" s="1697"/>
      <c r="O115" s="1697"/>
    </row>
    <row r="116" spans="1:15" s="1687" customFormat="1" ht="16.5" x14ac:dyDescent="0.25">
      <c r="A116" s="3182" t="s">
        <v>1340</v>
      </c>
      <c r="B116" s="3182"/>
      <c r="C116" s="3182"/>
      <c r="D116" s="3182"/>
      <c r="E116" s="3182"/>
      <c r="F116" s="3182"/>
      <c r="G116" s="3182"/>
      <c r="H116" s="3182"/>
      <c r="J116" s="1697"/>
      <c r="K116" s="1697"/>
      <c r="L116" s="1697"/>
      <c r="M116" s="1697"/>
      <c r="N116" s="1697"/>
      <c r="O116" s="1697"/>
    </row>
    <row r="117" spans="1:15" s="1687" customFormat="1" ht="17.25" thickBot="1" x14ac:dyDescent="0.3">
      <c r="A117" s="33"/>
      <c r="B117" s="570"/>
      <c r="C117" s="571"/>
      <c r="D117" s="372"/>
      <c r="E117" s="373"/>
      <c r="F117" s="560"/>
      <c r="G117" s="373"/>
      <c r="H117" s="1568" t="s">
        <v>92</v>
      </c>
      <c r="J117" s="1697"/>
      <c r="K117" s="1697"/>
      <c r="L117" s="1697"/>
      <c r="M117" s="1697"/>
      <c r="N117" s="1697"/>
      <c r="O117" s="1697"/>
    </row>
    <row r="118" spans="1:15" s="1687" customFormat="1" ht="18" thickTop="1" thickBot="1" x14ac:dyDescent="0.3">
      <c r="A118" s="572" t="s">
        <v>93</v>
      </c>
      <c r="B118" s="573" t="s">
        <v>94</v>
      </c>
      <c r="C118" s="575" t="s">
        <v>364</v>
      </c>
      <c r="D118" s="639" t="s">
        <v>95</v>
      </c>
      <c r="E118" s="639" t="s">
        <v>328</v>
      </c>
      <c r="F118" s="639" t="s">
        <v>329</v>
      </c>
      <c r="G118" s="639" t="s">
        <v>448</v>
      </c>
      <c r="H118" s="576" t="s">
        <v>449</v>
      </c>
      <c r="J118" s="1697"/>
      <c r="K118" s="1697"/>
      <c r="L118" s="1697"/>
      <c r="M118" s="1697"/>
      <c r="N118" s="1697"/>
      <c r="O118" s="1697"/>
    </row>
    <row r="119" spans="1:15" s="1687" customFormat="1" ht="18" thickTop="1" thickBot="1" x14ac:dyDescent="0.3">
      <c r="A119" s="511">
        <v>1</v>
      </c>
      <c r="B119" s="512">
        <v>2</v>
      </c>
      <c r="C119" s="512">
        <v>3</v>
      </c>
      <c r="D119" s="512">
        <v>4</v>
      </c>
      <c r="E119" s="512">
        <v>5</v>
      </c>
      <c r="F119" s="499">
        <v>6</v>
      </c>
      <c r="G119" s="499">
        <v>7</v>
      </c>
      <c r="H119" s="577" t="s">
        <v>33</v>
      </c>
      <c r="J119" s="1697"/>
      <c r="K119" s="1697"/>
      <c r="L119" s="1697"/>
      <c r="M119" s="1697"/>
      <c r="N119" s="1697"/>
      <c r="O119" s="1697"/>
    </row>
    <row r="120" spans="1:15" s="1687" customFormat="1" ht="17.25" thickTop="1" x14ac:dyDescent="0.25">
      <c r="A120" s="2426">
        <v>3599</v>
      </c>
      <c r="B120" s="2492">
        <v>5212</v>
      </c>
      <c r="C120" s="2432" t="s">
        <v>1322</v>
      </c>
      <c r="D120" s="1032" t="s">
        <v>1874</v>
      </c>
      <c r="E120" s="310">
        <v>0</v>
      </c>
      <c r="F120" s="308">
        <v>90</v>
      </c>
      <c r="G120" s="310">
        <v>90</v>
      </c>
      <c r="H120" s="1887">
        <f>G120/F120*100</f>
        <v>100</v>
      </c>
      <c r="J120" s="1697"/>
      <c r="K120" s="1697"/>
      <c r="L120" s="1697"/>
      <c r="M120" s="1697"/>
      <c r="N120" s="1697"/>
      <c r="O120" s="1697"/>
    </row>
    <row r="121" spans="1:15" s="1687" customFormat="1" ht="16.5" x14ac:dyDescent="0.25">
      <c r="A121" s="2426">
        <v>3599</v>
      </c>
      <c r="B121" s="2492">
        <v>5213</v>
      </c>
      <c r="C121" s="2432" t="s">
        <v>1322</v>
      </c>
      <c r="D121" s="1032" t="s">
        <v>1875</v>
      </c>
      <c r="E121" s="310">
        <v>0</v>
      </c>
      <c r="F121" s="308">
        <v>298</v>
      </c>
      <c r="G121" s="310">
        <v>144</v>
      </c>
      <c r="H121" s="1887">
        <f>G121/F121*100</f>
        <v>48.322147651006716</v>
      </c>
      <c r="J121" s="1697"/>
      <c r="K121" s="1697"/>
      <c r="L121" s="1697"/>
      <c r="M121" s="1697"/>
      <c r="N121" s="1697"/>
      <c r="O121" s="1697"/>
    </row>
    <row r="122" spans="1:15" s="1687" customFormat="1" ht="16.5" x14ac:dyDescent="0.25">
      <c r="A122" s="2426">
        <v>3599</v>
      </c>
      <c r="B122" s="2492">
        <v>5221</v>
      </c>
      <c r="C122" s="2432" t="s">
        <v>1322</v>
      </c>
      <c r="D122" s="1032" t="s">
        <v>1614</v>
      </c>
      <c r="E122" s="310">
        <v>835</v>
      </c>
      <c r="F122" s="308">
        <v>621</v>
      </c>
      <c r="G122" s="310">
        <v>50</v>
      </c>
      <c r="H122" s="1887">
        <f>G122/F122*100</f>
        <v>8.0515297906602257</v>
      </c>
      <c r="J122" s="1697"/>
      <c r="K122" s="1697"/>
      <c r="L122" s="1697"/>
      <c r="M122" s="1697"/>
      <c r="N122" s="1697"/>
      <c r="O122" s="1697"/>
    </row>
    <row r="123" spans="1:15" s="1687" customFormat="1" ht="16.5" x14ac:dyDescent="0.25">
      <c r="A123" s="2426">
        <v>3599</v>
      </c>
      <c r="B123" s="2492">
        <v>5222</v>
      </c>
      <c r="C123" s="2432" t="s">
        <v>1322</v>
      </c>
      <c r="D123" s="1032" t="s">
        <v>800</v>
      </c>
      <c r="E123" s="428">
        <v>680</v>
      </c>
      <c r="F123" s="165">
        <v>218</v>
      </c>
      <c r="G123" s="310">
        <v>218</v>
      </c>
      <c r="H123" s="1887">
        <f t="shared" ref="H123:H126" si="35">G123/F123*100</f>
        <v>100</v>
      </c>
      <c r="J123" s="1697"/>
      <c r="K123" s="1697"/>
      <c r="L123" s="1697"/>
      <c r="M123" s="1697"/>
      <c r="N123" s="1697"/>
      <c r="O123" s="1697"/>
    </row>
    <row r="124" spans="1:15" s="1687" customFormat="1" ht="16.5" x14ac:dyDescent="0.25">
      <c r="A124" s="2426">
        <v>3599</v>
      </c>
      <c r="B124" s="2492">
        <v>5223</v>
      </c>
      <c r="C124" s="2432" t="s">
        <v>1322</v>
      </c>
      <c r="D124" s="1032" t="s">
        <v>1365</v>
      </c>
      <c r="E124" s="428">
        <v>60</v>
      </c>
      <c r="F124" s="165">
        <v>30</v>
      </c>
      <c r="G124" s="310">
        <v>30</v>
      </c>
      <c r="H124" s="1887">
        <f t="shared" si="35"/>
        <v>100</v>
      </c>
      <c r="J124" s="1697"/>
      <c r="K124" s="1697"/>
      <c r="L124" s="1697"/>
      <c r="M124" s="1697"/>
      <c r="N124" s="1697"/>
      <c r="O124" s="1697"/>
    </row>
    <row r="125" spans="1:15" s="1687" customFormat="1" ht="16.5" x14ac:dyDescent="0.25">
      <c r="A125" s="2426">
        <v>3599</v>
      </c>
      <c r="B125" s="2492">
        <v>5321</v>
      </c>
      <c r="C125" s="2432" t="s">
        <v>1322</v>
      </c>
      <c r="D125" s="1032" t="s">
        <v>566</v>
      </c>
      <c r="E125" s="428">
        <v>0</v>
      </c>
      <c r="F125" s="165">
        <v>20</v>
      </c>
      <c r="G125" s="310">
        <v>20</v>
      </c>
      <c r="H125" s="1887">
        <f t="shared" ref="H125" si="36">G125/F125*100</f>
        <v>100</v>
      </c>
      <c r="J125" s="1697"/>
      <c r="K125" s="1697"/>
      <c r="L125" s="1697"/>
      <c r="M125" s="1697"/>
      <c r="N125" s="1697"/>
      <c r="O125" s="1697"/>
    </row>
    <row r="126" spans="1:15" s="1687" customFormat="1" ht="17.25" thickBot="1" x14ac:dyDescent="0.3">
      <c r="A126" s="2426">
        <v>3599</v>
      </c>
      <c r="B126" s="2492">
        <v>5332</v>
      </c>
      <c r="C126" s="2432" t="s">
        <v>1319</v>
      </c>
      <c r="D126" s="1032" t="s">
        <v>1124</v>
      </c>
      <c r="E126" s="428">
        <v>225</v>
      </c>
      <c r="F126" s="165">
        <v>205</v>
      </c>
      <c r="G126" s="310">
        <v>0</v>
      </c>
      <c r="H126" s="1887">
        <f t="shared" si="35"/>
        <v>0</v>
      </c>
      <c r="J126" s="1697"/>
      <c r="K126" s="1697"/>
      <c r="L126" s="1697"/>
      <c r="M126" s="1697"/>
      <c r="N126" s="1697"/>
      <c r="O126" s="1697"/>
    </row>
    <row r="127" spans="1:15" s="1687" customFormat="1" ht="19.5" thickTop="1" thickBot="1" x14ac:dyDescent="0.3">
      <c r="A127" s="578" t="s">
        <v>1321</v>
      </c>
      <c r="B127" s="744"/>
      <c r="C127" s="580"/>
      <c r="D127" s="581"/>
      <c r="E127" s="582">
        <f>SUM(E120:E126)</f>
        <v>1800</v>
      </c>
      <c r="F127" s="582">
        <f t="shared" ref="F127:G127" si="37">SUM(F120:F126)</f>
        <v>1482</v>
      </c>
      <c r="G127" s="582">
        <f t="shared" si="37"/>
        <v>552</v>
      </c>
      <c r="H127" s="2509">
        <f t="shared" ref="H127" si="38">G127/F127*100</f>
        <v>37.246963562753038</v>
      </c>
      <c r="J127" s="1697"/>
      <c r="K127" s="1697"/>
      <c r="L127" s="1697"/>
      <c r="M127" s="1697"/>
      <c r="N127" s="1697"/>
      <c r="O127" s="1697"/>
    </row>
    <row r="128" spans="1:15" s="1687" customFormat="1" ht="18.75" thickTop="1" x14ac:dyDescent="0.25">
      <c r="A128" s="353"/>
      <c r="B128" s="2351"/>
      <c r="C128" s="57"/>
      <c r="D128" s="354"/>
      <c r="E128" s="17"/>
      <c r="F128" s="17"/>
      <c r="G128" s="17"/>
      <c r="H128" s="1972"/>
      <c r="J128" s="1697"/>
      <c r="K128" s="1697"/>
      <c r="L128" s="1697"/>
      <c r="M128" s="1697"/>
      <c r="N128" s="1697"/>
      <c r="O128" s="1697"/>
    </row>
    <row r="129" spans="1:15" s="1687" customFormat="1" ht="16.5" x14ac:dyDescent="0.25">
      <c r="A129" s="3182" t="s">
        <v>1341</v>
      </c>
      <c r="B129" s="3182"/>
      <c r="C129" s="3182"/>
      <c r="D129" s="3182"/>
      <c r="E129" s="3182"/>
      <c r="F129" s="3182"/>
      <c r="G129" s="3182"/>
      <c r="H129" s="3182"/>
      <c r="J129" s="1697"/>
      <c r="K129" s="1697"/>
      <c r="L129" s="1697"/>
      <c r="M129" s="1697"/>
      <c r="N129" s="1697"/>
      <c r="O129" s="1697"/>
    </row>
    <row r="130" spans="1:15" s="1687" customFormat="1" ht="17.25" thickBot="1" x14ac:dyDescent="0.3">
      <c r="A130" s="33"/>
      <c r="B130" s="570"/>
      <c r="C130" s="571"/>
      <c r="D130" s="372"/>
      <c r="E130" s="373"/>
      <c r="F130" s="560"/>
      <c r="G130" s="373"/>
      <c r="H130" s="1568" t="s">
        <v>92</v>
      </c>
      <c r="J130" s="1697"/>
      <c r="K130" s="1697"/>
      <c r="L130" s="1697"/>
      <c r="M130" s="1697"/>
      <c r="N130" s="1697"/>
      <c r="O130" s="1697"/>
    </row>
    <row r="131" spans="1:15" s="1687" customFormat="1" ht="18" thickTop="1" thickBot="1" x14ac:dyDescent="0.3">
      <c r="A131" s="572" t="s">
        <v>93</v>
      </c>
      <c r="B131" s="573" t="s">
        <v>94</v>
      </c>
      <c r="C131" s="575" t="s">
        <v>364</v>
      </c>
      <c r="D131" s="639" t="s">
        <v>95</v>
      </c>
      <c r="E131" s="639" t="s">
        <v>328</v>
      </c>
      <c r="F131" s="639" t="s">
        <v>329</v>
      </c>
      <c r="G131" s="639" t="s">
        <v>448</v>
      </c>
      <c r="H131" s="576" t="s">
        <v>449</v>
      </c>
      <c r="J131" s="1697"/>
      <c r="K131" s="1697"/>
      <c r="L131" s="1697"/>
      <c r="M131" s="1697"/>
      <c r="N131" s="1697"/>
      <c r="O131" s="1697"/>
    </row>
    <row r="132" spans="1:15" s="1687" customFormat="1" ht="18" thickTop="1" thickBot="1" x14ac:dyDescent="0.3">
      <c r="A132" s="511">
        <v>1</v>
      </c>
      <c r="B132" s="512">
        <v>2</v>
      </c>
      <c r="C132" s="512">
        <v>3</v>
      </c>
      <c r="D132" s="512">
        <v>4</v>
      </c>
      <c r="E132" s="512">
        <v>5</v>
      </c>
      <c r="F132" s="499">
        <v>6</v>
      </c>
      <c r="G132" s="499">
        <v>7</v>
      </c>
      <c r="H132" s="577" t="s">
        <v>33</v>
      </c>
      <c r="J132" s="1697"/>
      <c r="K132" s="1697"/>
      <c r="L132" s="1697"/>
      <c r="M132" s="1697"/>
      <c r="N132" s="1697"/>
      <c r="O132" s="1697"/>
    </row>
    <row r="133" spans="1:15" s="1687" customFormat="1" ht="17.25" thickTop="1" x14ac:dyDescent="0.25">
      <c r="A133" s="2426">
        <v>3543</v>
      </c>
      <c r="B133" s="2492">
        <v>5213</v>
      </c>
      <c r="C133" s="2432" t="s">
        <v>1323</v>
      </c>
      <c r="D133" s="1032" t="s">
        <v>1875</v>
      </c>
      <c r="E133" s="310">
        <v>0</v>
      </c>
      <c r="F133" s="308">
        <v>30</v>
      </c>
      <c r="G133" s="310">
        <v>30</v>
      </c>
      <c r="H133" s="1887">
        <f>G133/F133*100</f>
        <v>100</v>
      </c>
      <c r="J133" s="1697"/>
      <c r="K133" s="1697"/>
      <c r="L133" s="1697"/>
      <c r="M133" s="1697"/>
      <c r="N133" s="1697"/>
      <c r="O133" s="1697"/>
    </row>
    <row r="134" spans="1:15" s="1687" customFormat="1" ht="16.5" x14ac:dyDescent="0.25">
      <c r="A134" s="2426">
        <v>3543</v>
      </c>
      <c r="B134" s="2492">
        <v>5221</v>
      </c>
      <c r="C134" s="2432" t="s">
        <v>1323</v>
      </c>
      <c r="D134" s="1032" t="s">
        <v>1614</v>
      </c>
      <c r="E134" s="428">
        <v>260</v>
      </c>
      <c r="F134" s="165">
        <v>230</v>
      </c>
      <c r="G134" s="310">
        <v>30</v>
      </c>
      <c r="H134" s="1887">
        <f t="shared" ref="H134:H136" si="39">G134/F134*100</f>
        <v>13.043478260869565</v>
      </c>
      <c r="J134" s="1697"/>
      <c r="K134" s="1697"/>
      <c r="L134" s="1697"/>
      <c r="M134" s="1697"/>
      <c r="N134" s="1697"/>
      <c r="O134" s="1697"/>
    </row>
    <row r="135" spans="1:15" s="1687" customFormat="1" ht="17.25" thickBot="1" x14ac:dyDescent="0.3">
      <c r="A135" s="2426">
        <v>3543</v>
      </c>
      <c r="B135" s="2492">
        <v>5222</v>
      </c>
      <c r="C135" s="2432" t="s">
        <v>1323</v>
      </c>
      <c r="D135" s="1032" t="s">
        <v>800</v>
      </c>
      <c r="E135" s="428">
        <v>140</v>
      </c>
      <c r="F135" s="165">
        <v>140</v>
      </c>
      <c r="G135" s="310">
        <v>75</v>
      </c>
      <c r="H135" s="1887">
        <f t="shared" si="39"/>
        <v>53.571428571428569</v>
      </c>
      <c r="J135" s="1697"/>
      <c r="K135" s="1697"/>
      <c r="L135" s="1697"/>
      <c r="M135" s="1697"/>
      <c r="N135" s="1697"/>
      <c r="O135" s="1697"/>
    </row>
    <row r="136" spans="1:15" s="1687" customFormat="1" ht="19.5" thickTop="1" thickBot="1" x14ac:dyDescent="0.3">
      <c r="A136" s="578" t="s">
        <v>1325</v>
      </c>
      <c r="B136" s="744"/>
      <c r="C136" s="580"/>
      <c r="D136" s="581"/>
      <c r="E136" s="582">
        <f>SUM(E133:E135)</f>
        <v>400</v>
      </c>
      <c r="F136" s="582">
        <f>SUM(F133:F135)</f>
        <v>400</v>
      </c>
      <c r="G136" s="582">
        <f>SUM(G133:G135)</f>
        <v>135</v>
      </c>
      <c r="H136" s="2509">
        <f t="shared" si="39"/>
        <v>33.75</v>
      </c>
      <c r="J136" s="1697"/>
      <c r="K136" s="1697"/>
      <c r="L136" s="1697"/>
      <c r="M136" s="1697"/>
      <c r="N136" s="1697"/>
      <c r="O136" s="1697"/>
    </row>
    <row r="137" spans="1:15" s="1687" customFormat="1" ht="18.75" thickTop="1" x14ac:dyDescent="0.25">
      <c r="A137" s="353"/>
      <c r="B137" s="2351"/>
      <c r="C137" s="57"/>
      <c r="D137" s="354"/>
      <c r="E137" s="17"/>
      <c r="F137" s="17"/>
      <c r="G137" s="17"/>
      <c r="H137" s="1972"/>
      <c r="J137" s="1697"/>
      <c r="K137" s="1697"/>
      <c r="L137" s="1697"/>
      <c r="M137" s="1697"/>
      <c r="N137" s="1697"/>
      <c r="O137" s="1697"/>
    </row>
    <row r="138" spans="1:15" s="1687" customFormat="1" ht="16.5" x14ac:dyDescent="0.25">
      <c r="A138" s="3182" t="s">
        <v>1342</v>
      </c>
      <c r="B138" s="3182"/>
      <c r="C138" s="3182"/>
      <c r="D138" s="3182"/>
      <c r="E138" s="3182"/>
      <c r="F138" s="3182"/>
      <c r="G138" s="3182"/>
      <c r="H138" s="3182"/>
      <c r="J138" s="1697"/>
      <c r="K138" s="1697"/>
      <c r="L138" s="1697"/>
      <c r="M138" s="1697"/>
      <c r="N138" s="1697"/>
      <c r="O138" s="1697"/>
    </row>
    <row r="139" spans="1:15" s="1687" customFormat="1" ht="17.25" thickBot="1" x14ac:dyDescent="0.3">
      <c r="A139" s="33"/>
      <c r="B139" s="570"/>
      <c r="C139" s="571"/>
      <c r="D139" s="372"/>
      <c r="E139" s="373"/>
      <c r="F139" s="560"/>
      <c r="G139" s="373"/>
      <c r="H139" s="1568" t="s">
        <v>92</v>
      </c>
      <c r="J139" s="1697"/>
      <c r="K139" s="1697"/>
      <c r="L139" s="1697"/>
      <c r="M139" s="1697"/>
      <c r="N139" s="1697"/>
      <c r="O139" s="1697"/>
    </row>
    <row r="140" spans="1:15" s="1687" customFormat="1" ht="18" thickTop="1" thickBot="1" x14ac:dyDescent="0.3">
      <c r="A140" s="572" t="s">
        <v>93</v>
      </c>
      <c r="B140" s="573" t="s">
        <v>94</v>
      </c>
      <c r="C140" s="575" t="s">
        <v>364</v>
      </c>
      <c r="D140" s="639" t="s">
        <v>95</v>
      </c>
      <c r="E140" s="639" t="s">
        <v>328</v>
      </c>
      <c r="F140" s="639" t="s">
        <v>329</v>
      </c>
      <c r="G140" s="639" t="s">
        <v>448</v>
      </c>
      <c r="H140" s="576" t="s">
        <v>449</v>
      </c>
      <c r="J140" s="1697"/>
      <c r="K140" s="1697"/>
      <c r="L140" s="1697"/>
      <c r="M140" s="1697"/>
      <c r="N140" s="1697"/>
      <c r="O140" s="1697"/>
    </row>
    <row r="141" spans="1:15" s="1687" customFormat="1" ht="18" thickTop="1" thickBot="1" x14ac:dyDescent="0.3">
      <c r="A141" s="511">
        <v>1</v>
      </c>
      <c r="B141" s="512">
        <v>2</v>
      </c>
      <c r="C141" s="512">
        <v>3</v>
      </c>
      <c r="D141" s="512">
        <v>4</v>
      </c>
      <c r="E141" s="512">
        <v>5</v>
      </c>
      <c r="F141" s="499">
        <v>6</v>
      </c>
      <c r="G141" s="499">
        <v>7</v>
      </c>
      <c r="H141" s="577" t="s">
        <v>33</v>
      </c>
      <c r="J141" s="1697"/>
      <c r="K141" s="1697"/>
      <c r="L141" s="1697"/>
      <c r="M141" s="1697"/>
      <c r="N141" s="1697"/>
      <c r="O141" s="1697"/>
    </row>
    <row r="142" spans="1:15" s="1687" customFormat="1" ht="17.25" thickTop="1" x14ac:dyDescent="0.25">
      <c r="A142" s="2426">
        <v>3599</v>
      </c>
      <c r="B142" s="2492">
        <v>5221</v>
      </c>
      <c r="C142" s="2432" t="s">
        <v>1324</v>
      </c>
      <c r="D142" s="1032" t="s">
        <v>1614</v>
      </c>
      <c r="E142" s="310">
        <v>0</v>
      </c>
      <c r="F142" s="308">
        <v>200</v>
      </c>
      <c r="G142" s="310">
        <v>200</v>
      </c>
      <c r="H142" s="2511">
        <f t="shared" ref="H142:H144" si="40">G142/F142*100</f>
        <v>100</v>
      </c>
      <c r="J142" s="1697"/>
      <c r="K142" s="1697"/>
      <c r="L142" s="1697"/>
      <c r="M142" s="1697"/>
      <c r="N142" s="1697"/>
      <c r="O142" s="1697"/>
    </row>
    <row r="143" spans="1:15" s="1687" customFormat="1" ht="17.25" thickBot="1" x14ac:dyDescent="0.3">
      <c r="A143" s="2426">
        <v>3599</v>
      </c>
      <c r="B143" s="2492">
        <v>5222</v>
      </c>
      <c r="C143" s="2432" t="s">
        <v>1324</v>
      </c>
      <c r="D143" s="1032" t="s">
        <v>800</v>
      </c>
      <c r="E143" s="428">
        <v>400</v>
      </c>
      <c r="F143" s="165">
        <v>518</v>
      </c>
      <c r="G143" s="310">
        <v>518</v>
      </c>
      <c r="H143" s="2510">
        <f t="shared" si="40"/>
        <v>100</v>
      </c>
      <c r="J143" s="1697"/>
      <c r="K143" s="1697"/>
      <c r="L143" s="1697"/>
      <c r="M143" s="1697"/>
      <c r="N143" s="1697"/>
      <c r="O143" s="1697"/>
    </row>
    <row r="144" spans="1:15" s="1687" customFormat="1" ht="19.5" thickTop="1" thickBot="1" x14ac:dyDescent="0.3">
      <c r="A144" s="578" t="s">
        <v>1326</v>
      </c>
      <c r="B144" s="744"/>
      <c r="C144" s="580"/>
      <c r="D144" s="581"/>
      <c r="E144" s="582">
        <f>SUM(E142:E143)</f>
        <v>400</v>
      </c>
      <c r="F144" s="582">
        <f>SUM(F142:F143)</f>
        <v>718</v>
      </c>
      <c r="G144" s="582">
        <f>SUM(G142:G143)</f>
        <v>718</v>
      </c>
      <c r="H144" s="2509">
        <f t="shared" si="40"/>
        <v>100</v>
      </c>
      <c r="J144" s="1697"/>
      <c r="K144" s="1697"/>
      <c r="L144" s="1697"/>
      <c r="M144" s="1697"/>
      <c r="N144" s="1697"/>
      <c r="O144" s="1697"/>
    </row>
    <row r="145" spans="1:15" s="1687" customFormat="1" ht="18.75" thickTop="1" x14ac:dyDescent="0.25">
      <c r="A145" s="353"/>
      <c r="B145" s="2351"/>
      <c r="C145" s="57"/>
      <c r="D145" s="354"/>
      <c r="E145" s="17"/>
      <c r="F145" s="17"/>
      <c r="G145" s="17"/>
      <c r="H145" s="1972"/>
      <c r="J145" s="1697"/>
      <c r="K145" s="1697"/>
      <c r="L145" s="1697"/>
      <c r="M145" s="1697"/>
      <c r="N145" s="1697"/>
      <c r="O145" s="1697"/>
    </row>
    <row r="146" spans="1:15" s="1687" customFormat="1" ht="16.5" x14ac:dyDescent="0.25">
      <c r="A146" s="3182" t="s">
        <v>1343</v>
      </c>
      <c r="B146" s="3182"/>
      <c r="C146" s="3182"/>
      <c r="D146" s="3182"/>
      <c r="E146" s="3182"/>
      <c r="F146" s="3182"/>
      <c r="G146" s="3182"/>
      <c r="H146" s="3182"/>
      <c r="J146" s="1697"/>
      <c r="K146" s="1697"/>
      <c r="L146" s="1697"/>
      <c r="M146" s="1697"/>
      <c r="N146" s="1697"/>
      <c r="O146" s="1697"/>
    </row>
    <row r="147" spans="1:15" s="1687" customFormat="1" ht="17.25" thickBot="1" x14ac:dyDescent="0.3">
      <c r="A147" s="33"/>
      <c r="B147" s="570"/>
      <c r="C147" s="571"/>
      <c r="D147" s="372"/>
      <c r="E147" s="373"/>
      <c r="F147" s="560"/>
      <c r="G147" s="373"/>
      <c r="H147" s="1568" t="s">
        <v>92</v>
      </c>
      <c r="J147" s="1697"/>
      <c r="K147" s="1697"/>
      <c r="L147" s="1697"/>
      <c r="M147" s="1697"/>
      <c r="N147" s="1697"/>
      <c r="O147" s="1697"/>
    </row>
    <row r="148" spans="1:15" s="1687" customFormat="1" ht="18" thickTop="1" thickBot="1" x14ac:dyDescent="0.3">
      <c r="A148" s="572" t="s">
        <v>93</v>
      </c>
      <c r="B148" s="573" t="s">
        <v>94</v>
      </c>
      <c r="C148" s="575" t="s">
        <v>364</v>
      </c>
      <c r="D148" s="639" t="s">
        <v>95</v>
      </c>
      <c r="E148" s="639" t="s">
        <v>328</v>
      </c>
      <c r="F148" s="639" t="s">
        <v>329</v>
      </c>
      <c r="G148" s="639" t="s">
        <v>448</v>
      </c>
      <c r="H148" s="576" t="s">
        <v>449</v>
      </c>
      <c r="J148" s="1697"/>
      <c r="K148" s="1697"/>
      <c r="L148" s="1697"/>
      <c r="M148" s="1697"/>
      <c r="N148" s="1697"/>
      <c r="O148" s="1697"/>
    </row>
    <row r="149" spans="1:15" s="1687" customFormat="1" ht="18" thickTop="1" thickBot="1" x14ac:dyDescent="0.3">
      <c r="A149" s="511">
        <v>1</v>
      </c>
      <c r="B149" s="512">
        <v>2</v>
      </c>
      <c r="C149" s="512">
        <v>3</v>
      </c>
      <c r="D149" s="512">
        <v>4</v>
      </c>
      <c r="E149" s="512">
        <v>5</v>
      </c>
      <c r="F149" s="499">
        <v>6</v>
      </c>
      <c r="G149" s="499">
        <v>7</v>
      </c>
      <c r="H149" s="577" t="s">
        <v>33</v>
      </c>
      <c r="J149" s="1697"/>
      <c r="K149" s="1697"/>
      <c r="L149" s="1697"/>
      <c r="M149" s="1697"/>
      <c r="N149" s="1697"/>
      <c r="O149" s="1697"/>
    </row>
    <row r="150" spans="1:15" s="1687" customFormat="1" ht="30.75" thickTop="1" x14ac:dyDescent="0.25">
      <c r="A150" s="2440">
        <v>3592</v>
      </c>
      <c r="B150" s="2537">
        <v>5212</v>
      </c>
      <c r="C150" s="2534" t="s">
        <v>1327</v>
      </c>
      <c r="D150" s="2536" t="s">
        <v>1358</v>
      </c>
      <c r="E150" s="429">
        <v>450</v>
      </c>
      <c r="F150" s="1556">
        <v>450</v>
      </c>
      <c r="G150" s="429">
        <v>0</v>
      </c>
      <c r="H150" s="2538">
        <f t="shared" ref="H150:H152" si="41">G150/F150*100</f>
        <v>0</v>
      </c>
      <c r="J150" s="1697"/>
      <c r="K150" s="1697"/>
      <c r="L150" s="1697"/>
      <c r="M150" s="1697"/>
      <c r="N150" s="1697"/>
      <c r="O150" s="1697"/>
    </row>
    <row r="151" spans="1:15" s="1687" customFormat="1" ht="30.75" thickBot="1" x14ac:dyDescent="0.3">
      <c r="A151" s="2440">
        <v>3592</v>
      </c>
      <c r="B151" s="2537">
        <v>5213</v>
      </c>
      <c r="C151" s="2534" t="s">
        <v>1327</v>
      </c>
      <c r="D151" s="2536" t="s">
        <v>1359</v>
      </c>
      <c r="E151" s="2319">
        <v>1550</v>
      </c>
      <c r="F151" s="897">
        <v>1550</v>
      </c>
      <c r="G151" s="429">
        <v>331</v>
      </c>
      <c r="H151" s="2539">
        <f t="shared" si="41"/>
        <v>21.35483870967742</v>
      </c>
      <c r="J151" s="1697"/>
      <c r="K151" s="1697"/>
      <c r="L151" s="1697"/>
      <c r="M151" s="1697"/>
      <c r="N151" s="1697"/>
      <c r="O151" s="1697"/>
    </row>
    <row r="152" spans="1:15" s="1687" customFormat="1" ht="19.5" thickTop="1" thickBot="1" x14ac:dyDescent="0.3">
      <c r="A152" s="578" t="s">
        <v>1328</v>
      </c>
      <c r="B152" s="744"/>
      <c r="C152" s="580"/>
      <c r="D152" s="581"/>
      <c r="E152" s="582">
        <f>SUM(E150:E151)</f>
        <v>2000</v>
      </c>
      <c r="F152" s="582">
        <f>SUM(F150:F151)</f>
        <v>2000</v>
      </c>
      <c r="G152" s="582">
        <f>SUM(G150:G151)</f>
        <v>331</v>
      </c>
      <c r="H152" s="2509">
        <f t="shared" si="41"/>
        <v>16.55</v>
      </c>
      <c r="J152" s="1697"/>
      <c r="K152" s="1697"/>
      <c r="L152" s="1697"/>
      <c r="M152" s="1697"/>
      <c r="N152" s="1697"/>
      <c r="O152" s="1697"/>
    </row>
    <row r="153" spans="1:15" s="1687" customFormat="1" ht="18.75" thickTop="1" x14ac:dyDescent="0.25">
      <c r="A153" s="353"/>
      <c r="B153" s="2351"/>
      <c r="C153" s="57"/>
      <c r="D153" s="354"/>
      <c r="E153" s="17"/>
      <c r="F153" s="17"/>
      <c r="G153" s="17"/>
      <c r="H153" s="1972"/>
      <c r="J153" s="1697"/>
      <c r="K153" s="1697"/>
      <c r="L153" s="1697"/>
      <c r="M153" s="1697"/>
      <c r="N153" s="1697"/>
      <c r="O153" s="1697"/>
    </row>
    <row r="154" spans="1:15" s="1687" customFormat="1" ht="16.5" x14ac:dyDescent="0.25">
      <c r="A154" s="3182" t="s">
        <v>1344</v>
      </c>
      <c r="B154" s="3182"/>
      <c r="C154" s="3182"/>
      <c r="D154" s="3182"/>
      <c r="E154" s="3182"/>
      <c r="F154" s="3182"/>
      <c r="G154" s="3182"/>
      <c r="H154" s="3182"/>
      <c r="J154" s="1697"/>
      <c r="K154" s="1697"/>
      <c r="L154" s="1697"/>
      <c r="M154" s="1697"/>
      <c r="N154" s="1697"/>
      <c r="O154" s="1697"/>
    </row>
    <row r="155" spans="1:15" s="1687" customFormat="1" ht="17.25" thickBot="1" x14ac:dyDescent="0.3">
      <c r="A155" s="33"/>
      <c r="B155" s="570"/>
      <c r="C155" s="571"/>
      <c r="D155" s="372"/>
      <c r="E155" s="373"/>
      <c r="F155" s="560"/>
      <c r="G155" s="373"/>
      <c r="H155" s="1568" t="s">
        <v>92</v>
      </c>
      <c r="J155" s="1697"/>
      <c r="K155" s="1697"/>
      <c r="L155" s="1697"/>
      <c r="M155" s="1697"/>
      <c r="N155" s="1697"/>
      <c r="O155" s="1697"/>
    </row>
    <row r="156" spans="1:15" s="1687" customFormat="1" ht="18" thickTop="1" thickBot="1" x14ac:dyDescent="0.3">
      <c r="A156" s="572" t="s">
        <v>93</v>
      </c>
      <c r="B156" s="573" t="s">
        <v>94</v>
      </c>
      <c r="C156" s="575" t="s">
        <v>364</v>
      </c>
      <c r="D156" s="639" t="s">
        <v>95</v>
      </c>
      <c r="E156" s="639" t="s">
        <v>328</v>
      </c>
      <c r="F156" s="639" t="s">
        <v>329</v>
      </c>
      <c r="G156" s="639" t="s">
        <v>448</v>
      </c>
      <c r="H156" s="576" t="s">
        <v>449</v>
      </c>
      <c r="J156" s="1697"/>
      <c r="K156" s="1697"/>
      <c r="L156" s="1697"/>
      <c r="M156" s="1697"/>
      <c r="N156" s="1697"/>
      <c r="O156" s="1697"/>
    </row>
    <row r="157" spans="1:15" s="1687" customFormat="1" ht="18" thickTop="1" thickBot="1" x14ac:dyDescent="0.3">
      <c r="A157" s="511">
        <v>1</v>
      </c>
      <c r="B157" s="512">
        <v>2</v>
      </c>
      <c r="C157" s="512">
        <v>3</v>
      </c>
      <c r="D157" s="512">
        <v>4</v>
      </c>
      <c r="E157" s="512">
        <v>5</v>
      </c>
      <c r="F157" s="499">
        <v>6</v>
      </c>
      <c r="G157" s="499">
        <v>7</v>
      </c>
      <c r="H157" s="577" t="s">
        <v>33</v>
      </c>
      <c r="J157" s="1697"/>
      <c r="K157" s="1697"/>
      <c r="L157" s="1697"/>
      <c r="M157" s="1697"/>
      <c r="N157" s="1697"/>
      <c r="O157" s="1697"/>
    </row>
    <row r="158" spans="1:15" s="1687" customFormat="1" ht="17.25" thickTop="1" x14ac:dyDescent="0.25">
      <c r="A158" s="2426">
        <v>3541</v>
      </c>
      <c r="B158" s="2492">
        <v>5221</v>
      </c>
      <c r="C158" s="2432" t="s">
        <v>1329</v>
      </c>
      <c r="D158" s="1032" t="s">
        <v>1614</v>
      </c>
      <c r="E158" s="310">
        <v>1150</v>
      </c>
      <c r="F158" s="308">
        <v>1070</v>
      </c>
      <c r="G158" s="310">
        <v>1070</v>
      </c>
      <c r="H158" s="2511">
        <f t="shared" ref="H158:H161" si="42">G158/F158*100</f>
        <v>100</v>
      </c>
      <c r="J158" s="1697"/>
      <c r="K158" s="1697"/>
      <c r="L158" s="1697"/>
      <c r="M158" s="1697"/>
      <c r="N158" s="1697"/>
      <c r="O158" s="1697"/>
    </row>
    <row r="159" spans="1:15" s="1687" customFormat="1" ht="16.5" x14ac:dyDescent="0.25">
      <c r="A159" s="2426">
        <v>3541</v>
      </c>
      <c r="B159" s="2492">
        <v>5222</v>
      </c>
      <c r="C159" s="2432" t="s">
        <v>1329</v>
      </c>
      <c r="D159" s="1032" t="s">
        <v>800</v>
      </c>
      <c r="E159" s="310">
        <v>250</v>
      </c>
      <c r="F159" s="308">
        <v>289</v>
      </c>
      <c r="G159" s="310">
        <v>289</v>
      </c>
      <c r="H159" s="2341">
        <f t="shared" si="42"/>
        <v>100</v>
      </c>
      <c r="J159" s="1697"/>
      <c r="K159" s="1697"/>
      <c r="L159" s="1697"/>
      <c r="M159" s="1697"/>
      <c r="N159" s="1697"/>
      <c r="O159" s="1697"/>
    </row>
    <row r="160" spans="1:15" s="1687" customFormat="1" ht="17.25" thickBot="1" x14ac:dyDescent="0.3">
      <c r="A160" s="2426">
        <v>3541</v>
      </c>
      <c r="B160" s="2492">
        <v>5229</v>
      </c>
      <c r="C160" s="2432" t="s">
        <v>1329</v>
      </c>
      <c r="D160" s="2015" t="s">
        <v>1642</v>
      </c>
      <c r="E160" s="428">
        <v>0</v>
      </c>
      <c r="F160" s="165">
        <v>361</v>
      </c>
      <c r="G160" s="310">
        <v>361</v>
      </c>
      <c r="H160" s="2510">
        <f t="shared" si="42"/>
        <v>100</v>
      </c>
      <c r="J160" s="1697"/>
      <c r="K160" s="1697"/>
      <c r="L160" s="1697"/>
      <c r="M160" s="1697"/>
      <c r="N160" s="1697"/>
      <c r="O160" s="1697"/>
    </row>
    <row r="161" spans="1:15" s="1687" customFormat="1" ht="19.5" thickTop="1" thickBot="1" x14ac:dyDescent="0.3">
      <c r="A161" s="578" t="s">
        <v>1330</v>
      </c>
      <c r="B161" s="744"/>
      <c r="C161" s="580"/>
      <c r="D161" s="581"/>
      <c r="E161" s="582">
        <f>SUM(E158:E160)</f>
        <v>1400</v>
      </c>
      <c r="F161" s="582">
        <f>SUM(F158:F160)</f>
        <v>1720</v>
      </c>
      <c r="G161" s="582">
        <f>SUM(G158:G160)</f>
        <v>1720</v>
      </c>
      <c r="H161" s="2509">
        <f t="shared" si="42"/>
        <v>100</v>
      </c>
      <c r="J161" s="1697"/>
      <c r="K161" s="1697"/>
      <c r="L161" s="1697"/>
      <c r="M161" s="1697"/>
      <c r="N161" s="1697"/>
      <c r="O161" s="1697"/>
    </row>
    <row r="162" spans="1:15" s="1687" customFormat="1" ht="18.75" thickTop="1" x14ac:dyDescent="0.25">
      <c r="A162" s="353"/>
      <c r="B162" s="2351"/>
      <c r="C162" s="57"/>
      <c r="D162" s="354"/>
      <c r="E162" s="17"/>
      <c r="F162" s="17"/>
      <c r="G162" s="17"/>
      <c r="H162" s="1972"/>
      <c r="J162" s="1697"/>
      <c r="K162" s="1697"/>
      <c r="L162" s="1697"/>
      <c r="M162" s="1697"/>
      <c r="N162" s="1697"/>
      <c r="O162" s="1697"/>
    </row>
    <row r="163" spans="1:15" s="1687" customFormat="1" ht="16.5" x14ac:dyDescent="0.25">
      <c r="A163" s="3182" t="s">
        <v>1345</v>
      </c>
      <c r="B163" s="3182"/>
      <c r="C163" s="3182"/>
      <c r="D163" s="3182"/>
      <c r="E163" s="3182"/>
      <c r="F163" s="3182"/>
      <c r="G163" s="3182"/>
      <c r="H163" s="3182"/>
      <c r="J163" s="1697"/>
      <c r="K163" s="1697"/>
      <c r="L163" s="1697"/>
      <c r="M163" s="1697"/>
      <c r="N163" s="1697"/>
      <c r="O163" s="1697"/>
    </row>
    <row r="164" spans="1:15" s="1687" customFormat="1" ht="17.25" thickBot="1" x14ac:dyDescent="0.3">
      <c r="A164" s="33"/>
      <c r="B164" s="570"/>
      <c r="C164" s="571"/>
      <c r="D164" s="372"/>
      <c r="E164" s="373"/>
      <c r="F164" s="560"/>
      <c r="G164" s="373"/>
      <c r="H164" s="1568" t="s">
        <v>92</v>
      </c>
      <c r="J164" s="1697"/>
      <c r="K164" s="1697"/>
      <c r="L164" s="1697"/>
      <c r="M164" s="1697"/>
      <c r="N164" s="1697"/>
      <c r="O164" s="1697"/>
    </row>
    <row r="165" spans="1:15" s="1687" customFormat="1" ht="18" thickTop="1" thickBot="1" x14ac:dyDescent="0.3">
      <c r="A165" s="572" t="s">
        <v>93</v>
      </c>
      <c r="B165" s="573" t="s">
        <v>94</v>
      </c>
      <c r="C165" s="575" t="s">
        <v>364</v>
      </c>
      <c r="D165" s="639" t="s">
        <v>95</v>
      </c>
      <c r="E165" s="639" t="s">
        <v>328</v>
      </c>
      <c r="F165" s="639" t="s">
        <v>329</v>
      </c>
      <c r="G165" s="639" t="s">
        <v>448</v>
      </c>
      <c r="H165" s="576" t="s">
        <v>449</v>
      </c>
      <c r="J165" s="1697"/>
      <c r="K165" s="1697"/>
      <c r="L165" s="1697"/>
      <c r="M165" s="1697"/>
      <c r="N165" s="1697"/>
      <c r="O165" s="1697"/>
    </row>
    <row r="166" spans="1:15" s="1687" customFormat="1" ht="18" thickTop="1" thickBot="1" x14ac:dyDescent="0.3">
      <c r="A166" s="511">
        <v>1</v>
      </c>
      <c r="B166" s="512">
        <v>2</v>
      </c>
      <c r="C166" s="512">
        <v>3</v>
      </c>
      <c r="D166" s="512">
        <v>4</v>
      </c>
      <c r="E166" s="512">
        <v>5</v>
      </c>
      <c r="F166" s="499">
        <v>6</v>
      </c>
      <c r="G166" s="499">
        <v>7</v>
      </c>
      <c r="H166" s="577" t="s">
        <v>33</v>
      </c>
      <c r="J166" s="1697"/>
      <c r="K166" s="1697"/>
      <c r="L166" s="1697"/>
      <c r="M166" s="1697"/>
      <c r="N166" s="1697"/>
      <c r="O166" s="1697"/>
    </row>
    <row r="167" spans="1:15" s="1687" customFormat="1" ht="17.25" thickTop="1" x14ac:dyDescent="0.25">
      <c r="A167" s="2426">
        <v>3541</v>
      </c>
      <c r="B167" s="2492">
        <v>5221</v>
      </c>
      <c r="C167" s="2432" t="s">
        <v>1331</v>
      </c>
      <c r="D167" s="1032" t="s">
        <v>1614</v>
      </c>
      <c r="E167" s="310">
        <v>700</v>
      </c>
      <c r="F167" s="308">
        <v>270</v>
      </c>
      <c r="G167" s="310">
        <v>270</v>
      </c>
      <c r="H167" s="2511">
        <f t="shared" ref="H167:H170" si="43">G167/F167*100</f>
        <v>100</v>
      </c>
      <c r="J167" s="1697"/>
      <c r="K167" s="1697"/>
      <c r="L167" s="1697"/>
      <c r="M167" s="1697"/>
      <c r="N167" s="1697"/>
      <c r="O167" s="1697"/>
    </row>
    <row r="168" spans="1:15" s="1687" customFormat="1" ht="16.5" x14ac:dyDescent="0.25">
      <c r="A168" s="2426">
        <v>3541</v>
      </c>
      <c r="B168" s="2492">
        <v>5222</v>
      </c>
      <c r="C168" s="2432" t="s">
        <v>1331</v>
      </c>
      <c r="D168" s="1032" t="s">
        <v>800</v>
      </c>
      <c r="E168" s="310">
        <v>150</v>
      </c>
      <c r="F168" s="308">
        <v>163</v>
      </c>
      <c r="G168" s="310">
        <v>163</v>
      </c>
      <c r="H168" s="2341">
        <f t="shared" si="43"/>
        <v>100</v>
      </c>
      <c r="J168" s="1697"/>
      <c r="K168" s="1697"/>
      <c r="L168" s="1697"/>
      <c r="M168" s="1697"/>
      <c r="N168" s="1697"/>
      <c r="O168" s="1697"/>
    </row>
    <row r="169" spans="1:15" s="1687" customFormat="1" ht="17.25" thickBot="1" x14ac:dyDescent="0.3">
      <c r="A169" s="2426">
        <v>3541</v>
      </c>
      <c r="B169" s="2492">
        <v>5229</v>
      </c>
      <c r="C169" s="2432" t="s">
        <v>1331</v>
      </c>
      <c r="D169" s="2015" t="s">
        <v>1642</v>
      </c>
      <c r="E169" s="428">
        <v>150</v>
      </c>
      <c r="F169" s="165">
        <v>140</v>
      </c>
      <c r="G169" s="310">
        <v>140</v>
      </c>
      <c r="H169" s="2510">
        <f t="shared" si="43"/>
        <v>100</v>
      </c>
      <c r="J169" s="1697"/>
      <c r="K169" s="1697"/>
      <c r="L169" s="1697"/>
      <c r="M169" s="1697"/>
      <c r="N169" s="1697"/>
      <c r="O169" s="1697"/>
    </row>
    <row r="170" spans="1:15" s="1687" customFormat="1" ht="19.5" thickTop="1" thickBot="1" x14ac:dyDescent="0.3">
      <c r="A170" s="578" t="s">
        <v>1332</v>
      </c>
      <c r="B170" s="744"/>
      <c r="C170" s="580"/>
      <c r="D170" s="581"/>
      <c r="E170" s="582">
        <f>SUM(E167:E169)</f>
        <v>1000</v>
      </c>
      <c r="F170" s="582">
        <f>SUM(F167:F169)</f>
        <v>573</v>
      </c>
      <c r="G170" s="582">
        <f>SUM(G167:G169)</f>
        <v>573</v>
      </c>
      <c r="H170" s="2509">
        <f t="shared" si="43"/>
        <v>100</v>
      </c>
      <c r="J170" s="1697"/>
      <c r="K170" s="1697"/>
      <c r="L170" s="1697"/>
      <c r="M170" s="1697"/>
      <c r="N170" s="1697"/>
      <c r="O170" s="1697"/>
    </row>
    <row r="171" spans="1:15" s="1687" customFormat="1" ht="18.75" thickTop="1" x14ac:dyDescent="0.25">
      <c r="A171" s="353"/>
      <c r="B171" s="2351"/>
      <c r="C171" s="57"/>
      <c r="D171" s="354"/>
      <c r="E171" s="17"/>
      <c r="F171" s="17"/>
      <c r="G171" s="17"/>
      <c r="H171" s="1972"/>
      <c r="J171" s="1697"/>
      <c r="K171" s="1697"/>
      <c r="L171" s="1697"/>
      <c r="M171" s="1697"/>
      <c r="N171" s="1697"/>
      <c r="O171" s="1697"/>
    </row>
    <row r="172" spans="1:15" s="1687" customFormat="1" ht="16.5" x14ac:dyDescent="0.25">
      <c r="A172" s="3182" t="s">
        <v>1346</v>
      </c>
      <c r="B172" s="3182"/>
      <c r="C172" s="3182"/>
      <c r="D172" s="3182"/>
      <c r="E172" s="3182"/>
      <c r="F172" s="3182"/>
      <c r="G172" s="3182"/>
      <c r="H172" s="3182"/>
      <c r="J172" s="1697"/>
      <c r="K172" s="1697"/>
      <c r="L172" s="1697"/>
      <c r="M172" s="1697"/>
      <c r="N172" s="1697"/>
      <c r="O172" s="1697"/>
    </row>
    <row r="173" spans="1:15" s="1687" customFormat="1" ht="17.25" thickBot="1" x14ac:dyDescent="0.3">
      <c r="A173" s="33"/>
      <c r="B173" s="570"/>
      <c r="C173" s="571"/>
      <c r="D173" s="372"/>
      <c r="E173" s="373"/>
      <c r="F173" s="560"/>
      <c r="G173" s="373"/>
      <c r="H173" s="1568" t="s">
        <v>92</v>
      </c>
      <c r="J173" s="1697"/>
      <c r="K173" s="1697"/>
      <c r="L173" s="1697"/>
      <c r="M173" s="1697"/>
      <c r="N173" s="1697"/>
      <c r="O173" s="1697"/>
    </row>
    <row r="174" spans="1:15" s="1687" customFormat="1" ht="18" thickTop="1" thickBot="1" x14ac:dyDescent="0.3">
      <c r="A174" s="572" t="s">
        <v>93</v>
      </c>
      <c r="B174" s="573" t="s">
        <v>94</v>
      </c>
      <c r="C174" s="575" t="s">
        <v>364</v>
      </c>
      <c r="D174" s="639" t="s">
        <v>95</v>
      </c>
      <c r="E174" s="639" t="s">
        <v>328</v>
      </c>
      <c r="F174" s="639" t="s">
        <v>329</v>
      </c>
      <c r="G174" s="639" t="s">
        <v>448</v>
      </c>
      <c r="H174" s="576" t="s">
        <v>449</v>
      </c>
      <c r="J174" s="1697"/>
      <c r="K174" s="1697"/>
      <c r="L174" s="1697"/>
      <c r="M174" s="1697"/>
      <c r="N174" s="1697"/>
      <c r="O174" s="1697"/>
    </row>
    <row r="175" spans="1:15" s="1687" customFormat="1" ht="18" thickTop="1" thickBot="1" x14ac:dyDescent="0.3">
      <c r="A175" s="511">
        <v>1</v>
      </c>
      <c r="B175" s="512">
        <v>2</v>
      </c>
      <c r="C175" s="512">
        <v>3</v>
      </c>
      <c r="D175" s="512">
        <v>4</v>
      </c>
      <c r="E175" s="512">
        <v>5</v>
      </c>
      <c r="F175" s="499">
        <v>6</v>
      </c>
      <c r="G175" s="499">
        <v>7</v>
      </c>
      <c r="H175" s="577" t="s">
        <v>33</v>
      </c>
      <c r="J175" s="1697"/>
      <c r="K175" s="1697"/>
      <c r="L175" s="1697"/>
      <c r="M175" s="1697"/>
      <c r="N175" s="1697"/>
      <c r="O175" s="1697"/>
    </row>
    <row r="176" spans="1:15" s="1687" customFormat="1" ht="30.75" thickTop="1" x14ac:dyDescent="0.25">
      <c r="A176" s="2440">
        <v>3541</v>
      </c>
      <c r="B176" s="2537">
        <v>5213</v>
      </c>
      <c r="C176" s="2534" t="s">
        <v>1333</v>
      </c>
      <c r="D176" s="2943" t="s">
        <v>1359</v>
      </c>
      <c r="E176" s="429">
        <v>0</v>
      </c>
      <c r="F176" s="1556">
        <v>52</v>
      </c>
      <c r="G176" s="429">
        <v>52</v>
      </c>
      <c r="H176" s="2538">
        <f t="shared" ref="H176" si="44">G176/F176*100</f>
        <v>100</v>
      </c>
      <c r="J176" s="1697"/>
      <c r="K176" s="1697"/>
      <c r="L176" s="1697"/>
      <c r="M176" s="1697"/>
      <c r="N176" s="1697"/>
      <c r="O176" s="1697"/>
    </row>
    <row r="177" spans="1:17" s="1687" customFormat="1" ht="16.5" x14ac:dyDescent="0.25">
      <c r="A177" s="2426">
        <v>3541</v>
      </c>
      <c r="B177" s="2492">
        <v>5221</v>
      </c>
      <c r="C177" s="2432" t="s">
        <v>1333</v>
      </c>
      <c r="D177" s="2535" t="s">
        <v>1614</v>
      </c>
      <c r="E177" s="310">
        <v>110</v>
      </c>
      <c r="F177" s="308">
        <v>53</v>
      </c>
      <c r="G177" s="310">
        <v>53</v>
      </c>
      <c r="H177" s="2341">
        <f t="shared" ref="H177:H179" si="45">G177/F177*100</f>
        <v>100</v>
      </c>
      <c r="J177" s="1697"/>
      <c r="K177" s="1697"/>
      <c r="L177" s="1697"/>
      <c r="M177" s="1697"/>
      <c r="N177" s="1697"/>
      <c r="O177" s="1697"/>
    </row>
    <row r="178" spans="1:17" s="1687" customFormat="1" ht="17.25" thickBot="1" x14ac:dyDescent="0.3">
      <c r="A178" s="2426">
        <v>3541</v>
      </c>
      <c r="B178" s="2492">
        <v>5222</v>
      </c>
      <c r="C178" s="2432" t="s">
        <v>1333</v>
      </c>
      <c r="D178" s="2535" t="s">
        <v>800</v>
      </c>
      <c r="E178" s="310">
        <v>240</v>
      </c>
      <c r="F178" s="308">
        <v>202</v>
      </c>
      <c r="G178" s="310">
        <v>202</v>
      </c>
      <c r="H178" s="2341">
        <f t="shared" si="45"/>
        <v>100</v>
      </c>
      <c r="J178" s="1697"/>
      <c r="K178" s="1697"/>
      <c r="L178" s="1697"/>
      <c r="M178" s="1697"/>
      <c r="N178" s="1697"/>
      <c r="O178" s="1697"/>
    </row>
    <row r="179" spans="1:17" s="1687" customFormat="1" ht="19.5" thickTop="1" thickBot="1" x14ac:dyDescent="0.3">
      <c r="A179" s="578" t="s">
        <v>1334</v>
      </c>
      <c r="B179" s="744"/>
      <c r="C179" s="580"/>
      <c r="D179" s="581"/>
      <c r="E179" s="582">
        <f>SUM(E176:E178)</f>
        <v>350</v>
      </c>
      <c r="F179" s="582">
        <f t="shared" ref="F179:G179" si="46">SUM(F176:F178)</f>
        <v>307</v>
      </c>
      <c r="G179" s="582">
        <f t="shared" si="46"/>
        <v>307</v>
      </c>
      <c r="H179" s="2509">
        <f t="shared" si="45"/>
        <v>100</v>
      </c>
      <c r="J179" s="1697"/>
      <c r="K179" s="1697"/>
      <c r="L179" s="1697"/>
      <c r="M179" s="1697"/>
      <c r="N179" s="1697"/>
      <c r="O179" s="1697"/>
    </row>
    <row r="180" spans="1:17" s="1687" customFormat="1" ht="18.75" thickTop="1" x14ac:dyDescent="0.25">
      <c r="A180" s="353"/>
      <c r="B180" s="2351"/>
      <c r="C180" s="57"/>
      <c r="D180" s="354"/>
      <c r="E180" s="17"/>
      <c r="F180" s="17"/>
      <c r="G180" s="17"/>
      <c r="H180" s="1972"/>
      <c r="J180" s="1697"/>
      <c r="K180" s="1697"/>
      <c r="L180" s="1697"/>
      <c r="M180" s="1697"/>
      <c r="N180" s="1697"/>
      <c r="O180" s="1697"/>
    </row>
    <row r="181" spans="1:17" s="1687" customFormat="1" ht="16.5" x14ac:dyDescent="0.25">
      <c r="A181" s="3182" t="s">
        <v>1347</v>
      </c>
      <c r="B181" s="3182"/>
      <c r="C181" s="3182"/>
      <c r="D181" s="3182"/>
      <c r="E181" s="3182"/>
      <c r="F181" s="3182"/>
      <c r="G181" s="3182"/>
      <c r="H181" s="3182"/>
      <c r="J181" s="1697"/>
      <c r="K181" s="1697"/>
      <c r="L181" s="1697"/>
      <c r="M181" s="1697"/>
      <c r="N181" s="1697"/>
      <c r="O181" s="1697"/>
    </row>
    <row r="182" spans="1:17" s="1687" customFormat="1" ht="17.25" thickBot="1" x14ac:dyDescent="0.3">
      <c r="A182" s="33"/>
      <c r="B182" s="570"/>
      <c r="C182" s="571"/>
      <c r="D182" s="372"/>
      <c r="E182" s="373"/>
      <c r="F182" s="560"/>
      <c r="G182" s="373"/>
      <c r="H182" s="1568" t="s">
        <v>92</v>
      </c>
      <c r="J182" s="1697"/>
      <c r="K182" s="1697"/>
      <c r="L182" s="1697"/>
      <c r="M182" s="1697"/>
      <c r="N182" s="372" t="s">
        <v>1512</v>
      </c>
      <c r="O182" s="373">
        <f>E98+E99+E102+E103+E104+E111+E112+E113+E120+E121+E122+E123+E124+E125+E126+E133+E134+E135+E142+E143+E150+E151+E158+E159+E160+E167+E168+E169+E176+E177+E178+E185+E186</f>
        <v>8000</v>
      </c>
      <c r="P182" s="373">
        <f>F98+F99+F102+F103+F104+F111+F112+F113+F120+F121+F122+F123+F124+F125+F126+F133+F134+F135+F142+F143+F150+F151+F158+F159+F160+F167+F168+F169+F176+F177+F178+F185+F186</f>
        <v>10634</v>
      </c>
      <c r="Q182" s="373">
        <f>G98+G99+G102+G103+G104+G111+G112+G113+G120+G121+G122+G123+G124+G125+G126+G133+G134+G135+G142+G143+G150+G151+G158+G159+G160+G167+G168+G169+G176+G177+G178+G185+G186</f>
        <v>7715</v>
      </c>
    </row>
    <row r="183" spans="1:17" s="1687" customFormat="1" ht="18" thickTop="1" thickBot="1" x14ac:dyDescent="0.3">
      <c r="A183" s="572" t="s">
        <v>93</v>
      </c>
      <c r="B183" s="573" t="s">
        <v>94</v>
      </c>
      <c r="C183" s="575" t="s">
        <v>364</v>
      </c>
      <c r="D183" s="639" t="s">
        <v>95</v>
      </c>
      <c r="E183" s="639" t="s">
        <v>328</v>
      </c>
      <c r="F183" s="639" t="s">
        <v>329</v>
      </c>
      <c r="G183" s="639" t="s">
        <v>448</v>
      </c>
      <c r="H183" s="576" t="s">
        <v>449</v>
      </c>
      <c r="J183" s="1697"/>
      <c r="K183" s="1697"/>
      <c r="L183" s="1697"/>
      <c r="M183" s="1697"/>
      <c r="N183" s="372" t="s">
        <v>1511</v>
      </c>
      <c r="O183" s="373">
        <f>E97+E100+E101</f>
        <v>0</v>
      </c>
      <c r="P183" s="373">
        <f>F97+F100+F101</f>
        <v>842</v>
      </c>
      <c r="Q183" s="373">
        <f>G97+G100+G101</f>
        <v>810</v>
      </c>
    </row>
    <row r="184" spans="1:17" s="1687" customFormat="1" ht="18" thickTop="1" thickBot="1" x14ac:dyDescent="0.3">
      <c r="A184" s="511">
        <v>1</v>
      </c>
      <c r="B184" s="512">
        <v>2</v>
      </c>
      <c r="C184" s="512">
        <v>3</v>
      </c>
      <c r="D184" s="512">
        <v>4</v>
      </c>
      <c r="E184" s="512">
        <v>5</v>
      </c>
      <c r="F184" s="499">
        <v>6</v>
      </c>
      <c r="G184" s="499">
        <v>7</v>
      </c>
      <c r="H184" s="577" t="s">
        <v>33</v>
      </c>
      <c r="J184" s="1697"/>
      <c r="K184" s="1697"/>
      <c r="L184" s="1697"/>
      <c r="M184" s="1697"/>
      <c r="N184" s="372"/>
      <c r="O184" s="526">
        <f>SUM(O182:O183)</f>
        <v>8000</v>
      </c>
      <c r="P184" s="526">
        <f t="shared" ref="P184:Q184" si="47">SUM(P182:P183)</f>
        <v>11476</v>
      </c>
      <c r="Q184" s="526">
        <f t="shared" si="47"/>
        <v>8525</v>
      </c>
    </row>
    <row r="185" spans="1:17" s="1687" customFormat="1" ht="17.25" thickTop="1" x14ac:dyDescent="0.25">
      <c r="A185" s="2426">
        <v>3541</v>
      </c>
      <c r="B185" s="2492">
        <v>5222</v>
      </c>
      <c r="C185" s="2432" t="s">
        <v>1335</v>
      </c>
      <c r="D185" s="1032" t="s">
        <v>800</v>
      </c>
      <c r="E185" s="310">
        <v>250</v>
      </c>
      <c r="F185" s="308">
        <v>218</v>
      </c>
      <c r="G185" s="310">
        <v>218</v>
      </c>
      <c r="H185" s="2341">
        <f t="shared" ref="H185:H187" si="48">G185/F185*100</f>
        <v>100</v>
      </c>
      <c r="J185" s="1697"/>
      <c r="K185" s="1697"/>
      <c r="L185" s="1697"/>
      <c r="M185" s="1697"/>
      <c r="N185" s="1697"/>
      <c r="O185" s="1697"/>
    </row>
    <row r="186" spans="1:17" s="1687" customFormat="1" ht="17.25" thickBot="1" x14ac:dyDescent="0.3">
      <c r="A186" s="2426">
        <v>3541</v>
      </c>
      <c r="B186" s="2492">
        <v>5229</v>
      </c>
      <c r="C186" s="2432" t="s">
        <v>1335</v>
      </c>
      <c r="D186" s="1032" t="s">
        <v>1642</v>
      </c>
      <c r="E186" s="310">
        <v>0</v>
      </c>
      <c r="F186" s="308">
        <v>182</v>
      </c>
      <c r="G186" s="310">
        <v>182</v>
      </c>
      <c r="H186" s="2341">
        <f t="shared" ref="H186" si="49">G186/F186*100</f>
        <v>100</v>
      </c>
      <c r="J186" s="1697"/>
      <c r="K186" s="1697"/>
      <c r="L186" s="1697"/>
      <c r="M186" s="1697"/>
      <c r="N186" s="1697"/>
      <c r="O186" s="1697"/>
    </row>
    <row r="187" spans="1:17" s="1687" customFormat="1" ht="19.5" thickTop="1" thickBot="1" x14ac:dyDescent="0.3">
      <c r="A187" s="578" t="s">
        <v>1337</v>
      </c>
      <c r="B187" s="744"/>
      <c r="C187" s="580"/>
      <c r="D187" s="581"/>
      <c r="E187" s="582">
        <f>SUM(E185:E186)</f>
        <v>250</v>
      </c>
      <c r="F187" s="582">
        <f t="shared" ref="F187:G187" si="50">SUM(F185:F186)</f>
        <v>400</v>
      </c>
      <c r="G187" s="582">
        <f t="shared" si="50"/>
        <v>400</v>
      </c>
      <c r="H187" s="2509">
        <f t="shared" si="48"/>
        <v>100</v>
      </c>
      <c r="J187" s="1697"/>
      <c r="K187" s="1697"/>
      <c r="L187" s="1697"/>
      <c r="M187" s="1697"/>
      <c r="N187" s="1697"/>
      <c r="O187" s="1697"/>
    </row>
    <row r="188" spans="1:17" s="1687" customFormat="1" ht="18.75" thickTop="1" x14ac:dyDescent="0.25">
      <c r="A188" s="353"/>
      <c r="B188" s="2351"/>
      <c r="C188" s="57"/>
      <c r="D188" s="354"/>
      <c r="E188" s="17"/>
      <c r="F188" s="17"/>
      <c r="G188" s="17"/>
      <c r="H188" s="1972"/>
      <c r="J188" s="1697"/>
      <c r="K188" s="1697"/>
      <c r="L188" s="1697"/>
      <c r="M188" s="1697"/>
      <c r="N188" s="1697"/>
      <c r="O188" s="1697"/>
    </row>
    <row r="189" spans="1:17" s="1687" customFormat="1" ht="16.5" hidden="1" x14ac:dyDescent="0.25">
      <c r="A189" s="3182" t="s">
        <v>1348</v>
      </c>
      <c r="B189" s="3182"/>
      <c r="C189" s="3182"/>
      <c r="D189" s="3182"/>
      <c r="E189" s="3182"/>
      <c r="F189" s="3182"/>
      <c r="G189" s="3182"/>
      <c r="H189" s="3182"/>
      <c r="J189" s="1697"/>
      <c r="K189" s="1697"/>
      <c r="L189" s="1697"/>
      <c r="M189" s="1697"/>
      <c r="N189" s="1697"/>
      <c r="O189" s="1697"/>
    </row>
    <row r="190" spans="1:17" s="1687" customFormat="1" ht="17.25" hidden="1" thickBot="1" x14ac:dyDescent="0.3">
      <c r="A190" s="33"/>
      <c r="B190" s="570"/>
      <c r="C190" s="571"/>
      <c r="D190" s="372"/>
      <c r="E190" s="373"/>
      <c r="F190" s="560"/>
      <c r="G190" s="373"/>
      <c r="H190" s="1568" t="s">
        <v>92</v>
      </c>
      <c r="J190" s="1697"/>
      <c r="K190" s="1697"/>
      <c r="L190" s="1697"/>
      <c r="M190" s="1697"/>
      <c r="N190" s="1697"/>
      <c r="O190" s="1697"/>
    </row>
    <row r="191" spans="1:17" s="1687" customFormat="1" ht="18" hidden="1" thickTop="1" thickBot="1" x14ac:dyDescent="0.3">
      <c r="A191" s="572" t="s">
        <v>93</v>
      </c>
      <c r="B191" s="573" t="s">
        <v>94</v>
      </c>
      <c r="C191" s="575" t="s">
        <v>364</v>
      </c>
      <c r="D191" s="639" t="s">
        <v>95</v>
      </c>
      <c r="E191" s="639" t="s">
        <v>328</v>
      </c>
      <c r="F191" s="639" t="s">
        <v>329</v>
      </c>
      <c r="G191" s="639" t="s">
        <v>448</v>
      </c>
      <c r="H191" s="576" t="s">
        <v>449</v>
      </c>
      <c r="J191" s="1697"/>
      <c r="K191" s="1697"/>
      <c r="L191" s="1697"/>
      <c r="M191" s="1697"/>
      <c r="N191" s="1697"/>
      <c r="O191" s="1697"/>
    </row>
    <row r="192" spans="1:17" s="1687" customFormat="1" ht="18" hidden="1" thickTop="1" thickBot="1" x14ac:dyDescent="0.3">
      <c r="A192" s="511">
        <v>1</v>
      </c>
      <c r="B192" s="512">
        <v>2</v>
      </c>
      <c r="C192" s="512">
        <v>3</v>
      </c>
      <c r="D192" s="512">
        <v>4</v>
      </c>
      <c r="E192" s="512">
        <v>5</v>
      </c>
      <c r="F192" s="499">
        <v>6</v>
      </c>
      <c r="G192" s="499">
        <v>7</v>
      </c>
      <c r="H192" s="577" t="s">
        <v>33</v>
      </c>
      <c r="J192" s="1697"/>
      <c r="K192" s="1697"/>
      <c r="L192" s="1697"/>
      <c r="M192" s="1697"/>
      <c r="N192" s="1697"/>
      <c r="O192" s="1697"/>
    </row>
    <row r="193" spans="1:15" s="1687" customFormat="1" ht="18" hidden="1" thickTop="1" thickBot="1" x14ac:dyDescent="0.3">
      <c r="A193" s="2426">
        <v>3541</v>
      </c>
      <c r="B193" s="2492">
        <v>5221</v>
      </c>
      <c r="C193" s="2432" t="s">
        <v>1336</v>
      </c>
      <c r="D193" s="1032" t="s">
        <v>1614</v>
      </c>
      <c r="E193" s="310"/>
      <c r="F193" s="308"/>
      <c r="G193" s="310"/>
      <c r="H193" s="2341" t="e">
        <f t="shared" ref="H193:H196" si="51">G193/F193*100</f>
        <v>#DIV/0!</v>
      </c>
      <c r="J193" s="1697"/>
      <c r="K193" s="1697"/>
      <c r="L193" s="1697"/>
      <c r="M193" s="1697"/>
      <c r="N193" s="1697"/>
      <c r="O193" s="1697"/>
    </row>
    <row r="194" spans="1:15" s="1687" customFormat="1" ht="19.5" hidden="1" thickTop="1" thickBot="1" x14ac:dyDescent="0.3">
      <c r="A194" s="578" t="s">
        <v>1338</v>
      </c>
      <c r="B194" s="744"/>
      <c r="C194" s="580"/>
      <c r="D194" s="581"/>
      <c r="E194" s="582">
        <f>SUM(E193:E193)</f>
        <v>0</v>
      </c>
      <c r="F194" s="582">
        <f>SUM(F193:F193)</f>
        <v>0</v>
      </c>
      <c r="G194" s="582">
        <f>SUM(G193:G193)</f>
        <v>0</v>
      </c>
      <c r="H194" s="2509" t="e">
        <f t="shared" si="51"/>
        <v>#DIV/0!</v>
      </c>
      <c r="J194" s="1697"/>
      <c r="K194" s="1697"/>
      <c r="L194" s="1697"/>
      <c r="M194" s="1697"/>
      <c r="N194" s="1697"/>
      <c r="O194" s="1697"/>
    </row>
    <row r="195" spans="1:15" s="1687" customFormat="1" ht="17.25" thickBot="1" x14ac:dyDescent="0.3">
      <c r="A195" s="1701"/>
      <c r="B195" s="1700"/>
      <c r="C195" s="1699"/>
      <c r="D195" s="1698"/>
      <c r="E195" s="1884"/>
      <c r="F195" s="1884"/>
      <c r="G195" s="1884"/>
      <c r="H195" s="1916"/>
      <c r="J195" s="1697"/>
      <c r="K195" s="1697"/>
      <c r="L195" s="1697"/>
      <c r="M195" s="1697"/>
    </row>
    <row r="196" spans="1:15" s="1687" customFormat="1" ht="19.5" thickTop="1" thickBot="1" x14ac:dyDescent="0.3">
      <c r="A196" s="578" t="s">
        <v>1152</v>
      </c>
      <c r="B196" s="744"/>
      <c r="C196" s="580"/>
      <c r="D196" s="581"/>
      <c r="E196" s="582">
        <f>E194+E187+E179+E170+E161+E152+E144+E136+E127+E114+E105</f>
        <v>8000</v>
      </c>
      <c r="F196" s="582">
        <f t="shared" ref="F196:G196" si="52">F194+F187+F179+F170+F161+F152+F144+F136+F127+F114+F105</f>
        <v>11476</v>
      </c>
      <c r="G196" s="582">
        <f t="shared" si="52"/>
        <v>8525</v>
      </c>
      <c r="H196" s="2509">
        <f t="shared" si="51"/>
        <v>74.285465318926455</v>
      </c>
      <c r="J196" s="1697"/>
      <c r="K196" s="1697"/>
      <c r="L196" s="1697"/>
      <c r="M196" s="1697"/>
    </row>
    <row r="197" spans="1:15" s="1687" customFormat="1" ht="17.25" thickTop="1" x14ac:dyDescent="0.25">
      <c r="A197" s="1701"/>
      <c r="B197" s="1700"/>
      <c r="C197" s="1699"/>
      <c r="D197" s="1698"/>
      <c r="E197" s="1884"/>
      <c r="F197" s="1884"/>
      <c r="G197" s="1884"/>
      <c r="H197" s="1916"/>
      <c r="J197" s="1697"/>
      <c r="K197" s="1697"/>
      <c r="L197" s="1697"/>
      <c r="M197" s="1697"/>
    </row>
    <row r="198" spans="1:15" s="1687" customFormat="1" ht="16.5" x14ac:dyDescent="0.25">
      <c r="A198" s="1701"/>
      <c r="B198" s="1700"/>
      <c r="C198" s="1699"/>
      <c r="D198" s="1698"/>
      <c r="E198" s="1884"/>
      <c r="F198" s="1884"/>
      <c r="G198" s="1884"/>
      <c r="H198" s="1916"/>
      <c r="J198" s="1697"/>
      <c r="K198" s="1697"/>
      <c r="L198" s="1697"/>
      <c r="M198" s="1697"/>
      <c r="N198" s="1697"/>
      <c r="O198" s="1697"/>
    </row>
    <row r="199" spans="1:15" s="1687" customFormat="1" ht="16.5" x14ac:dyDescent="0.25">
      <c r="A199" s="1701"/>
      <c r="B199" s="1700"/>
      <c r="C199" s="1699"/>
      <c r="D199" s="1698"/>
      <c r="E199" s="1884"/>
      <c r="F199" s="1884"/>
      <c r="G199" s="1884"/>
      <c r="H199" s="1916"/>
      <c r="J199" s="1697"/>
      <c r="K199" s="1697"/>
      <c r="L199" s="1697"/>
      <c r="M199" s="1697"/>
      <c r="N199" s="1697"/>
      <c r="O199" s="1697"/>
    </row>
    <row r="200" spans="1:15" s="1687" customFormat="1" ht="18" customHeight="1" x14ac:dyDescent="0.25">
      <c r="A200" s="1701" t="s">
        <v>146</v>
      </c>
      <c r="B200" s="1700"/>
      <c r="C200" s="1699"/>
      <c r="D200" s="1698"/>
      <c r="E200" s="1884">
        <f>E201+E202+E203+E204+E205</f>
        <v>23764</v>
      </c>
      <c r="F200" s="1884">
        <f t="shared" ref="F200:G200" si="53">F201+F202+F203+F204+F205</f>
        <v>52731</v>
      </c>
      <c r="G200" s="1884">
        <f t="shared" si="53"/>
        <v>72086</v>
      </c>
      <c r="H200" s="1907">
        <f>G200/F200*100</f>
        <v>136.70516394530731</v>
      </c>
      <c r="J200" s="1688">
        <f>J201+J202+J203+J204</f>
        <v>23764000</v>
      </c>
      <c r="K200" s="1688">
        <f>K201+K202+K203+K204</f>
        <v>52731418.469999999</v>
      </c>
      <c r="L200" s="1688">
        <f>L201+L202+L203+L204+L205</f>
        <v>72086762.25</v>
      </c>
      <c r="M200" s="1697"/>
      <c r="N200" s="1697"/>
      <c r="O200" s="1697"/>
    </row>
    <row r="201" spans="1:15" s="1687" customFormat="1" ht="18" customHeight="1" x14ac:dyDescent="0.25">
      <c r="A201" s="1011" t="s">
        <v>147</v>
      </c>
      <c r="B201" s="1700"/>
      <c r="C201" s="1699"/>
      <c r="D201" s="1698"/>
      <c r="E201" s="1915">
        <f>E38-E203</f>
        <v>22964</v>
      </c>
      <c r="F201" s="1915">
        <f>F38-F203</f>
        <v>26700</v>
      </c>
      <c r="G201" s="1915">
        <f>G38-G203-G205</f>
        <v>23157</v>
      </c>
      <c r="H201" s="1905">
        <f>G201/F201*100</f>
        <v>86.730337078651687</v>
      </c>
      <c r="J201" s="1218">
        <f>23764000-J203</f>
        <v>22964000</v>
      </c>
      <c r="K201" s="1218">
        <f>24952000+1068000+479928+200000</f>
        <v>26699928</v>
      </c>
      <c r="L201" s="1218">
        <f>22450579.86+26350+479928+200000</f>
        <v>23156857.859999999</v>
      </c>
      <c r="M201" s="1697"/>
      <c r="N201" s="1697"/>
      <c r="O201" s="1697"/>
    </row>
    <row r="202" spans="1:15" s="1183" customFormat="1" ht="15.75" x14ac:dyDescent="0.25">
      <c r="A202" s="1011" t="s">
        <v>148</v>
      </c>
      <c r="B202" s="1013"/>
      <c r="C202" s="1009"/>
      <c r="D202" s="1154"/>
      <c r="E202" s="1012">
        <v>0</v>
      </c>
      <c r="F202" s="1012">
        <v>0</v>
      </c>
      <c r="G202" s="1012">
        <v>0</v>
      </c>
      <c r="H202" s="1905">
        <v>0</v>
      </c>
      <c r="J202" s="1218">
        <v>0</v>
      </c>
      <c r="K202" s="1218">
        <v>0</v>
      </c>
      <c r="L202" s="1218">
        <v>0</v>
      </c>
      <c r="M202" s="1697"/>
      <c r="N202" s="1697"/>
      <c r="O202" s="1697"/>
    </row>
    <row r="203" spans="1:15" s="1183" customFormat="1" ht="15.75" x14ac:dyDescent="0.25">
      <c r="A203" s="1011" t="s">
        <v>119</v>
      </c>
      <c r="B203" s="1010"/>
      <c r="C203" s="1009"/>
      <c r="D203" s="1156"/>
      <c r="E203" s="1012">
        <f>E34+E33+E18+E20+E22+E24+E26</f>
        <v>800</v>
      </c>
      <c r="F203" s="1012">
        <f t="shared" ref="F203:G203" si="54">F34+F33+F18+F20+F22+F24+F26</f>
        <v>26031</v>
      </c>
      <c r="G203" s="1012">
        <f t="shared" si="54"/>
        <v>20547</v>
      </c>
      <c r="H203" s="1905">
        <f>G203/F203*100</f>
        <v>78.932810879336174</v>
      </c>
      <c r="J203" s="1218">
        <v>800000</v>
      </c>
      <c r="K203" s="1218">
        <f>M33</f>
        <v>26031490.469999999</v>
      </c>
      <c r="L203" s="1218">
        <f>N33</f>
        <v>20547547.169999998</v>
      </c>
      <c r="M203" s="1697"/>
      <c r="N203" s="1697"/>
      <c r="O203" s="1697"/>
    </row>
    <row r="204" spans="1:15" s="1909" customFormat="1" ht="15.75" x14ac:dyDescent="0.2">
      <c r="A204" s="1011" t="s">
        <v>537</v>
      </c>
      <c r="B204" s="1908"/>
      <c r="C204" s="1914"/>
      <c r="D204" s="1913"/>
      <c r="E204" s="1912">
        <v>0</v>
      </c>
      <c r="F204" s="1912">
        <v>0</v>
      </c>
      <c r="G204" s="1912">
        <v>0</v>
      </c>
      <c r="H204" s="1905">
        <v>0</v>
      </c>
      <c r="J204" s="1911">
        <v>0</v>
      </c>
      <c r="K204" s="1911">
        <v>0</v>
      </c>
      <c r="L204" s="1911">
        <v>0</v>
      </c>
      <c r="M204" s="1910"/>
      <c r="N204" s="1910"/>
      <c r="O204" s="1910"/>
    </row>
    <row r="205" spans="1:15" s="1909" customFormat="1" ht="15.75" x14ac:dyDescent="0.2">
      <c r="A205" s="1011" t="s">
        <v>252</v>
      </c>
      <c r="B205" s="1908"/>
      <c r="C205" s="1914"/>
      <c r="D205" s="1913"/>
      <c r="E205" s="1912">
        <f>E37</f>
        <v>0</v>
      </c>
      <c r="F205" s="1912">
        <f t="shared" ref="F205:G205" si="55">F37</f>
        <v>0</v>
      </c>
      <c r="G205" s="1912">
        <f t="shared" si="55"/>
        <v>28382</v>
      </c>
      <c r="H205" s="1905">
        <v>0</v>
      </c>
      <c r="J205" s="1911">
        <v>0</v>
      </c>
      <c r="K205" s="1911">
        <v>0</v>
      </c>
      <c r="L205" s="1911">
        <v>28382357.219999999</v>
      </c>
      <c r="M205" s="1910"/>
      <c r="N205" s="1910"/>
      <c r="O205" s="1910"/>
    </row>
    <row r="206" spans="1:15" s="1183" customFormat="1" ht="15.75" x14ac:dyDescent="0.25">
      <c r="A206" s="1011"/>
      <c r="B206" s="1010"/>
      <c r="C206" s="1009"/>
      <c r="D206" s="1156"/>
      <c r="E206" s="1012"/>
      <c r="F206" s="1012"/>
      <c r="G206" s="1012"/>
      <c r="H206" s="1905"/>
      <c r="J206" s="1697"/>
      <c r="K206" s="1697"/>
      <c r="L206" s="1697"/>
      <c r="M206" s="1697"/>
      <c r="N206" s="1697"/>
      <c r="O206" s="1697"/>
    </row>
    <row r="207" spans="1:15" s="1183" customFormat="1" ht="16.5" x14ac:dyDescent="0.25">
      <c r="A207" s="1694" t="s">
        <v>149</v>
      </c>
      <c r="B207" s="1908"/>
      <c r="C207" s="1009"/>
      <c r="D207" s="1156"/>
      <c r="E207" s="1151">
        <f>E208+E209+E210+E211</f>
        <v>0</v>
      </c>
      <c r="F207" s="1151">
        <f>F208+F209+F210+F211</f>
        <v>37782</v>
      </c>
      <c r="G207" s="1151">
        <f>G208+G209+G210+G211</f>
        <v>37610</v>
      </c>
      <c r="H207" s="1907">
        <f>G207/F207*100</f>
        <v>99.544756762479494</v>
      </c>
      <c r="J207" s="1688">
        <f>J208+J209+J210+J211</f>
        <v>0</v>
      </c>
      <c r="K207" s="1688">
        <f>K208+K209+K210+K211</f>
        <v>37781164.019999996</v>
      </c>
      <c r="L207" s="1688">
        <f>L208+L209+L210+L211</f>
        <v>37608813.219999999</v>
      </c>
      <c r="M207" s="1697"/>
      <c r="N207" s="1697"/>
      <c r="O207" s="1697"/>
    </row>
    <row r="208" spans="1:15" s="1183" customFormat="1" ht="15.75" x14ac:dyDescent="0.25">
      <c r="A208" s="1011" t="s">
        <v>946</v>
      </c>
      <c r="B208" s="1010"/>
      <c r="C208" s="1009"/>
      <c r="D208" s="1156"/>
      <c r="E208" s="1012">
        <f>E83+E72+E51-E210</f>
        <v>0</v>
      </c>
      <c r="F208" s="1012">
        <v>0</v>
      </c>
      <c r="G208" s="1012">
        <v>0</v>
      </c>
      <c r="H208" s="1905">
        <v>0</v>
      </c>
      <c r="J208" s="1218">
        <v>0</v>
      </c>
      <c r="K208" s="1218">
        <v>0</v>
      </c>
      <c r="L208" s="1218">
        <v>0</v>
      </c>
      <c r="M208" s="1697"/>
      <c r="N208" s="1697"/>
      <c r="O208" s="1697"/>
    </row>
    <row r="209" spans="1:15" s="1183" customFormat="1" ht="15.75" x14ac:dyDescent="0.25">
      <c r="A209" s="1011" t="s">
        <v>945</v>
      </c>
      <c r="B209" s="1010"/>
      <c r="C209" s="1009"/>
      <c r="D209" s="1156"/>
      <c r="E209" s="1012">
        <f>E55+E54+E53</f>
        <v>0</v>
      </c>
      <c r="F209" s="1012">
        <f t="shared" ref="F209:G209" si="56">F55+F54+F53</f>
        <v>0</v>
      </c>
      <c r="G209" s="1012">
        <f t="shared" si="56"/>
        <v>0</v>
      </c>
      <c r="H209" s="1905">
        <v>0</v>
      </c>
      <c r="J209" s="1218">
        <v>0</v>
      </c>
      <c r="K209" s="1218">
        <v>0</v>
      </c>
      <c r="L209" s="1218">
        <v>0</v>
      </c>
      <c r="M209" s="1697"/>
      <c r="N209" s="1218"/>
      <c r="O209" s="1218"/>
    </row>
    <row r="210" spans="1:15" s="1183" customFormat="1" ht="15.75" x14ac:dyDescent="0.25">
      <c r="A210" s="1011" t="s">
        <v>1064</v>
      </c>
      <c r="B210" s="1010"/>
      <c r="C210" s="1009"/>
      <c r="D210" s="1156"/>
      <c r="E210" s="1012">
        <f>E81+E70+E50+E49</f>
        <v>0</v>
      </c>
      <c r="F210" s="1012">
        <f>F81+F70+F50+F49+F48</f>
        <v>11117</v>
      </c>
      <c r="G210" s="1012">
        <f>G81+G70+G50+G49+G48</f>
        <v>10945</v>
      </c>
      <c r="H210" s="1905">
        <f>G210/F210*100</f>
        <v>98.452820005397129</v>
      </c>
      <c r="I210" s="1154"/>
      <c r="J210" s="1218">
        <v>0</v>
      </c>
      <c r="K210" s="1218">
        <f>1585916.8+257663.23+1460091.59+1473640+6339250</f>
        <v>11116561.620000001</v>
      </c>
      <c r="L210" s="1218">
        <f>1413566+257663.23+1473640+6339250+1460091.59</f>
        <v>10944210.82</v>
      </c>
      <c r="M210" s="1878"/>
      <c r="N210" s="1697"/>
      <c r="O210" s="1697"/>
    </row>
    <row r="211" spans="1:15" ht="15" x14ac:dyDescent="0.2">
      <c r="A211" s="1011" t="s">
        <v>1065</v>
      </c>
      <c r="E211" s="1012">
        <f>E85+E58+E57</f>
        <v>0</v>
      </c>
      <c r="F211" s="1012">
        <f t="shared" ref="F211:G211" si="57">F85+F58+F57</f>
        <v>26665</v>
      </c>
      <c r="G211" s="1012">
        <f t="shared" si="57"/>
        <v>26665</v>
      </c>
      <c r="H211" s="1905">
        <f>G211/F211*100</f>
        <v>100</v>
      </c>
      <c r="J211" s="1218">
        <v>0</v>
      </c>
      <c r="K211" s="1218">
        <f>3999690.36+22664912.04</f>
        <v>26664602.399999999</v>
      </c>
      <c r="L211" s="1218">
        <v>26664602.399999999</v>
      </c>
    </row>
    <row r="212" spans="1:15" ht="15" x14ac:dyDescent="0.2">
      <c r="A212" s="1906"/>
      <c r="E212" s="1012"/>
      <c r="F212" s="1012"/>
      <c r="G212" s="1012"/>
      <c r="H212" s="1905"/>
      <c r="J212" s="1002"/>
      <c r="K212" s="1002"/>
      <c r="L212" s="1002"/>
    </row>
    <row r="213" spans="1:15" ht="16.5" x14ac:dyDescent="0.25">
      <c r="A213" s="1694" t="s">
        <v>1151</v>
      </c>
      <c r="E213" s="1151">
        <f>E196</f>
        <v>8000</v>
      </c>
      <c r="F213" s="1151">
        <f t="shared" ref="F213:G213" si="58">F196</f>
        <v>11476</v>
      </c>
      <c r="G213" s="1151">
        <f t="shared" si="58"/>
        <v>8525</v>
      </c>
      <c r="H213" s="1907">
        <f>G213/F213*100</f>
        <v>74.285465318926455</v>
      </c>
      <c r="J213" s="1218">
        <v>8000000</v>
      </c>
      <c r="K213" s="1218">
        <v>11475555.800000001</v>
      </c>
      <c r="L213" s="1218">
        <v>8525106.1999999993</v>
      </c>
    </row>
    <row r="214" spans="1:15" ht="16.5" x14ac:dyDescent="0.25">
      <c r="A214" s="2508"/>
      <c r="J214" s="1002"/>
      <c r="K214" s="1002"/>
      <c r="L214" s="1002"/>
    </row>
    <row r="215" spans="1:15" s="1004" customFormat="1" ht="47.25" customHeight="1" thickBot="1" x14ac:dyDescent="0.4">
      <c r="A215" s="1904" t="s">
        <v>596</v>
      </c>
      <c r="B215" s="1903"/>
      <c r="C215" s="1903"/>
      <c r="D215" s="1903"/>
      <c r="E215" s="1006">
        <f>SUM(E200,E207,E213)</f>
        <v>31764</v>
      </c>
      <c r="F215" s="1006">
        <f t="shared" ref="F215" si="59">SUM(F200,F207,F213)</f>
        <v>101989</v>
      </c>
      <c r="G215" s="1006">
        <f>SUM(G200,G207,G213)</f>
        <v>118221</v>
      </c>
      <c r="H215" s="1005">
        <f>(G215/F215)*100</f>
        <v>115.91544186137722</v>
      </c>
      <c r="J215" s="1679">
        <f>J200+J207+J213</f>
        <v>31764000</v>
      </c>
      <c r="K215" s="1679">
        <f t="shared" ref="K215:L215" si="60">K200+K207+K213</f>
        <v>101988138.28999999</v>
      </c>
      <c r="L215" s="1679">
        <f t="shared" si="60"/>
        <v>118220681.67</v>
      </c>
      <c r="M215" s="1902"/>
      <c r="N215" s="1902"/>
      <c r="O215" s="1902"/>
    </row>
    <row r="216" spans="1:15" ht="15" thickTop="1" x14ac:dyDescent="0.2">
      <c r="J216" s="997"/>
      <c r="K216" s="997"/>
      <c r="L216" s="997"/>
    </row>
    <row r="217" spans="1:15" x14ac:dyDescent="0.2">
      <c r="J217" s="997"/>
      <c r="K217" s="997"/>
      <c r="L217" s="997"/>
    </row>
    <row r="218" spans="1:15" x14ac:dyDescent="0.2">
      <c r="J218" s="1002"/>
      <c r="K218" s="1002"/>
      <c r="L218" s="1002"/>
    </row>
  </sheetData>
  <mergeCells count="17">
    <mergeCell ref="C3:D3"/>
    <mergeCell ref="H65:H66"/>
    <mergeCell ref="D85:D86"/>
    <mergeCell ref="D81:D82"/>
    <mergeCell ref="D70:D71"/>
    <mergeCell ref="A92:H92"/>
    <mergeCell ref="A93:H93"/>
    <mergeCell ref="A107:H107"/>
    <mergeCell ref="A116:H116"/>
    <mergeCell ref="A129:H129"/>
    <mergeCell ref="A181:H181"/>
    <mergeCell ref="A189:H189"/>
    <mergeCell ref="A138:H138"/>
    <mergeCell ref="A146:H146"/>
    <mergeCell ref="A154:H154"/>
    <mergeCell ref="A163:H163"/>
    <mergeCell ref="A172:H172"/>
  </mergeCells>
  <pageMargins left="0.98425196850393704" right="0.98425196850393704" top="0.98425196850393704" bottom="0.98425196850393704" header="0.51181102362204722" footer="0.51181102362204722"/>
  <pageSetup paperSize="9" scale="64" firstPageNumber="88" orientation="portrait" useFirstPageNumber="1" r:id="rId1"/>
  <headerFooter alignWithMargins="0">
    <oddFooter xml:space="preserve">&amp;L&amp;"Arial,Kurzíva"Zastupitelstvo Olomouckého kraje 25. 6. 2018
5. - Rozpočet Olomouckého kraje 2017 - závěrečný  účet 
Příloha č. 3: Plnění rozpočtu výdajů Olomouckého kraje k 31. 12. 2017&amp;R&amp;"Arial,Kurzíva"Strana &amp;P (celkem 478)
</oddFooter>
  </headerFooter>
  <rowBreaks count="3" manualBreakCount="3">
    <brk id="61" min="3" max="7" man="1"/>
    <brk id="115" min="3" max="7" man="1"/>
    <brk id="171" min="3" max="7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rgb="FFCCFFFF"/>
  </sheetPr>
  <dimension ref="A1:V340"/>
  <sheetViews>
    <sheetView showGridLines="0" view="pageBreakPreview" topLeftCell="A57" zoomScaleNormal="100" zoomScaleSheetLayoutView="100" workbookViewId="0">
      <selection activeCell="G135" sqref="G135"/>
    </sheetView>
  </sheetViews>
  <sheetFormatPr defaultColWidth="9.140625" defaultRowHeight="14.25" x14ac:dyDescent="0.2"/>
  <cols>
    <col min="1" max="1" width="41.5703125" style="1395" customWidth="1"/>
    <col min="2" max="2" width="5.140625" style="1393" customWidth="1"/>
    <col min="3" max="3" width="14.7109375" style="1394" customWidth="1"/>
    <col min="4" max="5" width="16" style="1394" customWidth="1"/>
    <col min="6" max="6" width="10.42578125" style="1394" customWidth="1"/>
    <col min="7" max="7" width="19.7109375" style="1505" customWidth="1"/>
    <col min="8" max="8" width="20.140625" style="1505" customWidth="1"/>
    <col min="9" max="9" width="19.5703125" style="1505" customWidth="1"/>
    <col min="10" max="10" width="2.85546875" style="1505" customWidth="1"/>
    <col min="11" max="11" width="19.7109375" style="1505" customWidth="1"/>
    <col min="12" max="13" width="19.7109375" style="1391" customWidth="1"/>
    <col min="14" max="14" width="11.140625" style="1391" customWidth="1"/>
    <col min="15" max="15" width="11.5703125" style="1391" customWidth="1"/>
    <col min="16" max="16" width="14.140625" style="1391" customWidth="1"/>
    <col min="17" max="17" width="11.7109375" style="1391" bestFit="1" customWidth="1"/>
    <col min="18" max="18" width="9.85546875" style="1391" bestFit="1" customWidth="1"/>
    <col min="19" max="19" width="12.5703125" style="1391" customWidth="1"/>
    <col min="20" max="20" width="12.85546875" style="1391" customWidth="1"/>
    <col min="21" max="21" width="11.7109375" style="1391" customWidth="1"/>
    <col min="22" max="16384" width="9.140625" style="1391"/>
  </cols>
  <sheetData>
    <row r="1" spans="1:12" ht="23.25" x14ac:dyDescent="0.35">
      <c r="A1" s="3175" t="s">
        <v>1669</v>
      </c>
      <c r="B1" s="3176"/>
      <c r="C1" s="3176"/>
      <c r="D1" s="3176"/>
      <c r="E1" s="3176"/>
      <c r="F1" s="3176"/>
      <c r="G1" s="1513"/>
      <c r="H1" s="1513"/>
      <c r="I1" s="1513"/>
      <c r="J1" s="1513"/>
      <c r="K1" s="1513"/>
    </row>
    <row r="2" spans="1:12" ht="23.25" x14ac:dyDescent="0.35">
      <c r="A2" s="3177"/>
      <c r="B2" s="3178"/>
      <c r="C2" s="3178"/>
      <c r="D2" s="3178"/>
      <c r="E2" s="3178"/>
      <c r="F2" s="3178"/>
      <c r="G2" s="1514"/>
      <c r="H2" s="1514"/>
      <c r="I2" s="1514"/>
      <c r="J2" s="1514"/>
      <c r="K2" s="1514"/>
    </row>
    <row r="3" spans="1:12" ht="15" x14ac:dyDescent="0.25">
      <c r="A3" s="1392" t="s">
        <v>326</v>
      </c>
    </row>
    <row r="4" spans="1:12" ht="15" thickBot="1" x14ac:dyDescent="0.25">
      <c r="F4" s="1479" t="s">
        <v>92</v>
      </c>
      <c r="G4" s="1515"/>
      <c r="H4" s="1515"/>
      <c r="I4" s="1515"/>
      <c r="J4" s="1515"/>
      <c r="K4" s="1515"/>
    </row>
    <row r="5" spans="1:12" s="1401" customFormat="1" ht="27" thickTop="1" thickBot="1" x14ac:dyDescent="0.25">
      <c r="A5" s="1397" t="s">
        <v>327</v>
      </c>
      <c r="B5" s="1398" t="s">
        <v>330</v>
      </c>
      <c r="C5" s="1399" t="s">
        <v>328</v>
      </c>
      <c r="D5" s="1399" t="s">
        <v>329</v>
      </c>
      <c r="E5" s="1399" t="s">
        <v>448</v>
      </c>
      <c r="F5" s="1400" t="s">
        <v>449</v>
      </c>
      <c r="G5" s="1516"/>
      <c r="H5" s="1517"/>
      <c r="I5" s="1517"/>
      <c r="J5" s="1518"/>
      <c r="K5" s="1518"/>
    </row>
    <row r="6" spans="1:12" s="1406" customFormat="1" ht="12.75" thickTop="1" thickBot="1" x14ac:dyDescent="0.25">
      <c r="A6" s="1402">
        <v>1</v>
      </c>
      <c r="B6" s="1403">
        <v>2</v>
      </c>
      <c r="C6" s="1404">
        <v>3</v>
      </c>
      <c r="D6" s="1404">
        <v>4</v>
      </c>
      <c r="E6" s="1404">
        <v>5</v>
      </c>
      <c r="F6" s="1405" t="s">
        <v>238</v>
      </c>
      <c r="G6" s="1519"/>
      <c r="H6" s="1519"/>
      <c r="I6" s="1519"/>
      <c r="J6" s="1519"/>
      <c r="K6" s="1519"/>
    </row>
    <row r="7" spans="1:12" s="1392" customFormat="1" ht="15.75" thickTop="1" x14ac:dyDescent="0.25">
      <c r="A7" s="1407" t="s">
        <v>331</v>
      </c>
      <c r="B7" s="1408">
        <v>1</v>
      </c>
      <c r="C7" s="1587">
        <f>SUM(C8:C12)</f>
        <v>28939</v>
      </c>
      <c r="D7" s="1587">
        <f>SUM(D8:D12)</f>
        <v>34015</v>
      </c>
      <c r="E7" s="1587">
        <f>SUM(E8:E12)</f>
        <v>31181</v>
      </c>
      <c r="F7" s="1588">
        <f>E7/D7*100</f>
        <v>91.66838159635455</v>
      </c>
      <c r="G7" s="1409">
        <f>SUM(G8:G12)</f>
        <v>28939000</v>
      </c>
      <c r="H7" s="1409">
        <f>SUM(H8:H12)</f>
        <v>34014500</v>
      </c>
      <c r="I7" s="1409">
        <f>SUM(I8:I12)</f>
        <v>31180560.280000001</v>
      </c>
      <c r="J7" s="1409"/>
      <c r="K7" s="1409"/>
    </row>
    <row r="8" spans="1:12" x14ac:dyDescent="0.2">
      <c r="A8" s="1410" t="s">
        <v>332</v>
      </c>
      <c r="B8" s="1411"/>
      <c r="C8" s="1412">
        <f>'01 '!E62</f>
        <v>28633</v>
      </c>
      <c r="D8" s="1412">
        <f>'01 '!F62</f>
        <v>32106</v>
      </c>
      <c r="E8" s="1412">
        <f>'01 '!G62</f>
        <v>29310</v>
      </c>
      <c r="F8" s="1413">
        <f>E8/D8*100</f>
        <v>91.291347411698752</v>
      </c>
      <c r="G8" s="1414">
        <f>'01 '!J62</f>
        <v>28633000</v>
      </c>
      <c r="H8" s="1414">
        <f>'01 '!K62</f>
        <v>32105200</v>
      </c>
      <c r="I8" s="1414">
        <f>'01 '!L62</f>
        <v>29309477.280000001</v>
      </c>
      <c r="J8" s="1414"/>
      <c r="K8" s="1414"/>
    </row>
    <row r="9" spans="1:12" x14ac:dyDescent="0.2">
      <c r="A9" s="1410" t="s">
        <v>333</v>
      </c>
      <c r="B9" s="1415"/>
      <c r="C9" s="1412">
        <f>'01 '!E63</f>
        <v>0</v>
      </c>
      <c r="D9" s="1412">
        <f>'01 '!F63</f>
        <v>1531</v>
      </c>
      <c r="E9" s="1412">
        <f>'01 '!G63</f>
        <v>1524</v>
      </c>
      <c r="F9" s="1413">
        <f>E9/D9*100</f>
        <v>99.54278249510125</v>
      </c>
      <c r="G9" s="1414">
        <f>'01 '!J63</f>
        <v>0</v>
      </c>
      <c r="H9" s="1414">
        <f>'01 '!K63</f>
        <v>1531000</v>
      </c>
      <c r="I9" s="1414">
        <f>'01 '!L63</f>
        <v>1524283</v>
      </c>
      <c r="J9" s="1414"/>
      <c r="K9" s="1414"/>
    </row>
    <row r="10" spans="1:12" x14ac:dyDescent="0.2">
      <c r="A10" s="1416" t="s">
        <v>336</v>
      </c>
      <c r="B10" s="1411"/>
      <c r="C10" s="1412">
        <f>'01 '!E64</f>
        <v>0</v>
      </c>
      <c r="D10" s="1412">
        <f>'01 '!F64</f>
        <v>0</v>
      </c>
      <c r="E10" s="1412">
        <f>'01 '!G64</f>
        <v>0</v>
      </c>
      <c r="F10" s="1413">
        <v>0</v>
      </c>
      <c r="G10" s="1414">
        <f>'01 '!J64</f>
        <v>0</v>
      </c>
      <c r="H10" s="1414">
        <f>'01 '!K64</f>
        <v>0</v>
      </c>
      <c r="I10" s="1414">
        <f>'01 '!L64</f>
        <v>0</v>
      </c>
      <c r="J10" s="1414"/>
      <c r="K10" s="1414"/>
    </row>
    <row r="11" spans="1:12" x14ac:dyDescent="0.2">
      <c r="A11" s="1416" t="s">
        <v>337</v>
      </c>
      <c r="B11" s="1411"/>
      <c r="C11" s="1412">
        <f>'01 '!E65</f>
        <v>0</v>
      </c>
      <c r="D11" s="1412">
        <f>'01 '!F65</f>
        <v>0</v>
      </c>
      <c r="E11" s="1412">
        <f>'01 '!G65</f>
        <v>0</v>
      </c>
      <c r="F11" s="1413">
        <v>0</v>
      </c>
      <c r="G11" s="1414">
        <f>'01 '!J65</f>
        <v>0</v>
      </c>
      <c r="H11" s="1414">
        <f>'01 '!K65</f>
        <v>0</v>
      </c>
      <c r="I11" s="1414">
        <f>'01 '!L65</f>
        <v>0</v>
      </c>
      <c r="J11" s="1414"/>
      <c r="K11" s="1414"/>
    </row>
    <row r="12" spans="1:12" x14ac:dyDescent="0.2">
      <c r="A12" s="1417" t="s">
        <v>555</v>
      </c>
      <c r="B12" s="1418"/>
      <c r="C12" s="1412">
        <f>'01 '!E66</f>
        <v>306</v>
      </c>
      <c r="D12" s="1412">
        <f>'01 '!F66</f>
        <v>378</v>
      </c>
      <c r="E12" s="1412">
        <f>'01 '!G66</f>
        <v>347</v>
      </c>
      <c r="F12" s="1420">
        <f t="shared" ref="F12" si="0">E12/D12*100</f>
        <v>91.798941798941797</v>
      </c>
      <c r="G12" s="1414">
        <f>'01 '!J66</f>
        <v>306000</v>
      </c>
      <c r="H12" s="1414">
        <f>'01 '!K66</f>
        <v>378300</v>
      </c>
      <c r="I12" s="1414">
        <f>'01 '!L66</f>
        <v>346800</v>
      </c>
      <c r="J12" s="1414"/>
      <c r="K12" s="1414"/>
    </row>
    <row r="13" spans="1:12" s="1427" customFormat="1" ht="15" x14ac:dyDescent="0.25">
      <c r="A13" s="1423" t="s">
        <v>1082</v>
      </c>
      <c r="B13" s="1424">
        <v>3</v>
      </c>
      <c r="C13" s="1425">
        <f>C14+C20</f>
        <v>375861</v>
      </c>
      <c r="D13" s="1425">
        <f>D14+D20</f>
        <v>416924</v>
      </c>
      <c r="E13" s="1425">
        <f t="shared" ref="E13" si="1">E14+E20</f>
        <v>395050</v>
      </c>
      <c r="F13" s="1426">
        <f>E13/D13*100</f>
        <v>94.753480250597235</v>
      </c>
      <c r="G13" s="1671">
        <f>G14+G20</f>
        <v>375861000</v>
      </c>
      <c r="H13" s="1672">
        <f t="shared" ref="H13:I13" si="2">H14+H20</f>
        <v>416923977.58999997</v>
      </c>
      <c r="I13" s="1672">
        <f t="shared" si="2"/>
        <v>395050611.45999998</v>
      </c>
      <c r="J13" s="1409"/>
      <c r="K13" s="1409"/>
    </row>
    <row r="14" spans="1:12" s="1427" customFormat="1" x14ac:dyDescent="0.2">
      <c r="A14" s="1457" t="s">
        <v>338</v>
      </c>
      <c r="B14" s="1455"/>
      <c r="C14" s="1452">
        <f>SUM(C15:C19)</f>
        <v>359361</v>
      </c>
      <c r="D14" s="1452">
        <f>SUM(D15:D19)</f>
        <v>403275</v>
      </c>
      <c r="E14" s="1452">
        <f t="shared" ref="E14" si="3">SUM(E15:E19)</f>
        <v>383045</v>
      </c>
      <c r="F14" s="1413">
        <f>E14/D14*100</f>
        <v>94.983572004215489</v>
      </c>
      <c r="G14" s="1414">
        <f>SUM(G15:G19)</f>
        <v>359361000</v>
      </c>
      <c r="H14" s="1414">
        <f t="shared" ref="H14:I14" si="4">SUM(H15:H19)</f>
        <v>403274692.58999997</v>
      </c>
      <c r="I14" s="1414">
        <f t="shared" si="4"/>
        <v>383045274.60999995</v>
      </c>
      <c r="J14" s="1409"/>
      <c r="K14" s="1409"/>
    </row>
    <row r="15" spans="1:12" s="1427" customFormat="1" x14ac:dyDescent="0.2">
      <c r="A15" s="1410" t="s">
        <v>332</v>
      </c>
      <c r="B15" s="1430"/>
      <c r="C15" s="1412">
        <f>'03'!E290</f>
        <v>350867</v>
      </c>
      <c r="D15" s="1412">
        <f>'03'!F290</f>
        <v>367508</v>
      </c>
      <c r="E15" s="1412">
        <f>'03'!G290</f>
        <v>352674</v>
      </c>
      <c r="F15" s="1413">
        <f>E15/D15*100</f>
        <v>95.96362528162652</v>
      </c>
      <c r="G15" s="1428">
        <f>'03'!J290</f>
        <v>350867000</v>
      </c>
      <c r="H15" s="1414">
        <f>'03'!K290</f>
        <v>367507886.58999997</v>
      </c>
      <c r="I15" s="1414">
        <f>'03'!L290</f>
        <v>352675373.69</v>
      </c>
      <c r="J15" s="1414"/>
      <c r="K15" s="1414"/>
      <c r="L15" s="1522"/>
    </row>
    <row r="16" spans="1:12" s="1427" customFormat="1" x14ac:dyDescent="0.2">
      <c r="A16" s="1410" t="s">
        <v>333</v>
      </c>
      <c r="B16" s="1430"/>
      <c r="C16" s="1412">
        <f>'03'!E291</f>
        <v>560</v>
      </c>
      <c r="D16" s="1412">
        <f>'03'!F291</f>
        <v>25916</v>
      </c>
      <c r="E16" s="1412">
        <f>'03'!G291</f>
        <v>21355</v>
      </c>
      <c r="F16" s="1413">
        <f>E16/D16*100</f>
        <v>82.400833461954008</v>
      </c>
      <c r="G16" s="1428">
        <f>'03'!J291</f>
        <v>560000</v>
      </c>
      <c r="H16" s="1414">
        <f>'03'!K291</f>
        <v>25915814</v>
      </c>
      <c r="I16" s="1414">
        <f>'03'!L291</f>
        <v>21354745.719999999</v>
      </c>
      <c r="J16" s="1414"/>
      <c r="K16" s="1555"/>
      <c r="L16" s="1555"/>
    </row>
    <row r="17" spans="1:12" x14ac:dyDescent="0.2">
      <c r="A17" s="1416" t="s">
        <v>336</v>
      </c>
      <c r="B17" s="1411"/>
      <c r="C17" s="1412">
        <f>'03'!E292</f>
        <v>0</v>
      </c>
      <c r="D17" s="1412">
        <f>'03'!F292</f>
        <v>1821</v>
      </c>
      <c r="E17" s="1412">
        <f>'03'!G292</f>
        <v>1595</v>
      </c>
      <c r="F17" s="1413">
        <f>E17/D17*100</f>
        <v>87.589236683141138</v>
      </c>
      <c r="G17" s="1428">
        <f>'03'!J292</f>
        <v>0</v>
      </c>
      <c r="H17" s="1414">
        <f>'03'!K292</f>
        <v>1820992</v>
      </c>
      <c r="I17" s="1414">
        <f>'03'!L292</f>
        <v>1593655.2</v>
      </c>
      <c r="J17" s="1414"/>
      <c r="K17" s="1555"/>
      <c r="L17" s="1555"/>
    </row>
    <row r="18" spans="1:12" x14ac:dyDescent="0.2">
      <c r="A18" s="1416" t="s">
        <v>337</v>
      </c>
      <c r="B18" s="1411"/>
      <c r="C18" s="1412">
        <f>'03'!E293</f>
        <v>0</v>
      </c>
      <c r="D18" s="1412">
        <f>'03'!F293</f>
        <v>0</v>
      </c>
      <c r="E18" s="1412">
        <f>'03'!G293</f>
        <v>0</v>
      </c>
      <c r="F18" s="1413">
        <v>0</v>
      </c>
      <c r="G18" s="1428">
        <f>'03'!J293</f>
        <v>0</v>
      </c>
      <c r="H18" s="1414">
        <f>'03'!K293</f>
        <v>0</v>
      </c>
      <c r="I18" s="1414">
        <f>'03'!L293</f>
        <v>0</v>
      </c>
      <c r="J18" s="1414"/>
      <c r="K18" s="1414"/>
      <c r="L18" s="1515"/>
    </row>
    <row r="19" spans="1:12" x14ac:dyDescent="0.2">
      <c r="A19" s="1410" t="s">
        <v>555</v>
      </c>
      <c r="B19" s="1411"/>
      <c r="C19" s="1412">
        <f>'03'!E294</f>
        <v>7934</v>
      </c>
      <c r="D19" s="1412">
        <f>'03'!F294</f>
        <v>8030</v>
      </c>
      <c r="E19" s="1412">
        <f>'03'!G294</f>
        <v>7421</v>
      </c>
      <c r="F19" s="1413">
        <f>E19/D19*100</f>
        <v>92.415940224159399</v>
      </c>
      <c r="G19" s="1428">
        <f>'03'!J294</f>
        <v>7934000</v>
      </c>
      <c r="H19" s="1414">
        <f>'03'!K294</f>
        <v>8030000</v>
      </c>
      <c r="I19" s="1414">
        <f>'03'!L294</f>
        <v>7421500</v>
      </c>
      <c r="J19" s="1414"/>
      <c r="K19" s="1414"/>
    </row>
    <row r="20" spans="1:12" x14ac:dyDescent="0.2">
      <c r="A20" s="1457" t="s">
        <v>1254</v>
      </c>
      <c r="B20" s="1455"/>
      <c r="C20" s="1452">
        <f>'03'!E296</f>
        <v>16500</v>
      </c>
      <c r="D20" s="1452">
        <f>'03'!F296</f>
        <v>13649</v>
      </c>
      <c r="E20" s="1452">
        <f>'03'!G296</f>
        <v>12005</v>
      </c>
      <c r="F20" s="1420">
        <f>E20/D20*100</f>
        <v>87.955161550296722</v>
      </c>
      <c r="G20" s="2578">
        <f>'03'!J296</f>
        <v>16500000</v>
      </c>
      <c r="H20" s="2578">
        <f>'03'!K296</f>
        <v>13649285</v>
      </c>
      <c r="I20" s="2578">
        <f>'03'!L296</f>
        <v>12005336.85</v>
      </c>
      <c r="J20" s="1414"/>
      <c r="K20" s="1414"/>
    </row>
    <row r="21" spans="1:12" s="1427" customFormat="1" ht="31.5" customHeight="1" x14ac:dyDescent="0.25">
      <c r="A21" s="2856" t="s">
        <v>1654</v>
      </c>
      <c r="B21" s="2858">
        <v>4</v>
      </c>
      <c r="C21" s="2859">
        <f>SUM(C22:C25)</f>
        <v>7508</v>
      </c>
      <c r="D21" s="2859">
        <f>SUM(D22:D25)</f>
        <v>9421</v>
      </c>
      <c r="E21" s="2859">
        <f>SUM(E22:E25)</f>
        <v>7000</v>
      </c>
      <c r="F21" s="2860">
        <f>E21/D21*100</f>
        <v>74.302091073134491</v>
      </c>
      <c r="G21" s="3096">
        <f>SUM(G22:G25)</f>
        <v>7508000</v>
      </c>
      <c r="H21" s="3097">
        <f>SUM(H22:H25)</f>
        <v>9421290</v>
      </c>
      <c r="I21" s="3097">
        <f>SUM(I22:I25)</f>
        <v>6999820.7000000002</v>
      </c>
      <c r="J21" s="1409"/>
      <c r="K21" s="1409"/>
    </row>
    <row r="22" spans="1:12" s="1427" customFormat="1" x14ac:dyDescent="0.2">
      <c r="A22" s="1410" t="s">
        <v>332</v>
      </c>
      <c r="B22" s="1430"/>
      <c r="C22" s="1412">
        <f>'04'!E57</f>
        <v>4307</v>
      </c>
      <c r="D22" s="1412">
        <f>'04'!F57</f>
        <v>4567</v>
      </c>
      <c r="E22" s="1412">
        <f>'04'!G57</f>
        <v>3004</v>
      </c>
      <c r="F22" s="1413">
        <f>E22/D22*100</f>
        <v>65.776220713816514</v>
      </c>
      <c r="G22" s="1428">
        <f>'04'!J57</f>
        <v>4307000</v>
      </c>
      <c r="H22" s="1414">
        <f>'04'!K57</f>
        <v>4567000</v>
      </c>
      <c r="I22" s="1414">
        <f>'04'!L57</f>
        <v>3003743.7</v>
      </c>
      <c r="J22" s="1414"/>
      <c r="K22" s="1414"/>
    </row>
    <row r="23" spans="1:12" s="1427" customFormat="1" x14ac:dyDescent="0.2">
      <c r="A23" s="1410" t="s">
        <v>333</v>
      </c>
      <c r="B23" s="1430"/>
      <c r="C23" s="1412">
        <f>'04'!E58</f>
        <v>3201</v>
      </c>
      <c r="D23" s="1412">
        <f>'04'!F58</f>
        <v>4850</v>
      </c>
      <c r="E23" s="1412">
        <f>'04'!G58</f>
        <v>3992</v>
      </c>
      <c r="F23" s="1413">
        <f>E23/D23*100</f>
        <v>82.30927835051547</v>
      </c>
      <c r="G23" s="1428">
        <f>'04'!J58</f>
        <v>3201000</v>
      </c>
      <c r="H23" s="1414">
        <f>'04'!K58</f>
        <v>4850220</v>
      </c>
      <c r="I23" s="1414">
        <f>'04'!L58</f>
        <v>3992007</v>
      </c>
      <c r="J23" s="1414"/>
      <c r="K23" s="1414"/>
    </row>
    <row r="24" spans="1:12" x14ac:dyDescent="0.2">
      <c r="A24" s="1416" t="s">
        <v>336</v>
      </c>
      <c r="B24" s="1411"/>
      <c r="C24" s="1412">
        <f>'04'!E59</f>
        <v>0</v>
      </c>
      <c r="D24" s="1412">
        <f>'04'!F59</f>
        <v>0</v>
      </c>
      <c r="E24" s="1412">
        <f>'04'!G59</f>
        <v>0</v>
      </c>
      <c r="F24" s="1413">
        <v>0</v>
      </c>
      <c r="G24" s="1428">
        <f>'04'!J59</f>
        <v>0</v>
      </c>
      <c r="H24" s="1414">
        <f>'04'!K59</f>
        <v>0</v>
      </c>
      <c r="I24" s="1414">
        <f>'04'!L59</f>
        <v>0</v>
      </c>
      <c r="J24" s="1414"/>
      <c r="K24" s="1414"/>
    </row>
    <row r="25" spans="1:12" x14ac:dyDescent="0.2">
      <c r="A25" s="1432" t="s">
        <v>337</v>
      </c>
      <c r="B25" s="1418"/>
      <c r="C25" s="1412">
        <f>'04'!E60</f>
        <v>0</v>
      </c>
      <c r="D25" s="1412">
        <f>'04'!F60</f>
        <v>4</v>
      </c>
      <c r="E25" s="1412">
        <f>'04'!G60</f>
        <v>4</v>
      </c>
      <c r="F25" s="1420">
        <f t="shared" ref="F25" si="5">E25/D25*100</f>
        <v>100</v>
      </c>
      <c r="G25" s="1421">
        <f>'04'!J60</f>
        <v>0</v>
      </c>
      <c r="H25" s="1422">
        <f>'04'!K60</f>
        <v>4070</v>
      </c>
      <c r="I25" s="1422">
        <f>'04'!L60</f>
        <v>4070</v>
      </c>
      <c r="J25" s="1414"/>
      <c r="K25" s="1414"/>
    </row>
    <row r="26" spans="1:12" s="1427" customFormat="1" ht="30" hidden="1" x14ac:dyDescent="0.25">
      <c r="A26" s="2857" t="s">
        <v>1655</v>
      </c>
      <c r="B26" s="2858">
        <v>5</v>
      </c>
      <c r="C26" s="2859">
        <f>SUM(C27:C30)</f>
        <v>0</v>
      </c>
      <c r="D26" s="2859">
        <f>SUM(D27:D30)</f>
        <v>0</v>
      </c>
      <c r="E26" s="2859">
        <f>SUM(E27:E30)</f>
        <v>0</v>
      </c>
      <c r="F26" s="2860" t="e">
        <f>E26/D26*100</f>
        <v>#DIV/0!</v>
      </c>
      <c r="G26" s="1409">
        <f>SUM(G27:G30)</f>
        <v>0</v>
      </c>
      <c r="H26" s="1409">
        <f>SUM(H27:H30)</f>
        <v>0</v>
      </c>
      <c r="I26" s="1409">
        <f>SUM(I27:I30)</f>
        <v>0</v>
      </c>
      <c r="J26" s="1409"/>
      <c r="K26" s="1409"/>
    </row>
    <row r="27" spans="1:12" s="1427" customFormat="1" hidden="1" x14ac:dyDescent="0.2">
      <c r="A27" s="1433" t="s">
        <v>332</v>
      </c>
      <c r="B27" s="1430"/>
      <c r="C27" s="1412">
        <f>'05'!E17</f>
        <v>0</v>
      </c>
      <c r="D27" s="1412">
        <f>'05'!F17</f>
        <v>0</v>
      </c>
      <c r="E27" s="1412">
        <f>'05'!G17</f>
        <v>0</v>
      </c>
      <c r="F27" s="1413" t="e">
        <f>E27/D27*100</f>
        <v>#DIV/0!</v>
      </c>
      <c r="G27" s="1414">
        <f>'05'!J17</f>
        <v>0</v>
      </c>
      <c r="H27" s="1414">
        <f>'05'!K17</f>
        <v>0</v>
      </c>
      <c r="I27" s="1414">
        <f>'05'!L17</f>
        <v>0</v>
      </c>
      <c r="J27" s="1414"/>
      <c r="K27" s="1414"/>
    </row>
    <row r="28" spans="1:12" s="1427" customFormat="1" hidden="1" x14ac:dyDescent="0.2">
      <c r="A28" s="1433" t="s">
        <v>333</v>
      </c>
      <c r="B28" s="1430"/>
      <c r="C28" s="1412">
        <f>'05'!E18</f>
        <v>0</v>
      </c>
      <c r="D28" s="1412">
        <f>'05'!F18</f>
        <v>0</v>
      </c>
      <c r="E28" s="1412">
        <f>'05'!G18</f>
        <v>0</v>
      </c>
      <c r="F28" s="1413">
        <v>0</v>
      </c>
      <c r="G28" s="1414">
        <f>'05'!J18</f>
        <v>0</v>
      </c>
      <c r="H28" s="1414">
        <f>'05'!K18</f>
        <v>0</v>
      </c>
      <c r="I28" s="1414">
        <f>'05'!L18</f>
        <v>0</v>
      </c>
      <c r="J28" s="1414"/>
      <c r="K28" s="1414"/>
    </row>
    <row r="29" spans="1:12" s="1427" customFormat="1" hidden="1" x14ac:dyDescent="0.2">
      <c r="A29" s="1416" t="s">
        <v>336</v>
      </c>
      <c r="B29" s="1430"/>
      <c r="C29" s="1412">
        <f>'05'!E19</f>
        <v>0</v>
      </c>
      <c r="D29" s="1412">
        <f>'05'!F19</f>
        <v>0</v>
      </c>
      <c r="E29" s="1412">
        <f>'05'!G19</f>
        <v>0</v>
      </c>
      <c r="F29" s="1413">
        <v>0</v>
      </c>
      <c r="G29" s="1414">
        <f>'05'!J19</f>
        <v>0</v>
      </c>
      <c r="H29" s="1414">
        <f>'05'!K19</f>
        <v>0</v>
      </c>
      <c r="I29" s="1414">
        <f>'05'!L19</f>
        <v>0</v>
      </c>
      <c r="J29" s="1414"/>
      <c r="K29" s="1414"/>
    </row>
    <row r="30" spans="1:12" s="1427" customFormat="1" hidden="1" x14ac:dyDescent="0.2">
      <c r="A30" s="1429" t="s">
        <v>337</v>
      </c>
      <c r="B30" s="1434"/>
      <c r="C30" s="1419">
        <f>'05'!E20</f>
        <v>0</v>
      </c>
      <c r="D30" s="1419">
        <f>'05'!F20</f>
        <v>0</v>
      </c>
      <c r="E30" s="1419">
        <f>'05'!G20</f>
        <v>0</v>
      </c>
      <c r="F30" s="1420">
        <v>0</v>
      </c>
      <c r="G30" s="1414">
        <f>'05'!J20</f>
        <v>0</v>
      </c>
      <c r="H30" s="1414">
        <f>'05'!K20</f>
        <v>0</v>
      </c>
      <c r="I30" s="1414">
        <f>'05'!L20</f>
        <v>0</v>
      </c>
      <c r="J30" s="1414"/>
      <c r="K30" s="1414"/>
    </row>
    <row r="31" spans="1:12" s="1427" customFormat="1" ht="15" hidden="1" x14ac:dyDescent="0.25">
      <c r="A31" s="1423" t="s">
        <v>1082</v>
      </c>
      <c r="B31" s="1430">
        <v>6</v>
      </c>
      <c r="C31" s="1425">
        <f>SUM(C32:C35)</f>
        <v>0</v>
      </c>
      <c r="D31" s="1425">
        <f>SUM(D32:D35)</f>
        <v>0</v>
      </c>
      <c r="E31" s="1425">
        <f>SUM(E32:E35)</f>
        <v>0</v>
      </c>
      <c r="F31" s="1431">
        <v>0</v>
      </c>
      <c r="G31" s="1671">
        <f>SUM(G32:G35)</f>
        <v>0</v>
      </c>
      <c r="H31" s="1672">
        <f>SUM(H32:H35)</f>
        <v>0</v>
      </c>
      <c r="I31" s="1672">
        <f>SUM(I32:I35)</f>
        <v>0</v>
      </c>
      <c r="J31" s="1409"/>
      <c r="K31" s="1409"/>
    </row>
    <row r="32" spans="1:12" s="1427" customFormat="1" hidden="1" x14ac:dyDescent="0.2">
      <c r="A32" s="1410" t="s">
        <v>332</v>
      </c>
      <c r="B32" s="1430"/>
      <c r="C32" s="1412">
        <f>'06'!E36</f>
        <v>0</v>
      </c>
      <c r="D32" s="1412">
        <f>'06'!F36</f>
        <v>0</v>
      </c>
      <c r="E32" s="1412">
        <f>'06'!G36</f>
        <v>0</v>
      </c>
      <c r="F32" s="1413">
        <v>0</v>
      </c>
      <c r="G32" s="1428">
        <f>'06'!J36</f>
        <v>0</v>
      </c>
      <c r="H32" s="1414">
        <f>'06'!K36</f>
        <v>0</v>
      </c>
      <c r="I32" s="1414">
        <f>'06'!L36</f>
        <v>0</v>
      </c>
      <c r="J32" s="1414"/>
      <c r="K32" s="1414"/>
    </row>
    <row r="33" spans="1:20" s="1427" customFormat="1" hidden="1" x14ac:dyDescent="0.2">
      <c r="A33" s="1410" t="s">
        <v>333</v>
      </c>
      <c r="B33" s="1430"/>
      <c r="C33" s="1412">
        <f>'06'!E37</f>
        <v>0</v>
      </c>
      <c r="D33" s="1412">
        <f>'06'!F37</f>
        <v>0</v>
      </c>
      <c r="E33" s="1412">
        <f>'06'!G37</f>
        <v>0</v>
      </c>
      <c r="F33" s="1413">
        <v>0</v>
      </c>
      <c r="G33" s="1428">
        <f>'06'!J37</f>
        <v>0</v>
      </c>
      <c r="H33" s="1414">
        <f>'06'!K37</f>
        <v>0</v>
      </c>
      <c r="I33" s="1414">
        <f>'06'!L37</f>
        <v>0</v>
      </c>
      <c r="J33" s="1414"/>
      <c r="K33" s="1414"/>
    </row>
    <row r="34" spans="1:20" hidden="1" x14ac:dyDescent="0.2">
      <c r="A34" s="1416" t="s">
        <v>336</v>
      </c>
      <c r="B34" s="1411"/>
      <c r="C34" s="1412">
        <f>'06'!E38</f>
        <v>0</v>
      </c>
      <c r="D34" s="1412">
        <f>'06'!F38</f>
        <v>0</v>
      </c>
      <c r="E34" s="1412">
        <f>'06'!G38</f>
        <v>0</v>
      </c>
      <c r="F34" s="1413">
        <v>0</v>
      </c>
      <c r="G34" s="1428">
        <f>'06'!J38</f>
        <v>0</v>
      </c>
      <c r="H34" s="1414">
        <f>'06'!K38</f>
        <v>0</v>
      </c>
      <c r="I34" s="1414">
        <f>'06'!L38</f>
        <v>0</v>
      </c>
      <c r="J34" s="1414"/>
      <c r="K34" s="1414"/>
    </row>
    <row r="35" spans="1:20" hidden="1" x14ac:dyDescent="0.2">
      <c r="A35" s="1429" t="s">
        <v>337</v>
      </c>
      <c r="B35" s="1418"/>
      <c r="C35" s="1419">
        <f>'06'!E39</f>
        <v>0</v>
      </c>
      <c r="D35" s="1419">
        <f>'06'!F39</f>
        <v>0</v>
      </c>
      <c r="E35" s="1419">
        <f>'06'!G39</f>
        <v>0</v>
      </c>
      <c r="F35" s="1420">
        <v>0</v>
      </c>
      <c r="G35" s="1421">
        <f>'06'!J39</f>
        <v>0</v>
      </c>
      <c r="H35" s="1422">
        <f>'06'!K39</f>
        <v>0</v>
      </c>
      <c r="I35" s="1422">
        <f>'06'!L39</f>
        <v>0</v>
      </c>
      <c r="J35" s="1414"/>
      <c r="K35" s="1414"/>
    </row>
    <row r="36" spans="1:20" s="1427" customFormat="1" ht="15" x14ac:dyDescent="0.25">
      <c r="A36" s="1423" t="s">
        <v>126</v>
      </c>
      <c r="B36" s="1424">
        <v>7</v>
      </c>
      <c r="C36" s="1425">
        <f>C37+C43</f>
        <v>583373</v>
      </c>
      <c r="D36" s="1425">
        <f t="shared" ref="D36" si="6">D37+D43</f>
        <v>491765</v>
      </c>
      <c r="E36" s="1425">
        <f>E37+E43</f>
        <v>13186738</v>
      </c>
      <c r="F36" s="1431">
        <f>E36/D36*100</f>
        <v>2681.5121043587892</v>
      </c>
      <c r="G36" s="1409">
        <f>G37+G43</f>
        <v>583373000</v>
      </c>
      <c r="H36" s="1409">
        <f t="shared" ref="H36:I36" si="7">H37+H43</f>
        <v>491765253.30000001</v>
      </c>
      <c r="I36" s="1409">
        <f t="shared" si="7"/>
        <v>13186738269.1</v>
      </c>
      <c r="J36" s="1409"/>
      <c r="K36" s="1409"/>
    </row>
    <row r="37" spans="1:20" s="1427" customFormat="1" x14ac:dyDescent="0.2">
      <c r="A37" s="1457" t="s">
        <v>338</v>
      </c>
      <c r="B37" s="1430"/>
      <c r="C37" s="1452">
        <f>SUM(C38:C42)</f>
        <v>523743</v>
      </c>
      <c r="D37" s="1452">
        <f t="shared" ref="D37" si="8">SUM(D38:D42)</f>
        <v>491765</v>
      </c>
      <c r="E37" s="1452">
        <f>SUM(E38:E42)</f>
        <v>13186738</v>
      </c>
      <c r="F37" s="1413">
        <f>E37/D37*100</f>
        <v>2681.5121043587892</v>
      </c>
      <c r="G37" s="1414">
        <f>SUM(G38:G42)</f>
        <v>523743000</v>
      </c>
      <c r="H37" s="1414">
        <f t="shared" ref="H37:I37" si="9">SUM(H38:H42)</f>
        <v>491765253.30000001</v>
      </c>
      <c r="I37" s="1414">
        <f t="shared" si="9"/>
        <v>13186738269.1</v>
      </c>
      <c r="J37" s="1409"/>
      <c r="K37" s="1409"/>
    </row>
    <row r="38" spans="1:20" s="1427" customFormat="1" x14ac:dyDescent="0.2">
      <c r="A38" s="1410" t="s">
        <v>332</v>
      </c>
      <c r="B38" s="1430"/>
      <c r="C38" s="1412">
        <f>'07'!E55</f>
        <v>523743</v>
      </c>
      <c r="D38" s="1412">
        <f>'07'!F55</f>
        <v>491568</v>
      </c>
      <c r="E38" s="1412">
        <f>'07'!G55</f>
        <v>85457</v>
      </c>
      <c r="F38" s="1413">
        <f>E38/D38*100</f>
        <v>17.384573446603522</v>
      </c>
      <c r="G38" s="1414">
        <f>'07'!J55</f>
        <v>523743000</v>
      </c>
      <c r="H38" s="1414">
        <f>'07'!K55</f>
        <v>491567773.30000001</v>
      </c>
      <c r="I38" s="1414">
        <f>'07'!L55</f>
        <v>85457433.370000005</v>
      </c>
      <c r="J38" s="1414"/>
      <c r="K38" s="1414"/>
    </row>
    <row r="39" spans="1:20" s="1427" customFormat="1" x14ac:dyDescent="0.2">
      <c r="A39" s="1410" t="s">
        <v>333</v>
      </c>
      <c r="B39" s="1430"/>
      <c r="C39" s="1412">
        <f>'07'!E56</f>
        <v>0</v>
      </c>
      <c r="D39" s="1412">
        <f>'07'!F56</f>
        <v>0</v>
      </c>
      <c r="E39" s="1412">
        <f>'07'!G56</f>
        <v>0</v>
      </c>
      <c r="F39" s="1413">
        <v>0</v>
      </c>
      <c r="G39" s="1414">
        <f>'07'!J56</f>
        <v>0</v>
      </c>
      <c r="H39" s="1414">
        <f>'07'!K56</f>
        <v>0</v>
      </c>
      <c r="I39" s="1414">
        <f>'07'!L56</f>
        <v>0</v>
      </c>
      <c r="J39" s="1414"/>
      <c r="K39" s="1414"/>
    </row>
    <row r="40" spans="1:20" x14ac:dyDescent="0.2">
      <c r="A40" s="1416" t="s">
        <v>336</v>
      </c>
      <c r="B40" s="1411"/>
      <c r="C40" s="1412">
        <f>'07'!E57</f>
        <v>0</v>
      </c>
      <c r="D40" s="1412">
        <f>'07'!F57</f>
        <v>197</v>
      </c>
      <c r="E40" s="1412">
        <f>'07'!G57</f>
        <v>0</v>
      </c>
      <c r="F40" s="1413">
        <f t="shared" ref="F40" si="10">E40/D40*100</f>
        <v>0</v>
      </c>
      <c r="G40" s="1414">
        <f>'07'!J57</f>
        <v>0</v>
      </c>
      <c r="H40" s="1414">
        <f>'07'!K57</f>
        <v>197480</v>
      </c>
      <c r="I40" s="1414">
        <f>'07'!L57</f>
        <v>0</v>
      </c>
      <c r="J40" s="1414"/>
      <c r="K40" s="1414"/>
    </row>
    <row r="41" spans="1:20" x14ac:dyDescent="0.2">
      <c r="A41" s="1416" t="s">
        <v>337</v>
      </c>
      <c r="B41" s="1411"/>
      <c r="C41" s="1412">
        <f>'07'!E58</f>
        <v>0</v>
      </c>
      <c r="D41" s="1412">
        <f>'07'!F58</f>
        <v>0</v>
      </c>
      <c r="E41" s="1412">
        <f>'07'!G58</f>
        <v>0</v>
      </c>
      <c r="F41" s="1413">
        <v>0</v>
      </c>
      <c r="G41" s="1414">
        <f>'07'!J58</f>
        <v>0</v>
      </c>
      <c r="H41" s="1414">
        <f>'07'!K58</f>
        <v>0</v>
      </c>
      <c r="I41" s="1414">
        <f>'07'!L58</f>
        <v>0</v>
      </c>
      <c r="J41" s="1414"/>
      <c r="K41" s="1414"/>
      <c r="R41" s="1396"/>
    </row>
    <row r="42" spans="1:20" x14ac:dyDescent="0.2">
      <c r="A42" s="1410" t="s">
        <v>555</v>
      </c>
      <c r="B42" s="1411"/>
      <c r="C42" s="1412">
        <f>'07'!E59</f>
        <v>0</v>
      </c>
      <c r="D42" s="1412">
        <f>'07'!F59</f>
        <v>0</v>
      </c>
      <c r="E42" s="1412">
        <f>'07'!G59</f>
        <v>13101281</v>
      </c>
      <c r="F42" s="1413">
        <v>0</v>
      </c>
      <c r="G42" s="1428">
        <f>'07'!J59</f>
        <v>0</v>
      </c>
      <c r="H42" s="1414">
        <f>'07'!K59</f>
        <v>0</v>
      </c>
      <c r="I42" s="1414">
        <f>'07'!L59</f>
        <v>13101280835.73</v>
      </c>
      <c r="J42" s="1414"/>
      <c r="K42" s="1414"/>
      <c r="R42" s="1396"/>
      <c r="S42" s="1396"/>
      <c r="T42" s="1396"/>
    </row>
    <row r="43" spans="1:20" x14ac:dyDescent="0.2">
      <c r="A43" s="2579" t="s">
        <v>1254</v>
      </c>
      <c r="B43" s="1418"/>
      <c r="C43" s="2580">
        <f>'07'!E61</f>
        <v>59630</v>
      </c>
      <c r="D43" s="2580">
        <f>'07'!F61</f>
        <v>0</v>
      </c>
      <c r="E43" s="2580">
        <f>'07'!G61</f>
        <v>0</v>
      </c>
      <c r="F43" s="1420">
        <v>0</v>
      </c>
      <c r="G43" s="2581">
        <f>'07'!J61</f>
        <v>59630000</v>
      </c>
      <c r="H43" s="2578">
        <f>'07'!K61</f>
        <v>0</v>
      </c>
      <c r="I43" s="2578">
        <f>'07'!L61</f>
        <v>0</v>
      </c>
      <c r="J43" s="1414"/>
      <c r="K43" s="1414"/>
      <c r="R43" s="1396"/>
      <c r="S43" s="1396"/>
      <c r="T43" s="1396"/>
    </row>
    <row r="44" spans="1:20" s="1427" customFormat="1" ht="15" x14ac:dyDescent="0.25">
      <c r="A44" s="2566" t="s">
        <v>1656</v>
      </c>
      <c r="B44" s="1430">
        <v>8</v>
      </c>
      <c r="C44" s="1435">
        <f>C45+C50</f>
        <v>46241</v>
      </c>
      <c r="D44" s="1435">
        <f t="shared" ref="D44:E44" si="11">D45+D50</f>
        <v>60481</v>
      </c>
      <c r="E44" s="1435">
        <f t="shared" si="11"/>
        <v>55579</v>
      </c>
      <c r="F44" s="1431">
        <f>E44/D44*100</f>
        <v>91.894975281493359</v>
      </c>
      <c r="G44" s="1409">
        <f>G45+G50</f>
        <v>46241000</v>
      </c>
      <c r="H44" s="1409">
        <f t="shared" ref="H44:I44" si="12">H45+H50</f>
        <v>60480648</v>
      </c>
      <c r="I44" s="1409">
        <f t="shared" si="12"/>
        <v>55578958.309999995</v>
      </c>
      <c r="J44" s="1409"/>
      <c r="K44" s="1409"/>
      <c r="Q44" s="1391" t="s">
        <v>335</v>
      </c>
      <c r="R44" s="1396">
        <f>C53+C46+C38+C32+C27+C22+C15+C8</f>
        <v>924726</v>
      </c>
      <c r="S44" s="1396">
        <f>D53+D46+D38+D32+D27+D22+D15+D8</f>
        <v>913121</v>
      </c>
      <c r="T44" s="1396">
        <f>E53+E46+E38+E32+E27+E22+E15+E8</f>
        <v>483434</v>
      </c>
    </row>
    <row r="45" spans="1:20" s="1427" customFormat="1" x14ac:dyDescent="0.2">
      <c r="A45" s="1457" t="s">
        <v>338</v>
      </c>
      <c r="B45" s="1430"/>
      <c r="C45" s="1452">
        <f>SUM(C46:C49)</f>
        <v>12641</v>
      </c>
      <c r="D45" s="1452">
        <f t="shared" ref="D45:E45" si="13">SUM(D46:D49)</f>
        <v>12638</v>
      </c>
      <c r="E45" s="1452">
        <f t="shared" si="13"/>
        <v>9517</v>
      </c>
      <c r="F45" s="1413">
        <f>E45/D45*100</f>
        <v>75.304636809621769</v>
      </c>
      <c r="G45" s="1414">
        <f>SUM(G46:G49)</f>
        <v>12641000</v>
      </c>
      <c r="H45" s="1414">
        <f t="shared" ref="H45:I45" si="14">SUM(H46:H49)</f>
        <v>12637648</v>
      </c>
      <c r="I45" s="1414">
        <f t="shared" si="14"/>
        <v>9517321.2599999998</v>
      </c>
      <c r="J45" s="1409"/>
      <c r="K45" s="1409"/>
      <c r="Q45" s="1391"/>
      <c r="R45" s="1396"/>
      <c r="S45" s="1396"/>
      <c r="T45" s="1396"/>
    </row>
    <row r="46" spans="1:20" s="1427" customFormat="1" x14ac:dyDescent="0.2">
      <c r="A46" s="1410" t="s">
        <v>332</v>
      </c>
      <c r="B46" s="1430"/>
      <c r="C46" s="1412">
        <f>'08'!E216</f>
        <v>11097</v>
      </c>
      <c r="D46" s="1412">
        <f>'08'!F216</f>
        <v>11094</v>
      </c>
      <c r="E46" s="1412">
        <f>'08'!G216</f>
        <v>7976</v>
      </c>
      <c r="F46" s="1413">
        <f>E46/D46*100</f>
        <v>71.894717865512888</v>
      </c>
      <c r="G46" s="1414">
        <f>'08'!J216</f>
        <v>11097000</v>
      </c>
      <c r="H46" s="1414">
        <f>'08'!K216</f>
        <v>11093648</v>
      </c>
      <c r="I46" s="1414">
        <f>'08'!L216</f>
        <v>7976047.25</v>
      </c>
      <c r="J46" s="1414"/>
      <c r="K46" s="1414"/>
      <c r="Q46" s="1391" t="s">
        <v>357</v>
      </c>
      <c r="R46" s="1396">
        <f t="shared" ref="R46:T48" si="15">C54+C47+C39+C33+C28+C23+C16+C9</f>
        <v>5305</v>
      </c>
      <c r="S46" s="1396">
        <f t="shared" si="15"/>
        <v>33841</v>
      </c>
      <c r="T46" s="1396">
        <f t="shared" si="15"/>
        <v>28412</v>
      </c>
    </row>
    <row r="47" spans="1:20" s="1427" customFormat="1" x14ac:dyDescent="0.2">
      <c r="A47" s="1410" t="s">
        <v>333</v>
      </c>
      <c r="B47" s="1430"/>
      <c r="C47" s="1412">
        <f>'08'!E217</f>
        <v>1544</v>
      </c>
      <c r="D47" s="1412">
        <f>'08'!F217</f>
        <v>1544</v>
      </c>
      <c r="E47" s="1412">
        <f>'08'!G217</f>
        <v>1541</v>
      </c>
      <c r="F47" s="1413">
        <f>E47/D47*100</f>
        <v>99.80569948186529</v>
      </c>
      <c r="G47" s="1414">
        <f>'08'!J217</f>
        <v>1544000</v>
      </c>
      <c r="H47" s="1414">
        <f>'08'!K217</f>
        <v>1544000</v>
      </c>
      <c r="I47" s="1414">
        <f>'08'!L217</f>
        <v>1541274.01</v>
      </c>
      <c r="J47" s="1414"/>
      <c r="K47" s="1414"/>
      <c r="Q47" s="1391" t="s">
        <v>358</v>
      </c>
      <c r="R47" s="1396">
        <f t="shared" si="15"/>
        <v>0</v>
      </c>
      <c r="S47" s="1396">
        <f t="shared" si="15"/>
        <v>2561</v>
      </c>
      <c r="T47" s="1396">
        <f t="shared" si="15"/>
        <v>2138</v>
      </c>
    </row>
    <row r="48" spans="1:20" x14ac:dyDescent="0.2">
      <c r="A48" s="1416" t="s">
        <v>336</v>
      </c>
      <c r="B48" s="1411"/>
      <c r="C48" s="1412">
        <f>'08'!E218</f>
        <v>0</v>
      </c>
      <c r="D48" s="1412">
        <f>'08'!F218</f>
        <v>0</v>
      </c>
      <c r="E48" s="1412">
        <f>'08'!G218</f>
        <v>0</v>
      </c>
      <c r="F48" s="1413">
        <v>0</v>
      </c>
      <c r="G48" s="1414">
        <f>'08'!J218</f>
        <v>0</v>
      </c>
      <c r="H48" s="1414">
        <f>'08'!K218</f>
        <v>0</v>
      </c>
      <c r="I48" s="1414">
        <f>'08'!L218</f>
        <v>0</v>
      </c>
      <c r="J48" s="1414"/>
      <c r="K48" s="1414"/>
      <c r="Q48" s="1391" t="s">
        <v>684</v>
      </c>
      <c r="R48" s="1396">
        <f t="shared" si="15"/>
        <v>0</v>
      </c>
      <c r="S48" s="1396">
        <f t="shared" si="15"/>
        <v>4004</v>
      </c>
      <c r="T48" s="1396">
        <f t="shared" si="15"/>
        <v>4004</v>
      </c>
    </row>
    <row r="49" spans="1:20" x14ac:dyDescent="0.2">
      <c r="A49" s="1416" t="s">
        <v>337</v>
      </c>
      <c r="B49" s="1411"/>
      <c r="C49" s="1412">
        <f>'08'!E219</f>
        <v>0</v>
      </c>
      <c r="D49" s="1412">
        <f>'08'!F219</f>
        <v>0</v>
      </c>
      <c r="E49" s="1412">
        <f>'08'!G219</f>
        <v>0</v>
      </c>
      <c r="F49" s="1413">
        <v>0</v>
      </c>
      <c r="G49" s="1414">
        <f>'08'!J219</f>
        <v>0</v>
      </c>
      <c r="H49" s="1414">
        <f>'08'!K219</f>
        <v>0</v>
      </c>
      <c r="I49" s="1414">
        <f>'08'!L219</f>
        <v>0</v>
      </c>
      <c r="J49" s="1414"/>
      <c r="K49" s="1414"/>
      <c r="Q49" s="1391" t="s">
        <v>461</v>
      </c>
      <c r="R49" s="1396">
        <f>C42+C19+C12</f>
        <v>8240</v>
      </c>
      <c r="S49" s="1396">
        <f>D42+D19+D12</f>
        <v>8408</v>
      </c>
      <c r="T49" s="1396">
        <f>E42+E19+E12</f>
        <v>13109049</v>
      </c>
    </row>
    <row r="50" spans="1:20" x14ac:dyDescent="0.2">
      <c r="A50" s="2579" t="s">
        <v>1254</v>
      </c>
      <c r="B50" s="1418"/>
      <c r="C50" s="2580">
        <f>'08'!E221</f>
        <v>33600</v>
      </c>
      <c r="D50" s="2580">
        <f>'08'!F221</f>
        <v>47843</v>
      </c>
      <c r="E50" s="3140">
        <f>'08'!G221</f>
        <v>46062</v>
      </c>
      <c r="F50" s="1420">
        <f t="shared" ref="F50" si="16">E50/D50*100</f>
        <v>96.277407353217811</v>
      </c>
      <c r="G50" s="1409">
        <f>'08'!J221</f>
        <v>33600000</v>
      </c>
      <c r="H50" s="1409">
        <f>'08'!K221</f>
        <v>47843000</v>
      </c>
      <c r="I50" s="1409">
        <f>'08'!L221</f>
        <v>46061637.049999997</v>
      </c>
      <c r="J50" s="1414"/>
      <c r="K50" s="1414"/>
      <c r="Q50" s="1391" t="s">
        <v>1254</v>
      </c>
      <c r="R50" s="1396">
        <f>C57+C50+C43+C20</f>
        <v>125130</v>
      </c>
      <c r="S50" s="1396">
        <f t="shared" ref="S50:T50" si="17">D57+D50+D43+D20</f>
        <v>81523</v>
      </c>
      <c r="T50" s="1396">
        <f t="shared" si="17"/>
        <v>72630</v>
      </c>
    </row>
    <row r="51" spans="1:20" ht="18" customHeight="1" x14ac:dyDescent="0.25">
      <c r="A51" s="1583" t="s">
        <v>437</v>
      </c>
      <c r="B51" s="1424">
        <v>9</v>
      </c>
      <c r="C51" s="1425">
        <f>C52+C57</f>
        <v>21479</v>
      </c>
      <c r="D51" s="1425">
        <f t="shared" ref="D51:E51" si="18">D52+D57</f>
        <v>30852</v>
      </c>
      <c r="E51" s="1425">
        <f t="shared" si="18"/>
        <v>24119</v>
      </c>
      <c r="F51" s="1426">
        <f>E51/D51*100</f>
        <v>78.176455335148461</v>
      </c>
      <c r="G51" s="1671">
        <f>G52+G57</f>
        <v>21479000</v>
      </c>
      <c r="H51" s="1672">
        <f t="shared" ref="H51:I51" si="19">H52+H57</f>
        <v>30852282</v>
      </c>
      <c r="I51" s="1672">
        <f t="shared" si="19"/>
        <v>24119524.109999999</v>
      </c>
      <c r="J51" s="1409"/>
      <c r="K51" s="1409">
        <f>G51+G44+G36+G31+G26+G21+G13+G7</f>
        <v>1063401000</v>
      </c>
      <c r="L51" s="1409">
        <f>H51+H44+H36+H31+H26+H21+H13+H7</f>
        <v>1043457950.8899999</v>
      </c>
      <c r="M51" s="1409">
        <f>I51+I44+I36+I31+I26+I21+I13+I7</f>
        <v>13699667743.960001</v>
      </c>
      <c r="N51" s="1443" t="s">
        <v>460</v>
      </c>
      <c r="Q51" s="1427" t="s">
        <v>356</v>
      </c>
      <c r="R51" s="1461">
        <f>R44+R46+R47+R48+R49+R50</f>
        <v>1063401</v>
      </c>
      <c r="S51" s="1461">
        <f t="shared" ref="S51" si="20">S44+S46+S47+S48+S49+S50</f>
        <v>1043458</v>
      </c>
      <c r="T51" s="1461">
        <f>T44+T46+T47+T48+T49+T50</f>
        <v>13699667</v>
      </c>
    </row>
    <row r="52" spans="1:20" ht="18" customHeight="1" x14ac:dyDescent="0.2">
      <c r="A52" s="1457" t="s">
        <v>338</v>
      </c>
      <c r="B52" s="1430"/>
      <c r="C52" s="1452">
        <f>SUM(C53:C56)</f>
        <v>6079</v>
      </c>
      <c r="D52" s="1452">
        <f t="shared" ref="D52:E52" si="21">SUM(D53:D56)</f>
        <v>10821</v>
      </c>
      <c r="E52" s="1452">
        <f t="shared" si="21"/>
        <v>9556</v>
      </c>
      <c r="F52" s="1413">
        <f>E52/D52*100</f>
        <v>88.309768043618888</v>
      </c>
      <c r="G52" s="1428">
        <f>SUM(G53:G56)</f>
        <v>6079000</v>
      </c>
      <c r="H52" s="1414">
        <f t="shared" ref="H52:I52" si="22">SUM(H53:H56)</f>
        <v>10822184</v>
      </c>
      <c r="I52" s="1414">
        <f t="shared" si="22"/>
        <v>9556060.9499999993</v>
      </c>
      <c r="J52" s="1409"/>
      <c r="K52" s="1414">
        <f t="shared" ref="K52:M55" si="23">SUM(G8,G15,G22,G27,G32,G38,G46,G53)</f>
        <v>924726000</v>
      </c>
      <c r="L52" s="1414">
        <f t="shared" si="23"/>
        <v>913120507.88999999</v>
      </c>
      <c r="M52" s="1414">
        <f>SUM(I8,I15,I22,I27,I32,I38,I46,I53)</f>
        <v>483434952.24000001</v>
      </c>
      <c r="N52" s="1436" t="s">
        <v>335</v>
      </c>
      <c r="Q52" s="1391" t="s">
        <v>698</v>
      </c>
      <c r="R52" s="1396">
        <f>C53+C46+C38+C32+C27+C22+C15+C8+C10+C17+C24+C29+C34+C40+C48+C55+'03'!L281+'07'!K48+'08'!K208+'09'!K166</f>
        <v>1047856</v>
      </c>
      <c r="S52" s="1396">
        <f>D53+D46+D38+D32+D27+D22+D15+D8+D10+D17+D24+D29+D34+D40+D48+D55+'03'!M281+'07'!L48+'08'!L208+'09'!L166</f>
        <v>975855</v>
      </c>
      <c r="T52" s="1396">
        <f>E53+E46+E38+E32+E27+E22+E15+E8+E10+E17+E24+E29+E34+E40+E48+E55+'03'!N281+'07'!M48+'08'!M208+'09'!M166</f>
        <v>537565</v>
      </c>
    </row>
    <row r="53" spans="1:20" ht="15" customHeight="1" x14ac:dyDescent="0.2">
      <c r="A53" s="1410" t="s">
        <v>332</v>
      </c>
      <c r="B53" s="1430"/>
      <c r="C53" s="1412">
        <f>'09'!E173</f>
        <v>6079</v>
      </c>
      <c r="D53" s="1412">
        <f>'09'!F173</f>
        <v>6278</v>
      </c>
      <c r="E53" s="1412">
        <f>'09'!G173</f>
        <v>5013</v>
      </c>
      <c r="F53" s="1413">
        <f>E53/D53*100</f>
        <v>79.850270786874802</v>
      </c>
      <c r="G53" s="1428">
        <f>'09'!J173</f>
        <v>6079000</v>
      </c>
      <c r="H53" s="1414">
        <f>'09'!K173</f>
        <v>6279000</v>
      </c>
      <c r="I53" s="1414">
        <f>'09'!L173</f>
        <v>5012876.95</v>
      </c>
      <c r="J53" s="1414"/>
      <c r="K53" s="1414">
        <f t="shared" si="23"/>
        <v>5305000</v>
      </c>
      <c r="L53" s="1414">
        <f t="shared" si="23"/>
        <v>33841034</v>
      </c>
      <c r="M53" s="1414">
        <f t="shared" si="23"/>
        <v>28412309.73</v>
      </c>
      <c r="N53" s="1437" t="s">
        <v>305</v>
      </c>
      <c r="Q53" s="1391" t="s">
        <v>699</v>
      </c>
      <c r="R53" s="1396">
        <f>R46+R48+'03'!L282+'08'!K209+'09'!K167</f>
        <v>7305</v>
      </c>
      <c r="S53" s="1396">
        <f>S46+S48+'03'!M282+'08'!L209+'09'!L167</f>
        <v>59195</v>
      </c>
      <c r="T53" s="1396">
        <f>T46+T48+'03'!N282+'08'!M209+'09'!M167</f>
        <v>53053</v>
      </c>
    </row>
    <row r="54" spans="1:20" ht="15" customHeight="1" x14ac:dyDescent="0.2">
      <c r="A54" s="1410" t="s">
        <v>333</v>
      </c>
      <c r="B54" s="1430"/>
      <c r="C54" s="1412">
        <f>'09'!E174</f>
        <v>0</v>
      </c>
      <c r="D54" s="1412">
        <f>'09'!F174</f>
        <v>0</v>
      </c>
      <c r="E54" s="1412">
        <f>'09'!G174</f>
        <v>0</v>
      </c>
      <c r="F54" s="1413">
        <v>0</v>
      </c>
      <c r="G54" s="1428">
        <f>'09'!J174</f>
        <v>0</v>
      </c>
      <c r="H54" s="1414">
        <f>'09'!K174</f>
        <v>0</v>
      </c>
      <c r="I54" s="1414">
        <f>'09'!L174</f>
        <v>0</v>
      </c>
      <c r="J54" s="1414"/>
      <c r="K54" s="1414">
        <f>SUM(G10,G17,G24,G29,G34,G40,G48,G55)</f>
        <v>0</v>
      </c>
      <c r="L54" s="1414">
        <f t="shared" si="23"/>
        <v>2561656</v>
      </c>
      <c r="M54" s="1414">
        <f t="shared" si="23"/>
        <v>2136839.2000000002</v>
      </c>
      <c r="N54" s="1437" t="s">
        <v>358</v>
      </c>
      <c r="Q54" s="1391" t="s">
        <v>461</v>
      </c>
      <c r="R54" s="1396">
        <f>C42+C19+C12</f>
        <v>8240</v>
      </c>
      <c r="S54" s="1396">
        <f>D42+D19+D12</f>
        <v>8408</v>
      </c>
      <c r="T54" s="1396">
        <f>E42+E19+E12</f>
        <v>13109049</v>
      </c>
    </row>
    <row r="55" spans="1:20" x14ac:dyDescent="0.2">
      <c r="A55" s="1416" t="s">
        <v>336</v>
      </c>
      <c r="B55" s="1411"/>
      <c r="C55" s="1412">
        <f>'09'!E175</f>
        <v>0</v>
      </c>
      <c r="D55" s="1412">
        <f>'09'!F175</f>
        <v>543</v>
      </c>
      <c r="E55" s="1412">
        <f>'09'!G175</f>
        <v>543</v>
      </c>
      <c r="F55" s="1413">
        <f>E55/D55*100</f>
        <v>100</v>
      </c>
      <c r="G55" s="1428">
        <f>'09'!J175</f>
        <v>0</v>
      </c>
      <c r="H55" s="1414">
        <f>'09'!K175</f>
        <v>543184</v>
      </c>
      <c r="I55" s="1414">
        <f>'09'!L175</f>
        <v>543184</v>
      </c>
      <c r="J55" s="1414"/>
      <c r="K55" s="1414">
        <f>SUM(G11,G18,G25,G30,G35,G41,G49,G56)</f>
        <v>0</v>
      </c>
      <c r="L55" s="1414">
        <f t="shared" si="23"/>
        <v>4004070</v>
      </c>
      <c r="M55" s="1414">
        <f t="shared" si="23"/>
        <v>4004070</v>
      </c>
      <c r="N55" s="1437" t="s">
        <v>684</v>
      </c>
      <c r="Q55" s="1427" t="s">
        <v>356</v>
      </c>
      <c r="R55" s="1461">
        <f>R52+R53+R54</f>
        <v>1063401</v>
      </c>
      <c r="S55" s="1461">
        <f>S52+S53+S54</f>
        <v>1043458</v>
      </c>
      <c r="T55" s="1461">
        <f>T52+T53+T54</f>
        <v>13699667</v>
      </c>
    </row>
    <row r="56" spans="1:20" x14ac:dyDescent="0.2">
      <c r="A56" s="1416" t="s">
        <v>337</v>
      </c>
      <c r="B56" s="1411"/>
      <c r="C56" s="1412">
        <f>'09'!E176</f>
        <v>0</v>
      </c>
      <c r="D56" s="1412">
        <f>'09'!F176</f>
        <v>4000</v>
      </c>
      <c r="E56" s="1412">
        <f>'09'!G176</f>
        <v>4000</v>
      </c>
      <c r="F56" s="1413">
        <f>E56/D56*100</f>
        <v>100</v>
      </c>
      <c r="G56" s="1428">
        <f>'09'!J176</f>
        <v>0</v>
      </c>
      <c r="H56" s="1414">
        <f>'09'!K176</f>
        <v>4000000</v>
      </c>
      <c r="I56" s="1414">
        <f>'09'!L176</f>
        <v>4000000</v>
      </c>
      <c r="J56" s="1414"/>
      <c r="K56" s="1576">
        <f>G19+G12+G42</f>
        <v>8240000</v>
      </c>
      <c r="L56" s="1576">
        <f>H19+H12+H42</f>
        <v>8408300</v>
      </c>
      <c r="M56" s="1576">
        <f>I19+I12+I42</f>
        <v>13109049135.73</v>
      </c>
      <c r="N56" s="1437" t="s">
        <v>461</v>
      </c>
    </row>
    <row r="57" spans="1:20" ht="15" thickBot="1" x14ac:dyDescent="0.25">
      <c r="A57" s="1457" t="s">
        <v>1254</v>
      </c>
      <c r="B57" s="1411"/>
      <c r="C57" s="2808">
        <f>'09'!E178</f>
        <v>15400</v>
      </c>
      <c r="D57" s="2808">
        <f>'09'!F178</f>
        <v>20031</v>
      </c>
      <c r="E57" s="3141">
        <f>'09'!G178</f>
        <v>14563</v>
      </c>
      <c r="F57" s="1440">
        <f t="shared" ref="F57" si="24">E57/D57*100</f>
        <v>72.702311417303179</v>
      </c>
      <c r="G57" s="1421">
        <f>'09'!J178</f>
        <v>15400000</v>
      </c>
      <c r="H57" s="1422">
        <f>'09'!K178</f>
        <v>20030098</v>
      </c>
      <c r="I57" s="1422">
        <f>'09'!L178</f>
        <v>14563463.16</v>
      </c>
      <c r="J57" s="1414"/>
      <c r="K57" s="1576">
        <f>G57+G50+G43+G20</f>
        <v>125130000</v>
      </c>
      <c r="L57" s="1576">
        <f t="shared" ref="L57:M57" si="25">H57+H50+H43+H20</f>
        <v>81522383</v>
      </c>
      <c r="M57" s="1576">
        <f t="shared" si="25"/>
        <v>72630437.059999987</v>
      </c>
      <c r="N57" s="1437" t="s">
        <v>1254</v>
      </c>
      <c r="Q57" s="1427"/>
      <c r="R57" s="1461"/>
      <c r="S57" s="1461"/>
      <c r="T57" s="1461"/>
    </row>
    <row r="58" spans="1:20" ht="15" thickTop="1" x14ac:dyDescent="0.2">
      <c r="A58" s="2814"/>
      <c r="B58" s="2813"/>
      <c r="C58" s="2809"/>
      <c r="D58" s="2809"/>
      <c r="E58" s="2811"/>
      <c r="F58" s="2812"/>
      <c r="G58" s="1414"/>
      <c r="H58" s="1414"/>
      <c r="I58" s="1414"/>
      <c r="J58" s="1414"/>
      <c r="K58" s="1576"/>
      <c r="L58" s="1576"/>
      <c r="M58" s="1576"/>
      <c r="N58" s="1437"/>
      <c r="Q58" s="1427"/>
      <c r="R58" s="1461"/>
      <c r="S58" s="1461"/>
      <c r="T58" s="1461"/>
    </row>
    <row r="59" spans="1:20" ht="15" thickBot="1" x14ac:dyDescent="0.25">
      <c r="A59" s="1508"/>
      <c r="B59" s="1509"/>
      <c r="C59" s="1510"/>
      <c r="E59" s="1510"/>
      <c r="F59" s="3101" t="s">
        <v>92</v>
      </c>
      <c r="G59" s="1515"/>
      <c r="H59" s="1515"/>
      <c r="I59" s="1515"/>
      <c r="J59" s="1515"/>
    </row>
    <row r="60" spans="1:20" s="1401" customFormat="1" ht="27" thickTop="1" thickBot="1" x14ac:dyDescent="0.25">
      <c r="A60" s="1397" t="s">
        <v>327</v>
      </c>
      <c r="B60" s="1398" t="s">
        <v>330</v>
      </c>
      <c r="C60" s="1399" t="s">
        <v>328</v>
      </c>
      <c r="D60" s="1399" t="s">
        <v>329</v>
      </c>
      <c r="E60" s="1399" t="s">
        <v>448</v>
      </c>
      <c r="F60" s="1400" t="s">
        <v>449</v>
      </c>
      <c r="G60" s="1518"/>
      <c r="H60" s="1518"/>
      <c r="I60" s="1518"/>
      <c r="J60" s="1518"/>
      <c r="K60" s="1518"/>
      <c r="L60" s="1577"/>
    </row>
    <row r="61" spans="1:20" s="1406" customFormat="1" ht="12.75" thickTop="1" thickBot="1" x14ac:dyDescent="0.25">
      <c r="A61" s="1444">
        <v>1</v>
      </c>
      <c r="B61" s="1445">
        <v>2</v>
      </c>
      <c r="C61" s="1446">
        <v>3</v>
      </c>
      <c r="D61" s="1446">
        <v>4</v>
      </c>
      <c r="E61" s="1446">
        <v>5</v>
      </c>
      <c r="F61" s="1447" t="s">
        <v>238</v>
      </c>
      <c r="G61" s="1519"/>
      <c r="H61" s="1519"/>
      <c r="I61" s="1519"/>
      <c r="J61" s="1519"/>
      <c r="K61" s="1519"/>
    </row>
    <row r="62" spans="1:20" ht="15.75" customHeight="1" thickTop="1" x14ac:dyDescent="0.25">
      <c r="A62" s="1448" t="s">
        <v>1941</v>
      </c>
      <c r="B62" s="1449">
        <v>10</v>
      </c>
      <c r="C62" s="1435">
        <f>SUM(C63,C69,C74,C79,C84)</f>
        <v>120422</v>
      </c>
      <c r="D62" s="1435">
        <f t="shared" ref="D62:E62" si="26">SUM(D63,D69,D74,D79,D84)</f>
        <v>6670072</v>
      </c>
      <c r="E62" s="1435">
        <f t="shared" si="26"/>
        <v>6659937</v>
      </c>
      <c r="F62" s="1431">
        <f>E62/D62*100</f>
        <v>99.848052614724409</v>
      </c>
      <c r="G62" s="1525">
        <f>SUM(G63,G69,G74,G79,G84)</f>
        <v>120422000</v>
      </c>
      <c r="H62" s="1525">
        <f>SUM(H63,H69,H74,H79,H84)</f>
        <v>6670072107.0300007</v>
      </c>
      <c r="I62" s="1525">
        <f t="shared" ref="I62" si="27">SUM(I63,I69,I74,I79,I84)</f>
        <v>6659936944.4799995</v>
      </c>
      <c r="J62" s="1450"/>
      <c r="K62" s="1450"/>
    </row>
    <row r="63" spans="1:20" x14ac:dyDescent="0.2">
      <c r="A63" s="1451" t="s">
        <v>338</v>
      </c>
      <c r="B63" s="1449"/>
      <c r="C63" s="1452">
        <f>SUM(C64:C67)</f>
        <v>3846</v>
      </c>
      <c r="D63" s="1452">
        <f>SUM(D64:D67)</f>
        <v>15519</v>
      </c>
      <c r="E63" s="1452">
        <f>SUM(E64:E68)</f>
        <v>14816</v>
      </c>
      <c r="F63" s="1460">
        <f>E63/D63*100</f>
        <v>95.470068947741481</v>
      </c>
      <c r="G63" s="1414">
        <f>SUM(G64:G67)</f>
        <v>3846000</v>
      </c>
      <c r="H63" s="1414">
        <f>SUM(H64:H67)</f>
        <v>15520008.75</v>
      </c>
      <c r="I63" s="1414">
        <f>SUM(I64:I68)</f>
        <v>14816471.949999999</v>
      </c>
      <c r="J63" s="1409"/>
      <c r="K63" s="1409"/>
    </row>
    <row r="64" spans="1:20" x14ac:dyDescent="0.2">
      <c r="A64" s="1410" t="s">
        <v>332</v>
      </c>
      <c r="B64" s="1453"/>
      <c r="C64" s="1412">
        <f>'10'!E468</f>
        <v>3846</v>
      </c>
      <c r="D64" s="1412">
        <f>'10'!F468</f>
        <v>15519</v>
      </c>
      <c r="E64" s="1412">
        <f>'10'!G468</f>
        <v>14816</v>
      </c>
      <c r="F64" s="1413">
        <f>E64/D64*100</f>
        <v>95.470068947741481</v>
      </c>
      <c r="G64" s="1454">
        <f>'10'!Q468</f>
        <v>3846000</v>
      </c>
      <c r="H64" s="1454">
        <f>'10'!R468</f>
        <v>15520008.75</v>
      </c>
      <c r="I64" s="1454">
        <f>'10'!S468</f>
        <v>14816471.949999999</v>
      </c>
      <c r="J64" s="1454"/>
      <c r="K64" s="1454"/>
    </row>
    <row r="65" spans="1:11" x14ac:dyDescent="0.2">
      <c r="A65" s="1410" t="s">
        <v>333</v>
      </c>
      <c r="B65" s="1455"/>
      <c r="C65" s="1412">
        <f>'10'!E469</f>
        <v>0</v>
      </c>
      <c r="D65" s="1412">
        <f>'10'!F469</f>
        <v>0</v>
      </c>
      <c r="E65" s="1412">
        <f>'10'!G469</f>
        <v>0</v>
      </c>
      <c r="F65" s="1413">
        <v>0</v>
      </c>
      <c r="G65" s="1454">
        <f>'10'!Q469</f>
        <v>0</v>
      </c>
      <c r="H65" s="1454">
        <f>'10'!R469</f>
        <v>0</v>
      </c>
      <c r="I65" s="1454">
        <f>'10'!S469</f>
        <v>0</v>
      </c>
      <c r="J65" s="1454"/>
      <c r="K65" s="1454"/>
    </row>
    <row r="66" spans="1:11" x14ac:dyDescent="0.2">
      <c r="A66" s="1416" t="s">
        <v>336</v>
      </c>
      <c r="B66" s="1453"/>
      <c r="C66" s="1412">
        <f>'10'!E470</f>
        <v>0</v>
      </c>
      <c r="D66" s="1412">
        <f>'10'!F470</f>
        <v>0</v>
      </c>
      <c r="E66" s="1412">
        <f>'10'!G470</f>
        <v>0</v>
      </c>
      <c r="F66" s="1413">
        <v>0</v>
      </c>
      <c r="G66" s="1454">
        <f>'10'!Q470</f>
        <v>0</v>
      </c>
      <c r="H66" s="1454">
        <f>'10'!R470</f>
        <v>0</v>
      </c>
      <c r="I66" s="1454">
        <f>'10'!S470</f>
        <v>0</v>
      </c>
      <c r="J66" s="1454"/>
      <c r="K66" s="1454"/>
    </row>
    <row r="67" spans="1:11" x14ac:dyDescent="0.2">
      <c r="A67" s="1456" t="s">
        <v>337</v>
      </c>
      <c r="B67" s="1455"/>
      <c r="C67" s="1412">
        <f>'10'!E471</f>
        <v>0</v>
      </c>
      <c r="D67" s="1412">
        <f>'10'!F471</f>
        <v>0</v>
      </c>
      <c r="E67" s="1412">
        <f>'10'!G471</f>
        <v>0</v>
      </c>
      <c r="F67" s="1413">
        <v>0</v>
      </c>
      <c r="G67" s="1454">
        <f>'10'!Q471</f>
        <v>0</v>
      </c>
      <c r="H67" s="1454">
        <f>'10'!R471</f>
        <v>0</v>
      </c>
      <c r="I67" s="1454">
        <f>'10'!S471</f>
        <v>0</v>
      </c>
      <c r="J67" s="1454"/>
      <c r="K67" s="1454"/>
    </row>
    <row r="68" spans="1:11" x14ac:dyDescent="0.2">
      <c r="A68" s="1410" t="s">
        <v>555</v>
      </c>
      <c r="B68" s="1455"/>
      <c r="C68" s="1412">
        <f>'10'!E472</f>
        <v>0</v>
      </c>
      <c r="D68" s="1412">
        <f>'10'!F472</f>
        <v>0</v>
      </c>
      <c r="E68" s="1412">
        <f>'10'!G472</f>
        <v>0</v>
      </c>
      <c r="F68" s="1413">
        <v>0</v>
      </c>
      <c r="G68" s="1454">
        <f>'10'!Q472</f>
        <v>0</v>
      </c>
      <c r="H68" s="1454">
        <f>'10'!R472</f>
        <v>0</v>
      </c>
      <c r="I68" s="1454">
        <f>'10'!S472</f>
        <v>0</v>
      </c>
      <c r="J68" s="1454"/>
      <c r="K68" s="1454"/>
    </row>
    <row r="69" spans="1:11" x14ac:dyDescent="0.2">
      <c r="A69" s="1457" t="s">
        <v>339</v>
      </c>
      <c r="B69" s="1455"/>
      <c r="C69" s="1452">
        <f>SUM(C70:C73)</f>
        <v>17726</v>
      </c>
      <c r="D69" s="1452">
        <f>SUM(D70:D73)</f>
        <v>2274530</v>
      </c>
      <c r="E69" s="1452">
        <f>SUM(E70:E73)</f>
        <v>2274417</v>
      </c>
      <c r="F69" s="1460">
        <f>E69/D69*100</f>
        <v>99.995031940664674</v>
      </c>
      <c r="G69" s="1409">
        <f>SUM(G70:G73)</f>
        <v>17726000</v>
      </c>
      <c r="H69" s="1409">
        <f>SUM(H70:H73)</f>
        <v>2274529600.5500002</v>
      </c>
      <c r="I69" s="1409">
        <f>SUM(I70:I73)</f>
        <v>2274416393.0700002</v>
      </c>
      <c r="J69" s="1409"/>
      <c r="K69" s="1409"/>
    </row>
    <row r="70" spans="1:11" x14ac:dyDescent="0.2">
      <c r="A70" s="1410" t="s">
        <v>981</v>
      </c>
      <c r="B70" s="1455"/>
      <c r="C70" s="1412">
        <f>'10'!E475</f>
        <v>17726</v>
      </c>
      <c r="D70" s="1412">
        <f>'10'!F475</f>
        <v>10433</v>
      </c>
      <c r="E70" s="1412">
        <f>'10'!G475</f>
        <v>10327</v>
      </c>
      <c r="F70" s="1413">
        <f t="shared" ref="F70:F74" si="28">E70/D70*100</f>
        <v>98.983993098821045</v>
      </c>
      <c r="G70" s="1454">
        <f>'10'!Q475</f>
        <v>17726000</v>
      </c>
      <c r="H70" s="1454">
        <f>'10'!R475</f>
        <v>10432600</v>
      </c>
      <c r="I70" s="1454">
        <f>'10'!S475</f>
        <v>10326593.5</v>
      </c>
      <c r="J70" s="1454"/>
      <c r="K70" s="1454"/>
    </row>
    <row r="71" spans="1:11" x14ac:dyDescent="0.2">
      <c r="A71" s="1410" t="s">
        <v>1073</v>
      </c>
      <c r="B71" s="1455"/>
      <c r="C71" s="1412">
        <f>'10'!E476</f>
        <v>0</v>
      </c>
      <c r="D71" s="1412">
        <f>'10'!F476</f>
        <v>5541</v>
      </c>
      <c r="E71" s="1412">
        <f>'10'!G476</f>
        <v>5541</v>
      </c>
      <c r="F71" s="1413">
        <f t="shared" si="28"/>
        <v>100</v>
      </c>
      <c r="G71" s="1454">
        <f>'10'!Q476</f>
        <v>0</v>
      </c>
      <c r="H71" s="1454">
        <f>'10'!R476</f>
        <v>5541000</v>
      </c>
      <c r="I71" s="1454">
        <f>'10'!S476</f>
        <v>5541000</v>
      </c>
      <c r="J71" s="1454"/>
      <c r="K71" s="1454"/>
    </row>
    <row r="72" spans="1:11" x14ac:dyDescent="0.2">
      <c r="A72" s="1456" t="s">
        <v>982</v>
      </c>
      <c r="B72" s="1455"/>
      <c r="C72" s="1412">
        <f>'10'!E477</f>
        <v>0</v>
      </c>
      <c r="D72" s="1412">
        <f>'10'!F477</f>
        <v>2253702</v>
      </c>
      <c r="E72" s="1412">
        <f>'10'!G477</f>
        <v>2253695</v>
      </c>
      <c r="F72" s="1413">
        <f t="shared" si="28"/>
        <v>99.999689399929537</v>
      </c>
      <c r="G72" s="1454">
        <f>'10'!Q477</f>
        <v>0</v>
      </c>
      <c r="H72" s="1454">
        <f>'10'!R477</f>
        <v>2253702076.5500002</v>
      </c>
      <c r="I72" s="1454">
        <f>'10'!S477</f>
        <v>2253694875.5700002</v>
      </c>
      <c r="J72" s="1454"/>
      <c r="K72" s="1454"/>
    </row>
    <row r="73" spans="1:11" x14ac:dyDescent="0.2">
      <c r="A73" s="1456" t="s">
        <v>983</v>
      </c>
      <c r="B73" s="1455"/>
      <c r="C73" s="1412">
        <f>'10'!E478</f>
        <v>0</v>
      </c>
      <c r="D73" s="1412">
        <f>'10'!F478</f>
        <v>4854</v>
      </c>
      <c r="E73" s="1412">
        <f>'10'!G478</f>
        <v>4854</v>
      </c>
      <c r="F73" s="1413">
        <f t="shared" si="28"/>
        <v>100</v>
      </c>
      <c r="G73" s="1454">
        <f>'10'!Q478</f>
        <v>0</v>
      </c>
      <c r="H73" s="1454">
        <f>'10'!R478</f>
        <v>4853924</v>
      </c>
      <c r="I73" s="1454">
        <f>'10'!S478</f>
        <v>4853924</v>
      </c>
      <c r="J73" s="1454"/>
      <c r="K73" s="1454"/>
    </row>
    <row r="74" spans="1:11" x14ac:dyDescent="0.2">
      <c r="A74" s="1457" t="s">
        <v>340</v>
      </c>
      <c r="B74" s="1455"/>
      <c r="C74" s="1452">
        <f>SUM(C75:C78)</f>
        <v>0</v>
      </c>
      <c r="D74" s="1452">
        <f>SUM(D75:D78)</f>
        <v>298133</v>
      </c>
      <c r="E74" s="1452">
        <f>SUM(E75:E78)</f>
        <v>298130</v>
      </c>
      <c r="F74" s="1460">
        <f t="shared" si="28"/>
        <v>99.998993737694249</v>
      </c>
      <c r="G74" s="1414">
        <f>SUM(G75:G78)</f>
        <v>0</v>
      </c>
      <c r="H74" s="1414">
        <f>SUM(H75:H78)</f>
        <v>298132823.69999999</v>
      </c>
      <c r="I74" s="1414">
        <f>SUM(I75:I78)</f>
        <v>298130033.69999999</v>
      </c>
      <c r="J74" s="1409"/>
      <c r="K74" s="1409"/>
    </row>
    <row r="75" spans="1:11" x14ac:dyDescent="0.2">
      <c r="A75" s="1410" t="s">
        <v>1074</v>
      </c>
      <c r="B75" s="1455"/>
      <c r="C75" s="1412">
        <f>'10'!E481</f>
        <v>0</v>
      </c>
      <c r="D75" s="1412">
        <f>'10'!F481</f>
        <v>0</v>
      </c>
      <c r="E75" s="1412">
        <f>'10'!G481</f>
        <v>0</v>
      </c>
      <c r="F75" s="1413">
        <v>0</v>
      </c>
      <c r="G75" s="1454">
        <f>'10'!Q481</f>
        <v>0</v>
      </c>
      <c r="H75" s="1454">
        <f>'10'!R481</f>
        <v>0</v>
      </c>
      <c r="I75" s="1454">
        <f>'10'!S481</f>
        <v>0</v>
      </c>
      <c r="J75" s="1454"/>
      <c r="K75" s="1454"/>
    </row>
    <row r="76" spans="1:11" x14ac:dyDescent="0.2">
      <c r="A76" s="1410" t="s">
        <v>1075</v>
      </c>
      <c r="B76" s="1455"/>
      <c r="C76" s="1412">
        <f>'10'!E482</f>
        <v>0</v>
      </c>
      <c r="D76" s="1412">
        <f>'10'!F482</f>
        <v>0</v>
      </c>
      <c r="E76" s="1412">
        <f>'10'!G482</f>
        <v>0</v>
      </c>
      <c r="F76" s="1413">
        <v>0</v>
      </c>
      <c r="G76" s="1454">
        <f>'10'!Q482</f>
        <v>0</v>
      </c>
      <c r="H76" s="1454">
        <f>'10'!R482</f>
        <v>0</v>
      </c>
      <c r="I76" s="1454">
        <f>'10'!S482</f>
        <v>0</v>
      </c>
      <c r="J76" s="1454"/>
      <c r="K76" s="1454"/>
    </row>
    <row r="77" spans="1:11" x14ac:dyDescent="0.2">
      <c r="A77" s="1456" t="s">
        <v>336</v>
      </c>
      <c r="B77" s="1455"/>
      <c r="C77" s="1452">
        <f>'10'!E483</f>
        <v>0</v>
      </c>
      <c r="D77" s="1452">
        <f>'10'!F483</f>
        <v>298133</v>
      </c>
      <c r="E77" s="1452">
        <f>'10'!G483</f>
        <v>298130</v>
      </c>
      <c r="F77" s="1460">
        <f>E77/D77*100</f>
        <v>99.998993737694249</v>
      </c>
      <c r="G77" s="1454">
        <f>'10'!Q483</f>
        <v>0</v>
      </c>
      <c r="H77" s="1454">
        <f>'10'!R483</f>
        <v>298132823.69999999</v>
      </c>
      <c r="I77" s="1454">
        <f>'10'!S483</f>
        <v>298130033.69999999</v>
      </c>
      <c r="J77" s="1454"/>
      <c r="K77" s="1454"/>
    </row>
    <row r="78" spans="1:11" x14ac:dyDescent="0.2">
      <c r="A78" s="1456" t="s">
        <v>337</v>
      </c>
      <c r="B78" s="1455"/>
      <c r="C78" s="1412">
        <f>'10'!E484</f>
        <v>0</v>
      </c>
      <c r="D78" s="1412">
        <f>'10'!F484</f>
        <v>0</v>
      </c>
      <c r="E78" s="1412">
        <f>'10'!G484</f>
        <v>0</v>
      </c>
      <c r="F78" s="1413">
        <v>0</v>
      </c>
      <c r="G78" s="1454">
        <f>'10'!Q484</f>
        <v>0</v>
      </c>
      <c r="H78" s="1454">
        <f>'10'!R484</f>
        <v>0</v>
      </c>
      <c r="I78" s="1454">
        <f>'10'!S484</f>
        <v>0</v>
      </c>
      <c r="J78" s="1454"/>
      <c r="K78" s="1454"/>
    </row>
    <row r="79" spans="1:11" x14ac:dyDescent="0.2">
      <c r="A79" s="1458" t="s">
        <v>341</v>
      </c>
      <c r="B79" s="1453"/>
      <c r="C79" s="1452">
        <f>SUM(C80:C83)</f>
        <v>0</v>
      </c>
      <c r="D79" s="1452">
        <f>SUM(D80:D83)</f>
        <v>3868335</v>
      </c>
      <c r="E79" s="1452">
        <f>SUM(E80:E83)</f>
        <v>3868329</v>
      </c>
      <c r="F79" s="1460">
        <f>E79/D79*100</f>
        <v>99.999844894508882</v>
      </c>
      <c r="G79" s="1414">
        <f>SUM(G80:G83)</f>
        <v>0</v>
      </c>
      <c r="H79" s="1414">
        <f>SUM(H80:H83)</f>
        <v>3868334627.0300002</v>
      </c>
      <c r="I79" s="1414">
        <f>SUM(I80:I83)</f>
        <v>3868328973.0300002</v>
      </c>
      <c r="J79" s="1409"/>
      <c r="K79" s="1409"/>
    </row>
    <row r="80" spans="1:11" x14ac:dyDescent="0.2">
      <c r="A80" s="1410" t="s">
        <v>1076</v>
      </c>
      <c r="B80" s="1453"/>
      <c r="C80" s="1412">
        <f>'10'!E487</f>
        <v>0</v>
      </c>
      <c r="D80" s="1412">
        <f>'10'!F487</f>
        <v>0</v>
      </c>
      <c r="E80" s="1412">
        <f>'10'!G487</f>
        <v>0</v>
      </c>
      <c r="F80" s="1413">
        <v>0</v>
      </c>
      <c r="G80" s="1414">
        <f>'10'!Q487</f>
        <v>0</v>
      </c>
      <c r="H80" s="1414">
        <f>'10'!R487</f>
        <v>0</v>
      </c>
      <c r="I80" s="1414">
        <f>'10'!S487</f>
        <v>0</v>
      </c>
      <c r="J80" s="1414"/>
      <c r="K80" s="1414"/>
    </row>
    <row r="81" spans="1:11" x14ac:dyDescent="0.2">
      <c r="A81" s="1410" t="s">
        <v>1075</v>
      </c>
      <c r="B81" s="1453"/>
      <c r="C81" s="1412">
        <f>'10'!E488</f>
        <v>0</v>
      </c>
      <c r="D81" s="1412">
        <f>'10'!F488</f>
        <v>0</v>
      </c>
      <c r="E81" s="1412">
        <f>'10'!G488</f>
        <v>0</v>
      </c>
      <c r="F81" s="1413">
        <v>0</v>
      </c>
      <c r="G81" s="1414">
        <f>'10'!Q488</f>
        <v>0</v>
      </c>
      <c r="H81" s="1414">
        <f>'10'!R488</f>
        <v>0</v>
      </c>
      <c r="I81" s="1414">
        <f>'10'!S488</f>
        <v>0</v>
      </c>
      <c r="J81" s="1414"/>
      <c r="K81" s="1414"/>
    </row>
    <row r="82" spans="1:11" x14ac:dyDescent="0.2">
      <c r="A82" s="1416" t="s">
        <v>336</v>
      </c>
      <c r="B82" s="1453"/>
      <c r="C82" s="1412">
        <f>'10'!E489</f>
        <v>0</v>
      </c>
      <c r="D82" s="1412">
        <f>'10'!F489</f>
        <v>3868335</v>
      </c>
      <c r="E82" s="1412">
        <f>'10'!G489</f>
        <v>3868329</v>
      </c>
      <c r="F82" s="1413">
        <f>E82/D82*100</f>
        <v>99.999844894508882</v>
      </c>
      <c r="G82" s="1414">
        <f>'10'!Q489</f>
        <v>0</v>
      </c>
      <c r="H82" s="1414">
        <f>'10'!R489</f>
        <v>3868334627.0300002</v>
      </c>
      <c r="I82" s="1414">
        <f>'10'!S489</f>
        <v>3868328973.0300002</v>
      </c>
      <c r="J82" s="1414"/>
      <c r="K82" s="1414">
        <f>H72+H77+H82</f>
        <v>6420169527.2800007</v>
      </c>
    </row>
    <row r="83" spans="1:11" x14ac:dyDescent="0.2">
      <c r="A83" s="1456" t="s">
        <v>337</v>
      </c>
      <c r="B83" s="1453"/>
      <c r="C83" s="1412">
        <f>'10'!E490</f>
        <v>0</v>
      </c>
      <c r="D83" s="1412">
        <f>'10'!F490</f>
        <v>0</v>
      </c>
      <c r="E83" s="1412">
        <f>'10'!G490</f>
        <v>0</v>
      </c>
      <c r="F83" s="1413">
        <v>0</v>
      </c>
      <c r="G83" s="1414">
        <f>'10'!Q490</f>
        <v>0</v>
      </c>
      <c r="H83" s="1414">
        <f>'10'!R490</f>
        <v>0</v>
      </c>
      <c r="I83" s="1414">
        <f>'10'!S490</f>
        <v>0</v>
      </c>
      <c r="J83" s="1414"/>
      <c r="K83" s="1414"/>
    </row>
    <row r="84" spans="1:11" x14ac:dyDescent="0.2">
      <c r="A84" s="2579" t="s">
        <v>1254</v>
      </c>
      <c r="B84" s="1453"/>
      <c r="C84" s="1452">
        <f>'10'!E492</f>
        <v>98850</v>
      </c>
      <c r="D84" s="1452">
        <f>'10'!F492</f>
        <v>213555</v>
      </c>
      <c r="E84" s="3142">
        <f>'10'!G492</f>
        <v>204245</v>
      </c>
      <c r="F84" s="1460">
        <f t="shared" ref="F84" si="29">E84/D84*100</f>
        <v>95.640467326918127</v>
      </c>
      <c r="G84" s="2581">
        <f>'10'!Q492</f>
        <v>98850000</v>
      </c>
      <c r="H84" s="2578">
        <f>'10'!R492</f>
        <v>213555047</v>
      </c>
      <c r="I84" s="2578">
        <f>'10'!S492</f>
        <v>204245072.73000002</v>
      </c>
      <c r="J84" s="1414"/>
      <c r="K84" s="1414"/>
    </row>
    <row r="85" spans="1:11" ht="15" x14ac:dyDescent="0.25">
      <c r="A85" s="1462" t="s">
        <v>198</v>
      </c>
      <c r="B85" s="1459">
        <v>11</v>
      </c>
      <c r="C85" s="1425">
        <f>C86+C92+C97</f>
        <v>27209</v>
      </c>
      <c r="D85" s="1425">
        <f t="shared" ref="D85:E85" si="30">D86+D92+D97</f>
        <v>880451</v>
      </c>
      <c r="E85" s="1425">
        <f t="shared" si="30"/>
        <v>878197</v>
      </c>
      <c r="F85" s="1426">
        <f>E85/D85*100</f>
        <v>99.74399483900865</v>
      </c>
      <c r="G85" s="1525">
        <f>SUM(G86,G92,G97)</f>
        <v>27209000</v>
      </c>
      <c r="H85" s="1525">
        <f t="shared" ref="H85:I85" si="31">SUM(H86,H92,H97)</f>
        <v>880450794.53999996</v>
      </c>
      <c r="I85" s="1525">
        <f t="shared" si="31"/>
        <v>878197463.73000002</v>
      </c>
      <c r="J85" s="1450"/>
      <c r="K85" s="1450"/>
    </row>
    <row r="86" spans="1:11" x14ac:dyDescent="0.2">
      <c r="A86" s="1451" t="s">
        <v>338</v>
      </c>
      <c r="B86" s="1411"/>
      <c r="C86" s="1452">
        <f>SUM(C87:C90)</f>
        <v>1571</v>
      </c>
      <c r="D86" s="1452">
        <f>SUM(D87:D90)</f>
        <v>424203</v>
      </c>
      <c r="E86" s="1452">
        <f>SUM(E87:E91)</f>
        <v>422031</v>
      </c>
      <c r="F86" s="1460">
        <f>E86/D86*100</f>
        <v>99.487980990233453</v>
      </c>
      <c r="G86" s="1414">
        <f>SUM(G87:G90)</f>
        <v>1571000</v>
      </c>
      <c r="H86" s="1414">
        <f>SUM(H87:H90)</f>
        <v>424202480</v>
      </c>
      <c r="I86" s="1414">
        <f>SUM(I87:I91)</f>
        <v>422031500.56999999</v>
      </c>
      <c r="J86" s="1409"/>
      <c r="K86" s="1409"/>
    </row>
    <row r="87" spans="1:11" x14ac:dyDescent="0.2">
      <c r="A87" s="1410" t="s">
        <v>332</v>
      </c>
      <c r="B87" s="1411"/>
      <c r="C87" s="1412">
        <f>'11'!E496</f>
        <v>1571</v>
      </c>
      <c r="D87" s="1412">
        <f>'11'!F496</f>
        <v>1767</v>
      </c>
      <c r="E87" s="1412">
        <f>'11'!G496</f>
        <v>1535</v>
      </c>
      <c r="F87" s="1460">
        <f>E87/D87*100</f>
        <v>86.870401810979061</v>
      </c>
      <c r="G87" s="1414">
        <f>'11'!J496</f>
        <v>1571000</v>
      </c>
      <c r="H87" s="1414">
        <f>'11'!K496</f>
        <v>1767000</v>
      </c>
      <c r="I87" s="1414">
        <f>'11'!L496</f>
        <v>1535131.57</v>
      </c>
      <c r="J87" s="1414"/>
      <c r="K87" s="1414"/>
    </row>
    <row r="88" spans="1:11" x14ac:dyDescent="0.2">
      <c r="A88" s="1410" t="s">
        <v>333</v>
      </c>
      <c r="B88" s="1411"/>
      <c r="C88" s="1412">
        <f>'11'!E497</f>
        <v>0</v>
      </c>
      <c r="D88" s="1412">
        <f>'11'!F497</f>
        <v>0</v>
      </c>
      <c r="E88" s="1412">
        <f>'11'!G497</f>
        <v>0</v>
      </c>
      <c r="F88" s="1460">
        <v>0</v>
      </c>
      <c r="G88" s="1414">
        <f>'11'!J497</f>
        <v>0</v>
      </c>
      <c r="H88" s="1414">
        <f>'11'!K497</f>
        <v>0</v>
      </c>
      <c r="I88" s="1414">
        <f>'11'!L497</f>
        <v>0</v>
      </c>
      <c r="J88" s="1414"/>
      <c r="K88" s="1414"/>
    </row>
    <row r="89" spans="1:11" x14ac:dyDescent="0.2">
      <c r="A89" s="1416" t="s">
        <v>336</v>
      </c>
      <c r="B89" s="1411"/>
      <c r="C89" s="1412">
        <f>'11'!E498</f>
        <v>0</v>
      </c>
      <c r="D89" s="1412">
        <f>'11'!F498</f>
        <v>422436</v>
      </c>
      <c r="E89" s="1412">
        <f>'11'!G498</f>
        <v>420496</v>
      </c>
      <c r="F89" s="1460">
        <f>E89/D89*100</f>
        <v>99.540758836841562</v>
      </c>
      <c r="G89" s="1414">
        <f>'11'!J498</f>
        <v>0</v>
      </c>
      <c r="H89" s="1414">
        <f>'11'!K498</f>
        <v>422435480</v>
      </c>
      <c r="I89" s="1414">
        <f>'11'!L498</f>
        <v>420496369</v>
      </c>
      <c r="J89" s="1414"/>
      <c r="K89" s="1414"/>
    </row>
    <row r="90" spans="1:11" x14ac:dyDescent="0.2">
      <c r="A90" s="1456" t="s">
        <v>337</v>
      </c>
      <c r="B90" s="1411"/>
      <c r="C90" s="1412">
        <f>'11'!E499</f>
        <v>0</v>
      </c>
      <c r="D90" s="1412">
        <f>'11'!F499</f>
        <v>0</v>
      </c>
      <c r="E90" s="1412">
        <f>'11'!G499</f>
        <v>0</v>
      </c>
      <c r="F90" s="1460">
        <v>0</v>
      </c>
      <c r="G90" s="1414">
        <f>'11'!J499</f>
        <v>0</v>
      </c>
      <c r="H90" s="1414">
        <f>'11'!K499</f>
        <v>0</v>
      </c>
      <c r="I90" s="1414">
        <f>'11'!L499</f>
        <v>0</v>
      </c>
      <c r="J90" s="1414"/>
      <c r="K90" s="1414"/>
    </row>
    <row r="91" spans="1:11" x14ac:dyDescent="0.2">
      <c r="A91" s="1410" t="s">
        <v>555</v>
      </c>
      <c r="B91" s="1411"/>
      <c r="C91" s="1412">
        <f>'11'!E500</f>
        <v>0</v>
      </c>
      <c r="D91" s="1412">
        <f>'11'!F500</f>
        <v>0</v>
      </c>
      <c r="E91" s="1412">
        <f>'11'!G500</f>
        <v>0</v>
      </c>
      <c r="F91" s="1460">
        <v>0</v>
      </c>
      <c r="G91" s="1414">
        <f>'11'!J500</f>
        <v>0</v>
      </c>
      <c r="H91" s="1414">
        <f>'11'!K500</f>
        <v>0</v>
      </c>
      <c r="I91" s="1414">
        <f>'11'!L500</f>
        <v>0</v>
      </c>
      <c r="J91" s="1414"/>
      <c r="K91" s="1414"/>
    </row>
    <row r="92" spans="1:11" x14ac:dyDescent="0.2">
      <c r="A92" s="1457" t="s">
        <v>339</v>
      </c>
      <c r="B92" s="1411"/>
      <c r="C92" s="1452">
        <f>SUM(C93:C96)</f>
        <v>188</v>
      </c>
      <c r="D92" s="1452">
        <f>SUM(D93:D96)</f>
        <v>429200</v>
      </c>
      <c r="E92" s="1452">
        <f>SUM(E93:E96)</f>
        <v>429141</v>
      </c>
      <c r="F92" s="1460">
        <f t="shared" ref="F92:F98" si="32">E92/D92*100</f>
        <v>99.986253494874191</v>
      </c>
      <c r="G92" s="1414">
        <f>SUM(G93:G96)</f>
        <v>188000</v>
      </c>
      <c r="H92" s="1414">
        <f>SUM(H93:H96)</f>
        <v>429200314.54000002</v>
      </c>
      <c r="I92" s="1414">
        <f>SUM(I93:I96)</f>
        <v>429141115.16000003</v>
      </c>
      <c r="J92" s="1409"/>
      <c r="K92" s="1409"/>
    </row>
    <row r="93" spans="1:11" x14ac:dyDescent="0.2">
      <c r="A93" s="1410" t="s">
        <v>981</v>
      </c>
      <c r="B93" s="1411"/>
      <c r="C93" s="1412">
        <f>'11'!E503</f>
        <v>188</v>
      </c>
      <c r="D93" s="1412">
        <f>'11'!F503</f>
        <v>180</v>
      </c>
      <c r="E93" s="1412">
        <f>'11'!G503</f>
        <v>121</v>
      </c>
      <c r="F93" s="1460">
        <f t="shared" si="32"/>
        <v>67.222222222222229</v>
      </c>
      <c r="G93" s="1414">
        <f>'11'!J503</f>
        <v>188000</v>
      </c>
      <c r="H93" s="1414">
        <f>'11'!K503</f>
        <v>180283.83</v>
      </c>
      <c r="I93" s="1414">
        <f>'11'!L503</f>
        <v>121084.45</v>
      </c>
      <c r="J93" s="1414"/>
      <c r="K93" s="1414"/>
    </row>
    <row r="94" spans="1:11" x14ac:dyDescent="0.2">
      <c r="A94" s="1410" t="s">
        <v>1073</v>
      </c>
      <c r="B94" s="1411"/>
      <c r="C94" s="1412">
        <f>'11'!E504</f>
        <v>0</v>
      </c>
      <c r="D94" s="1412">
        <f>'11'!F504</f>
        <v>8</v>
      </c>
      <c r="E94" s="1412">
        <f>'11'!G504</f>
        <v>8</v>
      </c>
      <c r="F94" s="1460">
        <f t="shared" si="32"/>
        <v>100</v>
      </c>
      <c r="G94" s="1414">
        <f>'11'!J504</f>
        <v>0</v>
      </c>
      <c r="H94" s="1414">
        <f>'11'!K504</f>
        <v>7716.17</v>
      </c>
      <c r="I94" s="1414">
        <f>'11'!L504</f>
        <v>7716.17</v>
      </c>
      <c r="J94" s="1414"/>
      <c r="K94" s="1414"/>
    </row>
    <row r="95" spans="1:11" x14ac:dyDescent="0.2">
      <c r="A95" s="1456" t="s">
        <v>982</v>
      </c>
      <c r="B95" s="1411"/>
      <c r="C95" s="1412">
        <f>'11'!E505</f>
        <v>0</v>
      </c>
      <c r="D95" s="1412">
        <f>'11'!F505</f>
        <v>429012</v>
      </c>
      <c r="E95" s="1412">
        <f>'11'!G505</f>
        <v>429012</v>
      </c>
      <c r="F95" s="1460">
        <f t="shared" si="32"/>
        <v>100</v>
      </c>
      <c r="G95" s="1414">
        <f>'11'!J505</f>
        <v>0</v>
      </c>
      <c r="H95" s="1414">
        <f>'11'!K505</f>
        <v>429012314.54000002</v>
      </c>
      <c r="I95" s="1414">
        <f>'11'!L505</f>
        <v>429012314.54000002</v>
      </c>
      <c r="J95" s="1414"/>
      <c r="K95" s="1414"/>
    </row>
    <row r="96" spans="1:11" x14ac:dyDescent="0.2">
      <c r="A96" s="1456" t="s">
        <v>983</v>
      </c>
      <c r="B96" s="1411"/>
      <c r="C96" s="1412">
        <f>'11'!E506</f>
        <v>0</v>
      </c>
      <c r="D96" s="1412">
        <f>'11'!F506</f>
        <v>0</v>
      </c>
      <c r="E96" s="1412">
        <f>'11'!G506</f>
        <v>0</v>
      </c>
      <c r="F96" s="1460">
        <v>0</v>
      </c>
      <c r="G96" s="1414">
        <f>'11'!J506</f>
        <v>0</v>
      </c>
      <c r="H96" s="1414">
        <f>'11'!K506</f>
        <v>0</v>
      </c>
      <c r="I96" s="1414">
        <f>'11'!L506</f>
        <v>0</v>
      </c>
      <c r="J96" s="1414"/>
      <c r="K96" s="1414"/>
    </row>
    <row r="97" spans="1:20" x14ac:dyDescent="0.2">
      <c r="A97" s="2579" t="s">
        <v>1254</v>
      </c>
      <c r="B97" s="1411"/>
      <c r="C97" s="1452">
        <f>'11'!E508</f>
        <v>25450</v>
      </c>
      <c r="D97" s="1452">
        <f>'11'!F508</f>
        <v>27048</v>
      </c>
      <c r="E97" s="3142">
        <f>'11'!G508</f>
        <v>27025</v>
      </c>
      <c r="F97" s="1460">
        <f t="shared" si="32"/>
        <v>99.914965986394549</v>
      </c>
      <c r="G97" s="1421">
        <f>'11'!J508</f>
        <v>25450000</v>
      </c>
      <c r="H97" s="1422">
        <f>'11'!K508</f>
        <v>27048000</v>
      </c>
      <c r="I97" s="1422">
        <f>'11'!L508</f>
        <v>27024848</v>
      </c>
      <c r="J97" s="1414"/>
      <c r="K97" s="1414"/>
    </row>
    <row r="98" spans="1:20" ht="15" customHeight="1" x14ac:dyDescent="0.25">
      <c r="A98" s="1470" t="s">
        <v>818</v>
      </c>
      <c r="B98" s="1459">
        <v>12</v>
      </c>
      <c r="C98" s="1425">
        <f>C99+C104+C109</f>
        <v>97709</v>
      </c>
      <c r="D98" s="1425">
        <f t="shared" ref="D98:E98" si="33">D99+D104+D109</f>
        <v>592424</v>
      </c>
      <c r="E98" s="1425">
        <f t="shared" si="33"/>
        <v>590099</v>
      </c>
      <c r="F98" s="1426">
        <f t="shared" si="32"/>
        <v>99.607544596437691</v>
      </c>
      <c r="G98" s="1525">
        <f>SUM(G99,G104,G109)</f>
        <v>97709000</v>
      </c>
      <c r="H98" s="1525">
        <f t="shared" ref="H98:I98" si="34">SUM(H99,H104,H109)</f>
        <v>592423933.48000002</v>
      </c>
      <c r="I98" s="1525">
        <f t="shared" si="34"/>
        <v>590098587.07000005</v>
      </c>
      <c r="J98" s="1450"/>
      <c r="K98" s="1450"/>
    </row>
    <row r="99" spans="1:20" ht="15" customHeight="1" x14ac:dyDescent="0.2">
      <c r="A99" s="1451" t="s">
        <v>338</v>
      </c>
      <c r="B99" s="1449"/>
      <c r="C99" s="1452">
        <f>SUM(C100:C103)</f>
        <v>780</v>
      </c>
      <c r="D99" s="1452">
        <f>SUM(D100:D103)</f>
        <v>1085</v>
      </c>
      <c r="E99" s="1452">
        <f>SUM(E100:E103)</f>
        <v>632</v>
      </c>
      <c r="F99" s="1460">
        <f t="shared" ref="F99:F109" si="35">E99/D99*100</f>
        <v>58.248847926267274</v>
      </c>
      <c r="G99" s="1414">
        <f>SUM(G100:G103)</f>
        <v>780000</v>
      </c>
      <c r="H99" s="1414">
        <f>SUM(H100:H103)</f>
        <v>1085000</v>
      </c>
      <c r="I99" s="1414">
        <f>SUM(I100:I103)</f>
        <v>632790</v>
      </c>
      <c r="J99" s="1409"/>
      <c r="K99" s="1409"/>
    </row>
    <row r="100" spans="1:20" ht="15" customHeight="1" x14ac:dyDescent="0.2">
      <c r="A100" s="1410" t="s">
        <v>332</v>
      </c>
      <c r="B100" s="1449"/>
      <c r="C100" s="1412">
        <f>'12'!E109</f>
        <v>780</v>
      </c>
      <c r="D100" s="1412">
        <f>'12'!F109</f>
        <v>1085</v>
      </c>
      <c r="E100" s="1412">
        <f>'12'!G109</f>
        <v>632</v>
      </c>
      <c r="F100" s="1413">
        <f t="shared" si="35"/>
        <v>58.248847926267274</v>
      </c>
      <c r="G100" s="1414">
        <f>'12'!J109</f>
        <v>780000</v>
      </c>
      <c r="H100" s="1414">
        <f>'12'!K109</f>
        <v>1085000</v>
      </c>
      <c r="I100" s="1414">
        <f>'12'!L109</f>
        <v>632790</v>
      </c>
      <c r="J100" s="1414"/>
      <c r="K100" s="1414"/>
    </row>
    <row r="101" spans="1:20" ht="15" customHeight="1" x14ac:dyDescent="0.2">
      <c r="A101" s="1410" t="s">
        <v>333</v>
      </c>
      <c r="B101" s="1449"/>
      <c r="C101" s="1412">
        <f>'12'!E110</f>
        <v>0</v>
      </c>
      <c r="D101" s="1412">
        <f>'12'!F110</f>
        <v>0</v>
      </c>
      <c r="E101" s="1412">
        <f>'12'!G110</f>
        <v>0</v>
      </c>
      <c r="F101" s="1413">
        <v>0</v>
      </c>
      <c r="G101" s="1414">
        <f>'12'!J110</f>
        <v>0</v>
      </c>
      <c r="H101" s="1414">
        <f>'12'!K110</f>
        <v>0</v>
      </c>
      <c r="I101" s="1414">
        <f>'12'!L110</f>
        <v>0</v>
      </c>
      <c r="J101" s="1414"/>
      <c r="K101" s="1414"/>
    </row>
    <row r="102" spans="1:20" ht="15" customHeight="1" x14ac:dyDescent="0.2">
      <c r="A102" s="1416" t="s">
        <v>336</v>
      </c>
      <c r="B102" s="1449"/>
      <c r="C102" s="1412">
        <f>'12'!E111</f>
        <v>0</v>
      </c>
      <c r="D102" s="1412">
        <f>'12'!F111</f>
        <v>0</v>
      </c>
      <c r="E102" s="1412">
        <f>'12'!G111</f>
        <v>0</v>
      </c>
      <c r="F102" s="1413">
        <v>0</v>
      </c>
      <c r="G102" s="1414">
        <f>'12'!J111</f>
        <v>0</v>
      </c>
      <c r="H102" s="1414">
        <f>'12'!K111</f>
        <v>0</v>
      </c>
      <c r="I102" s="1414">
        <f>'12'!L111</f>
        <v>0</v>
      </c>
      <c r="J102" s="1414"/>
      <c r="K102" s="1414"/>
    </row>
    <row r="103" spans="1:20" ht="15" customHeight="1" x14ac:dyDescent="0.2">
      <c r="A103" s="1456" t="s">
        <v>337</v>
      </c>
      <c r="B103" s="1449"/>
      <c r="C103" s="1412">
        <f>'12'!E112</f>
        <v>0</v>
      </c>
      <c r="D103" s="1412">
        <f>'12'!F112</f>
        <v>0</v>
      </c>
      <c r="E103" s="1412">
        <f>'12'!G112</f>
        <v>0</v>
      </c>
      <c r="F103" s="1413">
        <v>0</v>
      </c>
      <c r="G103" s="1414">
        <f>'12'!J112</f>
        <v>0</v>
      </c>
      <c r="H103" s="1414">
        <f>'12'!K112</f>
        <v>0</v>
      </c>
      <c r="I103" s="1414">
        <f>'12'!L112</f>
        <v>0</v>
      </c>
      <c r="J103" s="1414"/>
      <c r="K103" s="1414"/>
    </row>
    <row r="104" spans="1:20" ht="15" customHeight="1" x14ac:dyDescent="0.2">
      <c r="A104" s="1457" t="s">
        <v>339</v>
      </c>
      <c r="B104" s="1449"/>
      <c r="C104" s="1452">
        <f>SUM(C105:C108)</f>
        <v>75929</v>
      </c>
      <c r="D104" s="1452">
        <f>SUM(D105:D108)</f>
        <v>571084</v>
      </c>
      <c r="E104" s="1452">
        <f>SUM(E105:E108)</f>
        <v>571084</v>
      </c>
      <c r="F104" s="1460">
        <f t="shared" si="35"/>
        <v>100</v>
      </c>
      <c r="G104" s="1414">
        <f>SUM(G105:G108)</f>
        <v>75929000</v>
      </c>
      <c r="H104" s="1414">
        <f>SUM(H105:H108)</f>
        <v>571083187.59000003</v>
      </c>
      <c r="I104" s="1414">
        <f>SUM(I105:I108)</f>
        <v>571083187.59000003</v>
      </c>
      <c r="J104" s="1409"/>
      <c r="K104" s="1409"/>
    </row>
    <row r="105" spans="1:20" ht="15" customHeight="1" x14ac:dyDescent="0.2">
      <c r="A105" s="1410" t="s">
        <v>981</v>
      </c>
      <c r="B105" s="1449"/>
      <c r="C105" s="1412">
        <f>'12'!E115</f>
        <v>0</v>
      </c>
      <c r="D105" s="1412">
        <f>'12'!F115</f>
        <v>14543</v>
      </c>
      <c r="E105" s="1412">
        <f>'12'!G115</f>
        <v>14543</v>
      </c>
      <c r="F105" s="1413">
        <f t="shared" si="35"/>
        <v>100</v>
      </c>
      <c r="G105" s="1414">
        <f>'12'!J115</f>
        <v>0</v>
      </c>
      <c r="H105" s="1414">
        <f>'12'!K115</f>
        <v>14543000</v>
      </c>
      <c r="I105" s="1414">
        <f>'12'!L115</f>
        <v>14543000</v>
      </c>
      <c r="J105" s="1414"/>
      <c r="K105" s="1414"/>
      <c r="Q105" s="1391" t="s">
        <v>335</v>
      </c>
      <c r="R105" s="1396">
        <f t="shared" ref="R105:T108" si="36">C112+C105+C100+C93+C87+C80+C75+C70+C64</f>
        <v>24111</v>
      </c>
      <c r="S105" s="1396">
        <f t="shared" si="36"/>
        <v>47762</v>
      </c>
      <c r="T105" s="1396">
        <f t="shared" si="36"/>
        <v>46209</v>
      </c>
    </row>
    <row r="106" spans="1:20" ht="15" customHeight="1" x14ac:dyDescent="0.2">
      <c r="A106" s="1410" t="s">
        <v>1073</v>
      </c>
      <c r="B106" s="1449"/>
      <c r="C106" s="1412">
        <f>'12'!E116</f>
        <v>75929</v>
      </c>
      <c r="D106" s="1412">
        <f>'12'!F116</f>
        <v>324890</v>
      </c>
      <c r="E106" s="1412">
        <f>'12'!G116</f>
        <v>324890</v>
      </c>
      <c r="F106" s="1413">
        <f t="shared" si="35"/>
        <v>100</v>
      </c>
      <c r="G106" s="1414">
        <f>'12'!J116</f>
        <v>75929000</v>
      </c>
      <c r="H106" s="1414">
        <f>'12'!K116</f>
        <v>324889950.95999998</v>
      </c>
      <c r="I106" s="1414">
        <f>'12'!L116</f>
        <v>324889950.96000004</v>
      </c>
      <c r="J106" s="1414"/>
      <c r="K106" s="1414"/>
      <c r="Q106" s="1391" t="s">
        <v>357</v>
      </c>
      <c r="R106" s="1396">
        <f t="shared" si="36"/>
        <v>75929</v>
      </c>
      <c r="S106" s="1396">
        <f t="shared" si="36"/>
        <v>330439</v>
      </c>
      <c r="T106" s="1396">
        <f t="shared" si="36"/>
        <v>330439</v>
      </c>
    </row>
    <row r="107" spans="1:20" ht="15" customHeight="1" x14ac:dyDescent="0.2">
      <c r="A107" s="1456" t="s">
        <v>982</v>
      </c>
      <c r="B107" s="1449"/>
      <c r="C107" s="1412">
        <f>'12'!E117</f>
        <v>0</v>
      </c>
      <c r="D107" s="1412">
        <f>'12'!F117</f>
        <v>219966</v>
      </c>
      <c r="E107" s="1412">
        <f>'12'!G117</f>
        <v>219966</v>
      </c>
      <c r="F107" s="1413">
        <f t="shared" si="35"/>
        <v>100</v>
      </c>
      <c r="G107" s="1414">
        <f>'12'!J117</f>
        <v>0</v>
      </c>
      <c r="H107" s="1414">
        <f>'12'!K117</f>
        <v>219965730</v>
      </c>
      <c r="I107" s="1414">
        <f>'12'!L117</f>
        <v>219965730</v>
      </c>
      <c r="J107" s="1414"/>
      <c r="K107" s="1414"/>
      <c r="Q107" s="1391" t="s">
        <v>358</v>
      </c>
      <c r="R107" s="1396">
        <f t="shared" si="36"/>
        <v>0</v>
      </c>
      <c r="S107" s="1396">
        <f t="shared" si="36"/>
        <v>7491584</v>
      </c>
      <c r="T107" s="1396">
        <f t="shared" si="36"/>
        <v>7489628</v>
      </c>
    </row>
    <row r="108" spans="1:20" ht="15" customHeight="1" x14ac:dyDescent="0.2">
      <c r="A108" s="1456" t="s">
        <v>983</v>
      </c>
      <c r="B108" s="1449"/>
      <c r="C108" s="1412">
        <f>'12'!E118</f>
        <v>0</v>
      </c>
      <c r="D108" s="1412">
        <f>'12'!F118</f>
        <v>11685</v>
      </c>
      <c r="E108" s="1412">
        <f>'12'!G118</f>
        <v>11685</v>
      </c>
      <c r="F108" s="1413">
        <f t="shared" si="35"/>
        <v>100</v>
      </c>
      <c r="G108" s="1414">
        <f>'12'!J118</f>
        <v>0</v>
      </c>
      <c r="H108" s="1414">
        <f>'12'!K118</f>
        <v>11684506.630000001</v>
      </c>
      <c r="I108" s="1414">
        <f>'12'!L118</f>
        <v>11684506.630000001</v>
      </c>
      <c r="J108" s="1414"/>
      <c r="K108" s="1414"/>
      <c r="Q108" s="1391" t="s">
        <v>684</v>
      </c>
      <c r="R108" s="1396">
        <f t="shared" si="36"/>
        <v>0</v>
      </c>
      <c r="S108" s="1396">
        <f t="shared" si="36"/>
        <v>16539</v>
      </c>
      <c r="T108" s="1396">
        <f t="shared" si="36"/>
        <v>16539</v>
      </c>
    </row>
    <row r="109" spans="1:20" ht="15" customHeight="1" x14ac:dyDescent="0.2">
      <c r="A109" s="2579" t="s">
        <v>1254</v>
      </c>
      <c r="B109" s="1467"/>
      <c r="C109" s="2580">
        <f>'12'!E120</f>
        <v>21000</v>
      </c>
      <c r="D109" s="2580">
        <f>'12'!F120</f>
        <v>20255</v>
      </c>
      <c r="E109" s="3140">
        <f>'12'!G120</f>
        <v>18383</v>
      </c>
      <c r="F109" s="2583">
        <f t="shared" si="35"/>
        <v>90.757837570970139</v>
      </c>
      <c r="G109" s="2581">
        <f>'12'!J120</f>
        <v>21000000</v>
      </c>
      <c r="H109" s="2578">
        <f>'12'!K120</f>
        <v>20255745.890000001</v>
      </c>
      <c r="I109" s="2578">
        <f>'12'!L120</f>
        <v>18382609.48</v>
      </c>
      <c r="J109" s="1414"/>
      <c r="K109" s="1409">
        <f>G110+G98+G85+G62</f>
        <v>245340000</v>
      </c>
      <c r="L109" s="1409">
        <f>H110+H98+H85+H62</f>
        <v>8147181835.0500011</v>
      </c>
      <c r="M109" s="1409">
        <f>I110+I98+I85+I62</f>
        <v>8132467995.2799997</v>
      </c>
      <c r="N109" s="1427" t="s">
        <v>460</v>
      </c>
      <c r="Q109" s="1391" t="s">
        <v>461</v>
      </c>
      <c r="R109" s="1396">
        <v>0</v>
      </c>
      <c r="S109" s="1396">
        <v>0</v>
      </c>
      <c r="T109" s="1396">
        <f>E68+E91</f>
        <v>0</v>
      </c>
    </row>
    <row r="110" spans="1:20" ht="15" customHeight="1" x14ac:dyDescent="0.25">
      <c r="A110" s="1661" t="s">
        <v>1942</v>
      </c>
      <c r="B110" s="1449">
        <v>13</v>
      </c>
      <c r="C110" s="1435">
        <f>C111+C116</f>
        <v>0</v>
      </c>
      <c r="D110" s="1435">
        <f t="shared" ref="D110:E110" si="37">D111+D116</f>
        <v>4235</v>
      </c>
      <c r="E110" s="1435">
        <f t="shared" si="37"/>
        <v>4235</v>
      </c>
      <c r="F110" s="1431">
        <f>E110/D110*100</f>
        <v>100</v>
      </c>
      <c r="G110" s="1525">
        <f>SUM(G111,G116)</f>
        <v>0</v>
      </c>
      <c r="H110" s="1525">
        <f t="shared" ref="H110:I110" si="38">SUM(H111)</f>
        <v>4235000</v>
      </c>
      <c r="I110" s="1525">
        <f t="shared" si="38"/>
        <v>4235000</v>
      </c>
      <c r="J110" s="1450"/>
      <c r="K110" s="1414">
        <f t="shared" ref="K110:M111" si="39">G64+G70+G75+G80+G87+G93+G100+G105+G112</f>
        <v>24111000</v>
      </c>
      <c r="L110" s="1414">
        <f t="shared" si="39"/>
        <v>47762892.579999998</v>
      </c>
      <c r="M110" s="1414">
        <f t="shared" si="39"/>
        <v>46210071.469999999</v>
      </c>
      <c r="N110" s="1414" t="s">
        <v>335</v>
      </c>
      <c r="Q110" s="1391" t="s">
        <v>1254</v>
      </c>
      <c r="R110" s="1396">
        <f>C109+C97+C84+C116</f>
        <v>145300</v>
      </c>
      <c r="S110" s="1396">
        <f>D109+D97+D84</f>
        <v>260858</v>
      </c>
      <c r="T110" s="1396">
        <f>E109+E97+E84</f>
        <v>249653</v>
      </c>
    </row>
    <row r="111" spans="1:20" x14ac:dyDescent="0.2">
      <c r="A111" s="1451" t="s">
        <v>338</v>
      </c>
      <c r="B111" s="1411"/>
      <c r="C111" s="1452">
        <f>SUM(C112:C115)</f>
        <v>0</v>
      </c>
      <c r="D111" s="1452">
        <f>SUM(D112:D115)</f>
        <v>4235</v>
      </c>
      <c r="E111" s="1452">
        <f>SUM(E112:E115)</f>
        <v>4235</v>
      </c>
      <c r="F111" s="1460">
        <f>E111/D111*100</f>
        <v>100</v>
      </c>
      <c r="G111" s="1414">
        <f>SUM(G112:G115)</f>
        <v>0</v>
      </c>
      <c r="H111" s="1414">
        <f>SUM(H112:H115)</f>
        <v>4235000</v>
      </c>
      <c r="I111" s="1414">
        <f>SUM(I112:I115)</f>
        <v>4235000</v>
      </c>
      <c r="J111" s="1409"/>
      <c r="K111" s="1414">
        <f>G65+G71+G76+G81+G88+G94+G101+G106+G113</f>
        <v>75929000</v>
      </c>
      <c r="L111" s="1414">
        <f t="shared" si="39"/>
        <v>330438667.13</v>
      </c>
      <c r="M111" s="1414">
        <f t="shared" si="39"/>
        <v>330438667.13000005</v>
      </c>
      <c r="N111" s="1437" t="s">
        <v>305</v>
      </c>
      <c r="Q111" s="1427" t="s">
        <v>356</v>
      </c>
      <c r="R111" s="1461">
        <f>C110+C98+C85+C62</f>
        <v>245340</v>
      </c>
      <c r="S111" s="1461">
        <f>D110+D98+D85+D62</f>
        <v>8147182</v>
      </c>
      <c r="T111" s="1461">
        <f>E110+E98+E85+E62</f>
        <v>8132468</v>
      </c>
    </row>
    <row r="112" spans="1:20" x14ac:dyDescent="0.2">
      <c r="A112" s="1410" t="s">
        <v>332</v>
      </c>
      <c r="B112" s="1411"/>
      <c r="C112" s="1412">
        <f>'13'!E66</f>
        <v>0</v>
      </c>
      <c r="D112" s="1412">
        <f>'13'!F66</f>
        <v>4235</v>
      </c>
      <c r="E112" s="1412">
        <f>'13'!G66</f>
        <v>4235</v>
      </c>
      <c r="F112" s="1413">
        <f t="shared" ref="F112" si="40">E112/D112*100</f>
        <v>100</v>
      </c>
      <c r="G112" s="1414">
        <f>'13'!J66</f>
        <v>0</v>
      </c>
      <c r="H112" s="1414">
        <f>'13'!K66</f>
        <v>4235000</v>
      </c>
      <c r="I112" s="1414">
        <f>'13'!L66</f>
        <v>4235000</v>
      </c>
      <c r="J112" s="1414"/>
      <c r="K112" s="1414">
        <f>+G66+G72+G77+G82+G89+G95+G102+G107+G114</f>
        <v>0</v>
      </c>
      <c r="L112" s="1414">
        <f t="shared" ref="L112:M112" si="41">+H66+H72+H77+H82+H89+H95+H102+H107+H114</f>
        <v>7491583051.8200006</v>
      </c>
      <c r="M112" s="1414">
        <f t="shared" si="41"/>
        <v>7489628295.8400002</v>
      </c>
      <c r="N112" s="1437" t="s">
        <v>358</v>
      </c>
      <c r="Q112" s="1391" t="s">
        <v>698</v>
      </c>
      <c r="R112" s="1396">
        <f>C114+C112+C107+C105+C102+C100+C95+C93+C89+C87+C82+C80+C77+C75+C72+C70+C66+C64+'10'!R463+'11'!O487+'12'!O100+'13'!L57</f>
        <v>148411</v>
      </c>
      <c r="S112" s="1396">
        <f>D114+D112+D107+D105+D102+D100+D95+D93+D89+D87+D82+D80+D77+D75+D72+D70+D66+D64+'10'!S463+'11'!P487+'12'!P100+'13'!M57</f>
        <v>7731262</v>
      </c>
      <c r="T112" s="1396">
        <f>E114+E112+E107+E105+E102+E100+E95+E93+E89+E87+E82+E80+E77+E75+E72+E70+E66+E64+'10'!T463+'11'!Q487+'12'!Q100+'13'!N57</f>
        <v>7721560</v>
      </c>
    </row>
    <row r="113" spans="1:20" x14ac:dyDescent="0.2">
      <c r="A113" s="1410" t="s">
        <v>333</v>
      </c>
      <c r="B113" s="1411"/>
      <c r="C113" s="1412">
        <f>'13'!E67</f>
        <v>0</v>
      </c>
      <c r="D113" s="1412">
        <f>'13'!F67</f>
        <v>0</v>
      </c>
      <c r="E113" s="1412">
        <f>'13'!G67</f>
        <v>0</v>
      </c>
      <c r="F113" s="1413">
        <v>0</v>
      </c>
      <c r="G113" s="1414">
        <f>'13'!J67</f>
        <v>0</v>
      </c>
      <c r="H113" s="1414">
        <f>'13'!K67</f>
        <v>0</v>
      </c>
      <c r="I113" s="1414">
        <f>'13'!L67</f>
        <v>0</v>
      </c>
      <c r="J113" s="1414"/>
      <c r="K113" s="1414">
        <f>G67+G73+G78+G83+G90+G96+G103+G108+G115</f>
        <v>0</v>
      </c>
      <c r="L113" s="1414">
        <f>H67+H73+H78+H83+H90+H96+H103+H108+H115</f>
        <v>16538430.630000001</v>
      </c>
      <c r="M113" s="1414">
        <f>I67+I73+I78+I83+I90+I96+I103+I108+I115</f>
        <v>16538430.630000001</v>
      </c>
      <c r="N113" s="1437" t="s">
        <v>684</v>
      </c>
      <c r="Q113" s="1391" t="s">
        <v>699</v>
      </c>
      <c r="R113" s="1396">
        <f>C115+C113+C108+C106+C103+C101+C96+C94+C90+C88+C83+C81+C78+C76+C73+C71+C67+C65+'11'!O488+'12'!O101+'10'!E488</f>
        <v>96929</v>
      </c>
      <c r="S113" s="1396">
        <f>D115+D113+D108+D106+D103+D101+D96+D94+D90+D88+D83+D81+D78+D76+D73+D71+D67+D65+'11'!P488+'12'!P101+'10'!F488</f>
        <v>367496</v>
      </c>
      <c r="T113" s="1396">
        <f>E115+E113+E108+E106+E103+E101+E96+E94+E90+E88+E83+E81+E78+E76+E73+E71+E67+E65+'11'!Q488+'12'!Q101+'10'!G488</f>
        <v>365684</v>
      </c>
    </row>
    <row r="114" spans="1:20" x14ac:dyDescent="0.2">
      <c r="A114" s="1416" t="s">
        <v>336</v>
      </c>
      <c r="B114" s="1411"/>
      <c r="C114" s="1412">
        <f>'13'!E68</f>
        <v>0</v>
      </c>
      <c r="D114" s="1412">
        <f>'13'!F68</f>
        <v>0</v>
      </c>
      <c r="E114" s="1412">
        <f>'13'!G68</f>
        <v>0</v>
      </c>
      <c r="F114" s="1413">
        <v>0</v>
      </c>
      <c r="G114" s="1414">
        <f>'13'!J68</f>
        <v>0</v>
      </c>
      <c r="H114" s="1414">
        <f>'13'!K68</f>
        <v>0</v>
      </c>
      <c r="I114" s="1414">
        <f>'13'!L68</f>
        <v>0</v>
      </c>
      <c r="J114" s="1414"/>
      <c r="K114" s="1414">
        <v>0</v>
      </c>
      <c r="L114" s="1414">
        <v>0</v>
      </c>
      <c r="M114" s="1414">
        <f>I68+I91</f>
        <v>0</v>
      </c>
      <c r="N114" s="1437" t="s">
        <v>461</v>
      </c>
      <c r="Q114" s="1391" t="s">
        <v>461</v>
      </c>
      <c r="R114" s="1391">
        <v>0</v>
      </c>
      <c r="S114" s="1391">
        <v>0</v>
      </c>
      <c r="T114" s="1396">
        <f>E91+E68</f>
        <v>0</v>
      </c>
    </row>
    <row r="115" spans="1:20" x14ac:dyDescent="0.2">
      <c r="A115" s="1456" t="s">
        <v>337</v>
      </c>
      <c r="B115" s="1411"/>
      <c r="C115" s="1412">
        <f>'13'!E69</f>
        <v>0</v>
      </c>
      <c r="D115" s="1412">
        <f>'13'!F69</f>
        <v>0</v>
      </c>
      <c r="E115" s="1412">
        <f>'13'!G69</f>
        <v>0</v>
      </c>
      <c r="F115" s="1413">
        <v>0</v>
      </c>
      <c r="G115" s="1428">
        <f>'13'!J69</f>
        <v>0</v>
      </c>
      <c r="H115" s="1414">
        <f>'13'!K69</f>
        <v>0</v>
      </c>
      <c r="I115" s="1414">
        <f>'13'!L69</f>
        <v>0</v>
      </c>
      <c r="J115" s="1414"/>
      <c r="K115" s="1507">
        <f>G109+G97+G84+G116</f>
        <v>145300000</v>
      </c>
      <c r="L115" s="1507">
        <f t="shared" ref="L115:M115" si="42">H109+H97+H84+H116</f>
        <v>260858792.88999999</v>
      </c>
      <c r="M115" s="1507">
        <f t="shared" si="42"/>
        <v>249652530.21000004</v>
      </c>
      <c r="N115" s="1437" t="s">
        <v>1254</v>
      </c>
      <c r="Q115" s="1427" t="s">
        <v>356</v>
      </c>
      <c r="R115" s="1461">
        <f>R112+R113+R114</f>
        <v>245340</v>
      </c>
      <c r="S115" s="1461">
        <f>S112+S113+S114</f>
        <v>8098758</v>
      </c>
      <c r="T115" s="1461">
        <f>T112+T113+T114</f>
        <v>8087244</v>
      </c>
    </row>
    <row r="116" spans="1:20" ht="15" thickBot="1" x14ac:dyDescent="0.25">
      <c r="A116" s="2582" t="s">
        <v>1254</v>
      </c>
      <c r="B116" s="1438"/>
      <c r="C116" s="1452">
        <f>'13'!E71</f>
        <v>0</v>
      </c>
      <c r="D116" s="2808">
        <f>'13'!F71</f>
        <v>0</v>
      </c>
      <c r="E116" s="1452">
        <f>'13'!G71</f>
        <v>0</v>
      </c>
      <c r="F116" s="2815">
        <v>0</v>
      </c>
      <c r="G116" s="1421">
        <f>'13'!J71</f>
        <v>0</v>
      </c>
      <c r="H116" s="1422">
        <f>'13'!K71</f>
        <v>0</v>
      </c>
      <c r="I116" s="1422">
        <f>'13'!L71</f>
        <v>0</v>
      </c>
      <c r="J116" s="1515"/>
      <c r="K116" s="1515"/>
      <c r="L116" s="1515"/>
      <c r="M116" s="1515"/>
    </row>
    <row r="117" spans="1:20" ht="15" thickTop="1" x14ac:dyDescent="0.2">
      <c r="A117" s="2814"/>
      <c r="B117" s="2813"/>
      <c r="C117" s="2811"/>
      <c r="D117" s="2811"/>
      <c r="E117" s="2811"/>
      <c r="F117" s="2816"/>
      <c r="G117" s="1672"/>
      <c r="H117" s="1409"/>
      <c r="I117" s="1409"/>
      <c r="J117" s="1515"/>
      <c r="K117" s="1515"/>
      <c r="L117" s="1515"/>
      <c r="M117" s="1515"/>
    </row>
    <row r="118" spans="1:20" ht="15" thickBot="1" x14ac:dyDescent="0.25">
      <c r="A118" s="2817"/>
      <c r="B118" s="1509"/>
      <c r="C118" s="2810"/>
      <c r="D118" s="2810"/>
      <c r="E118" s="2810"/>
      <c r="F118" s="3101" t="s">
        <v>92</v>
      </c>
      <c r="G118" s="1409"/>
      <c r="H118" s="1409"/>
      <c r="I118" s="1409"/>
      <c r="J118" s="1515"/>
      <c r="K118" s="1515"/>
      <c r="L118" s="1515"/>
      <c r="M118" s="1515"/>
    </row>
    <row r="119" spans="1:20" s="1401" customFormat="1" ht="27" thickTop="1" thickBot="1" x14ac:dyDescent="0.25">
      <c r="A119" s="1397" t="s">
        <v>327</v>
      </c>
      <c r="B119" s="1398" t="s">
        <v>330</v>
      </c>
      <c r="C119" s="1399" t="s">
        <v>328</v>
      </c>
      <c r="D119" s="1399" t="s">
        <v>329</v>
      </c>
      <c r="E119" s="1399" t="s">
        <v>448</v>
      </c>
      <c r="F119" s="1400" t="s">
        <v>449</v>
      </c>
      <c r="G119" s="1518"/>
      <c r="H119" s="1518"/>
      <c r="I119" s="1518"/>
      <c r="J119" s="1518"/>
      <c r="K119" s="1518"/>
    </row>
    <row r="120" spans="1:20" s="1406" customFormat="1" ht="12.75" thickTop="1" thickBot="1" x14ac:dyDescent="0.25">
      <c r="A120" s="1444">
        <v>1</v>
      </c>
      <c r="B120" s="1445">
        <v>2</v>
      </c>
      <c r="C120" s="1446">
        <v>3</v>
      </c>
      <c r="D120" s="1446">
        <v>4</v>
      </c>
      <c r="E120" s="1446">
        <v>5</v>
      </c>
      <c r="F120" s="1447" t="s">
        <v>238</v>
      </c>
      <c r="G120" s="1519"/>
      <c r="H120" s="1519"/>
      <c r="I120" s="1519"/>
      <c r="J120" s="1519"/>
      <c r="K120" s="1519"/>
    </row>
    <row r="121" spans="1:20" s="1427" customFormat="1" ht="15.75" thickTop="1" x14ac:dyDescent="0.25">
      <c r="A121" s="1462" t="s">
        <v>199</v>
      </c>
      <c r="B121" s="1449">
        <v>14</v>
      </c>
      <c r="C121" s="1435">
        <f>C122+C128+C133</f>
        <v>31764</v>
      </c>
      <c r="D121" s="1435">
        <f t="shared" ref="D121:E121" si="43">D122+D128+D133</f>
        <v>101989</v>
      </c>
      <c r="E121" s="1435">
        <f t="shared" si="43"/>
        <v>118221</v>
      </c>
      <c r="F121" s="1431">
        <f>E121/D121*100</f>
        <v>115.91544186137722</v>
      </c>
      <c r="G121" s="1525">
        <f>SUM(G122,G128,G133)</f>
        <v>31764000</v>
      </c>
      <c r="H121" s="1525">
        <f t="shared" ref="H121:I121" si="44">SUM(H122,H128,H133)</f>
        <v>101988138.28999999</v>
      </c>
      <c r="I121" s="1525">
        <f t="shared" si="44"/>
        <v>118220681.67</v>
      </c>
      <c r="J121" s="1450"/>
      <c r="K121" s="1414"/>
      <c r="L121" s="1391"/>
      <c r="M121" s="1391"/>
      <c r="N121" s="1437"/>
    </row>
    <row r="122" spans="1:20" x14ac:dyDescent="0.2">
      <c r="A122" s="1451" t="s">
        <v>338</v>
      </c>
      <c r="B122" s="1411"/>
      <c r="C122" s="1452">
        <f>SUM(C123:C127)</f>
        <v>23764</v>
      </c>
      <c r="D122" s="1452">
        <f t="shared" ref="D122:E122" si="45">SUM(D123:D127)</f>
        <v>52731</v>
      </c>
      <c r="E122" s="1452">
        <f t="shared" si="45"/>
        <v>72086</v>
      </c>
      <c r="F122" s="1460">
        <f>E122/D122*100</f>
        <v>136.70516394530731</v>
      </c>
      <c r="G122" s="1414">
        <f>G123+G124+G125+G126+G127</f>
        <v>23764000</v>
      </c>
      <c r="H122" s="1414">
        <f t="shared" ref="H122:I122" si="46">H123+H124+H125+H126+H127</f>
        <v>52731418.469999999</v>
      </c>
      <c r="I122" s="1414">
        <f t="shared" si="46"/>
        <v>72086762.25</v>
      </c>
      <c r="J122" s="1409"/>
      <c r="K122" s="1414"/>
      <c r="N122" s="1437"/>
    </row>
    <row r="123" spans="1:20" x14ac:dyDescent="0.2">
      <c r="A123" s="1410" t="s">
        <v>332</v>
      </c>
      <c r="B123" s="1411"/>
      <c r="C123" s="1412">
        <f>'14'!E201</f>
        <v>22964</v>
      </c>
      <c r="D123" s="1412">
        <f>'14'!F201</f>
        <v>26700</v>
      </c>
      <c r="E123" s="1412">
        <f>'14'!G201</f>
        <v>23157</v>
      </c>
      <c r="F123" s="1413">
        <f t="shared" ref="F123:F133" si="47">E123/D123*100</f>
        <v>86.730337078651687</v>
      </c>
      <c r="G123" s="2208">
        <f>'14'!J201</f>
        <v>22964000</v>
      </c>
      <c r="H123" s="2208">
        <f>'14'!K201</f>
        <v>26699928</v>
      </c>
      <c r="I123" s="2208">
        <f>'14'!L201</f>
        <v>23156857.859999999</v>
      </c>
      <c r="J123" s="1414"/>
      <c r="K123" s="1414"/>
      <c r="N123" s="1437"/>
    </row>
    <row r="124" spans="1:20" x14ac:dyDescent="0.2">
      <c r="A124" s="1410" t="s">
        <v>333</v>
      </c>
      <c r="B124" s="1411"/>
      <c r="C124" s="1412">
        <f>'14'!E202</f>
        <v>0</v>
      </c>
      <c r="D124" s="1412">
        <f>'14'!F202</f>
        <v>0</v>
      </c>
      <c r="E124" s="1412">
        <f>'14'!G202</f>
        <v>0</v>
      </c>
      <c r="F124" s="1413">
        <v>0</v>
      </c>
      <c r="G124" s="2208">
        <f>'14'!J202</f>
        <v>0</v>
      </c>
      <c r="H124" s="2208">
        <f>'14'!K202</f>
        <v>0</v>
      </c>
      <c r="I124" s="2208">
        <f>'14'!L202</f>
        <v>0</v>
      </c>
      <c r="J124" s="1414"/>
      <c r="K124" s="1414"/>
      <c r="L124" s="1414"/>
      <c r="M124" s="1414"/>
      <c r="N124" s="1437"/>
    </row>
    <row r="125" spans="1:20" x14ac:dyDescent="0.2">
      <c r="A125" s="1416" t="s">
        <v>336</v>
      </c>
      <c r="B125" s="1411"/>
      <c r="C125" s="1412">
        <f>'14'!E203</f>
        <v>800</v>
      </c>
      <c r="D125" s="1412">
        <f>'14'!F203</f>
        <v>26031</v>
      </c>
      <c r="E125" s="1412">
        <f>'14'!G203</f>
        <v>20547</v>
      </c>
      <c r="F125" s="1413">
        <f t="shared" si="47"/>
        <v>78.932810879336174</v>
      </c>
      <c r="G125" s="2208">
        <f>'14'!J203</f>
        <v>800000</v>
      </c>
      <c r="H125" s="2208">
        <f>'14'!K203</f>
        <v>26031490.469999999</v>
      </c>
      <c r="I125" s="2208">
        <f>'14'!L203</f>
        <v>20547547.169999998</v>
      </c>
      <c r="J125" s="1414"/>
      <c r="K125" s="1414"/>
    </row>
    <row r="126" spans="1:20" x14ac:dyDescent="0.2">
      <c r="A126" s="1456" t="s">
        <v>337</v>
      </c>
      <c r="B126" s="1411"/>
      <c r="C126" s="1412">
        <f>'14'!E204</f>
        <v>0</v>
      </c>
      <c r="D126" s="1412">
        <f>'14'!F204</f>
        <v>0</v>
      </c>
      <c r="E126" s="1412">
        <f>'14'!G204</f>
        <v>0</v>
      </c>
      <c r="F126" s="1413">
        <v>0</v>
      </c>
      <c r="G126" s="2208">
        <f>'14'!J204</f>
        <v>0</v>
      </c>
      <c r="H126" s="2208">
        <f>'14'!K204</f>
        <v>0</v>
      </c>
      <c r="I126" s="2208">
        <f>'14'!L204</f>
        <v>0</v>
      </c>
      <c r="J126" s="1414"/>
      <c r="K126" s="1414"/>
    </row>
    <row r="127" spans="1:20" x14ac:dyDescent="0.2">
      <c r="A127" s="1410" t="s">
        <v>555</v>
      </c>
      <c r="B127" s="1411"/>
      <c r="C127" s="1412">
        <f>'14'!E205</f>
        <v>0</v>
      </c>
      <c r="D127" s="1412">
        <f>'14'!F205</f>
        <v>0</v>
      </c>
      <c r="E127" s="1412">
        <f>'14'!G205</f>
        <v>28382</v>
      </c>
      <c r="F127" s="1413">
        <v>0</v>
      </c>
      <c r="G127" s="2208">
        <f>'14'!J205</f>
        <v>0</v>
      </c>
      <c r="H127" s="2208">
        <f>'14'!K205</f>
        <v>0</v>
      </c>
      <c r="I127" s="2208">
        <f>'14'!L205</f>
        <v>28382357.219999999</v>
      </c>
      <c r="J127" s="1414"/>
      <c r="K127" s="1414"/>
    </row>
    <row r="128" spans="1:20" x14ac:dyDescent="0.2">
      <c r="A128" s="1457" t="s">
        <v>339</v>
      </c>
      <c r="B128" s="1411"/>
      <c r="C128" s="1452">
        <f>C129+C130+C131+C132</f>
        <v>0</v>
      </c>
      <c r="D128" s="1452">
        <f>D129+D130+D131+D132</f>
        <v>37782</v>
      </c>
      <c r="E128" s="1452">
        <f>E129+E130+E131+E132</f>
        <v>37610</v>
      </c>
      <c r="F128" s="1460">
        <f t="shared" si="47"/>
        <v>99.544756762479494</v>
      </c>
      <c r="G128" s="1414">
        <f>SUM(G129:G132)</f>
        <v>0</v>
      </c>
      <c r="H128" s="1414">
        <f>SUM(H129:H132)</f>
        <v>37781164.019999996</v>
      </c>
      <c r="I128" s="1414">
        <f>SUM(I129:I132)</f>
        <v>37608813.219999999</v>
      </c>
      <c r="J128" s="1409"/>
      <c r="K128" s="1409"/>
    </row>
    <row r="129" spans="1:17" x14ac:dyDescent="0.2">
      <c r="A129" s="1410" t="s">
        <v>981</v>
      </c>
      <c r="B129" s="1411"/>
      <c r="C129" s="1412">
        <f>'14'!E208</f>
        <v>0</v>
      </c>
      <c r="D129" s="1412">
        <f>'14'!F208</f>
        <v>0</v>
      </c>
      <c r="E129" s="1412">
        <f>'14'!G208</f>
        <v>0</v>
      </c>
      <c r="F129" s="1413">
        <v>0</v>
      </c>
      <c r="G129" s="2208">
        <f>'14'!J208</f>
        <v>0</v>
      </c>
      <c r="H129" s="1414">
        <f>'14'!K208</f>
        <v>0</v>
      </c>
      <c r="I129" s="1414">
        <f>'14'!L208</f>
        <v>0</v>
      </c>
      <c r="J129" s="1414"/>
      <c r="K129" s="1414"/>
    </row>
    <row r="130" spans="1:17" x14ac:dyDescent="0.2">
      <c r="A130" s="1410" t="s">
        <v>1073</v>
      </c>
      <c r="B130" s="1411"/>
      <c r="C130" s="1412">
        <f>'14'!E209</f>
        <v>0</v>
      </c>
      <c r="D130" s="1412">
        <f>'14'!F209</f>
        <v>0</v>
      </c>
      <c r="E130" s="1412">
        <f>'14'!G209</f>
        <v>0</v>
      </c>
      <c r="F130" s="1413">
        <v>0</v>
      </c>
      <c r="G130" s="2208">
        <f>'14'!J209</f>
        <v>0</v>
      </c>
      <c r="H130" s="1414">
        <f>'14'!K209</f>
        <v>0</v>
      </c>
      <c r="I130" s="1414">
        <f>'14'!L209</f>
        <v>0</v>
      </c>
      <c r="J130" s="1414"/>
      <c r="K130" s="1414"/>
    </row>
    <row r="131" spans="1:17" x14ac:dyDescent="0.2">
      <c r="A131" s="1456" t="s">
        <v>982</v>
      </c>
      <c r="B131" s="1411"/>
      <c r="C131" s="1412">
        <f>'14'!E210</f>
        <v>0</v>
      </c>
      <c r="D131" s="1412">
        <f>'14'!F210</f>
        <v>11117</v>
      </c>
      <c r="E131" s="1412">
        <f>'14'!G210</f>
        <v>10945</v>
      </c>
      <c r="F131" s="1413">
        <f t="shared" si="47"/>
        <v>98.452820005397129</v>
      </c>
      <c r="G131" s="1414">
        <f>'14'!J210</f>
        <v>0</v>
      </c>
      <c r="H131" s="1414">
        <f>'14'!K210</f>
        <v>11116561.620000001</v>
      </c>
      <c r="I131" s="1414">
        <f>'14'!L210</f>
        <v>10944210.82</v>
      </c>
      <c r="J131" s="1414"/>
      <c r="K131" s="1414"/>
    </row>
    <row r="132" spans="1:17" x14ac:dyDescent="0.2">
      <c r="A132" s="1456" t="s">
        <v>983</v>
      </c>
      <c r="B132" s="1411"/>
      <c r="C132" s="1412">
        <f>'14'!E211</f>
        <v>0</v>
      </c>
      <c r="D132" s="1412">
        <f>'14'!F211</f>
        <v>26665</v>
      </c>
      <c r="E132" s="1412">
        <f>'14'!G211</f>
        <v>26665</v>
      </c>
      <c r="F132" s="1413">
        <f t="shared" si="47"/>
        <v>100</v>
      </c>
      <c r="G132" s="1414">
        <f>'14'!J211</f>
        <v>0</v>
      </c>
      <c r="H132" s="1414">
        <f>'14'!K211</f>
        <v>26664602.399999999</v>
      </c>
      <c r="I132" s="1414">
        <f>'14'!L211</f>
        <v>26664602.399999999</v>
      </c>
      <c r="J132" s="1414"/>
      <c r="K132" s="1414"/>
    </row>
    <row r="133" spans="1:17" x14ac:dyDescent="0.2">
      <c r="A133" s="2579" t="s">
        <v>1254</v>
      </c>
      <c r="B133" s="1411"/>
      <c r="C133" s="1452">
        <f>'14'!E213</f>
        <v>8000</v>
      </c>
      <c r="D133" s="1452">
        <f>'14'!F213</f>
        <v>11476</v>
      </c>
      <c r="E133" s="3142">
        <f>'14'!G213</f>
        <v>8525</v>
      </c>
      <c r="F133" s="2583">
        <f t="shared" si="47"/>
        <v>74.285465318926455</v>
      </c>
      <c r="G133" s="1414">
        <f>'14'!J213</f>
        <v>8000000</v>
      </c>
      <c r="H133" s="1414">
        <f>'14'!K213</f>
        <v>11475555.800000001</v>
      </c>
      <c r="I133" s="1414">
        <f>'14'!L213</f>
        <v>8525106.1999999993</v>
      </c>
      <c r="J133" s="1414"/>
      <c r="K133" s="1414"/>
    </row>
    <row r="134" spans="1:17" s="1427" customFormat="1" ht="15" x14ac:dyDescent="0.25">
      <c r="A134" s="1463" t="s">
        <v>204</v>
      </c>
      <c r="B134" s="1464">
        <v>16</v>
      </c>
      <c r="C134" s="1589">
        <f>'16'!E15</f>
        <v>10</v>
      </c>
      <c r="D134" s="1589">
        <f>'16'!F15</f>
        <v>10</v>
      </c>
      <c r="E134" s="1589">
        <f>'16'!G15</f>
        <v>0</v>
      </c>
      <c r="F134" s="1590">
        <v>0</v>
      </c>
      <c r="G134" s="2209">
        <f>'16'!J15</f>
        <v>10000</v>
      </c>
      <c r="H134" s="1591">
        <f>'16'!K15</f>
        <v>10000</v>
      </c>
      <c r="I134" s="1591">
        <f>'16'!L15</f>
        <v>0</v>
      </c>
      <c r="J134" s="1409"/>
      <c r="K134" s="1409"/>
    </row>
    <row r="135" spans="1:17" s="1427" customFormat="1" ht="15" x14ac:dyDescent="0.25">
      <c r="A135" s="1462" t="s">
        <v>1943</v>
      </c>
      <c r="B135" s="1465">
        <v>17</v>
      </c>
      <c r="C135" s="1435">
        <f>SUM(C136:C139)</f>
        <v>408423</v>
      </c>
      <c r="D135" s="1435">
        <f>SUM(D136:D139)</f>
        <v>495085</v>
      </c>
      <c r="E135" s="1435">
        <f>SUM(E136:E139)</f>
        <v>390017</v>
      </c>
      <c r="F135" s="1431">
        <f>E135/D135*100</f>
        <v>78.777785632770119</v>
      </c>
      <c r="G135" s="1409">
        <f>SUM(G136:G139)</f>
        <v>408423000</v>
      </c>
      <c r="H135" s="1409">
        <f>SUM(H136:H139)</f>
        <v>495085082.77999997</v>
      </c>
      <c r="I135" s="1409">
        <f>SUM(I136:I139)</f>
        <v>390016679.22000003</v>
      </c>
      <c r="J135" s="1409"/>
      <c r="Q135" s="1391"/>
    </row>
    <row r="136" spans="1:17" s="1427" customFormat="1" x14ac:dyDescent="0.2">
      <c r="A136" s="1410" t="s">
        <v>332</v>
      </c>
      <c r="B136" s="1430"/>
      <c r="C136" s="1412">
        <f>'17'!E210</f>
        <v>79084</v>
      </c>
      <c r="D136" s="1412">
        <f>'17'!F210</f>
        <v>111820</v>
      </c>
      <c r="E136" s="1412">
        <f>'17'!G210</f>
        <v>101140</v>
      </c>
      <c r="F136" s="1413">
        <f>E136/D136*100</f>
        <v>90.448935789661959</v>
      </c>
      <c r="G136" s="2208">
        <f>'17'!J210</f>
        <v>79084000</v>
      </c>
      <c r="H136" s="2208">
        <f>'17'!K210</f>
        <v>111820454.25</v>
      </c>
      <c r="I136" s="2208">
        <f>'17'!L210</f>
        <v>101139735.18000001</v>
      </c>
      <c r="J136" s="1414"/>
      <c r="Q136" s="1391"/>
    </row>
    <row r="137" spans="1:17" s="1427" customFormat="1" x14ac:dyDescent="0.2">
      <c r="A137" s="1410" t="s">
        <v>333</v>
      </c>
      <c r="B137" s="1430"/>
      <c r="C137" s="1412">
        <f>'17'!E211</f>
        <v>329339</v>
      </c>
      <c r="D137" s="1412">
        <f>'17'!F211</f>
        <v>383265</v>
      </c>
      <c r="E137" s="1412">
        <f>'17'!G211</f>
        <v>288877</v>
      </c>
      <c r="F137" s="1413">
        <f>E137/D137*100</f>
        <v>75.37265338603838</v>
      </c>
      <c r="G137" s="2208">
        <f>'17'!J211</f>
        <v>329339000</v>
      </c>
      <c r="H137" s="2208">
        <f>'17'!K211</f>
        <v>383264628.52999997</v>
      </c>
      <c r="I137" s="2208">
        <f>'17'!L211</f>
        <v>288876944.04000002</v>
      </c>
      <c r="J137" s="1414"/>
      <c r="Q137" s="1391"/>
    </row>
    <row r="138" spans="1:17" s="1427" customFormat="1" x14ac:dyDescent="0.2">
      <c r="A138" s="1416" t="s">
        <v>336</v>
      </c>
      <c r="B138" s="1411"/>
      <c r="C138" s="1412">
        <f>'17'!E212</f>
        <v>0</v>
      </c>
      <c r="D138" s="1412">
        <f>'17'!F212</f>
        <v>0</v>
      </c>
      <c r="E138" s="1412">
        <f>'17'!G212</f>
        <v>0</v>
      </c>
      <c r="F138" s="1413">
        <v>0</v>
      </c>
      <c r="G138" s="2208">
        <f>'17'!J212</f>
        <v>0</v>
      </c>
      <c r="H138" s="2208">
        <f>'17'!K212</f>
        <v>0</v>
      </c>
      <c r="I138" s="2208">
        <f>'17'!L212</f>
        <v>0</v>
      </c>
      <c r="J138" s="1414"/>
      <c r="Q138" s="1391"/>
    </row>
    <row r="139" spans="1:17" s="1427" customFormat="1" x14ac:dyDescent="0.2">
      <c r="A139" s="1429" t="s">
        <v>337</v>
      </c>
      <c r="B139" s="1418"/>
      <c r="C139" s="1419">
        <f>'17'!E213</f>
        <v>0</v>
      </c>
      <c r="D139" s="1419">
        <f>'17'!F213</f>
        <v>0</v>
      </c>
      <c r="E139" s="1419">
        <f>'17'!G213</f>
        <v>0</v>
      </c>
      <c r="F139" s="1420">
        <v>0</v>
      </c>
      <c r="G139" s="2584">
        <f>'17'!J213</f>
        <v>0</v>
      </c>
      <c r="H139" s="2585">
        <f>'17'!K213</f>
        <v>0</v>
      </c>
      <c r="I139" s="2585">
        <f>'17'!L213</f>
        <v>0</v>
      </c>
      <c r="J139" s="1414"/>
    </row>
    <row r="140" spans="1:17" s="1427" customFormat="1" ht="15" x14ac:dyDescent="0.25">
      <c r="A140" s="1466" t="s">
        <v>1944</v>
      </c>
      <c r="B140" s="1449">
        <v>18</v>
      </c>
      <c r="C140" s="1435">
        <f>C141+C146</f>
        <v>49373</v>
      </c>
      <c r="D140" s="1435">
        <f t="shared" ref="D140:E140" si="48">D141+D146</f>
        <v>56670</v>
      </c>
      <c r="E140" s="1435">
        <f t="shared" si="48"/>
        <v>51498</v>
      </c>
      <c r="F140" s="1431">
        <f>E140/D140*100</f>
        <v>90.873478030704078</v>
      </c>
      <c r="G140" s="1409">
        <f>G141+G146</f>
        <v>49373000</v>
      </c>
      <c r="H140" s="1409">
        <f t="shared" ref="H140:I140" si="49">H141+H146</f>
        <v>56670300</v>
      </c>
      <c r="I140" s="1409">
        <f t="shared" si="49"/>
        <v>51498517.370000005</v>
      </c>
      <c r="J140" s="1414"/>
    </row>
    <row r="141" spans="1:17" s="1427" customFormat="1" x14ac:dyDescent="0.2">
      <c r="A141" s="1451" t="s">
        <v>338</v>
      </c>
      <c r="B141" s="1411"/>
      <c r="C141" s="1452">
        <f>SUM(C142:C145)</f>
        <v>38573</v>
      </c>
      <c r="D141" s="1452">
        <f>SUM(D142:D145)</f>
        <v>40214</v>
      </c>
      <c r="E141" s="1452">
        <f>SUM(E142:E145)</f>
        <v>35857</v>
      </c>
      <c r="F141" s="1460">
        <f>E141/D141*100</f>
        <v>89.165464763515189</v>
      </c>
      <c r="G141" s="1414">
        <f>G142+G143+G144+G145</f>
        <v>38573000</v>
      </c>
      <c r="H141" s="1414">
        <f>H142+H143+H144+H145</f>
        <v>40214500</v>
      </c>
      <c r="I141" s="1414">
        <f>I142+I143+I144+I145</f>
        <v>35857311.370000005</v>
      </c>
      <c r="J141" s="1414"/>
    </row>
    <row r="142" spans="1:17" s="1427" customFormat="1" x14ac:dyDescent="0.2">
      <c r="A142" s="1410" t="s">
        <v>332</v>
      </c>
      <c r="B142" s="1430"/>
      <c r="C142" s="1412">
        <f>'18'!E200</f>
        <v>38573</v>
      </c>
      <c r="D142" s="1412">
        <f>'18'!F200</f>
        <v>39414</v>
      </c>
      <c r="E142" s="1412">
        <f>'18'!G200</f>
        <v>35857</v>
      </c>
      <c r="F142" s="1413">
        <f>E142/D142*100</f>
        <v>90.975287968742066</v>
      </c>
      <c r="G142" s="2208">
        <f>'18'!J200</f>
        <v>38573000</v>
      </c>
      <c r="H142" s="1414">
        <f>'18'!K200</f>
        <v>39414500</v>
      </c>
      <c r="I142" s="1414">
        <f>'18'!L200</f>
        <v>35857311.370000005</v>
      </c>
      <c r="J142" s="1414"/>
      <c r="K142" s="1414"/>
    </row>
    <row r="143" spans="1:17" s="1427" customFormat="1" x14ac:dyDescent="0.2">
      <c r="A143" s="1410" t="s">
        <v>333</v>
      </c>
      <c r="B143" s="1430"/>
      <c r="C143" s="1412">
        <f>'18'!E201</f>
        <v>0</v>
      </c>
      <c r="D143" s="1412">
        <f>'18'!F201</f>
        <v>800</v>
      </c>
      <c r="E143" s="1412">
        <f>'18'!G201</f>
        <v>0</v>
      </c>
      <c r="F143" s="1413">
        <f t="shared" ref="F143:F159" si="50">E143/D143*100</f>
        <v>0</v>
      </c>
      <c r="G143" s="1414">
        <f>'18'!J201</f>
        <v>0</v>
      </c>
      <c r="H143" s="1414">
        <f>'18'!K201</f>
        <v>800000</v>
      </c>
      <c r="I143" s="1414">
        <f>'18'!L201</f>
        <v>0</v>
      </c>
      <c r="J143" s="1414"/>
      <c r="K143" s="1414"/>
    </row>
    <row r="144" spans="1:17" x14ac:dyDescent="0.2">
      <c r="A144" s="1416" t="s">
        <v>336</v>
      </c>
      <c r="B144" s="1411"/>
      <c r="C144" s="1412">
        <f>'18'!E202</f>
        <v>0</v>
      </c>
      <c r="D144" s="1412">
        <f>'18'!F202</f>
        <v>0</v>
      </c>
      <c r="E144" s="1412">
        <f>'18'!G202</f>
        <v>0</v>
      </c>
      <c r="F144" s="1413">
        <v>0</v>
      </c>
      <c r="G144" s="1414">
        <f>'18'!J202</f>
        <v>0</v>
      </c>
      <c r="H144" s="1414">
        <f>'18'!K202</f>
        <v>0</v>
      </c>
      <c r="I144" s="1414">
        <f>'18'!L202</f>
        <v>0</v>
      </c>
      <c r="J144" s="1414"/>
      <c r="K144" s="1414"/>
    </row>
    <row r="145" spans="1:20" x14ac:dyDescent="0.2">
      <c r="A145" s="1456" t="s">
        <v>337</v>
      </c>
      <c r="B145" s="1411"/>
      <c r="C145" s="1412">
        <f>'18'!E203</f>
        <v>0</v>
      </c>
      <c r="D145" s="1412">
        <f>'18'!F203</f>
        <v>0</v>
      </c>
      <c r="E145" s="1412">
        <f>'18'!G203</f>
        <v>0</v>
      </c>
      <c r="F145" s="1413">
        <v>0</v>
      </c>
      <c r="G145" s="1428">
        <f>'18'!J203</f>
        <v>0</v>
      </c>
      <c r="H145" s="1414">
        <f>'18'!K203</f>
        <v>0</v>
      </c>
      <c r="I145" s="1414">
        <f>'18'!L203</f>
        <v>0</v>
      </c>
      <c r="J145" s="1414"/>
      <c r="K145" s="1414"/>
    </row>
    <row r="146" spans="1:20" x14ac:dyDescent="0.2">
      <c r="A146" s="2579" t="s">
        <v>1254</v>
      </c>
      <c r="B146" s="1418"/>
      <c r="C146" s="2580">
        <f>'18'!E205</f>
        <v>10800</v>
      </c>
      <c r="D146" s="2580">
        <f>'18'!F205</f>
        <v>16456</v>
      </c>
      <c r="E146" s="3140">
        <f>'18'!G205</f>
        <v>15641</v>
      </c>
      <c r="F146" s="2583">
        <f t="shared" si="50"/>
        <v>95.047399124939233</v>
      </c>
      <c r="G146" s="1421">
        <f>'18'!J205</f>
        <v>10800000</v>
      </c>
      <c r="H146" s="1422">
        <f>'18'!K205</f>
        <v>16455800</v>
      </c>
      <c r="I146" s="1422">
        <f>'18'!L205</f>
        <v>15641206</v>
      </c>
      <c r="J146" s="1414"/>
      <c r="K146" s="1414"/>
    </row>
    <row r="147" spans="1:20" ht="15" x14ac:dyDescent="0.25">
      <c r="A147" s="2016" t="s">
        <v>984</v>
      </c>
      <c r="B147" s="2017">
        <v>19</v>
      </c>
      <c r="C147" s="1435">
        <f>C149+C154+C159</f>
        <v>2552609</v>
      </c>
      <c r="D147" s="1435">
        <f t="shared" ref="D147:E147" si="51">D149+D154+D159</f>
        <v>2725258</v>
      </c>
      <c r="E147" s="1435">
        <f t="shared" si="51"/>
        <v>2724948</v>
      </c>
      <c r="F147" s="1431">
        <f t="shared" si="50"/>
        <v>99.988624930190099</v>
      </c>
      <c r="G147" s="1525">
        <f>G149+G154+G159</f>
        <v>2552609000</v>
      </c>
      <c r="H147" s="1525">
        <f t="shared" ref="H147:I147" si="52">H149+H154+H159</f>
        <v>2725258403.5</v>
      </c>
      <c r="I147" s="1525">
        <f t="shared" si="52"/>
        <v>2724947528.21</v>
      </c>
      <c r="J147" s="1414"/>
      <c r="K147" s="1414"/>
      <c r="Q147" s="1391" t="s">
        <v>1937</v>
      </c>
      <c r="R147" s="1427"/>
      <c r="S147" s="1427"/>
      <c r="T147" s="1427"/>
    </row>
    <row r="148" spans="1:20" ht="15" x14ac:dyDescent="0.25">
      <c r="A148" s="2016" t="s">
        <v>985</v>
      </c>
      <c r="B148" s="2017"/>
      <c r="C148" s="1435"/>
      <c r="D148" s="1435"/>
      <c r="E148" s="1435"/>
      <c r="F148" s="1413"/>
      <c r="G148" s="1414"/>
      <c r="H148" s="1414"/>
      <c r="I148" s="1414"/>
      <c r="J148" s="1414"/>
      <c r="K148" s="1414"/>
      <c r="Q148" s="1391" t="s">
        <v>335</v>
      </c>
      <c r="R148" s="1396">
        <f>C123+C129+C134+C136+C142+C150+C155+C160</f>
        <v>2693255</v>
      </c>
      <c r="S148" s="1396">
        <f t="shared" ref="S148:T148" si="53">D123+D129+D134+D136+D142+D150+D155+D160</f>
        <v>2850291</v>
      </c>
      <c r="T148" s="1396">
        <f t="shared" si="53"/>
        <v>2831918</v>
      </c>
    </row>
    <row r="149" spans="1:20" x14ac:dyDescent="0.2">
      <c r="A149" s="1457" t="s">
        <v>338</v>
      </c>
      <c r="B149" s="1411"/>
      <c r="C149" s="1452">
        <f>SUM(C150:C153)</f>
        <v>55678</v>
      </c>
      <c r="D149" s="1452">
        <f t="shared" ref="D149:E149" si="54">SUM(D150:D153)</f>
        <v>60120</v>
      </c>
      <c r="E149" s="1452">
        <f t="shared" si="54"/>
        <v>59964</v>
      </c>
      <c r="F149" s="1460">
        <f t="shared" si="50"/>
        <v>99.740518962075853</v>
      </c>
      <c r="G149" s="1414">
        <f>G150+G151+G152+G153</f>
        <v>55678000</v>
      </c>
      <c r="H149" s="1414">
        <f t="shared" ref="H149:I149" si="55">H150+H151+H152+H153</f>
        <v>60119957.5</v>
      </c>
      <c r="I149" s="1414">
        <f t="shared" si="55"/>
        <v>59963538.280000001</v>
      </c>
      <c r="J149" s="1414"/>
      <c r="K149" s="1414"/>
      <c r="Q149" s="1391" t="s">
        <v>357</v>
      </c>
      <c r="R149" s="1396">
        <f>C124+C130+C137+C143+C151+C156</f>
        <v>329339</v>
      </c>
      <c r="S149" s="1396">
        <f t="shared" ref="S149:T149" si="56">D124+D130+D137+D143+D151+D156</f>
        <v>437207</v>
      </c>
      <c r="T149" s="1396">
        <f t="shared" si="56"/>
        <v>341916</v>
      </c>
    </row>
    <row r="150" spans="1:20" x14ac:dyDescent="0.2">
      <c r="A150" s="1410" t="s">
        <v>332</v>
      </c>
      <c r="B150" s="1411"/>
      <c r="C150" s="1412">
        <f>'19'!E165</f>
        <v>55678</v>
      </c>
      <c r="D150" s="1412">
        <f>'19'!F165</f>
        <v>60120</v>
      </c>
      <c r="E150" s="1412">
        <f>'19'!G165</f>
        <v>59964</v>
      </c>
      <c r="F150" s="1413">
        <f t="shared" si="50"/>
        <v>99.740518962075853</v>
      </c>
      <c r="G150" s="1414">
        <f>'19'!J165</f>
        <v>55678000</v>
      </c>
      <c r="H150" s="1414">
        <f>'19'!K165</f>
        <v>60119957.5</v>
      </c>
      <c r="I150" s="1414">
        <f>'19'!L165</f>
        <v>59963538.280000001</v>
      </c>
      <c r="J150" s="1414"/>
      <c r="K150" s="1414"/>
      <c r="Q150" s="1391" t="s">
        <v>358</v>
      </c>
      <c r="R150" s="1396">
        <f>C144+C138+C131+C125</f>
        <v>800</v>
      </c>
      <c r="S150" s="1396">
        <f>D144+D138+D131+D125</f>
        <v>37148</v>
      </c>
      <c r="T150" s="1396">
        <f>E144+E138+E131+E125</f>
        <v>31492</v>
      </c>
    </row>
    <row r="151" spans="1:20" x14ac:dyDescent="0.2">
      <c r="A151" s="1410" t="s">
        <v>333</v>
      </c>
      <c r="B151" s="1411"/>
      <c r="C151" s="1412">
        <f>'19'!E166</f>
        <v>0</v>
      </c>
      <c r="D151" s="1412">
        <f>'19'!F166</f>
        <v>0</v>
      </c>
      <c r="E151" s="1412">
        <f>'19'!G166</f>
        <v>0</v>
      </c>
      <c r="F151" s="1413">
        <v>0</v>
      </c>
      <c r="G151" s="1414">
        <f>'19'!J166</f>
        <v>0</v>
      </c>
      <c r="H151" s="1414">
        <f>'19'!K166</f>
        <v>0</v>
      </c>
      <c r="I151" s="1414">
        <f>'19'!L166</f>
        <v>0</v>
      </c>
      <c r="J151" s="1414"/>
      <c r="K151" s="1414"/>
      <c r="Q151" s="1391" t="s">
        <v>684</v>
      </c>
      <c r="R151" s="1396">
        <f>C126+C132+C139+C145</f>
        <v>0</v>
      </c>
      <c r="S151" s="1396">
        <f>D126+D132+D139+D145</f>
        <v>26665</v>
      </c>
      <c r="T151" s="1396">
        <f>E126+E132+E139+E145</f>
        <v>26665</v>
      </c>
    </row>
    <row r="152" spans="1:20" x14ac:dyDescent="0.2">
      <c r="A152" s="1416" t="s">
        <v>336</v>
      </c>
      <c r="B152" s="1411"/>
      <c r="C152" s="1412">
        <f>'19'!E167</f>
        <v>0</v>
      </c>
      <c r="D152" s="1412">
        <f>'19'!F167</f>
        <v>0</v>
      </c>
      <c r="E152" s="1412">
        <f>'19'!G167</f>
        <v>0</v>
      </c>
      <c r="F152" s="1413">
        <v>0</v>
      </c>
      <c r="G152" s="1414">
        <f>'19'!J167</f>
        <v>0</v>
      </c>
      <c r="H152" s="1414">
        <f>'19'!K167</f>
        <v>0</v>
      </c>
      <c r="I152" s="1414">
        <f>'19'!L167</f>
        <v>0</v>
      </c>
      <c r="J152" s="1414"/>
      <c r="K152" s="1414"/>
      <c r="Q152" s="1391" t="s">
        <v>461</v>
      </c>
      <c r="R152" s="1396">
        <f>C127</f>
        <v>0</v>
      </c>
      <c r="S152" s="1396">
        <f t="shared" ref="S152:T152" si="57">D127</f>
        <v>0</v>
      </c>
      <c r="T152" s="1396">
        <f t="shared" si="57"/>
        <v>28382</v>
      </c>
    </row>
    <row r="153" spans="1:20" x14ac:dyDescent="0.2">
      <c r="A153" s="1456" t="s">
        <v>337</v>
      </c>
      <c r="B153" s="1411"/>
      <c r="C153" s="1412">
        <f>'19'!E168</f>
        <v>0</v>
      </c>
      <c r="D153" s="1412">
        <f>'19'!F168</f>
        <v>0</v>
      </c>
      <c r="E153" s="1412">
        <f>'19'!G168</f>
        <v>0</v>
      </c>
      <c r="F153" s="1413">
        <v>0</v>
      </c>
      <c r="G153" s="1414">
        <f>'19'!J168</f>
        <v>0</v>
      </c>
      <c r="H153" s="1414">
        <f>'19'!K168</f>
        <v>0</v>
      </c>
      <c r="I153" s="1414">
        <f>'19'!L168</f>
        <v>0</v>
      </c>
      <c r="J153" s="1414"/>
      <c r="K153" s="1414">
        <f>G123+G129+G136+G134+G142+G150+G155+G160</f>
        <v>2693255000</v>
      </c>
      <c r="L153" s="1414">
        <f t="shared" ref="L153:M153" si="58">H123+H129+H136+H134+H142+H150+H155+H160</f>
        <v>2850292821.27</v>
      </c>
      <c r="M153" s="1414">
        <f t="shared" si="58"/>
        <v>2831917651.1399999</v>
      </c>
      <c r="N153" s="1414" t="s">
        <v>335</v>
      </c>
      <c r="Q153" s="1391" t="s">
        <v>1254</v>
      </c>
      <c r="R153" s="1396">
        <f>C159+C146+C133</f>
        <v>18800</v>
      </c>
      <c r="S153" s="1396">
        <f>D159+D146+D133</f>
        <v>28281</v>
      </c>
      <c r="T153" s="1396">
        <f>E159+E146+E133</f>
        <v>24515</v>
      </c>
    </row>
    <row r="154" spans="1:20" x14ac:dyDescent="0.2">
      <c r="A154" s="1457" t="s">
        <v>339</v>
      </c>
      <c r="B154" s="1411"/>
      <c r="C154" s="1452">
        <f>SUM(C155:C158)</f>
        <v>2496931</v>
      </c>
      <c r="D154" s="1452">
        <f t="shared" ref="D154:E154" si="59">SUM(D155:D158)</f>
        <v>2664789</v>
      </c>
      <c r="E154" s="1452">
        <f t="shared" si="59"/>
        <v>2664635</v>
      </c>
      <c r="F154" s="1460">
        <f t="shared" si="50"/>
        <v>99.994220930812901</v>
      </c>
      <c r="G154" s="1414">
        <f>G155+G156+G157+G158</f>
        <v>2496931000</v>
      </c>
      <c r="H154" s="1414">
        <f t="shared" ref="H154:I154" si="60">H155+H156+H157+H158</f>
        <v>2664789815</v>
      </c>
      <c r="I154" s="1414">
        <f t="shared" si="60"/>
        <v>2664635358.9299998</v>
      </c>
      <c r="J154" s="1414"/>
      <c r="K154" s="1414">
        <f>G124+G130+G137+G143+G151+G156</f>
        <v>329339000</v>
      </c>
      <c r="L154" s="1414">
        <f t="shared" ref="L154:M154" si="61">H124+H130+H137+H143+H151+H156</f>
        <v>437206809.00999999</v>
      </c>
      <c r="M154" s="1414">
        <f t="shared" si="61"/>
        <v>341916084.52000004</v>
      </c>
      <c r="N154" s="1437" t="s">
        <v>305</v>
      </c>
      <c r="Q154" s="1427" t="s">
        <v>356</v>
      </c>
      <c r="R154" s="1461">
        <f>R148+R149+R150+R151+R152+R153</f>
        <v>3042194</v>
      </c>
      <c r="S154" s="1461">
        <f t="shared" ref="S154:T154" si="62">S148+S149+S150+S151+S152+S153</f>
        <v>3379592</v>
      </c>
      <c r="T154" s="1461">
        <f t="shared" si="62"/>
        <v>3284888</v>
      </c>
    </row>
    <row r="155" spans="1:20" x14ac:dyDescent="0.2">
      <c r="A155" s="1410" t="s">
        <v>981</v>
      </c>
      <c r="B155" s="1411"/>
      <c r="C155" s="1412">
        <f>'19'!E172</f>
        <v>2496931</v>
      </c>
      <c r="D155" s="1412">
        <f>'19'!F172</f>
        <v>2611647</v>
      </c>
      <c r="E155" s="1412">
        <f>'19'!G172</f>
        <v>2611596</v>
      </c>
      <c r="F155" s="1413">
        <f t="shared" si="50"/>
        <v>99.99804720928978</v>
      </c>
      <c r="G155" s="1414">
        <f>'19'!J172</f>
        <v>2496931000</v>
      </c>
      <c r="H155" s="1414">
        <f>'19'!K172</f>
        <v>2611647634.52</v>
      </c>
      <c r="I155" s="1414">
        <f>'19'!L172</f>
        <v>2611596218.4499998</v>
      </c>
      <c r="J155" s="1414"/>
      <c r="K155" s="1414">
        <f>G125+G131+G138+G144+G152+G157</f>
        <v>800000</v>
      </c>
      <c r="L155" s="1414">
        <f t="shared" ref="L155:M155" si="63">H125+H131+H138+H144+H152+H157</f>
        <v>37148052.090000004</v>
      </c>
      <c r="M155" s="1414">
        <f t="shared" si="63"/>
        <v>31491757.989999998</v>
      </c>
      <c r="N155" s="1437" t="s">
        <v>358</v>
      </c>
    </row>
    <row r="156" spans="1:20" x14ac:dyDescent="0.2">
      <c r="A156" s="1410" t="s">
        <v>1073</v>
      </c>
      <c r="B156" s="1411"/>
      <c r="C156" s="1412">
        <f>'19'!E173</f>
        <v>0</v>
      </c>
      <c r="D156" s="1412">
        <f>'19'!F173</f>
        <v>53142</v>
      </c>
      <c r="E156" s="1412">
        <f>'19'!G173</f>
        <v>53039</v>
      </c>
      <c r="F156" s="1413">
        <f t="shared" si="50"/>
        <v>99.806179669564571</v>
      </c>
      <c r="G156" s="1414">
        <f>'19'!J173</f>
        <v>0</v>
      </c>
      <c r="H156" s="1414">
        <f>'19'!K173</f>
        <v>53142180.479999997</v>
      </c>
      <c r="I156" s="1414">
        <f>'19'!L173</f>
        <v>53039140.479999997</v>
      </c>
      <c r="J156" s="1414"/>
      <c r="K156" s="1414">
        <f>G126+G132+G139+G145+G153+G158</f>
        <v>0</v>
      </c>
      <c r="L156" s="1414">
        <f>H126+H132+H139+H145+H153+H158</f>
        <v>26664602.399999999</v>
      </c>
      <c r="M156" s="1414">
        <f t="shared" ref="M156" si="64">I126+I132+I139+I145+I153+I158</f>
        <v>26664602.399999999</v>
      </c>
      <c r="N156" s="1437" t="s">
        <v>684</v>
      </c>
      <c r="Q156" s="1391" t="s">
        <v>698</v>
      </c>
      <c r="R156" s="1396">
        <f>C144+C142+C138+C136+C134+C131+C129+C125+C123+C150+C155+'14'!O182+'18'!K193+C160</f>
        <v>2712855</v>
      </c>
      <c r="S156" s="1396">
        <f>D144+D142+D138+D136+D134+D131+D129+D125+D123+D150+D155+'14'!P182+'18'!L193+D160</f>
        <v>2907431</v>
      </c>
      <c r="T156" s="1396">
        <f>E144+E142+E138+E136+E134+E131+E129+E125+E123+E150+E155+'14'!Q182+'18'!M193+E160</f>
        <v>2879668</v>
      </c>
    </row>
    <row r="157" spans="1:20" x14ac:dyDescent="0.2">
      <c r="A157" s="1456" t="s">
        <v>982</v>
      </c>
      <c r="B157" s="1411"/>
      <c r="C157" s="1412">
        <f>'19'!E174</f>
        <v>0</v>
      </c>
      <c r="D157" s="1412">
        <f>'19'!F174</f>
        <v>0</v>
      </c>
      <c r="E157" s="1412">
        <f>'19'!G174</f>
        <v>0</v>
      </c>
      <c r="F157" s="1413">
        <v>0</v>
      </c>
      <c r="G157" s="1428">
        <f>'19'!J174</f>
        <v>0</v>
      </c>
      <c r="H157" s="1414">
        <f>'19'!K174</f>
        <v>0</v>
      </c>
      <c r="I157" s="1414">
        <f>'19'!L174</f>
        <v>0</v>
      </c>
      <c r="J157" s="1414"/>
      <c r="K157" s="1414">
        <f>G127</f>
        <v>0</v>
      </c>
      <c r="L157" s="1414">
        <f t="shared" ref="L157:M157" si="65">H127</f>
        <v>0</v>
      </c>
      <c r="M157" s="1414">
        <f t="shared" si="65"/>
        <v>28382357.219999999</v>
      </c>
      <c r="N157" s="1437" t="s">
        <v>461</v>
      </c>
      <c r="Q157" s="1391" t="s">
        <v>699</v>
      </c>
      <c r="R157" s="1396">
        <f>C145+C143+C139+C137+C132+C130+C126+C124+C156+'14'!O183+'18'!K194+C151+C153+C158+'19'!O152</f>
        <v>329339</v>
      </c>
      <c r="S157" s="1396">
        <f>D145+D143+D139+D137+D132+D130+D126+D124+D156+'14'!P183+'18'!L194+D151+D153+D158+'19'!P152</f>
        <v>472161</v>
      </c>
      <c r="T157" s="1396">
        <f>E145+E143+E139+E137+E132+E130+E126+E124+E156+'14'!Q183+'18'!M194+'19'!Q152</f>
        <v>376838</v>
      </c>
    </row>
    <row r="158" spans="1:20" x14ac:dyDescent="0.2">
      <c r="A158" s="1456" t="s">
        <v>983</v>
      </c>
      <c r="B158" s="1411"/>
      <c r="C158" s="1412">
        <f>'19'!E175</f>
        <v>0</v>
      </c>
      <c r="D158" s="1412">
        <f>'19'!F175</f>
        <v>0</v>
      </c>
      <c r="E158" s="1412">
        <f>'19'!G175</f>
        <v>0</v>
      </c>
      <c r="F158" s="1413">
        <v>0</v>
      </c>
      <c r="G158" s="1428">
        <f>'19'!J175</f>
        <v>0</v>
      </c>
      <c r="H158" s="1414">
        <f>'19'!K175</f>
        <v>0</v>
      </c>
      <c r="I158" s="1414">
        <f>'19'!L175</f>
        <v>0</v>
      </c>
      <c r="J158" s="1414"/>
      <c r="K158" s="1414">
        <f>G159+G146+G133</f>
        <v>18800000</v>
      </c>
      <c r="L158" s="1414">
        <f t="shared" ref="L158:M158" si="66">H159+H146+H133</f>
        <v>28279986.800000001</v>
      </c>
      <c r="M158" s="1414">
        <f t="shared" si="66"/>
        <v>24514943.199999999</v>
      </c>
      <c r="N158" s="1437" t="s">
        <v>1254</v>
      </c>
      <c r="Q158" s="1391" t="s">
        <v>461</v>
      </c>
      <c r="R158" s="1396">
        <f>C127</f>
        <v>0</v>
      </c>
      <c r="S158" s="1396">
        <f t="shared" ref="S158:T158" si="67">D127</f>
        <v>0</v>
      </c>
      <c r="T158" s="1396">
        <f t="shared" si="67"/>
        <v>28382</v>
      </c>
    </row>
    <row r="159" spans="1:20" x14ac:dyDescent="0.2">
      <c r="A159" s="2579" t="s">
        <v>1254</v>
      </c>
      <c r="B159" s="1418"/>
      <c r="C159" s="2580">
        <f>'19'!E177</f>
        <v>0</v>
      </c>
      <c r="D159" s="2580">
        <f>'19'!F177</f>
        <v>349</v>
      </c>
      <c r="E159" s="2580">
        <f>'19'!G177</f>
        <v>349</v>
      </c>
      <c r="F159" s="2583">
        <f t="shared" si="50"/>
        <v>100</v>
      </c>
      <c r="G159" s="1422">
        <f>'19'!J177</f>
        <v>0</v>
      </c>
      <c r="H159" s="1422">
        <f>'19'!K177</f>
        <v>348631</v>
      </c>
      <c r="I159" s="1422">
        <f>'19'!L177</f>
        <v>348631</v>
      </c>
      <c r="J159" s="1414"/>
      <c r="K159" s="1409">
        <f>K153+K154+K155+K156+K157+K158</f>
        <v>3042194000</v>
      </c>
      <c r="L159" s="1409">
        <f>L153+L154+L155+L156+L157+L158</f>
        <v>3379592271.5700002</v>
      </c>
      <c r="M159" s="1409">
        <f>M153+M154+M155+M156+M157+M158</f>
        <v>3284887396.4699993</v>
      </c>
      <c r="N159" s="1443" t="s">
        <v>460</v>
      </c>
      <c r="Q159" s="1427" t="s">
        <v>356</v>
      </c>
      <c r="R159" s="1461">
        <f>R156+R157+R158</f>
        <v>3042194</v>
      </c>
      <c r="S159" s="1461">
        <f>S156+S157+S158</f>
        <v>3379592</v>
      </c>
      <c r="T159" s="1461">
        <f>T156+T157+T158</f>
        <v>3284888</v>
      </c>
    </row>
    <row r="160" spans="1:20" ht="15" x14ac:dyDescent="0.25">
      <c r="A160" s="1463" t="s">
        <v>1926</v>
      </c>
      <c r="B160" s="1464">
        <v>20</v>
      </c>
      <c r="C160" s="1589">
        <f>'20'!E16</f>
        <v>15</v>
      </c>
      <c r="D160" s="1589">
        <f>'20'!F16</f>
        <v>580</v>
      </c>
      <c r="E160" s="1589">
        <f>'20'!G16</f>
        <v>204</v>
      </c>
      <c r="F160" s="1590">
        <f>E160/D160*100</f>
        <v>35.172413793103445</v>
      </c>
      <c r="G160" s="3095">
        <f>'20'!J16</f>
        <v>15000</v>
      </c>
      <c r="H160" s="1591">
        <f>'20'!K16</f>
        <v>580347</v>
      </c>
      <c r="I160" s="1591">
        <f>'20'!L16</f>
        <v>203990</v>
      </c>
      <c r="J160" s="1414"/>
      <c r="K160" s="1409"/>
      <c r="L160" s="1409"/>
      <c r="M160" s="1409"/>
      <c r="N160" s="1443"/>
      <c r="Q160" s="1427"/>
      <c r="R160" s="1461"/>
      <c r="S160" s="1461"/>
      <c r="T160" s="1461"/>
    </row>
    <row r="161" spans="1:20" s="1427" customFormat="1" ht="15" x14ac:dyDescent="0.25">
      <c r="A161" s="3169" t="s">
        <v>554</v>
      </c>
      <c r="B161" s="1449">
        <v>30</v>
      </c>
      <c r="C161" s="1435">
        <f>SUM(C163:C165)</f>
        <v>1150</v>
      </c>
      <c r="D161" s="1435">
        <f>SUM(D163:D165)</f>
        <v>37</v>
      </c>
      <c r="E161" s="1435">
        <f>SUM(E163:E165)</f>
        <v>0</v>
      </c>
      <c r="F161" s="1431">
        <f>E161/D161*100</f>
        <v>0</v>
      </c>
      <c r="G161" s="1409">
        <f>SUM(G163:G165)</f>
        <v>1150000</v>
      </c>
      <c r="H161" s="1409">
        <f>SUM(H163:H165)</f>
        <v>37100</v>
      </c>
      <c r="I161" s="1409">
        <f>SUM(I163:I165)</f>
        <v>343</v>
      </c>
      <c r="J161" s="1409"/>
      <c r="K161" s="1414"/>
      <c r="L161" s="1414"/>
      <c r="M161" s="1414"/>
    </row>
    <row r="162" spans="1:20" s="1427" customFormat="1" ht="15" x14ac:dyDescent="0.25">
      <c r="A162" s="3168"/>
      <c r="B162" s="1449"/>
      <c r="C162" s="1435"/>
      <c r="D162" s="1435"/>
      <c r="E162" s="1435"/>
      <c r="F162" s="1431"/>
      <c r="G162" s="1409"/>
      <c r="H162" s="1409"/>
      <c r="I162" s="1409"/>
      <c r="J162" s="1409"/>
      <c r="K162" s="1414"/>
      <c r="L162" s="1414"/>
      <c r="M162" s="1414"/>
      <c r="S162" s="1461"/>
      <c r="T162" s="1461"/>
    </row>
    <row r="163" spans="1:20" s="1427" customFormat="1" x14ac:dyDescent="0.2">
      <c r="A163" s="1410" t="s">
        <v>332</v>
      </c>
      <c r="B163" s="1449"/>
      <c r="C163" s="1412">
        <f>'30'!E45</f>
        <v>1150</v>
      </c>
      <c r="D163" s="1412">
        <f>'30'!F45</f>
        <v>37</v>
      </c>
      <c r="E163" s="1412">
        <f>'30'!G45</f>
        <v>0</v>
      </c>
      <c r="F163" s="1413">
        <f>E163/D163*100</f>
        <v>0</v>
      </c>
      <c r="G163" s="2210">
        <f>'30'!J45</f>
        <v>1150000</v>
      </c>
      <c r="H163" s="2210">
        <f>'30'!K45</f>
        <v>37100</v>
      </c>
      <c r="I163" s="2210">
        <f>'30'!L45</f>
        <v>343</v>
      </c>
      <c r="J163" s="1414"/>
      <c r="K163" s="1414"/>
    </row>
    <row r="164" spans="1:20" s="1427" customFormat="1" x14ac:dyDescent="0.2">
      <c r="A164" s="1410" t="s">
        <v>333</v>
      </c>
      <c r="B164" s="1449"/>
      <c r="C164" s="1412">
        <f>'30'!E46</f>
        <v>0</v>
      </c>
      <c r="D164" s="1412">
        <f>'30'!F46</f>
        <v>0</v>
      </c>
      <c r="E164" s="1412">
        <f>'30'!G46</f>
        <v>0</v>
      </c>
      <c r="F164" s="1413">
        <v>0</v>
      </c>
      <c r="G164" s="2210">
        <f>'30'!J46</f>
        <v>0</v>
      </c>
      <c r="H164" s="2210">
        <f>'30'!K46</f>
        <v>0</v>
      </c>
      <c r="I164" s="2210">
        <f>'30'!L46</f>
        <v>0</v>
      </c>
      <c r="J164" s="1414"/>
      <c r="K164" s="1414"/>
    </row>
    <row r="165" spans="1:20" s="1427" customFormat="1" x14ac:dyDescent="0.2">
      <c r="A165" s="1417" t="s">
        <v>555</v>
      </c>
      <c r="B165" s="1467"/>
      <c r="C165" s="1412">
        <f>'30'!E47</f>
        <v>0</v>
      </c>
      <c r="D165" s="1412">
        <f>'30'!F47</f>
        <v>0</v>
      </c>
      <c r="E165" s="1412">
        <f>'30'!G47</f>
        <v>0</v>
      </c>
      <c r="F165" s="1420">
        <v>0</v>
      </c>
      <c r="G165" s="2601">
        <f>'30'!J47</f>
        <v>0</v>
      </c>
      <c r="H165" s="2602">
        <f>'30'!K47</f>
        <v>0</v>
      </c>
      <c r="I165" s="2602">
        <f>'30'!L47</f>
        <v>0</v>
      </c>
      <c r="J165" s="1414"/>
      <c r="K165" s="1414"/>
    </row>
    <row r="166" spans="1:20" s="1392" customFormat="1" ht="15" x14ac:dyDescent="0.25">
      <c r="A166" s="1423" t="s">
        <v>620</v>
      </c>
      <c r="B166" s="1459">
        <v>32</v>
      </c>
      <c r="C166" s="1425">
        <f>SUM(C167:C169)</f>
        <v>0</v>
      </c>
      <c r="D166" s="1425">
        <f>SUM(D167:D169)</f>
        <v>0</v>
      </c>
      <c r="E166" s="1425">
        <f>SUM(E167:E169)</f>
        <v>1007137</v>
      </c>
      <c r="F166" s="1431">
        <v>0</v>
      </c>
      <c r="G166" s="1409">
        <f>SUM(G167:G169)</f>
        <v>0</v>
      </c>
      <c r="H166" s="1409">
        <f>SUM(H167:H169)</f>
        <v>0</v>
      </c>
      <c r="I166" s="1409">
        <f>SUM(I167:I169)</f>
        <v>1007137387.65</v>
      </c>
      <c r="J166" s="1409"/>
      <c r="K166" s="1409"/>
    </row>
    <row r="167" spans="1:20" s="1427" customFormat="1" x14ac:dyDescent="0.2">
      <c r="A167" s="1410" t="s">
        <v>332</v>
      </c>
      <c r="B167" s="1449"/>
      <c r="C167" s="1412">
        <f>'32'!E44</f>
        <v>0</v>
      </c>
      <c r="D167" s="1412">
        <f>'32'!F44</f>
        <v>0</v>
      </c>
      <c r="E167" s="1412">
        <f>'32'!G44</f>
        <v>23</v>
      </c>
      <c r="F167" s="1413">
        <v>0</v>
      </c>
      <c r="G167" s="1385">
        <f>'32'!J44</f>
        <v>0</v>
      </c>
      <c r="H167" s="1385">
        <f>'32'!K44</f>
        <v>0</v>
      </c>
      <c r="I167" s="1385">
        <f>'32'!L44</f>
        <v>23637.93</v>
      </c>
      <c r="J167" s="1414"/>
      <c r="K167" s="1414"/>
    </row>
    <row r="168" spans="1:20" s="1427" customFormat="1" ht="17.25" customHeight="1" x14ac:dyDescent="0.2">
      <c r="A168" s="1410" t="s">
        <v>333</v>
      </c>
      <c r="B168" s="1449"/>
      <c r="C168" s="1412">
        <f>'32'!E45</f>
        <v>0</v>
      </c>
      <c r="D168" s="1412">
        <f>'32'!F45</f>
        <v>0</v>
      </c>
      <c r="E168" s="1412">
        <f>'32'!G45</f>
        <v>0</v>
      </c>
      <c r="F168" s="1413">
        <v>0</v>
      </c>
      <c r="G168" s="1385">
        <f>'32'!J45</f>
        <v>0</v>
      </c>
      <c r="H168" s="1385">
        <f>'32'!K45</f>
        <v>0</v>
      </c>
      <c r="I168" s="1385">
        <f>'32'!L45</f>
        <v>0</v>
      </c>
      <c r="J168" s="1414"/>
      <c r="K168" s="1414"/>
    </row>
    <row r="169" spans="1:20" s="1427" customFormat="1" x14ac:dyDescent="0.2">
      <c r="A169" s="1417" t="s">
        <v>555</v>
      </c>
      <c r="B169" s="1467"/>
      <c r="C169" s="1419">
        <f>'32'!E46</f>
        <v>0</v>
      </c>
      <c r="D169" s="1419">
        <f>'32'!F46</f>
        <v>0</v>
      </c>
      <c r="E169" s="1419">
        <f>'32'!G46</f>
        <v>1007114</v>
      </c>
      <c r="F169" s="1420">
        <v>0</v>
      </c>
      <c r="G169" s="2187">
        <f>'32'!J46</f>
        <v>0</v>
      </c>
      <c r="H169" s="2187">
        <f>'32'!K46</f>
        <v>0</v>
      </c>
      <c r="I169" s="2187">
        <f>'32'!L46</f>
        <v>1007113749.72</v>
      </c>
      <c r="J169" s="1414"/>
      <c r="K169" s="1414"/>
    </row>
    <row r="170" spans="1:20" s="1427" customFormat="1" ht="15" hidden="1" customHeight="1" x14ac:dyDescent="0.25">
      <c r="A170" s="3169" t="s">
        <v>812</v>
      </c>
      <c r="B170" s="1449">
        <v>36</v>
      </c>
      <c r="C170" s="1435">
        <f>C173+C174+C175</f>
        <v>0</v>
      </c>
      <c r="D170" s="1435">
        <f>D173+D174+D175</f>
        <v>0</v>
      </c>
      <c r="E170" s="1435">
        <f>E173+E174+E175</f>
        <v>0</v>
      </c>
      <c r="F170" s="1431">
        <v>0</v>
      </c>
      <c r="G170" s="1409">
        <f>G173+G174+G175</f>
        <v>0</v>
      </c>
      <c r="H170" s="1409">
        <f>H173+H174+H175</f>
        <v>0</v>
      </c>
      <c r="I170" s="1409">
        <f>I173+I174+I175</f>
        <v>0</v>
      </c>
      <c r="J170" s="1414"/>
      <c r="K170" s="1414"/>
      <c r="Q170" s="1461"/>
      <c r="R170" s="1461"/>
      <c r="S170" s="1461"/>
    </row>
    <row r="171" spans="1:20" s="1427" customFormat="1" ht="15" hidden="1" x14ac:dyDescent="0.25">
      <c r="A171" s="3167"/>
      <c r="B171" s="1449"/>
      <c r="C171" s="1412"/>
      <c r="D171" s="1412"/>
      <c r="E171" s="1412"/>
      <c r="F171" s="1431"/>
      <c r="G171" s="1414"/>
      <c r="H171" s="1414"/>
      <c r="I171" s="1414"/>
      <c r="J171" s="1414"/>
      <c r="K171" s="1414"/>
    </row>
    <row r="172" spans="1:20" s="1427" customFormat="1" ht="15" hidden="1" x14ac:dyDescent="0.25">
      <c r="A172" s="3167"/>
      <c r="B172" s="1449"/>
      <c r="C172" s="1412"/>
      <c r="D172" s="1412"/>
      <c r="E172" s="1412"/>
      <c r="F172" s="1431"/>
      <c r="G172" s="1414"/>
      <c r="H172" s="1414"/>
      <c r="I172" s="1414"/>
      <c r="J172" s="1414"/>
      <c r="K172" s="1414"/>
      <c r="Q172" s="1461"/>
      <c r="R172" s="1461"/>
      <c r="S172" s="1461"/>
    </row>
    <row r="173" spans="1:20" s="1427" customFormat="1" hidden="1" x14ac:dyDescent="0.2">
      <c r="A173" s="1410" t="s">
        <v>332</v>
      </c>
      <c r="B173" s="1449"/>
      <c r="C173" s="1412">
        <f>'36'!E15</f>
        <v>0</v>
      </c>
      <c r="D173" s="1412">
        <v>0</v>
      </c>
      <c r="E173" s="1412">
        <v>0</v>
      </c>
      <c r="F173" s="1413">
        <v>0</v>
      </c>
      <c r="G173" s="1385">
        <v>0</v>
      </c>
      <c r="H173" s="1385"/>
      <c r="I173" s="1385">
        <v>0</v>
      </c>
      <c r="J173" s="1414"/>
      <c r="K173" s="1414"/>
      <c r="Q173" s="1461"/>
      <c r="R173" s="1461"/>
      <c r="S173" s="1461"/>
    </row>
    <row r="174" spans="1:20" s="1427" customFormat="1" hidden="1" x14ac:dyDescent="0.2">
      <c r="A174" s="1410" t="s">
        <v>333</v>
      </c>
      <c r="B174" s="1449"/>
      <c r="C174" s="1412">
        <f>'36'!E16</f>
        <v>0</v>
      </c>
      <c r="D174" s="1412">
        <f>'36'!F16</f>
        <v>0</v>
      </c>
      <c r="E174" s="1412">
        <f>'36'!G16</f>
        <v>0</v>
      </c>
      <c r="F174" s="1413">
        <v>0</v>
      </c>
      <c r="G174" s="1386">
        <v>0</v>
      </c>
      <c r="H174" s="1386">
        <v>0</v>
      </c>
      <c r="I174" s="1386">
        <v>0</v>
      </c>
      <c r="J174" s="1414"/>
      <c r="K174" s="1414"/>
      <c r="Q174" s="1461"/>
      <c r="R174" s="1461"/>
      <c r="S174" s="1461"/>
    </row>
    <row r="175" spans="1:20" s="1427" customFormat="1" hidden="1" x14ac:dyDescent="0.2">
      <c r="A175" s="1417" t="s">
        <v>555</v>
      </c>
      <c r="B175" s="1449"/>
      <c r="C175" s="1412">
        <f>'36'!E17</f>
        <v>0</v>
      </c>
      <c r="D175" s="1412">
        <f>'36'!F17</f>
        <v>0</v>
      </c>
      <c r="E175" s="1412">
        <f>'36'!G17</f>
        <v>0</v>
      </c>
      <c r="F175" s="1420">
        <v>0</v>
      </c>
      <c r="G175" s="1387">
        <v>0</v>
      </c>
      <c r="H175" s="1388">
        <v>0</v>
      </c>
      <c r="I175" s="1388">
        <v>0</v>
      </c>
      <c r="J175" s="1414"/>
      <c r="K175" s="1414"/>
      <c r="Q175" s="1461"/>
      <c r="R175" s="1461"/>
      <c r="S175" s="1461"/>
    </row>
    <row r="176" spans="1:20" s="1392" customFormat="1" ht="15" hidden="1" customHeight="1" x14ac:dyDescent="0.25">
      <c r="A176" s="3169" t="s">
        <v>762</v>
      </c>
      <c r="B176" s="1459">
        <v>37</v>
      </c>
      <c r="C176" s="1425">
        <f>SUM(C179:C181)</f>
        <v>0</v>
      </c>
      <c r="D176" s="1425">
        <f>SUM(D179:D181)</f>
        <v>0</v>
      </c>
      <c r="E176" s="1425">
        <f>SUM(E179:E181)</f>
        <v>0</v>
      </c>
      <c r="F176" s="1431">
        <v>0</v>
      </c>
      <c r="G176" s="1409">
        <f>SUM(G179:G181)</f>
        <v>0</v>
      </c>
      <c r="H176" s="1409">
        <f>SUM(H179:H181)</f>
        <v>0</v>
      </c>
      <c r="I176" s="1409">
        <f>SUM(I179:I181)</f>
        <v>0</v>
      </c>
      <c r="J176" s="1409"/>
      <c r="K176" s="1409"/>
    </row>
    <row r="177" spans="1:20" s="1392" customFormat="1" ht="15" hidden="1" x14ac:dyDescent="0.25">
      <c r="A177" s="3167"/>
      <c r="B177" s="1449"/>
      <c r="C177" s="1435"/>
      <c r="D177" s="1435"/>
      <c r="E177" s="1435"/>
      <c r="F177" s="1431"/>
      <c r="G177" s="1409"/>
      <c r="H177" s="1409"/>
      <c r="I177" s="1409"/>
      <c r="J177" s="1409"/>
      <c r="K177" s="1409"/>
    </row>
    <row r="178" spans="1:20" s="1392" customFormat="1" ht="15" hidden="1" x14ac:dyDescent="0.25">
      <c r="A178" s="3167"/>
      <c r="B178" s="1449"/>
      <c r="C178" s="1435"/>
      <c r="D178" s="1435"/>
      <c r="E178" s="1435"/>
      <c r="F178" s="1431"/>
      <c r="G178" s="1409"/>
      <c r="H178" s="1409"/>
      <c r="I178" s="1409"/>
      <c r="J178" s="1409"/>
      <c r="K178" s="1409"/>
    </row>
    <row r="179" spans="1:20" s="1427" customFormat="1" hidden="1" x14ac:dyDescent="0.2">
      <c r="A179" s="1410" t="s">
        <v>332</v>
      </c>
      <c r="B179" s="1449"/>
      <c r="C179" s="1412">
        <f>'37'!E16</f>
        <v>0</v>
      </c>
      <c r="D179" s="1412">
        <v>0</v>
      </c>
      <c r="E179" s="1412">
        <v>0</v>
      </c>
      <c r="F179" s="1413">
        <v>0</v>
      </c>
      <c r="G179" s="1385">
        <v>0</v>
      </c>
      <c r="H179" s="1385">
        <v>0</v>
      </c>
      <c r="I179" s="1385">
        <v>0</v>
      </c>
      <c r="J179" s="1414"/>
      <c r="K179" s="1414"/>
    </row>
    <row r="180" spans="1:20" s="1427" customFormat="1" hidden="1" x14ac:dyDescent="0.2">
      <c r="A180" s="1410" t="s">
        <v>333</v>
      </c>
      <c r="B180" s="1449"/>
      <c r="C180" s="1412">
        <f>'37'!E17</f>
        <v>0</v>
      </c>
      <c r="D180" s="1412">
        <f>'37'!F17</f>
        <v>0</v>
      </c>
      <c r="E180" s="1412">
        <f>'37'!G17</f>
        <v>0</v>
      </c>
      <c r="F180" s="1413">
        <v>0</v>
      </c>
      <c r="G180" s="1386">
        <v>0</v>
      </c>
      <c r="H180" s="1386">
        <v>0</v>
      </c>
      <c r="I180" s="1386">
        <v>0</v>
      </c>
      <c r="J180" s="1414"/>
      <c r="K180" s="1414"/>
    </row>
    <row r="181" spans="1:20" s="1427" customFormat="1" hidden="1" x14ac:dyDescent="0.2">
      <c r="A181" s="1417" t="s">
        <v>555</v>
      </c>
      <c r="B181" s="1467"/>
      <c r="C181" s="1419">
        <f>'37'!E18</f>
        <v>0</v>
      </c>
      <c r="D181" s="1419">
        <f>'37'!F18</f>
        <v>0</v>
      </c>
      <c r="E181" s="1419">
        <f>'37'!G18</f>
        <v>0</v>
      </c>
      <c r="F181" s="1420">
        <v>0</v>
      </c>
      <c r="G181" s="1387">
        <v>0</v>
      </c>
      <c r="H181" s="1388">
        <v>0</v>
      </c>
      <c r="I181" s="1388">
        <v>0</v>
      </c>
      <c r="J181" s="1414"/>
      <c r="K181" s="1414"/>
    </row>
    <row r="182" spans="1:20" s="1427" customFormat="1" ht="15.75" customHeight="1" x14ac:dyDescent="0.2">
      <c r="A182" s="3169" t="s">
        <v>14</v>
      </c>
      <c r="B182" s="1449"/>
      <c r="C182" s="1468"/>
      <c r="D182" s="1468"/>
      <c r="E182" s="1468"/>
      <c r="F182" s="1469"/>
      <c r="G182" s="1414"/>
      <c r="H182" s="1414"/>
      <c r="I182" s="1414"/>
      <c r="J182" s="1414"/>
      <c r="K182" s="1414"/>
      <c r="L182" s="1414"/>
      <c r="M182" s="1414"/>
      <c r="Q182" s="1391"/>
    </row>
    <row r="183" spans="1:20" s="1427" customFormat="1" ht="16.5" customHeight="1" x14ac:dyDescent="0.25">
      <c r="A183" s="3167"/>
      <c r="B183" s="1449">
        <v>50</v>
      </c>
      <c r="C183" s="1592">
        <f>C184+C185+C186</f>
        <v>48692</v>
      </c>
      <c r="D183" s="1592">
        <f>D184+D185+D186</f>
        <v>174790</v>
      </c>
      <c r="E183" s="1592">
        <f>E184+E185+E186</f>
        <v>159830</v>
      </c>
      <c r="F183" s="1431">
        <f>E183/D183*100</f>
        <v>91.441157960981741</v>
      </c>
      <c r="G183" s="1409">
        <f>SUM(G184:G186)</f>
        <v>48692000</v>
      </c>
      <c r="H183" s="1409">
        <f>SUM(H184:H186)</f>
        <v>174790187.72999999</v>
      </c>
      <c r="I183" s="1409">
        <f>SUM(I184:I186)</f>
        <v>159829634.10999998</v>
      </c>
      <c r="J183" s="1409"/>
      <c r="Q183" s="1391"/>
    </row>
    <row r="184" spans="1:20" s="1427" customFormat="1" x14ac:dyDescent="0.2">
      <c r="A184" s="1410" t="s">
        <v>332</v>
      </c>
      <c r="B184" s="1449"/>
      <c r="C184" s="1412">
        <f>'50'!E219</f>
        <v>0</v>
      </c>
      <c r="D184" s="1412">
        <f>'50'!F219</f>
        <v>36070</v>
      </c>
      <c r="E184" s="1412">
        <f>'50'!G219</f>
        <v>346</v>
      </c>
      <c r="F184" s="1413">
        <f>E184/D184*100</f>
        <v>0.95924591072913779</v>
      </c>
      <c r="G184" s="1386">
        <f>'50'!K219</f>
        <v>0</v>
      </c>
      <c r="H184" s="1386">
        <f>'50'!L219</f>
        <v>36069732.780000001</v>
      </c>
      <c r="I184" s="1386">
        <f>'50'!M219</f>
        <v>346258.21</v>
      </c>
      <c r="J184" s="1414"/>
      <c r="Q184" s="1391"/>
    </row>
    <row r="185" spans="1:20" s="1427" customFormat="1" x14ac:dyDescent="0.2">
      <c r="A185" s="1410" t="s">
        <v>333</v>
      </c>
      <c r="B185" s="1449"/>
      <c r="C185" s="1412">
        <f>'50'!E220</f>
        <v>48692</v>
      </c>
      <c r="D185" s="1412">
        <f>'50'!F220</f>
        <v>138720</v>
      </c>
      <c r="E185" s="1412">
        <f>'50'!G220</f>
        <v>118835</v>
      </c>
      <c r="F185" s="1413">
        <f>E185/D185*100</f>
        <v>85.665369088812</v>
      </c>
      <c r="G185" s="1386">
        <f>'50'!K220</f>
        <v>48692000</v>
      </c>
      <c r="H185" s="1386">
        <f>'50'!L220</f>
        <v>138720454.94999999</v>
      </c>
      <c r="I185" s="1386">
        <f>'50'!M220</f>
        <v>118834698.64</v>
      </c>
      <c r="J185" s="1414"/>
      <c r="Q185" s="1391"/>
    </row>
    <row r="186" spans="1:20" s="1427" customFormat="1" x14ac:dyDescent="0.2">
      <c r="A186" s="1417" t="s">
        <v>555</v>
      </c>
      <c r="B186" s="1467"/>
      <c r="C186" s="1419">
        <f>'50'!E221</f>
        <v>0</v>
      </c>
      <c r="D186" s="1419">
        <f>'50'!F221</f>
        <v>0</v>
      </c>
      <c r="E186" s="1419">
        <f>'50'!G221</f>
        <v>40649</v>
      </c>
      <c r="F186" s="1420">
        <v>0</v>
      </c>
      <c r="G186" s="1388">
        <f>'50'!K221</f>
        <v>0</v>
      </c>
      <c r="H186" s="1388">
        <f>'50'!L221</f>
        <v>0</v>
      </c>
      <c r="I186" s="1388">
        <f>'50'!M221</f>
        <v>40648677.259999998</v>
      </c>
      <c r="J186" s="1414"/>
      <c r="Q186" s="1391"/>
    </row>
    <row r="187" spans="1:20" s="1427" customFormat="1" ht="16.5" customHeight="1" x14ac:dyDescent="0.2">
      <c r="A187" s="3179" t="s">
        <v>470</v>
      </c>
      <c r="B187" s="1449"/>
      <c r="C187" s="1412"/>
      <c r="D187" s="1412"/>
      <c r="E187" s="1412"/>
      <c r="F187" s="1413"/>
      <c r="G187" s="1414"/>
      <c r="H187" s="1414"/>
      <c r="I187" s="1414"/>
      <c r="J187" s="1414"/>
      <c r="Q187" s="1427" t="s">
        <v>852</v>
      </c>
    </row>
    <row r="188" spans="1:20" s="1427" customFormat="1" ht="13.5" customHeight="1" x14ac:dyDescent="0.2">
      <c r="A188" s="3180"/>
      <c r="B188" s="1449">
        <v>52</v>
      </c>
      <c r="C188" s="1593">
        <f>C189+C190+C191</f>
        <v>114775</v>
      </c>
      <c r="D188" s="1593">
        <f>D189+D190+D191</f>
        <v>130472</v>
      </c>
      <c r="E188" s="1593">
        <f>E189+E190+E191</f>
        <v>128170</v>
      </c>
      <c r="F188" s="1594">
        <f>E188/D188*100</f>
        <v>98.235636764976391</v>
      </c>
      <c r="G188" s="1595">
        <f>SUM(G189:G191)</f>
        <v>114775000</v>
      </c>
      <c r="H188" s="1595">
        <f>SUM(H189:H191)</f>
        <v>130471761.84999999</v>
      </c>
      <c r="I188" s="1595">
        <f>SUM(I189:I191)</f>
        <v>128170791.73</v>
      </c>
      <c r="J188" s="1409"/>
      <c r="Q188" s="1391" t="s">
        <v>698</v>
      </c>
      <c r="R188" s="1396">
        <f>C167+C173+C179+C184+C189+C163</f>
        <v>6150</v>
      </c>
      <c r="S188" s="1396">
        <f t="shared" ref="S188:T190" si="68">D167+D173+D179+D184+D189+D163</f>
        <v>37646</v>
      </c>
      <c r="T188" s="1396">
        <f t="shared" si="68"/>
        <v>1720</v>
      </c>
    </row>
    <row r="189" spans="1:20" s="1427" customFormat="1" x14ac:dyDescent="0.2">
      <c r="A189" s="1410" t="s">
        <v>332</v>
      </c>
      <c r="B189" s="1449"/>
      <c r="C189" s="1412">
        <f>'52'!E1042</f>
        <v>5000</v>
      </c>
      <c r="D189" s="1412">
        <f>'52'!F1042</f>
        <v>1539</v>
      </c>
      <c r="E189" s="1412">
        <f>'52'!G1042</f>
        <v>1351</v>
      </c>
      <c r="F189" s="1413">
        <f>E189/D189*100</f>
        <v>87.784275503573753</v>
      </c>
      <c r="G189" s="1386">
        <f>'52'!J1042</f>
        <v>5000000</v>
      </c>
      <c r="H189" s="1386">
        <f>'52'!K1042</f>
        <v>1538863.6</v>
      </c>
      <c r="I189" s="1386">
        <f>'52'!L1042</f>
        <v>1351574.2000000002</v>
      </c>
      <c r="J189" s="1414"/>
      <c r="Q189" s="1391" t="s">
        <v>699</v>
      </c>
      <c r="R189" s="1396">
        <f>C168+C174+C180+C185+C190+C164</f>
        <v>158467</v>
      </c>
      <c r="S189" s="1396">
        <f t="shared" si="68"/>
        <v>267653</v>
      </c>
      <c r="T189" s="1396">
        <f t="shared" si="68"/>
        <v>221349</v>
      </c>
    </row>
    <row r="190" spans="1:20" s="1427" customFormat="1" x14ac:dyDescent="0.2">
      <c r="A190" s="1410" t="s">
        <v>333</v>
      </c>
      <c r="B190" s="1449"/>
      <c r="C190" s="1412">
        <f>'52'!E1043</f>
        <v>109775</v>
      </c>
      <c r="D190" s="1412">
        <f>'52'!F1043</f>
        <v>128933</v>
      </c>
      <c r="E190" s="1412">
        <f>'52'!G1043</f>
        <v>102514</v>
      </c>
      <c r="F190" s="1413">
        <f>E190/D190*100</f>
        <v>79.509512692638822</v>
      </c>
      <c r="G190" s="1386">
        <f>'52'!J1043</f>
        <v>109775000</v>
      </c>
      <c r="H190" s="1386">
        <f>'52'!K1043</f>
        <v>128932898.25</v>
      </c>
      <c r="I190" s="1386">
        <f>'52'!L1043</f>
        <v>102513641.01000001</v>
      </c>
      <c r="J190" s="1414"/>
      <c r="Q190" s="1391" t="s">
        <v>461</v>
      </c>
      <c r="R190" s="1396">
        <f>C169+C175+C181+C186+C191+C165</f>
        <v>0</v>
      </c>
      <c r="S190" s="1396">
        <f t="shared" si="68"/>
        <v>0</v>
      </c>
      <c r="T190" s="1396">
        <f t="shared" si="68"/>
        <v>1072068</v>
      </c>
    </row>
    <row r="191" spans="1:20" s="1427" customFormat="1" ht="15" thickBot="1" x14ac:dyDescent="0.25">
      <c r="A191" s="1575" t="s">
        <v>555</v>
      </c>
      <c r="B191" s="1547"/>
      <c r="C191" s="1439">
        <f>'52'!E1044</f>
        <v>0</v>
      </c>
      <c r="D191" s="1439">
        <f>'52'!F1044</f>
        <v>0</v>
      </c>
      <c r="E191" s="1439">
        <f>'52'!G1044</f>
        <v>24305</v>
      </c>
      <c r="F191" s="1440">
        <v>0</v>
      </c>
      <c r="G191" s="1387">
        <f>'52'!J1044</f>
        <v>0</v>
      </c>
      <c r="H191" s="1388">
        <f>'52'!K1044</f>
        <v>0</v>
      </c>
      <c r="I191" s="1388">
        <f>'52'!L1044</f>
        <v>24305576.52</v>
      </c>
      <c r="J191" s="1414"/>
      <c r="Q191" s="1427" t="s">
        <v>356</v>
      </c>
      <c r="R191" s="1461">
        <f>R188+R189+R190</f>
        <v>164617</v>
      </c>
      <c r="S191" s="1461">
        <f>S188+S189+S190</f>
        <v>305299</v>
      </c>
      <c r="T191" s="1461">
        <f>T188+T189+T190</f>
        <v>1295137</v>
      </c>
    </row>
    <row r="192" spans="1:20" s="1427" customFormat="1" ht="15" thickTop="1" x14ac:dyDescent="0.2">
      <c r="A192" s="1472"/>
      <c r="B192" s="3137"/>
      <c r="C192" s="1473"/>
      <c r="D192" s="1473"/>
      <c r="E192" s="1473"/>
      <c r="F192" s="1474"/>
      <c r="G192" s="1390"/>
      <c r="H192" s="1390"/>
      <c r="I192" s="1390"/>
      <c r="J192" s="1414"/>
      <c r="K192" s="1414"/>
      <c r="R192" s="1461"/>
      <c r="S192" s="1461"/>
      <c r="T192" s="1461"/>
    </row>
    <row r="193" spans="1:20" s="1427" customFormat="1" x14ac:dyDescent="0.2">
      <c r="A193" s="1472"/>
      <c r="B193" s="3137"/>
      <c r="C193" s="1473"/>
      <c r="D193" s="1473"/>
      <c r="E193" s="1473"/>
      <c r="F193" s="1474"/>
      <c r="G193" s="1390"/>
      <c r="H193" s="1390"/>
      <c r="I193" s="1390"/>
      <c r="J193" s="1414"/>
      <c r="K193" s="1414"/>
      <c r="R193" s="1461"/>
      <c r="S193" s="1461"/>
      <c r="T193" s="1461"/>
    </row>
    <row r="194" spans="1:20" s="1427" customFormat="1" ht="15" thickBot="1" x14ac:dyDescent="0.25">
      <c r="A194" s="2818"/>
      <c r="B194" s="2819"/>
      <c r="C194" s="1510"/>
      <c r="D194" s="1510"/>
      <c r="E194" s="1510"/>
      <c r="F194" s="3101" t="s">
        <v>92</v>
      </c>
      <c r="G194" s="1390"/>
      <c r="H194" s="1390"/>
      <c r="I194" s="1390"/>
      <c r="J194" s="1414"/>
      <c r="K194" s="1414"/>
      <c r="R194" s="1461"/>
      <c r="S194" s="1461"/>
      <c r="T194" s="1461"/>
    </row>
    <row r="195" spans="1:20" s="1427" customFormat="1" ht="27" thickTop="1" thickBot="1" x14ac:dyDescent="0.25">
      <c r="A195" s="1397" t="s">
        <v>327</v>
      </c>
      <c r="B195" s="1398" t="s">
        <v>330</v>
      </c>
      <c r="C195" s="1399" t="s">
        <v>328</v>
      </c>
      <c r="D195" s="1399" t="s">
        <v>329</v>
      </c>
      <c r="E195" s="1399" t="s">
        <v>448</v>
      </c>
      <c r="F195" s="1400" t="s">
        <v>449</v>
      </c>
      <c r="G195" s="1390"/>
      <c r="H195" s="1390"/>
      <c r="I195" s="1390"/>
      <c r="J195" s="1414"/>
      <c r="K195" s="1414"/>
      <c r="R195" s="1461"/>
      <c r="S195" s="1461"/>
      <c r="T195" s="1461"/>
    </row>
    <row r="196" spans="1:20" s="1427" customFormat="1" ht="15.75" thickTop="1" thickBot="1" x14ac:dyDescent="0.25">
      <c r="A196" s="1444">
        <v>1</v>
      </c>
      <c r="B196" s="1445">
        <v>2</v>
      </c>
      <c r="C196" s="1446">
        <v>3</v>
      </c>
      <c r="D196" s="1446">
        <v>4</v>
      </c>
      <c r="E196" s="1446">
        <v>5</v>
      </c>
      <c r="F196" s="1447" t="s">
        <v>238</v>
      </c>
      <c r="G196" s="1390"/>
      <c r="H196" s="1390"/>
      <c r="I196" s="1390"/>
      <c r="J196" s="1414"/>
      <c r="K196" s="1414"/>
      <c r="R196" s="1461"/>
      <c r="S196" s="1461"/>
      <c r="T196" s="1461"/>
    </row>
    <row r="197" spans="1:20" s="1427" customFormat="1" ht="15.75" thickTop="1" x14ac:dyDescent="0.25">
      <c r="A197" s="1470" t="s">
        <v>165</v>
      </c>
      <c r="B197" s="1449">
        <v>59</v>
      </c>
      <c r="C197" s="1435">
        <f>C198+C199+C200</f>
        <v>39928</v>
      </c>
      <c r="D197" s="1435">
        <f>D198+D199+D200</f>
        <v>18796</v>
      </c>
      <c r="E197" s="1435">
        <f>E198+E199+E200</f>
        <v>8229</v>
      </c>
      <c r="F197" s="1431">
        <f>E197/D197*100</f>
        <v>43.780591615237284</v>
      </c>
      <c r="G197" s="1409">
        <f>SUM(G198:G200)</f>
        <v>39928000</v>
      </c>
      <c r="H197" s="1409">
        <f>SUM(H198:H200)</f>
        <v>18795500</v>
      </c>
      <c r="I197" s="1409">
        <f>SUM(I198:I200)</f>
        <v>8229619.2400000002</v>
      </c>
      <c r="J197" s="1409"/>
      <c r="K197" s="1409"/>
    </row>
    <row r="198" spans="1:20" s="1427" customFormat="1" x14ac:dyDescent="0.2">
      <c r="A198" s="1410" t="s">
        <v>332</v>
      </c>
      <c r="B198" s="1449"/>
      <c r="C198" s="1412">
        <f>'59'!E614</f>
        <v>6007</v>
      </c>
      <c r="D198" s="1412">
        <f>'59'!F614</f>
        <v>4187</v>
      </c>
      <c r="E198" s="1412">
        <f>'59'!G614</f>
        <v>2733</v>
      </c>
      <c r="F198" s="1413">
        <f>E198/D198*100</f>
        <v>65.27346548841652</v>
      </c>
      <c r="G198" s="1389">
        <f>'59'!J614</f>
        <v>6007000</v>
      </c>
      <c r="H198" s="1390">
        <f>'59'!K614</f>
        <v>4187500</v>
      </c>
      <c r="I198" s="1390">
        <f>'59'!L614</f>
        <v>2733327.9</v>
      </c>
      <c r="J198" s="1414"/>
      <c r="K198" s="1414"/>
    </row>
    <row r="199" spans="1:20" s="1427" customFormat="1" x14ac:dyDescent="0.2">
      <c r="A199" s="1410" t="s">
        <v>333</v>
      </c>
      <c r="B199" s="1449"/>
      <c r="C199" s="1412">
        <f>'59'!E615</f>
        <v>33921</v>
      </c>
      <c r="D199" s="1412">
        <f>'59'!F615</f>
        <v>14609</v>
      </c>
      <c r="E199" s="1412">
        <f>'59'!G615</f>
        <v>2578</v>
      </c>
      <c r="F199" s="1413">
        <f>E199/D199*100</f>
        <v>17.646656170853582</v>
      </c>
      <c r="G199" s="1389">
        <f>'59'!J615</f>
        <v>33921000</v>
      </c>
      <c r="H199" s="1390">
        <f>'59'!K615</f>
        <v>14608000</v>
      </c>
      <c r="I199" s="1390">
        <f>'59'!L615</f>
        <v>2577702.6</v>
      </c>
      <c r="J199" s="1414"/>
      <c r="K199" s="1414"/>
    </row>
    <row r="200" spans="1:20" s="1427" customFormat="1" x14ac:dyDescent="0.2">
      <c r="A200" s="1417" t="s">
        <v>555</v>
      </c>
      <c r="B200" s="1467"/>
      <c r="C200" s="1419">
        <f>'59'!E616</f>
        <v>0</v>
      </c>
      <c r="D200" s="1419">
        <f>'59'!F616</f>
        <v>0</v>
      </c>
      <c r="E200" s="1419">
        <f>'59'!G616</f>
        <v>2918</v>
      </c>
      <c r="F200" s="1420">
        <v>0</v>
      </c>
      <c r="G200" s="1387">
        <f>'59'!J616</f>
        <v>0</v>
      </c>
      <c r="H200" s="1388">
        <f>'59'!K616</f>
        <v>0</v>
      </c>
      <c r="I200" s="1388">
        <f>'59'!L616</f>
        <v>2918588.74</v>
      </c>
      <c r="J200" s="1414"/>
      <c r="K200" s="1414"/>
    </row>
    <row r="201" spans="1:20" s="1427" customFormat="1" ht="14.25" customHeight="1" x14ac:dyDescent="0.2">
      <c r="A201" s="3169" t="s">
        <v>421</v>
      </c>
      <c r="B201" s="1449"/>
      <c r="C201" s="1412"/>
      <c r="D201" s="1412"/>
      <c r="E201" s="1412"/>
      <c r="F201" s="1413"/>
      <c r="G201" s="1414"/>
      <c r="H201" s="1414"/>
      <c r="I201" s="1414"/>
      <c r="J201" s="1414"/>
      <c r="K201" s="1414"/>
    </row>
    <row r="202" spans="1:20" s="1427" customFormat="1" ht="15" x14ac:dyDescent="0.25">
      <c r="A202" s="3167"/>
      <c r="B202" s="1449">
        <v>60</v>
      </c>
      <c r="C202" s="1435">
        <f>C203+C204+C205</f>
        <v>5970</v>
      </c>
      <c r="D202" s="1435">
        <f>D203+D204+D205</f>
        <v>190873</v>
      </c>
      <c r="E202" s="1435">
        <f>E203+E204+E205</f>
        <v>222638</v>
      </c>
      <c r="F202" s="1431">
        <f>E202/D202*100</f>
        <v>116.64195564590068</v>
      </c>
      <c r="G202" s="1596">
        <f>SUM(G203:G205)</f>
        <v>5970000</v>
      </c>
      <c r="H202" s="1409">
        <f>SUM(H203:H205)</f>
        <v>190873058.56</v>
      </c>
      <c r="I202" s="1409">
        <f>SUM(I203:I205)</f>
        <v>222637599.62</v>
      </c>
      <c r="J202" s="1409"/>
      <c r="K202" s="1409"/>
    </row>
    <row r="203" spans="1:20" s="1427" customFormat="1" x14ac:dyDescent="0.2">
      <c r="A203" s="1410" t="s">
        <v>332</v>
      </c>
      <c r="B203" s="1449"/>
      <c r="C203" s="1412">
        <f>'60'!E144</f>
        <v>5970</v>
      </c>
      <c r="D203" s="1412">
        <f>'60'!F144</f>
        <v>190873</v>
      </c>
      <c r="E203" s="1412">
        <f>'60'!G144</f>
        <v>114098</v>
      </c>
      <c r="F203" s="1413">
        <f>E203/D203*100</f>
        <v>59.776919731968384</v>
      </c>
      <c r="G203" s="1389">
        <f>'60'!J144</f>
        <v>5970000</v>
      </c>
      <c r="H203" s="1390">
        <f>'60'!K144</f>
        <v>190873058.56</v>
      </c>
      <c r="I203" s="1390">
        <f>'60'!L144</f>
        <v>114097935.64</v>
      </c>
      <c r="J203" s="1414"/>
      <c r="K203" s="1414"/>
      <c r="L203" s="1414"/>
      <c r="M203" s="1414"/>
    </row>
    <row r="204" spans="1:20" s="1427" customFormat="1" x14ac:dyDescent="0.2">
      <c r="A204" s="1410" t="s">
        <v>333</v>
      </c>
      <c r="B204" s="1449"/>
      <c r="C204" s="1412">
        <f>'60'!E145</f>
        <v>0</v>
      </c>
      <c r="D204" s="1412">
        <f>'60'!F145</f>
        <v>0</v>
      </c>
      <c r="E204" s="1412">
        <f>'60'!G145</f>
        <v>0</v>
      </c>
      <c r="F204" s="1413">
        <v>0</v>
      </c>
      <c r="G204" s="1389">
        <f>'60'!J145</f>
        <v>0</v>
      </c>
      <c r="H204" s="1390">
        <f>'60'!K145</f>
        <v>0</v>
      </c>
      <c r="I204" s="1390">
        <f>'60'!L145</f>
        <v>0</v>
      </c>
      <c r="J204" s="1414"/>
      <c r="K204" s="1414"/>
      <c r="L204" s="1414"/>
      <c r="M204" s="1414"/>
      <c r="Q204" s="1427" t="s">
        <v>1929</v>
      </c>
      <c r="R204" s="1461"/>
      <c r="S204" s="1461"/>
    </row>
    <row r="205" spans="1:20" s="1427" customFormat="1" x14ac:dyDescent="0.2">
      <c r="A205" s="1417" t="s">
        <v>555</v>
      </c>
      <c r="B205" s="1467"/>
      <c r="C205" s="1419">
        <f>'60'!E146</f>
        <v>0</v>
      </c>
      <c r="D205" s="1419">
        <f>'60'!F146</f>
        <v>0</v>
      </c>
      <c r="E205" s="1419">
        <f>'60'!G146</f>
        <v>108540</v>
      </c>
      <c r="F205" s="1420">
        <v>0</v>
      </c>
      <c r="G205" s="1387">
        <f>'60'!J146</f>
        <v>0</v>
      </c>
      <c r="H205" s="1388">
        <f>'60'!K146</f>
        <v>0</v>
      </c>
      <c r="I205" s="1388">
        <f>'60'!L146</f>
        <v>108539663.98</v>
      </c>
      <c r="J205" s="1520"/>
      <c r="K205" s="1414"/>
      <c r="L205" s="1414"/>
      <c r="M205" s="1414"/>
      <c r="Q205" s="1391" t="s">
        <v>698</v>
      </c>
      <c r="R205" s="1461">
        <f>C198+C203+C208+C213+C218+C223</f>
        <v>12346</v>
      </c>
      <c r="S205" s="1461">
        <f>D198+D203+D208+D213+D218+D223</f>
        <v>215325</v>
      </c>
      <c r="T205" s="1461">
        <f>E198+E203+E208+E213+E218+E223</f>
        <v>128451</v>
      </c>
    </row>
    <row r="206" spans="1:20" s="1427" customFormat="1" ht="14.25" customHeight="1" x14ac:dyDescent="0.2">
      <c r="A206" s="3169" t="s">
        <v>257</v>
      </c>
      <c r="B206" s="1449"/>
      <c r="C206" s="1412"/>
      <c r="D206" s="1412"/>
      <c r="E206" s="1412"/>
      <c r="F206" s="1413"/>
      <c r="G206" s="1414"/>
      <c r="H206" s="1414"/>
      <c r="I206" s="1414"/>
      <c r="J206" s="1414"/>
      <c r="K206" s="1414"/>
      <c r="Q206" s="1391" t="s">
        <v>699</v>
      </c>
      <c r="R206" s="1461">
        <f t="shared" ref="R206:T207" si="69">C224+C219+C214+C209+C204+C199</f>
        <v>33921</v>
      </c>
      <c r="S206" s="1461">
        <f t="shared" si="69"/>
        <v>16757</v>
      </c>
      <c r="T206" s="1461">
        <f t="shared" si="69"/>
        <v>2578</v>
      </c>
    </row>
    <row r="207" spans="1:20" s="1427" customFormat="1" ht="15" x14ac:dyDescent="0.25">
      <c r="A207" s="3167"/>
      <c r="B207" s="1449">
        <v>63</v>
      </c>
      <c r="C207" s="1435">
        <f>C208+C209+C210</f>
        <v>0</v>
      </c>
      <c r="D207" s="1435">
        <f>D208+D209+D210</f>
        <v>3</v>
      </c>
      <c r="E207" s="1435">
        <f>E208+E209+E210</f>
        <v>3</v>
      </c>
      <c r="F207" s="1431">
        <f>E207/D207*100</f>
        <v>100</v>
      </c>
      <c r="G207" s="1409">
        <f>SUM(G208:G210)</f>
        <v>0</v>
      </c>
      <c r="H207" s="1409">
        <f>SUM(H208:H210)</f>
        <v>2852</v>
      </c>
      <c r="I207" s="1409">
        <f>SUM(I208:I210)</f>
        <v>2852</v>
      </c>
      <c r="J207" s="1409"/>
      <c r="K207" s="1409"/>
      <c r="M207" s="1521"/>
      <c r="Q207" s="1391" t="s">
        <v>461</v>
      </c>
      <c r="R207" s="1461">
        <f t="shared" si="69"/>
        <v>0</v>
      </c>
      <c r="S207" s="1461">
        <f t="shared" si="69"/>
        <v>0</v>
      </c>
      <c r="T207" s="1461">
        <f t="shared" si="69"/>
        <v>118481</v>
      </c>
    </row>
    <row r="208" spans="1:20" s="1427" customFormat="1" x14ac:dyDescent="0.2">
      <c r="A208" s="1410" t="s">
        <v>332</v>
      </c>
      <c r="B208" s="1449"/>
      <c r="C208" s="1412">
        <f>'63'!E53</f>
        <v>0</v>
      </c>
      <c r="D208" s="1412">
        <f>'63'!F53</f>
        <v>3</v>
      </c>
      <c r="E208" s="1412">
        <f>'63'!G53</f>
        <v>3</v>
      </c>
      <c r="F208" s="1413">
        <f>E208/D208*100</f>
        <v>100</v>
      </c>
      <c r="G208" s="1389">
        <f>'63'!J53</f>
        <v>0</v>
      </c>
      <c r="H208" s="1390">
        <f>'63'!K53</f>
        <v>2852</v>
      </c>
      <c r="I208" s="1390">
        <f>'63'!L53</f>
        <v>2852</v>
      </c>
      <c r="J208" s="1414"/>
      <c r="K208" s="1414"/>
      <c r="L208" s="1414"/>
      <c r="M208" s="1414"/>
      <c r="Q208" s="1427" t="s">
        <v>356</v>
      </c>
      <c r="R208" s="1461">
        <f>R205+R206+R207</f>
        <v>46267</v>
      </c>
      <c r="S208" s="1461">
        <f>S205+S206+S207</f>
        <v>232082</v>
      </c>
      <c r="T208" s="1461">
        <f>T205+T206+T207</f>
        <v>249510</v>
      </c>
    </row>
    <row r="209" spans="1:20" s="1427" customFormat="1" x14ac:dyDescent="0.2">
      <c r="A209" s="1410" t="s">
        <v>333</v>
      </c>
      <c r="B209" s="1449"/>
      <c r="C209" s="1412">
        <f>'63'!E54</f>
        <v>0</v>
      </c>
      <c r="D209" s="1412">
        <f>'63'!F54</f>
        <v>0</v>
      </c>
      <c r="E209" s="1412">
        <f>'63'!G54</f>
        <v>0</v>
      </c>
      <c r="F209" s="1413">
        <v>0</v>
      </c>
      <c r="G209" s="1389">
        <f>'63'!J54</f>
        <v>0</v>
      </c>
      <c r="H209" s="1390">
        <f>'63'!K54</f>
        <v>0</v>
      </c>
      <c r="I209" s="1390">
        <f>'63'!L54</f>
        <v>0</v>
      </c>
      <c r="J209" s="1414"/>
      <c r="K209" s="1414"/>
      <c r="L209" s="1414"/>
      <c r="M209" s="1414"/>
      <c r="Q209" s="1461"/>
      <c r="R209" s="1461"/>
      <c r="S209" s="1461"/>
    </row>
    <row r="210" spans="1:20" s="1427" customFormat="1" ht="15.75" customHeight="1" x14ac:dyDescent="0.2">
      <c r="A210" s="1417" t="s">
        <v>555</v>
      </c>
      <c r="B210" s="1467"/>
      <c r="C210" s="1419">
        <f>'63'!E55</f>
        <v>0</v>
      </c>
      <c r="D210" s="1419">
        <f>'63'!F55</f>
        <v>0</v>
      </c>
      <c r="E210" s="1419">
        <f>'63'!G55</f>
        <v>0</v>
      </c>
      <c r="F210" s="1420">
        <v>0</v>
      </c>
      <c r="G210" s="1387">
        <f>'63'!J55</f>
        <v>0</v>
      </c>
      <c r="H210" s="1388">
        <f>'63'!K55</f>
        <v>0</v>
      </c>
      <c r="I210" s="1388">
        <f>'63'!L55</f>
        <v>0</v>
      </c>
      <c r="J210" s="1414"/>
      <c r="K210" s="1522"/>
      <c r="L210" s="1522"/>
      <c r="M210" s="1522"/>
      <c r="Q210" s="1427" t="s">
        <v>1930</v>
      </c>
    </row>
    <row r="211" spans="1:20" s="1427" customFormat="1" x14ac:dyDescent="0.2">
      <c r="A211" s="3174" t="s">
        <v>505</v>
      </c>
      <c r="B211" s="1449"/>
      <c r="C211" s="1412"/>
      <c r="D211" s="1412"/>
      <c r="E211" s="1412"/>
      <c r="F211" s="1413"/>
      <c r="G211" s="1414"/>
      <c r="H211" s="1414"/>
      <c r="I211" s="1414"/>
      <c r="J211" s="1414"/>
      <c r="K211" s="1414"/>
      <c r="Q211" s="1391" t="s">
        <v>698</v>
      </c>
      <c r="R211" s="1461">
        <f t="shared" ref="R211:T213" si="70">C229+C234+C279+C284+C289+C239+C244+C249+C253+C257</f>
        <v>9969</v>
      </c>
      <c r="S211" s="1461">
        <f t="shared" si="70"/>
        <v>28890</v>
      </c>
      <c r="T211" s="1461">
        <f t="shared" si="70"/>
        <v>17464</v>
      </c>
    </row>
    <row r="212" spans="1:20" s="1427" customFormat="1" ht="15" x14ac:dyDescent="0.25">
      <c r="A212" s="3168"/>
      <c r="B212" s="1449">
        <v>64</v>
      </c>
      <c r="C212" s="1435">
        <f>C213+C214+C215</f>
        <v>369</v>
      </c>
      <c r="D212" s="1435">
        <f>D213+D214+D215</f>
        <v>22410</v>
      </c>
      <c r="E212" s="1435">
        <f>E213+E214+E215</f>
        <v>18640</v>
      </c>
      <c r="F212" s="1431">
        <f>E212/D212*100</f>
        <v>83.177153056671131</v>
      </c>
      <c r="G212" s="1409">
        <f>SUM(G213:G215)</f>
        <v>369000</v>
      </c>
      <c r="H212" s="1409">
        <f>SUM(H213:H215)</f>
        <v>22410351.34</v>
      </c>
      <c r="I212" s="1409">
        <f>SUM(I213:I215)</f>
        <v>18640239.02</v>
      </c>
      <c r="J212" s="1409"/>
      <c r="K212" s="1409"/>
      <c r="Q212" s="1391" t="s">
        <v>699</v>
      </c>
      <c r="R212" s="1461">
        <f t="shared" si="70"/>
        <v>0</v>
      </c>
      <c r="S212" s="1461">
        <f t="shared" si="70"/>
        <v>239154</v>
      </c>
      <c r="T212" s="1461">
        <f t="shared" si="70"/>
        <v>144509</v>
      </c>
    </row>
    <row r="213" spans="1:20" s="1427" customFormat="1" x14ac:dyDescent="0.2">
      <c r="A213" s="1410" t="s">
        <v>332</v>
      </c>
      <c r="B213" s="1449"/>
      <c r="C213" s="1412">
        <f>'64'!E121</f>
        <v>369</v>
      </c>
      <c r="D213" s="1412">
        <f>'64'!F121</f>
        <v>20262</v>
      </c>
      <c r="E213" s="1412">
        <f>'64'!G121</f>
        <v>11617</v>
      </c>
      <c r="F213" s="1413">
        <f>E213/D213*100</f>
        <v>57.333925574967928</v>
      </c>
      <c r="G213" s="1389">
        <f>'64'!J121</f>
        <v>369000</v>
      </c>
      <c r="H213" s="1390">
        <f>'64'!K121</f>
        <v>20261967.34</v>
      </c>
      <c r="I213" s="1390">
        <f>'64'!L121</f>
        <v>11616830.68</v>
      </c>
      <c r="J213" s="1414"/>
      <c r="K213" s="1414"/>
      <c r="Q213" s="1391" t="s">
        <v>461</v>
      </c>
      <c r="R213" s="1461">
        <f t="shared" si="70"/>
        <v>0</v>
      </c>
      <c r="S213" s="1461">
        <f t="shared" si="70"/>
        <v>0</v>
      </c>
      <c r="T213" s="1461">
        <f t="shared" si="70"/>
        <v>198138</v>
      </c>
    </row>
    <row r="214" spans="1:20" s="1427" customFormat="1" x14ac:dyDescent="0.2">
      <c r="A214" s="1410" t="s">
        <v>333</v>
      </c>
      <c r="B214" s="1449"/>
      <c r="C214" s="1412">
        <f>'64'!E122</f>
        <v>0</v>
      </c>
      <c r="D214" s="1412">
        <f>'64'!F122</f>
        <v>2148</v>
      </c>
      <c r="E214" s="1412">
        <f>'64'!G122</f>
        <v>0</v>
      </c>
      <c r="F214" s="1413">
        <v>0</v>
      </c>
      <c r="G214" s="1389">
        <f>'64'!J122</f>
        <v>0</v>
      </c>
      <c r="H214" s="1390">
        <f>'64'!K122</f>
        <v>2148384</v>
      </c>
      <c r="I214" s="1390">
        <f>'64'!L122</f>
        <v>0</v>
      </c>
      <c r="J214" s="1414"/>
      <c r="K214" s="1414"/>
    </row>
    <row r="215" spans="1:20" s="1427" customFormat="1" x14ac:dyDescent="0.2">
      <c r="A215" s="1417" t="s">
        <v>555</v>
      </c>
      <c r="B215" s="1467"/>
      <c r="C215" s="1419">
        <f>'64'!E123</f>
        <v>0</v>
      </c>
      <c r="D215" s="1419">
        <f>'64'!F123</f>
        <v>0</v>
      </c>
      <c r="E215" s="1419">
        <f>'64'!G123</f>
        <v>7023</v>
      </c>
      <c r="F215" s="1420">
        <v>0</v>
      </c>
      <c r="G215" s="1387">
        <f>'64'!J123</f>
        <v>0</v>
      </c>
      <c r="H215" s="1388">
        <f>'64'!K123</f>
        <v>0</v>
      </c>
      <c r="I215" s="1388">
        <f>'64'!L123</f>
        <v>7023408.3399999999</v>
      </c>
      <c r="J215" s="1414"/>
      <c r="K215" s="1414"/>
    </row>
    <row r="216" spans="1:20" s="1427" customFormat="1" hidden="1" x14ac:dyDescent="0.2">
      <c r="A216" s="3169" t="s">
        <v>685</v>
      </c>
      <c r="B216" s="1449"/>
      <c r="C216" s="1412"/>
      <c r="D216" s="1412"/>
      <c r="E216" s="1412"/>
      <c r="F216" s="1413"/>
      <c r="G216" s="1414"/>
      <c r="H216" s="1414"/>
      <c r="I216" s="1414"/>
      <c r="J216" s="1414"/>
      <c r="K216" s="1414"/>
      <c r="Q216" s="1391"/>
    </row>
    <row r="217" spans="1:20" s="1427" customFormat="1" ht="15" hidden="1" x14ac:dyDescent="0.25">
      <c r="A217" s="3168"/>
      <c r="B217" s="1449">
        <v>66</v>
      </c>
      <c r="C217" s="1435">
        <f>C218+C219+C220</f>
        <v>0</v>
      </c>
      <c r="D217" s="1435">
        <f>D218+D219+D220</f>
        <v>0</v>
      </c>
      <c r="E217" s="1435">
        <f>E218+E219+E220</f>
        <v>0</v>
      </c>
      <c r="F217" s="1431" t="e">
        <f>E217/D217*100</f>
        <v>#DIV/0!</v>
      </c>
      <c r="G217" s="1471">
        <f>SUM(G218:G220)</f>
        <v>0</v>
      </c>
      <c r="H217" s="1471">
        <f>SUM(H218:H220)</f>
        <v>0</v>
      </c>
      <c r="I217" s="1471">
        <f>SUM(I218:I220)</f>
        <v>0</v>
      </c>
      <c r="J217" s="1414"/>
      <c r="K217" s="1414"/>
      <c r="Q217" s="1391"/>
    </row>
    <row r="218" spans="1:20" s="1427" customFormat="1" hidden="1" x14ac:dyDescent="0.2">
      <c r="A218" s="1410" t="s">
        <v>332</v>
      </c>
      <c r="B218" s="1449"/>
      <c r="C218" s="1412">
        <f>'66'!E60</f>
        <v>0</v>
      </c>
      <c r="D218" s="1412">
        <f>'66'!F60</f>
        <v>0</v>
      </c>
      <c r="E218" s="1412">
        <f>'66'!G60</f>
        <v>0</v>
      </c>
      <c r="F218" s="1413" t="e">
        <f>E218/D218*100</f>
        <v>#DIV/0!</v>
      </c>
      <c r="G218" s="1389">
        <f>'66'!J60</f>
        <v>0</v>
      </c>
      <c r="H218" s="1390">
        <f>'66'!K60</f>
        <v>0</v>
      </c>
      <c r="I218" s="1390">
        <f>'66'!L60</f>
        <v>0</v>
      </c>
      <c r="J218" s="1522"/>
      <c r="K218" s="1522"/>
      <c r="Q218" s="1391"/>
    </row>
    <row r="219" spans="1:20" s="1427" customFormat="1" hidden="1" x14ac:dyDescent="0.2">
      <c r="A219" s="1410" t="s">
        <v>333</v>
      </c>
      <c r="B219" s="1449"/>
      <c r="C219" s="1412">
        <f>'66'!E61</f>
        <v>0</v>
      </c>
      <c r="D219" s="1412">
        <f>'66'!F61</f>
        <v>0</v>
      </c>
      <c r="E219" s="1412">
        <f>'66'!G61</f>
        <v>0</v>
      </c>
      <c r="F219" s="1413">
        <v>0</v>
      </c>
      <c r="G219" s="1389">
        <f>'66'!J61</f>
        <v>0</v>
      </c>
      <c r="H219" s="1390">
        <f>'66'!K61</f>
        <v>0</v>
      </c>
      <c r="I219" s="1390">
        <f>'66'!L61</f>
        <v>0</v>
      </c>
      <c r="J219" s="1414"/>
      <c r="K219" s="1414"/>
      <c r="Q219" s="1391"/>
    </row>
    <row r="220" spans="1:20" s="1427" customFormat="1" hidden="1" x14ac:dyDescent="0.2">
      <c r="A220" s="1417" t="s">
        <v>555</v>
      </c>
      <c r="B220" s="1467"/>
      <c r="C220" s="1419">
        <f>'66'!E62</f>
        <v>0</v>
      </c>
      <c r="D220" s="1419">
        <f>'66'!F62</f>
        <v>0</v>
      </c>
      <c r="E220" s="1419">
        <f>'66'!G62</f>
        <v>0</v>
      </c>
      <c r="F220" s="1420">
        <v>0</v>
      </c>
      <c r="G220" s="1387">
        <f>'66'!J62</f>
        <v>0</v>
      </c>
      <c r="H220" s="1388">
        <f>'66'!K62</f>
        <v>0</v>
      </c>
      <c r="I220" s="1388">
        <f>'66'!L62</f>
        <v>0</v>
      </c>
      <c r="J220" s="1414"/>
      <c r="K220" s="1414"/>
      <c r="Q220" s="1391"/>
    </row>
    <row r="221" spans="1:20" s="1427" customFormat="1" hidden="1" x14ac:dyDescent="0.2">
      <c r="A221" s="3167" t="s">
        <v>686</v>
      </c>
      <c r="B221" s="1449"/>
      <c r="C221" s="1412"/>
      <c r="D221" s="1412"/>
      <c r="E221" s="1412"/>
      <c r="F221" s="1413"/>
      <c r="G221" s="1414"/>
      <c r="H221" s="1414"/>
      <c r="I221" s="1414"/>
      <c r="J221" s="1414"/>
      <c r="K221" s="1414"/>
    </row>
    <row r="222" spans="1:20" s="1427" customFormat="1" ht="15" hidden="1" x14ac:dyDescent="0.25">
      <c r="A222" s="3168"/>
      <c r="B222" s="1449">
        <v>67</v>
      </c>
      <c r="C222" s="1435">
        <f>C223+C224+C225</f>
        <v>0</v>
      </c>
      <c r="D222" s="1435">
        <f>D223+D224+D225</f>
        <v>0</v>
      </c>
      <c r="E222" s="1435">
        <f>E223+E224+E225</f>
        <v>0</v>
      </c>
      <c r="F222" s="1431" t="e">
        <f>E222/D222*100</f>
        <v>#DIV/0!</v>
      </c>
      <c r="G222" s="1471">
        <f>SUM(G223:G225)</f>
        <v>0</v>
      </c>
      <c r="H222" s="1471">
        <f>SUM(H223:H225)</f>
        <v>0</v>
      </c>
      <c r="I222" s="1471">
        <f>SUM(I223:I225)</f>
        <v>0</v>
      </c>
      <c r="J222" s="1414"/>
      <c r="K222" s="1414"/>
    </row>
    <row r="223" spans="1:20" s="1427" customFormat="1" hidden="1" x14ac:dyDescent="0.2">
      <c r="A223" s="1410" t="s">
        <v>332</v>
      </c>
      <c r="B223" s="1449"/>
      <c r="C223" s="1412">
        <f>'67'!E67</f>
        <v>0</v>
      </c>
      <c r="D223" s="1412">
        <f>'67'!F67</f>
        <v>0</v>
      </c>
      <c r="E223" s="1412">
        <f>'67'!G67</f>
        <v>0</v>
      </c>
      <c r="F223" s="1413" t="e">
        <f>E223/D223*100</f>
        <v>#DIV/0!</v>
      </c>
      <c r="G223" s="1389">
        <f>'67'!K67</f>
        <v>0</v>
      </c>
      <c r="H223" s="1390">
        <f>'67'!L67</f>
        <v>0</v>
      </c>
      <c r="I223" s="1390">
        <f>'67'!M67</f>
        <v>0</v>
      </c>
      <c r="J223" s="1522"/>
      <c r="K223" s="1522"/>
    </row>
    <row r="224" spans="1:20" s="1427" customFormat="1" hidden="1" x14ac:dyDescent="0.2">
      <c r="A224" s="1410" t="s">
        <v>333</v>
      </c>
      <c r="B224" s="1449"/>
      <c r="C224" s="1412">
        <f>'67'!E68</f>
        <v>0</v>
      </c>
      <c r="D224" s="1412">
        <f>'67'!F68</f>
        <v>0</v>
      </c>
      <c r="E224" s="1412">
        <f>'67'!G68</f>
        <v>0</v>
      </c>
      <c r="F224" s="1413">
        <v>0</v>
      </c>
      <c r="G224" s="1389">
        <f>'67'!K68</f>
        <v>0</v>
      </c>
      <c r="H224" s="1390">
        <f>'67'!L68</f>
        <v>0</v>
      </c>
      <c r="I224" s="1390">
        <f>'67'!M68</f>
        <v>0</v>
      </c>
      <c r="J224" s="1414"/>
      <c r="K224" s="1414"/>
    </row>
    <row r="225" spans="1:22" s="1427" customFormat="1" hidden="1" x14ac:dyDescent="0.2">
      <c r="A225" s="1410" t="s">
        <v>555</v>
      </c>
      <c r="B225" s="1467"/>
      <c r="C225" s="1419">
        <f>'67'!E69</f>
        <v>0</v>
      </c>
      <c r="D225" s="1419">
        <f>'67'!F69</f>
        <v>0</v>
      </c>
      <c r="E225" s="1419">
        <f>'67'!G69</f>
        <v>0</v>
      </c>
      <c r="F225" s="1420">
        <v>0</v>
      </c>
      <c r="G225" s="1387">
        <f>'67'!K69</f>
        <v>0</v>
      </c>
      <c r="H225" s="1388">
        <f>'67'!L69</f>
        <v>0</v>
      </c>
      <c r="I225" s="1388">
        <f>'67'!M69</f>
        <v>0</v>
      </c>
      <c r="J225" s="1414"/>
      <c r="K225" s="1414"/>
    </row>
    <row r="226" spans="1:22" s="1427" customFormat="1" ht="3.75" hidden="1" customHeight="1" x14ac:dyDescent="0.2">
      <c r="A226" s="3169" t="s">
        <v>687</v>
      </c>
      <c r="B226" s="1449"/>
      <c r="C226" s="1412"/>
      <c r="D226" s="1412"/>
      <c r="E226" s="1412"/>
      <c r="F226" s="1413"/>
      <c r="G226" s="1414"/>
      <c r="H226" s="1414"/>
      <c r="I226" s="1414"/>
      <c r="J226" s="1414"/>
      <c r="K226" s="1414"/>
    </row>
    <row r="227" spans="1:22" s="1427" customFormat="1" hidden="1" x14ac:dyDescent="0.2">
      <c r="A227" s="3168"/>
      <c r="B227" s="1449"/>
      <c r="C227" s="1412"/>
      <c r="D227" s="1412"/>
      <c r="E227" s="1412"/>
      <c r="F227" s="1413"/>
      <c r="G227" s="1414"/>
      <c r="H227" s="1414"/>
      <c r="I227" s="1414"/>
      <c r="J227" s="1414"/>
      <c r="K227" s="1414"/>
    </row>
    <row r="228" spans="1:22" s="1427" customFormat="1" ht="15" hidden="1" x14ac:dyDescent="0.25">
      <c r="A228" s="3168"/>
      <c r="B228" s="1449">
        <v>68</v>
      </c>
      <c r="C228" s="1435">
        <f>C229+C230+C231</f>
        <v>0</v>
      </c>
      <c r="D228" s="1435">
        <f>D229+D230+D231</f>
        <v>0</v>
      </c>
      <c r="E228" s="1435">
        <f>E229+E230+E231</f>
        <v>0</v>
      </c>
      <c r="F228" s="1431" t="e">
        <f>E228/D228*100</f>
        <v>#DIV/0!</v>
      </c>
      <c r="G228" s="1471">
        <f>SUM(G229:G231)</f>
        <v>0</v>
      </c>
      <c r="H228" s="1471">
        <f>SUM(H229:H231)</f>
        <v>0</v>
      </c>
      <c r="I228" s="1471">
        <f>SUM(I229:I231)</f>
        <v>0</v>
      </c>
      <c r="J228" s="1414"/>
      <c r="K228" s="1414"/>
    </row>
    <row r="229" spans="1:22" s="1427" customFormat="1" hidden="1" x14ac:dyDescent="0.2">
      <c r="A229" s="1410" t="s">
        <v>332</v>
      </c>
      <c r="B229" s="1449"/>
      <c r="C229" s="1412">
        <f>'68'!E40</f>
        <v>0</v>
      </c>
      <c r="D229" s="1412">
        <f>'68'!F40</f>
        <v>0</v>
      </c>
      <c r="E229" s="1412">
        <f>'68'!G40</f>
        <v>0</v>
      </c>
      <c r="F229" s="1413" t="e">
        <f>E229/D229*100</f>
        <v>#DIV/0!</v>
      </c>
      <c r="G229" s="1389">
        <f>'68'!J40</f>
        <v>0</v>
      </c>
      <c r="H229" s="1390">
        <f>'68'!K40</f>
        <v>0</v>
      </c>
      <c r="I229" s="1390">
        <f>'68'!L40</f>
        <v>0</v>
      </c>
      <c r="J229" s="1522"/>
      <c r="K229" s="1522"/>
    </row>
    <row r="230" spans="1:22" s="1427" customFormat="1" hidden="1" x14ac:dyDescent="0.2">
      <c r="A230" s="1410" t="s">
        <v>333</v>
      </c>
      <c r="B230" s="1449"/>
      <c r="C230" s="1412">
        <f>'68'!E41</f>
        <v>0</v>
      </c>
      <c r="D230" s="1412">
        <f>'68'!F41</f>
        <v>0</v>
      </c>
      <c r="E230" s="1412">
        <f>'68'!G41</f>
        <v>0</v>
      </c>
      <c r="F230" s="1413">
        <v>0</v>
      </c>
      <c r="G230" s="1389">
        <f>'68'!J41</f>
        <v>0</v>
      </c>
      <c r="H230" s="1390">
        <f>'68'!K41</f>
        <v>0</v>
      </c>
      <c r="I230" s="1390">
        <f>'68'!L41</f>
        <v>0</v>
      </c>
      <c r="J230" s="1414"/>
      <c r="K230" s="1414"/>
    </row>
    <row r="231" spans="1:22" s="1427" customFormat="1" hidden="1" x14ac:dyDescent="0.2">
      <c r="A231" s="1417" t="s">
        <v>555</v>
      </c>
      <c r="B231" s="1467"/>
      <c r="C231" s="1419">
        <f>'68'!E42</f>
        <v>0</v>
      </c>
      <c r="D231" s="1419">
        <f>'68'!F42</f>
        <v>0</v>
      </c>
      <c r="E231" s="1419">
        <f>'68'!G42</f>
        <v>0</v>
      </c>
      <c r="F231" s="1420">
        <v>0</v>
      </c>
      <c r="G231" s="1387">
        <f>'68'!J42</f>
        <v>0</v>
      </c>
      <c r="H231" s="1388">
        <f>'68'!K42</f>
        <v>0</v>
      </c>
      <c r="I231" s="1388">
        <f>'68'!L42</f>
        <v>0</v>
      </c>
      <c r="J231" s="1414"/>
      <c r="K231" s="1414"/>
    </row>
    <row r="232" spans="1:22" s="1427" customFormat="1" hidden="1" x14ac:dyDescent="0.2">
      <c r="A232" s="3167" t="s">
        <v>688</v>
      </c>
      <c r="B232" s="1449"/>
      <c r="C232" s="1412"/>
      <c r="D232" s="1412"/>
      <c r="E232" s="1412"/>
      <c r="F232" s="1413"/>
      <c r="G232" s="1414"/>
      <c r="H232" s="1414"/>
      <c r="I232" s="1414"/>
      <c r="J232" s="1414"/>
      <c r="K232" s="1414"/>
    </row>
    <row r="233" spans="1:22" s="1427" customFormat="1" ht="15" hidden="1" x14ac:dyDescent="0.25">
      <c r="A233" s="3168"/>
      <c r="B233" s="1449">
        <v>69</v>
      </c>
      <c r="C233" s="1435">
        <f>C234+C235+C236</f>
        <v>0</v>
      </c>
      <c r="D233" s="1435">
        <f>D234+D235+D236</f>
        <v>0</v>
      </c>
      <c r="E233" s="1435">
        <f>E234+E235+E236</f>
        <v>0</v>
      </c>
      <c r="F233" s="1431">
        <v>0</v>
      </c>
      <c r="G233" s="1471">
        <f>SUM(G234:G236)</f>
        <v>0</v>
      </c>
      <c r="H233" s="1471">
        <f>SUM(H234:H236)</f>
        <v>0</v>
      </c>
      <c r="I233" s="1471">
        <f>SUM(I234:I236)</f>
        <v>0</v>
      </c>
      <c r="J233" s="1414"/>
      <c r="K233" s="1414"/>
    </row>
    <row r="234" spans="1:22" s="1427" customFormat="1" hidden="1" x14ac:dyDescent="0.2">
      <c r="A234" s="1410" t="s">
        <v>332</v>
      </c>
      <c r="B234" s="1449"/>
      <c r="C234" s="1412">
        <f>'69'!E41</f>
        <v>0</v>
      </c>
      <c r="D234" s="1412">
        <f>'69'!F41</f>
        <v>0</v>
      </c>
      <c r="E234" s="1412">
        <f>'69'!G41</f>
        <v>0</v>
      </c>
      <c r="F234" s="1413">
        <v>0</v>
      </c>
      <c r="G234" s="1389">
        <f>'69'!J41</f>
        <v>0</v>
      </c>
      <c r="H234" s="1390">
        <f>'69'!K41</f>
        <v>0</v>
      </c>
      <c r="I234" s="1390">
        <f>'69'!L41</f>
        <v>0</v>
      </c>
      <c r="J234" s="1522"/>
      <c r="K234" s="1522"/>
    </row>
    <row r="235" spans="1:22" s="1427" customFormat="1" hidden="1" x14ac:dyDescent="0.2">
      <c r="A235" s="1410" t="s">
        <v>333</v>
      </c>
      <c r="B235" s="1449"/>
      <c r="C235" s="1412">
        <f>'69'!E42</f>
        <v>0</v>
      </c>
      <c r="D235" s="1412">
        <f>'69'!F42</f>
        <v>0</v>
      </c>
      <c r="E235" s="1412">
        <f>'69'!G42</f>
        <v>0</v>
      </c>
      <c r="F235" s="1413">
        <v>0</v>
      </c>
      <c r="G235" s="1389">
        <f>'69'!J42</f>
        <v>0</v>
      </c>
      <c r="H235" s="1390">
        <f>'69'!K42</f>
        <v>0</v>
      </c>
      <c r="I235" s="1390">
        <f>'69'!L42</f>
        <v>0</v>
      </c>
      <c r="J235" s="1414"/>
      <c r="K235" s="1414"/>
      <c r="L235" s="1521"/>
      <c r="M235" s="1521"/>
    </row>
    <row r="236" spans="1:22" s="1427" customFormat="1" ht="15" hidden="1" thickBot="1" x14ac:dyDescent="0.25">
      <c r="A236" s="1575" t="s">
        <v>555</v>
      </c>
      <c r="B236" s="1547"/>
      <c r="C236" s="1439">
        <f>'69'!E43</f>
        <v>0</v>
      </c>
      <c r="D236" s="1439">
        <f>'69'!F43</f>
        <v>0</v>
      </c>
      <c r="E236" s="1439">
        <f>'69'!G43</f>
        <v>0</v>
      </c>
      <c r="F236" s="1440">
        <v>0</v>
      </c>
      <c r="G236" s="1387">
        <f>'69'!J43</f>
        <v>0</v>
      </c>
      <c r="H236" s="1388">
        <f>'69'!K43</f>
        <v>0</v>
      </c>
      <c r="I236" s="1388">
        <f>'69'!L43</f>
        <v>0</v>
      </c>
      <c r="J236" s="1414"/>
    </row>
    <row r="237" spans="1:22" s="1427" customFormat="1" ht="15" x14ac:dyDescent="0.25">
      <c r="A237" s="3167" t="s">
        <v>764</v>
      </c>
      <c r="B237" s="1449">
        <v>74</v>
      </c>
      <c r="C237" s="1435">
        <f>C239+C240+C241</f>
        <v>8926</v>
      </c>
      <c r="D237" s="1435">
        <f>D239+D240+D241</f>
        <v>17997</v>
      </c>
      <c r="E237" s="1435">
        <f>E239+E240+E241</f>
        <v>25991</v>
      </c>
      <c r="F237" s="1431">
        <f>E237/D237*100</f>
        <v>144.41851419681058</v>
      </c>
      <c r="G237" s="1409">
        <f>G239+G240+G241</f>
        <v>8926000</v>
      </c>
      <c r="H237" s="1409">
        <f>H239+H240+H241</f>
        <v>17996679.280000001</v>
      </c>
      <c r="I237" s="1409">
        <f>I239+I240+I241</f>
        <v>25990580.379999999</v>
      </c>
      <c r="J237" s="1414"/>
      <c r="K237" s="1414">
        <f>G163+G167+G173+G179+G184+G189+G198+G203+G208+G213+G218+G223+G229+G234+G279+G284+G239+G244+G289+G249+G253+G257</f>
        <v>28465000</v>
      </c>
      <c r="L237" s="1414">
        <f>H163+H167+H173+H179+H184+H189+H198+H203+H208+H213+H218+H223+H229+H234+H279+H284+H239+H244+H289+H249+H253+H257</f>
        <v>281861275.89000005</v>
      </c>
      <c r="M237" s="1414">
        <f>I163+I167+I173+I179+I184+I189+I198+I203+I208+I213+I218+I223+I229+I234+I279+I284+I239+I244+I289+I249+I253+I257</f>
        <v>147635826.60999998</v>
      </c>
      <c r="N237" s="1437" t="s">
        <v>1932</v>
      </c>
      <c r="Q237" s="1395"/>
      <c r="R237" s="1461">
        <f t="shared" ref="R237:T238" si="71">R212+R206+R189</f>
        <v>192388</v>
      </c>
      <c r="S237" s="1461">
        <f t="shared" si="71"/>
        <v>523564</v>
      </c>
      <c r="T237" s="1461">
        <f t="shared" si="71"/>
        <v>368436</v>
      </c>
      <c r="U237" s="1394"/>
      <c r="V237" s="1492"/>
    </row>
    <row r="238" spans="1:22" s="1427" customFormat="1" ht="15" x14ac:dyDescent="0.25">
      <c r="A238" s="3168"/>
      <c r="B238" s="1449"/>
      <c r="C238" s="1412"/>
      <c r="D238" s="1412"/>
      <c r="E238" s="1412"/>
      <c r="F238" s="1413"/>
      <c r="G238" s="1414"/>
      <c r="H238" s="1414"/>
      <c r="I238" s="1414"/>
      <c r="J238" s="1414"/>
      <c r="K238" s="1414">
        <f>G164+G168+G180+G185+G190+G199+G204+G209+G214+G219+G224+G230+G235+G280+G285+G290+G240+G174+G245+G250+G254+G258</f>
        <v>192388000</v>
      </c>
      <c r="L238" s="1414">
        <f>H164+H168+H180+H185+H190+H199+H204+H209+H214+H219+H224+H230+H235+H280+H285+H290+H240+H174+H245+H250+H254+H258</f>
        <v>523563205.31</v>
      </c>
      <c r="M238" s="1414">
        <f>I164+I168+I180+I185+I190+I199+I204+I209+I214+I219+I224+I230+I235+I280+I285+I290+I240+I174+I245+I250+I254+I258</f>
        <v>368435202.24000001</v>
      </c>
      <c r="N238" s="1437" t="s">
        <v>1933</v>
      </c>
      <c r="Q238" s="1395"/>
      <c r="R238" s="1461">
        <f t="shared" si="71"/>
        <v>0</v>
      </c>
      <c r="S238" s="1461">
        <f t="shared" si="71"/>
        <v>0</v>
      </c>
      <c r="T238" s="1461">
        <f t="shared" si="71"/>
        <v>1388687</v>
      </c>
      <c r="U238" s="1493"/>
      <c r="V238" s="1394"/>
    </row>
    <row r="239" spans="1:22" s="1427" customFormat="1" x14ac:dyDescent="0.2">
      <c r="A239" s="1410" t="s">
        <v>332</v>
      </c>
      <c r="B239" s="1449"/>
      <c r="C239" s="1412">
        <f>'74'!E284</f>
        <v>8926</v>
      </c>
      <c r="D239" s="1412">
        <f>'74'!F284</f>
        <v>17997</v>
      </c>
      <c r="E239" s="1412">
        <f>'74'!G284</f>
        <v>11086</v>
      </c>
      <c r="F239" s="1413">
        <f>E239/D239*100</f>
        <v>61.599155414791355</v>
      </c>
      <c r="G239" s="1386">
        <f>'74'!J284</f>
        <v>8926000</v>
      </c>
      <c r="H239" s="1386">
        <f>'74'!K284</f>
        <v>17996679.280000001</v>
      </c>
      <c r="I239" s="1386">
        <f>'74'!L284</f>
        <v>11085928.219999999</v>
      </c>
      <c r="J239" s="1414"/>
      <c r="K239" s="1422">
        <f>G165+G169+G181+G186+G191+G200+G205+G210+G215+G220+G225+G231+G236+G281+G286++G291+G241+G175+G246+G251+G255+G259</f>
        <v>0</v>
      </c>
      <c r="L239" s="1422">
        <f>H165+H169+H181+H186+H191+H200+H205+H210+H215+H220+H225+H231+H236+H281+H286++H291+H241+H175+H246+H251+H255+H259</f>
        <v>0</v>
      </c>
      <c r="M239" s="1422">
        <f>I165+I169+I181+I186+I191+I200+I205+I210+I215+I220+I225+I231+I236+I281+I286++I291+I241+I175+I246+I251+I255+I259</f>
        <v>1388686982.3199999</v>
      </c>
      <c r="N239" s="1437" t="s">
        <v>1934</v>
      </c>
      <c r="Q239" s="1395"/>
      <c r="R239" s="1393"/>
      <c r="S239" s="1394"/>
      <c r="T239" s="1394"/>
      <c r="U239" s="1394"/>
      <c r="V239" s="1394"/>
    </row>
    <row r="240" spans="1:22" s="1427" customFormat="1" ht="18" x14ac:dyDescent="0.25">
      <c r="A240" s="1410" t="s">
        <v>333</v>
      </c>
      <c r="B240" s="1449"/>
      <c r="C240" s="1412">
        <f>'74'!E285</f>
        <v>0</v>
      </c>
      <c r="D240" s="1412">
        <f>'74'!F285</f>
        <v>0</v>
      </c>
      <c r="E240" s="1412">
        <f>'74'!G285</f>
        <v>0</v>
      </c>
      <c r="F240" s="1413">
        <v>0</v>
      </c>
      <c r="G240" s="1386">
        <f>'74'!J285</f>
        <v>0</v>
      </c>
      <c r="H240" s="1386">
        <f>'74'!K285</f>
        <v>0</v>
      </c>
      <c r="I240" s="1386">
        <f>'74'!L285</f>
        <v>0</v>
      </c>
      <c r="J240" s="1414"/>
      <c r="K240" s="1409">
        <f>K237+K238+K239</f>
        <v>220853000</v>
      </c>
      <c r="L240" s="1409">
        <f>L237+L238+L239</f>
        <v>805424481.20000005</v>
      </c>
      <c r="M240" s="1409">
        <f>M237+M238+M239</f>
        <v>1904758011.1700001</v>
      </c>
      <c r="N240" s="1443" t="s">
        <v>1935</v>
      </c>
      <c r="Q240" s="1484"/>
      <c r="R240" s="1476"/>
      <c r="S240" s="1339"/>
      <c r="T240" s="1339"/>
      <c r="U240" s="1339"/>
      <c r="V240" s="1495"/>
    </row>
    <row r="241" spans="1:22" s="1427" customFormat="1" ht="18" x14ac:dyDescent="0.25">
      <c r="A241" s="1417" t="s">
        <v>555</v>
      </c>
      <c r="B241" s="1467"/>
      <c r="C241" s="1419">
        <f>'74'!E286</f>
        <v>0</v>
      </c>
      <c r="D241" s="1419">
        <f>'74'!F286</f>
        <v>0</v>
      </c>
      <c r="E241" s="1419">
        <f>'74'!G286</f>
        <v>14905</v>
      </c>
      <c r="F241" s="1420">
        <v>0</v>
      </c>
      <c r="G241" s="1388">
        <f>'74'!J286</f>
        <v>0</v>
      </c>
      <c r="H241" s="1388">
        <f>'74'!K286</f>
        <v>0</v>
      </c>
      <c r="I241" s="1388">
        <f>'74'!L286</f>
        <v>14904652.16</v>
      </c>
      <c r="J241" s="1386"/>
      <c r="K241" s="1414"/>
      <c r="Q241" s="1441"/>
      <c r="R241" s="1476"/>
      <c r="S241" s="1477"/>
      <c r="T241" s="1477"/>
      <c r="U241" s="1477"/>
      <c r="V241" s="1477"/>
    </row>
    <row r="242" spans="1:22" s="1427" customFormat="1" ht="14.25" customHeight="1" x14ac:dyDescent="0.25">
      <c r="A242" s="3169" t="s">
        <v>806</v>
      </c>
      <c r="B242" s="1449">
        <v>75</v>
      </c>
      <c r="C242" s="1435">
        <f>C244+C245+C246</f>
        <v>0</v>
      </c>
      <c r="D242" s="1435">
        <f>D244+D245+D246</f>
        <v>128</v>
      </c>
      <c r="E242" s="1435">
        <f>E244+E245+E246</f>
        <v>256</v>
      </c>
      <c r="F242" s="1431">
        <f>E242/D242*100</f>
        <v>200</v>
      </c>
      <c r="G242" s="1409">
        <f>G244+G245+G246</f>
        <v>0</v>
      </c>
      <c r="H242" s="1409">
        <f>H244+H245+H246</f>
        <v>127883.85</v>
      </c>
      <c r="I242" s="1409">
        <f>I244+I245+I246</f>
        <v>255757.30000000002</v>
      </c>
      <c r="J242" s="1414"/>
      <c r="K242" s="1414"/>
      <c r="Q242" s="1441"/>
      <c r="R242" s="1476"/>
      <c r="S242" s="1477"/>
      <c r="T242" s="1477"/>
      <c r="U242" s="1477"/>
      <c r="V242" s="1477"/>
    </row>
    <row r="243" spans="1:22" s="1427" customFormat="1" ht="15.75" customHeight="1" x14ac:dyDescent="0.25">
      <c r="A243" s="3168"/>
      <c r="B243" s="1449"/>
      <c r="C243" s="1412"/>
      <c r="D243" s="1412"/>
      <c r="E243" s="1412"/>
      <c r="F243" s="1413"/>
      <c r="G243" s="1414"/>
      <c r="H243" s="1414"/>
      <c r="I243" s="1414"/>
      <c r="J243" s="1414"/>
      <c r="K243" s="1414"/>
      <c r="Q243" s="1475" t="s">
        <v>1931</v>
      </c>
      <c r="R243" s="1476"/>
      <c r="S243" s="1477"/>
      <c r="T243" s="1477"/>
      <c r="U243" s="1477"/>
      <c r="V243" s="1477"/>
    </row>
    <row r="244" spans="1:22" s="1427" customFormat="1" x14ac:dyDescent="0.2">
      <c r="A244" s="1410" t="s">
        <v>332</v>
      </c>
      <c r="B244" s="1449"/>
      <c r="C244" s="1412">
        <f>'75'!E26</f>
        <v>0</v>
      </c>
      <c r="D244" s="1412">
        <f>'75'!F26</f>
        <v>128</v>
      </c>
      <c r="E244" s="1412">
        <f>'75'!G26</f>
        <v>128</v>
      </c>
      <c r="F244" s="1413">
        <f>E244/D244*100</f>
        <v>100</v>
      </c>
      <c r="G244" s="1389">
        <f>'75'!J26</f>
        <v>0</v>
      </c>
      <c r="H244" s="1390">
        <f>'75'!K26</f>
        <v>127883.85</v>
      </c>
      <c r="I244" s="1390">
        <f>'75'!L26</f>
        <v>127873.45000000001</v>
      </c>
      <c r="J244" s="1414"/>
      <c r="K244" s="1414"/>
      <c r="Q244" s="1391" t="s">
        <v>698</v>
      </c>
      <c r="R244" s="1479">
        <f>C163+C167+C184+C189+C198+C203+C208+C213+C218+C223+C229+C234+C279+C284+C289+C239+C244+C249+C253+C257</f>
        <v>28465</v>
      </c>
      <c r="S244" s="1479">
        <f>D163+D167+D184+D189+D198+D203+D208+D213+D218+D223+D229+D234+D279+D284+D289+D239+D244+D249+D253+D257</f>
        <v>281861</v>
      </c>
      <c r="T244" s="1479">
        <f>E163+E167+E184+E189+E198+E203+E208+E213+E218+E223+E229+E234+E279+E284+E289+E239+E244+E249+E253+E257</f>
        <v>147635</v>
      </c>
      <c r="U244" s="1394"/>
      <c r="V244" s="1394"/>
    </row>
    <row r="245" spans="1:22" s="1427" customFormat="1" ht="15" x14ac:dyDescent="0.25">
      <c r="A245" s="1410" t="s">
        <v>333</v>
      </c>
      <c r="B245" s="1449"/>
      <c r="C245" s="1412">
        <f>'75'!E27</f>
        <v>0</v>
      </c>
      <c r="D245" s="1412">
        <f>'75'!F27</f>
        <v>0</v>
      </c>
      <c r="E245" s="1412">
        <f>'75'!G27</f>
        <v>0</v>
      </c>
      <c r="F245" s="1413">
        <v>0</v>
      </c>
      <c r="G245" s="1389">
        <f>'75'!J27</f>
        <v>0</v>
      </c>
      <c r="H245" s="1390">
        <f>'75'!K27</f>
        <v>0</v>
      </c>
      <c r="I245" s="1390">
        <f>'75'!L27</f>
        <v>0</v>
      </c>
      <c r="J245" s="1414"/>
      <c r="K245" s="1414"/>
      <c r="Q245" s="1391" t="s">
        <v>699</v>
      </c>
      <c r="R245" s="1479">
        <f>C245+C240+C290+C285+C280+C235+C230+C224+C219+C214+C209+C204+C199+C190+C185+C180+C174+C168+C164+C250+C254+C258</f>
        <v>192388</v>
      </c>
      <c r="S245" s="1479">
        <f>D245+D240+D290+D285+D280+D235+D230+D224+D219+D214+D209+D204+D199+D190+D185+D180+D174+D168+D164+D250+D254+D258</f>
        <v>523564</v>
      </c>
      <c r="T245" s="1479">
        <f>E245+E240+E290+E285+E280+E235+E230+E224+E219+E214+E209+E204+E199+E190+E185+E180+E174+E168+E164+E250+E254+E258</f>
        <v>368436</v>
      </c>
      <c r="U245" s="1339"/>
      <c r="V245" s="1495"/>
    </row>
    <row r="246" spans="1:22" s="1427" customFormat="1" x14ac:dyDescent="0.2">
      <c r="A246" s="1417" t="s">
        <v>555</v>
      </c>
      <c r="B246" s="1467"/>
      <c r="C246" s="1412">
        <f>'75'!E28</f>
        <v>0</v>
      </c>
      <c r="D246" s="1412">
        <f>'75'!F28</f>
        <v>0</v>
      </c>
      <c r="E246" s="1412">
        <f>'75'!G28</f>
        <v>128</v>
      </c>
      <c r="F246" s="1413">
        <v>0</v>
      </c>
      <c r="G246" s="1387">
        <f>'75'!J28</f>
        <v>0</v>
      </c>
      <c r="H246" s="1388">
        <f>'75'!K28</f>
        <v>0</v>
      </c>
      <c r="I246" s="1388">
        <f>'75'!L28</f>
        <v>127883.85</v>
      </c>
      <c r="J246" s="1414"/>
      <c r="K246" s="1414"/>
      <c r="Q246" s="1441" t="s">
        <v>461</v>
      </c>
      <c r="R246" s="1478">
        <f>C246+C241+C291+C286+C281+C236+C231+C225+C220+C215+C210+C251+C255+C205+C200+C191+C186+C181+C175+C169+C165+C259</f>
        <v>0</v>
      </c>
      <c r="S246" s="1478">
        <f>D246+D241+D291+D286+D281+D236+D231+D225+D220+D215+D210+D251+D255+D205+D200+D191+D186+D181+D175+D169+D165+D259</f>
        <v>0</v>
      </c>
      <c r="T246" s="1478">
        <f>E246+E241+E291+E286+E281+E236+E231+E225+E220+E215+E210+E251+E255+E205+E200+E191+E186+E181+E175+E169+E165+E259</f>
        <v>1388687</v>
      </c>
      <c r="U246" s="1477"/>
      <c r="V246" s="1477"/>
    </row>
    <row r="247" spans="1:22" s="1427" customFormat="1" ht="15" x14ac:dyDescent="0.25">
      <c r="A247" s="3169" t="s">
        <v>1057</v>
      </c>
      <c r="B247" s="1449">
        <v>76</v>
      </c>
      <c r="C247" s="1425">
        <f>C249+C250+C251</f>
        <v>1043</v>
      </c>
      <c r="D247" s="1425">
        <f t="shared" ref="D247:E247" si="72">D249+D250+D251</f>
        <v>5384</v>
      </c>
      <c r="E247" s="1425">
        <f t="shared" si="72"/>
        <v>7721</v>
      </c>
      <c r="F247" s="1426">
        <f>E247/D247*100</f>
        <v>143.40638930163448</v>
      </c>
      <c r="G247" s="1409">
        <f>G249+G250+G251</f>
        <v>1043000</v>
      </c>
      <c r="H247" s="1409">
        <f t="shared" ref="H247:I247" si="73">H249+H250+H251</f>
        <v>5384042.29</v>
      </c>
      <c r="I247" s="1409">
        <f t="shared" si="73"/>
        <v>7721005.6299999999</v>
      </c>
      <c r="J247" s="1414"/>
      <c r="K247" s="1414"/>
      <c r="Q247" s="1441" t="s">
        <v>460</v>
      </c>
      <c r="R247" s="1523">
        <f>R244+R245+R246</f>
        <v>220853</v>
      </c>
      <c r="S247" s="1523">
        <f>S244+S245+S246</f>
        <v>805425</v>
      </c>
      <c r="T247" s="1523">
        <f>T244+T245+T246</f>
        <v>1904758</v>
      </c>
      <c r="U247" s="1477"/>
      <c r="V247" s="1477"/>
    </row>
    <row r="248" spans="1:22" s="1427" customFormat="1" x14ac:dyDescent="0.2">
      <c r="A248" s="3168"/>
      <c r="B248" s="1449"/>
      <c r="C248" s="1412"/>
      <c r="D248" s="1412"/>
      <c r="E248" s="1412"/>
      <c r="F248" s="1413"/>
      <c r="G248" s="1390"/>
      <c r="H248" s="1390"/>
      <c r="I248" s="1390"/>
      <c r="J248" s="1414"/>
      <c r="K248" s="1414"/>
      <c r="Q248" s="1441"/>
      <c r="R248" s="1523"/>
      <c r="S248" s="1523"/>
      <c r="T248" s="1523"/>
      <c r="U248" s="1477"/>
      <c r="V248" s="1477"/>
    </row>
    <row r="249" spans="1:22" s="1427" customFormat="1" x14ac:dyDescent="0.2">
      <c r="A249" s="1410" t="s">
        <v>332</v>
      </c>
      <c r="B249" s="1449"/>
      <c r="C249" s="1412">
        <f>'76'!E153</f>
        <v>1043</v>
      </c>
      <c r="D249" s="1412">
        <f>'76'!F153</f>
        <v>5384</v>
      </c>
      <c r="E249" s="1412">
        <f>'76'!G153</f>
        <v>3445</v>
      </c>
      <c r="F249" s="1413">
        <f>E249/D249*100</f>
        <v>63.985884101040114</v>
      </c>
      <c r="G249" s="1390">
        <f>'76'!J153</f>
        <v>1043000</v>
      </c>
      <c r="H249" s="1390">
        <f>'76'!K153</f>
        <v>5384042.29</v>
      </c>
      <c r="I249" s="1390">
        <f>'76'!L153</f>
        <v>3445141.38</v>
      </c>
      <c r="J249" s="1414"/>
      <c r="K249" s="1414"/>
      <c r="Q249" s="1441"/>
      <c r="R249" s="1523"/>
      <c r="S249" s="1523"/>
      <c r="T249" s="1523"/>
      <c r="U249" s="1477"/>
      <c r="V249" s="1477"/>
    </row>
    <row r="250" spans="1:22" s="1427" customFormat="1" x14ac:dyDescent="0.2">
      <c r="A250" s="1410" t="s">
        <v>333</v>
      </c>
      <c r="B250" s="1449"/>
      <c r="C250" s="1412">
        <f>'76'!E154</f>
        <v>0</v>
      </c>
      <c r="D250" s="1412">
        <f>'76'!F154</f>
        <v>0</v>
      </c>
      <c r="E250" s="1412">
        <f>'76'!G154</f>
        <v>0</v>
      </c>
      <c r="F250" s="1413">
        <v>0</v>
      </c>
      <c r="G250" s="1390">
        <f>'76'!J154</f>
        <v>0</v>
      </c>
      <c r="H250" s="1390">
        <f>'76'!K154</f>
        <v>0</v>
      </c>
      <c r="I250" s="1390">
        <f>'76'!L154</f>
        <v>0</v>
      </c>
      <c r="J250" s="1414"/>
      <c r="K250" s="1414"/>
      <c r="Q250" s="1441"/>
      <c r="R250" s="1523"/>
      <c r="S250" s="1523"/>
      <c r="T250" s="1523"/>
      <c r="U250" s="1477"/>
      <c r="V250" s="1477"/>
    </row>
    <row r="251" spans="1:22" s="1427" customFormat="1" x14ac:dyDescent="0.2">
      <c r="A251" s="1417" t="s">
        <v>555</v>
      </c>
      <c r="B251" s="1449"/>
      <c r="C251" s="1412">
        <f>'76'!E155</f>
        <v>0</v>
      </c>
      <c r="D251" s="1412">
        <f>'76'!F155</f>
        <v>0</v>
      </c>
      <c r="E251" s="1412">
        <f>'76'!G155</f>
        <v>4276</v>
      </c>
      <c r="F251" s="1420">
        <v>0</v>
      </c>
      <c r="G251" s="1387">
        <f>'76'!J155</f>
        <v>0</v>
      </c>
      <c r="H251" s="1388">
        <f>'76'!K155</f>
        <v>0</v>
      </c>
      <c r="I251" s="1388">
        <f>'76'!L155</f>
        <v>4275864.25</v>
      </c>
      <c r="J251" s="1414"/>
      <c r="K251" s="1414"/>
      <c r="Q251" s="1441"/>
      <c r="R251" s="1523"/>
      <c r="S251" s="1523"/>
      <c r="T251" s="1523"/>
      <c r="U251" s="1477"/>
      <c r="V251" s="1477"/>
    </row>
    <row r="252" spans="1:22" s="1427" customFormat="1" ht="14.25" customHeight="1" x14ac:dyDescent="0.25">
      <c r="A252" s="1667" t="s">
        <v>1060</v>
      </c>
      <c r="B252" s="1459">
        <v>77</v>
      </c>
      <c r="C252" s="1425">
        <f>C253+C254+C255</f>
        <v>0</v>
      </c>
      <c r="D252" s="1425">
        <f t="shared" ref="D252:E252" si="74">D253+D254+D255</f>
        <v>158435</v>
      </c>
      <c r="E252" s="1425">
        <f t="shared" si="74"/>
        <v>239742</v>
      </c>
      <c r="F252" s="1426">
        <f>E252/D252*100</f>
        <v>151.31883737810458</v>
      </c>
      <c r="G252" s="1409">
        <f>G253+G254+G255</f>
        <v>0</v>
      </c>
      <c r="H252" s="1409">
        <f t="shared" ref="H252:I252" si="75">H253+H254+H255</f>
        <v>158435064.30000001</v>
      </c>
      <c r="I252" s="1409">
        <f t="shared" si="75"/>
        <v>239741659.19</v>
      </c>
      <c r="J252" s="1414"/>
      <c r="K252" s="1414"/>
      <c r="Q252" s="1441"/>
      <c r="R252" s="1523"/>
      <c r="S252" s="1523"/>
      <c r="T252" s="1523"/>
      <c r="U252" s="1477"/>
      <c r="V252" s="1477"/>
    </row>
    <row r="253" spans="1:22" s="1427" customFormat="1" x14ac:dyDescent="0.2">
      <c r="A253" s="1410" t="s">
        <v>332</v>
      </c>
      <c r="B253" s="1449"/>
      <c r="C253" s="1412">
        <f>'77'!E42</f>
        <v>0</v>
      </c>
      <c r="D253" s="1412">
        <f>'77'!F42</f>
        <v>2631</v>
      </c>
      <c r="E253" s="1412">
        <f>'77'!G42</f>
        <v>2504</v>
      </c>
      <c r="F253" s="1413">
        <f t="shared" ref="F253:F254" si="76">E253/D253*100</f>
        <v>95.172938046370206</v>
      </c>
      <c r="G253" s="1390">
        <f>'77'!J42</f>
        <v>0</v>
      </c>
      <c r="H253" s="1390">
        <f>'77'!K42</f>
        <v>2631110.75</v>
      </c>
      <c r="I253" s="1390">
        <f>'77'!L42</f>
        <v>2503581.7000000002</v>
      </c>
      <c r="J253" s="1414"/>
      <c r="K253" s="1414"/>
      <c r="Q253" s="1441"/>
      <c r="R253" s="1523"/>
      <c r="S253" s="1523"/>
      <c r="T253" s="1523"/>
      <c r="U253" s="1477"/>
      <c r="V253" s="1477"/>
    </row>
    <row r="254" spans="1:22" s="1427" customFormat="1" x14ac:dyDescent="0.2">
      <c r="A254" s="1410" t="s">
        <v>333</v>
      </c>
      <c r="B254" s="1449"/>
      <c r="C254" s="1412">
        <f>'77'!E43</f>
        <v>0</v>
      </c>
      <c r="D254" s="1412">
        <f>'77'!F43</f>
        <v>155804</v>
      </c>
      <c r="E254" s="1412">
        <f>'77'!G43</f>
        <v>144509</v>
      </c>
      <c r="F254" s="1413">
        <f t="shared" si="76"/>
        <v>92.75050704731585</v>
      </c>
      <c r="G254" s="1390">
        <f>'77'!J43</f>
        <v>0</v>
      </c>
      <c r="H254" s="1390">
        <f>'77'!K43</f>
        <v>155803953.55000001</v>
      </c>
      <c r="I254" s="1390">
        <f>'77'!L43</f>
        <v>144509159.99000001</v>
      </c>
      <c r="J254" s="1414"/>
      <c r="K254" s="1414"/>
      <c r="L254" s="1414"/>
      <c r="M254" s="1414"/>
      <c r="Q254" s="1441"/>
      <c r="R254" s="1523"/>
      <c r="S254" s="1523"/>
      <c r="T254" s="1523"/>
      <c r="U254" s="1477"/>
      <c r="V254" s="1477"/>
    </row>
    <row r="255" spans="1:22" s="1427" customFormat="1" x14ac:dyDescent="0.2">
      <c r="A255" s="1417" t="s">
        <v>555</v>
      </c>
      <c r="B255" s="1449"/>
      <c r="C255" s="1412">
        <f>'77'!E44</f>
        <v>0</v>
      </c>
      <c r="D255" s="1412">
        <f>'77'!F44</f>
        <v>0</v>
      </c>
      <c r="E255" s="1412">
        <f>'77'!G44</f>
        <v>92729</v>
      </c>
      <c r="F255" s="1420">
        <v>0</v>
      </c>
      <c r="G255" s="1387">
        <f>'77'!J44</f>
        <v>0</v>
      </c>
      <c r="H255" s="1388">
        <f>'77'!K44</f>
        <v>0</v>
      </c>
      <c r="I255" s="1388">
        <f>'77'!L44</f>
        <v>92728917.5</v>
      </c>
      <c r="J255" s="1414"/>
      <c r="K255" s="1414"/>
      <c r="Q255" s="1441"/>
      <c r="R255" s="1523"/>
      <c r="S255" s="1523"/>
      <c r="T255" s="1523"/>
      <c r="U255" s="1477"/>
      <c r="V255" s="1477"/>
    </row>
    <row r="256" spans="1:22" s="1427" customFormat="1" ht="15" x14ac:dyDescent="0.25">
      <c r="A256" s="3026" t="s">
        <v>1927</v>
      </c>
      <c r="B256" s="1459">
        <v>78</v>
      </c>
      <c r="C256" s="1425">
        <f>C257+C258+C259</f>
        <v>0</v>
      </c>
      <c r="D256" s="1425">
        <f t="shared" ref="D256:E256" si="77">D257+D258+D259</f>
        <v>86100</v>
      </c>
      <c r="E256" s="1425">
        <f t="shared" si="77"/>
        <v>86401</v>
      </c>
      <c r="F256" s="1426">
        <f>E256/D256*100</f>
        <v>100.34959349593495</v>
      </c>
      <c r="G256" s="1409">
        <f>G257+G258+G259</f>
        <v>0</v>
      </c>
      <c r="H256" s="1409">
        <f t="shared" ref="H256:I256" si="78">H257+H258+H259</f>
        <v>86100000</v>
      </c>
      <c r="I256" s="1409">
        <f t="shared" si="78"/>
        <v>86400542.299999997</v>
      </c>
      <c r="J256" s="1414"/>
      <c r="K256" s="1414"/>
      <c r="Q256" s="1441"/>
      <c r="R256" s="1523"/>
      <c r="S256" s="1523"/>
      <c r="T256" s="1523"/>
      <c r="U256" s="1477"/>
      <c r="V256" s="1477"/>
    </row>
    <row r="257" spans="1:22" s="1427" customFormat="1" x14ac:dyDescent="0.2">
      <c r="A257" s="1410" t="s">
        <v>332</v>
      </c>
      <c r="B257" s="1449"/>
      <c r="C257" s="1412">
        <f>'78'!E42</f>
        <v>0</v>
      </c>
      <c r="D257" s="1412">
        <f>'78'!F42</f>
        <v>2750</v>
      </c>
      <c r="E257" s="1412">
        <f>'78'!G42</f>
        <v>301</v>
      </c>
      <c r="F257" s="1413">
        <f t="shared" ref="F257:F258" si="79">E257/D257*100</f>
        <v>10.945454545454545</v>
      </c>
      <c r="G257" s="1390">
        <f>'78'!J42</f>
        <v>0</v>
      </c>
      <c r="H257" s="1390">
        <f>'78'!K42</f>
        <v>2750485.44</v>
      </c>
      <c r="I257" s="1390">
        <f>'78'!L42</f>
        <v>300542.3</v>
      </c>
      <c r="J257" s="1414"/>
      <c r="K257" s="1414"/>
      <c r="Q257" s="1441"/>
      <c r="R257" s="1523"/>
      <c r="S257" s="1523"/>
      <c r="T257" s="1523"/>
      <c r="U257" s="1477"/>
      <c r="V257" s="1477"/>
    </row>
    <row r="258" spans="1:22" s="1427" customFormat="1" x14ac:dyDescent="0.2">
      <c r="A258" s="1410" t="s">
        <v>333</v>
      </c>
      <c r="B258" s="1449"/>
      <c r="C258" s="1412">
        <f>'78'!E43</f>
        <v>0</v>
      </c>
      <c r="D258" s="1412">
        <f>'78'!F43</f>
        <v>83350</v>
      </c>
      <c r="E258" s="1412">
        <f>'78'!G43</f>
        <v>0</v>
      </c>
      <c r="F258" s="1413">
        <f t="shared" si="79"/>
        <v>0</v>
      </c>
      <c r="G258" s="1390">
        <f>'78'!J43</f>
        <v>0</v>
      </c>
      <c r="H258" s="1390">
        <f>'78'!K43</f>
        <v>83349514.560000002</v>
      </c>
      <c r="I258" s="1390">
        <f>'78'!L43</f>
        <v>0</v>
      </c>
      <c r="J258" s="1414"/>
      <c r="K258" s="1414"/>
      <c r="Q258" s="1441"/>
      <c r="R258" s="1523"/>
      <c r="S258" s="1523"/>
      <c r="T258" s="1523"/>
      <c r="U258" s="1477"/>
      <c r="V258" s="1477"/>
    </row>
    <row r="259" spans="1:22" s="1427" customFormat="1" x14ac:dyDescent="0.2">
      <c r="A259" s="1417" t="s">
        <v>555</v>
      </c>
      <c r="B259" s="1449"/>
      <c r="C259" s="1412">
        <f>'78'!E44</f>
        <v>0</v>
      </c>
      <c r="D259" s="1412">
        <f>'78'!F44</f>
        <v>0</v>
      </c>
      <c r="E259" s="1412">
        <f>'78'!G44</f>
        <v>86100</v>
      </c>
      <c r="F259" s="1420">
        <v>0</v>
      </c>
      <c r="G259" s="1390">
        <f>'78'!J44</f>
        <v>0</v>
      </c>
      <c r="H259" s="1390">
        <f>'78'!K44</f>
        <v>0</v>
      </c>
      <c r="I259" s="1390">
        <f>'78'!L44</f>
        <v>86100000</v>
      </c>
      <c r="J259" s="1414"/>
      <c r="K259" s="1414"/>
      <c r="Q259" s="1441"/>
      <c r="R259" s="1523"/>
      <c r="S259" s="1523"/>
      <c r="T259" s="1523"/>
      <c r="U259" s="1477"/>
      <c r="V259" s="1477"/>
    </row>
    <row r="260" spans="1:22" s="1427" customFormat="1" ht="45" x14ac:dyDescent="0.25">
      <c r="A260" s="1583" t="s">
        <v>819</v>
      </c>
      <c r="B260" s="1459">
        <v>99</v>
      </c>
      <c r="C260" s="2859">
        <f>C262+C264</f>
        <v>50000</v>
      </c>
      <c r="D260" s="2859">
        <f t="shared" ref="D260:E260" si="80">D262+D264</f>
        <v>74155</v>
      </c>
      <c r="E260" s="2859">
        <f t="shared" si="80"/>
        <v>61080</v>
      </c>
      <c r="F260" s="2863">
        <f>E260/D260*100</f>
        <v>82.368012945856648</v>
      </c>
      <c r="G260" s="3098">
        <f>G261+G264</f>
        <v>50000000</v>
      </c>
      <c r="H260" s="3099">
        <f t="shared" ref="H260:I260" si="81">H261+H264</f>
        <v>74155272.420000002</v>
      </c>
      <c r="I260" s="3099">
        <f t="shared" si="81"/>
        <v>61080014.5</v>
      </c>
      <c r="J260" s="1409"/>
      <c r="K260" s="1409">
        <f>K52+K110+K153+G262+G293+K237</f>
        <v>3698799000</v>
      </c>
      <c r="L260" s="1409">
        <f>L52+L110+L153+H262+H293+L237</f>
        <v>4144098576.2599998</v>
      </c>
      <c r="M260" s="1409">
        <f>M52+M110+M153+I262+I293+M237</f>
        <v>3548150469.23</v>
      </c>
      <c r="N260" s="1437" t="s">
        <v>335</v>
      </c>
      <c r="Q260" s="1391"/>
      <c r="R260" s="1477"/>
      <c r="S260" s="1477"/>
      <c r="T260" s="1477"/>
      <c r="U260" s="1477"/>
      <c r="V260" s="1477"/>
    </row>
    <row r="261" spans="1:22" s="1427" customFormat="1" x14ac:dyDescent="0.2">
      <c r="A261" s="1457" t="s">
        <v>338</v>
      </c>
      <c r="B261" s="1449"/>
      <c r="C261" s="1452">
        <f>SUM(C262:C263)</f>
        <v>20000</v>
      </c>
      <c r="D261" s="1452">
        <f t="shared" ref="D261:E261" si="82">SUM(D262:D263)</f>
        <v>41541</v>
      </c>
      <c r="E261" s="1452">
        <f t="shared" si="82"/>
        <v>30806</v>
      </c>
      <c r="F261" s="1460">
        <f t="shared" ref="F261" si="83">E261/D261*100</f>
        <v>74.158060711104696</v>
      </c>
      <c r="G261" s="1414">
        <f>G262+G263</f>
        <v>20000000</v>
      </c>
      <c r="H261" s="1414">
        <f t="shared" ref="H261:I261" si="84">H262+H263</f>
        <v>41540697.060000002</v>
      </c>
      <c r="I261" s="1414">
        <f t="shared" si="84"/>
        <v>30806014.5</v>
      </c>
      <c r="J261" s="1409"/>
      <c r="K261" s="1409">
        <f>K53+K111+K154+K238+G263+G294</f>
        <v>602961000</v>
      </c>
      <c r="L261" s="1409">
        <f>L53+L111+L154+L238+H263+H294</f>
        <v>1325049715.45</v>
      </c>
      <c r="M261" s="1409">
        <f>M53+M111+M154+M238+I263+I294</f>
        <v>1069202263.6200001</v>
      </c>
      <c r="N261" s="1437" t="s">
        <v>1063</v>
      </c>
      <c r="Q261" s="1391"/>
      <c r="R261" s="1477"/>
      <c r="S261" s="1477"/>
      <c r="T261" s="1477"/>
      <c r="U261" s="1477"/>
      <c r="V261" s="1477"/>
    </row>
    <row r="262" spans="1:22" s="1427" customFormat="1" ht="18" x14ac:dyDescent="0.25">
      <c r="A262" s="1410" t="s">
        <v>332</v>
      </c>
      <c r="B262" s="1449"/>
      <c r="C262" s="1412">
        <f>'F - 99'!E50</f>
        <v>20000</v>
      </c>
      <c r="D262" s="1412">
        <f>'F - 99'!F50</f>
        <v>41541</v>
      </c>
      <c r="E262" s="1412">
        <f>'F - 99'!G50</f>
        <v>30806</v>
      </c>
      <c r="F262" s="1413">
        <f>E262/D262*100</f>
        <v>74.158060711104696</v>
      </c>
      <c r="G262" s="1414">
        <f>'F - 99'!J50</f>
        <v>20000000</v>
      </c>
      <c r="H262" s="1414">
        <f>'F - 99'!K50</f>
        <v>41540697.060000002</v>
      </c>
      <c r="I262" s="1414">
        <f>'F - 99'!L50</f>
        <v>30806014.5</v>
      </c>
      <c r="J262" s="1414"/>
      <c r="K262" s="1409">
        <f t="shared" ref="K262:M263" si="85">K155+K112+K54</f>
        <v>800000</v>
      </c>
      <c r="L262" s="1409">
        <f t="shared" si="85"/>
        <v>7531292759.9100008</v>
      </c>
      <c r="M262" s="1409">
        <f t="shared" si="85"/>
        <v>7523256893.0299997</v>
      </c>
      <c r="N262" s="1437" t="s">
        <v>358</v>
      </c>
      <c r="Q262" s="1391"/>
      <c r="R262" s="1524"/>
      <c r="S262" s="1477"/>
      <c r="T262" s="1477"/>
      <c r="U262" s="1477"/>
      <c r="V262" s="1477"/>
    </row>
    <row r="263" spans="1:22" s="1427" customFormat="1" x14ac:dyDescent="0.2">
      <c r="A263" s="1410" t="s">
        <v>333</v>
      </c>
      <c r="B263" s="1449"/>
      <c r="C263" s="1412">
        <f>'F - 99'!E51</f>
        <v>0</v>
      </c>
      <c r="D263" s="1412">
        <f>'F - 99'!F51</f>
        <v>0</v>
      </c>
      <c r="E263" s="1412">
        <f>'F - 99'!G51</f>
        <v>0</v>
      </c>
      <c r="F263" s="1413">
        <v>0</v>
      </c>
      <c r="G263" s="1428">
        <f>'F - 99'!J51</f>
        <v>0</v>
      </c>
      <c r="H263" s="1414">
        <f>'F - 99'!K51</f>
        <v>0</v>
      </c>
      <c r="I263" s="1414">
        <f>'F - 99'!L51</f>
        <v>0</v>
      </c>
      <c r="J263" s="1414"/>
      <c r="K263" s="1409">
        <f t="shared" si="85"/>
        <v>0</v>
      </c>
      <c r="L263" s="1409">
        <f t="shared" si="85"/>
        <v>47207103.030000001</v>
      </c>
      <c r="M263" s="1409">
        <f t="shared" si="85"/>
        <v>47207103.030000001</v>
      </c>
      <c r="N263" s="1437" t="s">
        <v>684</v>
      </c>
      <c r="Q263" s="1427" t="s">
        <v>853</v>
      </c>
      <c r="R263" s="1396"/>
      <c r="S263" s="1396"/>
      <c r="T263" s="1396"/>
      <c r="U263" s="1391"/>
    </row>
    <row r="264" spans="1:22" s="1427" customFormat="1" ht="15" thickBot="1" x14ac:dyDescent="0.25">
      <c r="A264" s="2582" t="s">
        <v>1254</v>
      </c>
      <c r="B264" s="1438"/>
      <c r="C264" s="2808">
        <f>'F - 99'!E53</f>
        <v>30000</v>
      </c>
      <c r="D264" s="2808">
        <f>'F - 99'!F53</f>
        <v>32614</v>
      </c>
      <c r="E264" s="2808">
        <f>'F - 99'!G53</f>
        <v>30274</v>
      </c>
      <c r="F264" s="2815">
        <f t="shared" ref="F264" si="86">E264/D264*100</f>
        <v>92.82516710615073</v>
      </c>
      <c r="G264" s="1422">
        <f>'F - 99'!J53</f>
        <v>30000000</v>
      </c>
      <c r="H264" s="1422">
        <f>'F - 99'!K53</f>
        <v>32614575.359999999</v>
      </c>
      <c r="I264" s="1422">
        <f>'F - 99'!L53</f>
        <v>30274000</v>
      </c>
      <c r="J264" s="1414"/>
      <c r="K264" s="1471">
        <f>K239+K157+K114+K56</f>
        <v>8240000</v>
      </c>
      <c r="L264" s="1471">
        <f>L239+L157+L114+L56</f>
        <v>8408300</v>
      </c>
      <c r="M264" s="1471">
        <f>M239+M157+M114+M56</f>
        <v>14526118475.27</v>
      </c>
      <c r="N264" s="1437" t="s">
        <v>461</v>
      </c>
      <c r="R264" s="1396"/>
      <c r="S264" s="1396"/>
      <c r="T264" s="1396"/>
      <c r="U264" s="1391"/>
    </row>
    <row r="265" spans="1:22" s="1427" customFormat="1" ht="15" thickTop="1" x14ac:dyDescent="0.2">
      <c r="A265" s="1472"/>
      <c r="B265" s="3137"/>
      <c r="C265" s="1473"/>
      <c r="D265" s="1473"/>
      <c r="E265" s="1473"/>
      <c r="F265" s="1474"/>
      <c r="G265" s="1390"/>
      <c r="H265" s="1390"/>
      <c r="I265" s="1390"/>
      <c r="J265" s="1414"/>
    </row>
    <row r="266" spans="1:22" s="1427" customFormat="1" x14ac:dyDescent="0.2">
      <c r="A266" s="1472"/>
      <c r="B266" s="3137"/>
      <c r="C266" s="1473"/>
      <c r="D266" s="1473"/>
      <c r="E266" s="1473"/>
      <c r="F266" s="1474"/>
      <c r="G266" s="1390"/>
      <c r="H266" s="1390"/>
      <c r="I266" s="1390"/>
      <c r="J266" s="1414"/>
    </row>
    <row r="267" spans="1:22" s="1427" customFormat="1" x14ac:dyDescent="0.2">
      <c r="A267" s="1472"/>
      <c r="B267" s="3137"/>
      <c r="C267" s="1473"/>
      <c r="D267" s="1473"/>
      <c r="E267" s="1473"/>
      <c r="F267" s="1474"/>
      <c r="G267" s="1390"/>
      <c r="H267" s="1390"/>
      <c r="I267" s="1390"/>
      <c r="J267" s="1414"/>
    </row>
    <row r="268" spans="1:22" s="1427" customFormat="1" x14ac:dyDescent="0.2">
      <c r="A268" s="1472"/>
      <c r="B268" s="3137"/>
      <c r="C268" s="1473"/>
      <c r="D268" s="1473"/>
      <c r="E268" s="1473"/>
      <c r="F268" s="1474"/>
      <c r="G268" s="1390"/>
      <c r="H268" s="1390"/>
      <c r="I268" s="1390"/>
      <c r="J268" s="1414"/>
    </row>
    <row r="269" spans="1:22" s="1427" customFormat="1" x14ac:dyDescent="0.2">
      <c r="A269" s="1472"/>
      <c r="B269" s="3137"/>
      <c r="C269" s="1473"/>
      <c r="D269" s="1473"/>
      <c r="E269" s="1473"/>
      <c r="F269" s="1474"/>
      <c r="G269" s="1390"/>
      <c r="H269" s="1390"/>
      <c r="I269" s="1390"/>
      <c r="J269" s="1414"/>
    </row>
    <row r="270" spans="1:22" s="1427" customFormat="1" x14ac:dyDescent="0.2">
      <c r="A270" s="1472"/>
      <c r="B270" s="3137"/>
      <c r="C270" s="1473"/>
      <c r="D270" s="1473"/>
      <c r="E270" s="1473"/>
      <c r="F270" s="1474"/>
      <c r="G270" s="1390"/>
      <c r="H270" s="1390"/>
      <c r="I270" s="1390"/>
      <c r="J270" s="1414"/>
    </row>
    <row r="271" spans="1:22" s="1427" customFormat="1" x14ac:dyDescent="0.2">
      <c r="A271" s="1472"/>
      <c r="B271" s="3137"/>
      <c r="C271" s="1473"/>
      <c r="D271" s="1473"/>
      <c r="E271" s="1473"/>
      <c r="F271" s="1474"/>
      <c r="G271" s="1390"/>
      <c r="H271" s="1390"/>
      <c r="I271" s="1390"/>
      <c r="J271" s="1414"/>
    </row>
    <row r="272" spans="1:22" s="1427" customFormat="1" x14ac:dyDescent="0.2">
      <c r="A272" s="1472"/>
      <c r="B272" s="3137"/>
      <c r="C272" s="1473"/>
      <c r="D272" s="1473"/>
      <c r="E272" s="1473"/>
      <c r="F272" s="1474"/>
      <c r="G272" s="1390"/>
      <c r="H272" s="1390"/>
      <c r="I272" s="1390"/>
      <c r="J272" s="1414"/>
    </row>
    <row r="273" spans="1:22" ht="15" thickBot="1" x14ac:dyDescent="0.25">
      <c r="A273" s="1508"/>
      <c r="B273" s="1509"/>
      <c r="C273" s="1510"/>
      <c r="D273" s="1510"/>
      <c r="E273" s="1510"/>
      <c r="F273" s="3101" t="s">
        <v>92</v>
      </c>
      <c r="G273" s="1515"/>
      <c r="H273" s="1515"/>
      <c r="I273" s="1515"/>
      <c r="J273" s="1515"/>
      <c r="K273" s="1515"/>
    </row>
    <row r="274" spans="1:22" s="1401" customFormat="1" ht="27" thickTop="1" thickBot="1" x14ac:dyDescent="0.25">
      <c r="A274" s="1397" t="s">
        <v>327</v>
      </c>
      <c r="B274" s="1398" t="s">
        <v>330</v>
      </c>
      <c r="C274" s="1399" t="s">
        <v>328</v>
      </c>
      <c r="D274" s="1399" t="s">
        <v>329</v>
      </c>
      <c r="E274" s="1399" t="s">
        <v>448</v>
      </c>
      <c r="F274" s="1400" t="s">
        <v>449</v>
      </c>
      <c r="G274" s="1518"/>
      <c r="H274" s="1518"/>
      <c r="I274" s="1518"/>
      <c r="J274" s="1518"/>
      <c r="K274" s="1518"/>
    </row>
    <row r="275" spans="1:22" s="1406" customFormat="1" thickTop="1" thickBot="1" x14ac:dyDescent="0.25">
      <c r="A275" s="1444">
        <v>1</v>
      </c>
      <c r="B275" s="1445">
        <v>2</v>
      </c>
      <c r="C275" s="1446">
        <v>3</v>
      </c>
      <c r="D275" s="1446">
        <v>4</v>
      </c>
      <c r="E275" s="1446">
        <v>5</v>
      </c>
      <c r="F275" s="1447" t="s">
        <v>238</v>
      </c>
      <c r="G275" s="1519"/>
      <c r="H275" s="1519"/>
      <c r="I275" s="1519"/>
      <c r="J275" s="1519"/>
      <c r="P275" s="1427"/>
      <c r="Q275" s="1427"/>
      <c r="R275" s="1461">
        <f>R211+R188+R205</f>
        <v>28465</v>
      </c>
      <c r="S275" s="1461">
        <f>S211+S188+S205</f>
        <v>281861</v>
      </c>
      <c r="T275" s="1461">
        <f>T211+T188+T205</f>
        <v>147635</v>
      </c>
    </row>
    <row r="276" spans="1:22" s="1427" customFormat="1" ht="15" hidden="1" thickTop="1" x14ac:dyDescent="0.2">
      <c r="A276" s="3169" t="s">
        <v>689</v>
      </c>
      <c r="B276" s="1449"/>
      <c r="C276" s="1412"/>
      <c r="D276" s="1412"/>
      <c r="E276" s="1412"/>
      <c r="F276" s="1413"/>
      <c r="G276" s="1414"/>
      <c r="H276" s="1414"/>
      <c r="I276" s="1414"/>
      <c r="J276" s="1414"/>
      <c r="R276" s="1461">
        <f>R189+R206+R212</f>
        <v>192388</v>
      </c>
      <c r="S276" s="1461">
        <f>S189+S206+S212</f>
        <v>523564</v>
      </c>
      <c r="T276" s="1461">
        <f>T212+T206+T189</f>
        <v>368436</v>
      </c>
    </row>
    <row r="277" spans="1:22" s="1427" customFormat="1" hidden="1" x14ac:dyDescent="0.2">
      <c r="A277" s="3168"/>
      <c r="B277" s="1449"/>
      <c r="C277" s="1412"/>
      <c r="D277" s="1412"/>
      <c r="E277" s="1412"/>
      <c r="F277" s="1413"/>
      <c r="G277" s="1414"/>
      <c r="H277" s="1414"/>
      <c r="I277" s="1414"/>
      <c r="J277" s="1414"/>
      <c r="R277" s="1578">
        <f>R190+R207+R213</f>
        <v>0</v>
      </c>
      <c r="S277" s="1578">
        <f>S190+S207+S213</f>
        <v>0</v>
      </c>
      <c r="T277" s="1578">
        <f>T213+T207+T190</f>
        <v>1388687</v>
      </c>
      <c r="U277" s="1461">
        <f>T275+T277</f>
        <v>1536322</v>
      </c>
    </row>
    <row r="278" spans="1:22" s="1427" customFormat="1" ht="15" hidden="1" x14ac:dyDescent="0.25">
      <c r="A278" s="3168"/>
      <c r="B278" s="1449">
        <v>71</v>
      </c>
      <c r="C278" s="1435">
        <f>C279+C280+C281</f>
        <v>0</v>
      </c>
      <c r="D278" s="1435">
        <f>D279+D280+D281</f>
        <v>0</v>
      </c>
      <c r="E278" s="1435">
        <f>E279+E280+E281</f>
        <v>0</v>
      </c>
      <c r="F278" s="1431" t="e">
        <f>E278/D278*100</f>
        <v>#DIV/0!</v>
      </c>
      <c r="G278" s="1471">
        <f>SUM(G279:G281)</f>
        <v>0</v>
      </c>
      <c r="H278" s="1471">
        <f>SUM(H279:H281)</f>
        <v>0</v>
      </c>
      <c r="I278" s="1471">
        <f>SUM(I279:I281)</f>
        <v>0</v>
      </c>
      <c r="J278" s="1414"/>
      <c r="R278" s="1461">
        <f>R275+R276+R277</f>
        <v>220853</v>
      </c>
      <c r="S278" s="1461">
        <f>S275+S276+S277</f>
        <v>805425</v>
      </c>
      <c r="T278" s="1461">
        <f>T275+T276+T277</f>
        <v>1904758</v>
      </c>
    </row>
    <row r="279" spans="1:22" s="1427" customFormat="1" hidden="1" x14ac:dyDescent="0.2">
      <c r="A279" s="1410" t="s">
        <v>332</v>
      </c>
      <c r="B279" s="1449"/>
      <c r="C279" s="1412">
        <f>'71'!E36</f>
        <v>0</v>
      </c>
      <c r="D279" s="1412">
        <f>'71'!F36</f>
        <v>0</v>
      </c>
      <c r="E279" s="1412">
        <f>'71'!G36</f>
        <v>0</v>
      </c>
      <c r="F279" s="1413" t="e">
        <f>E279/D279*100</f>
        <v>#DIV/0!</v>
      </c>
      <c r="G279" s="1389">
        <f>'71'!J36</f>
        <v>0</v>
      </c>
      <c r="H279" s="1390">
        <f>'71'!K36</f>
        <v>0</v>
      </c>
      <c r="I279" s="1390">
        <f>'71'!L36</f>
        <v>0</v>
      </c>
      <c r="J279" s="1522"/>
      <c r="K279" s="1522"/>
      <c r="L279" s="1521"/>
    </row>
    <row r="280" spans="1:22" s="1427" customFormat="1" hidden="1" x14ac:dyDescent="0.2">
      <c r="A280" s="1410" t="s">
        <v>333</v>
      </c>
      <c r="B280" s="1449"/>
      <c r="C280" s="1412">
        <f>'71'!E37</f>
        <v>0</v>
      </c>
      <c r="D280" s="1412">
        <f>'71'!F37</f>
        <v>0</v>
      </c>
      <c r="E280" s="1412">
        <f>'71'!G37</f>
        <v>0</v>
      </c>
      <c r="F280" s="1413">
        <v>0</v>
      </c>
      <c r="G280" s="1389">
        <f>'71'!J37</f>
        <v>0</v>
      </c>
      <c r="H280" s="1390">
        <f>'71'!K37</f>
        <v>0</v>
      </c>
      <c r="I280" s="1390">
        <f>'71'!L37</f>
        <v>0</v>
      </c>
      <c r="J280" s="1414"/>
      <c r="K280" s="1414"/>
    </row>
    <row r="281" spans="1:22" s="1427" customFormat="1" hidden="1" x14ac:dyDescent="0.2">
      <c r="A281" s="1417" t="s">
        <v>555</v>
      </c>
      <c r="B281" s="1467"/>
      <c r="C281" s="1419">
        <f>'71'!E38</f>
        <v>0</v>
      </c>
      <c r="D281" s="1419">
        <f>'71'!F38</f>
        <v>0</v>
      </c>
      <c r="E281" s="1419">
        <f>'71'!G38</f>
        <v>0</v>
      </c>
      <c r="F281" s="1420">
        <v>0</v>
      </c>
      <c r="G281" s="1387">
        <f>'71'!J38</f>
        <v>0</v>
      </c>
      <c r="H281" s="1388">
        <f>'71'!K38</f>
        <v>0</v>
      </c>
      <c r="I281" s="1388">
        <f>'71'!L38</f>
        <v>0</v>
      </c>
      <c r="J281" s="1414"/>
      <c r="K281" s="1414"/>
    </row>
    <row r="282" spans="1:22" s="1427" customFormat="1" ht="15" hidden="1" x14ac:dyDescent="0.25">
      <c r="A282" s="3169" t="s">
        <v>763</v>
      </c>
      <c r="B282" s="1449">
        <v>72</v>
      </c>
      <c r="C282" s="1435">
        <f>C284+C285+C286</f>
        <v>0</v>
      </c>
      <c r="D282" s="1435">
        <f>D284+D285+D286</f>
        <v>0</v>
      </c>
      <c r="E282" s="1435">
        <f>E284+E285+E286</f>
        <v>0</v>
      </c>
      <c r="F282" s="1431" t="e">
        <f>E282/D282*100</f>
        <v>#DIV/0!</v>
      </c>
      <c r="G282" s="1409">
        <f>G284+G285+G286</f>
        <v>0</v>
      </c>
      <c r="H282" s="1409">
        <f>H284+H285+H286</f>
        <v>0</v>
      </c>
      <c r="I282" s="1409">
        <f>I284+I285+I286</f>
        <v>0</v>
      </c>
      <c r="J282" s="1414"/>
      <c r="K282" s="1414"/>
    </row>
    <row r="283" spans="1:22" s="1427" customFormat="1" hidden="1" x14ac:dyDescent="0.2">
      <c r="A283" s="3168"/>
      <c r="B283" s="1449"/>
      <c r="C283" s="1412"/>
      <c r="D283" s="1412"/>
      <c r="E283" s="1412"/>
      <c r="F283" s="1413"/>
      <c r="G283" s="1414"/>
      <c r="H283" s="1414"/>
      <c r="I283" s="1414"/>
      <c r="J283" s="1414"/>
      <c r="K283" s="1414"/>
    </row>
    <row r="284" spans="1:22" s="1427" customFormat="1" hidden="1" x14ac:dyDescent="0.2">
      <c r="A284" s="1410" t="s">
        <v>332</v>
      </c>
      <c r="B284" s="1449"/>
      <c r="C284" s="1412">
        <f>'72'!E67</f>
        <v>0</v>
      </c>
      <c r="D284" s="1412">
        <f>'72'!F67</f>
        <v>0</v>
      </c>
      <c r="E284" s="1412">
        <f>'72'!G67</f>
        <v>0</v>
      </c>
      <c r="F284" s="1413" t="e">
        <f>E284/D284*100</f>
        <v>#DIV/0!</v>
      </c>
      <c r="G284" s="1389">
        <f>'72'!J67</f>
        <v>0</v>
      </c>
      <c r="H284" s="1390">
        <f>'72'!K67</f>
        <v>0</v>
      </c>
      <c r="I284" s="1390">
        <f>'72'!L67</f>
        <v>0</v>
      </c>
      <c r="J284" s="1414"/>
      <c r="K284" s="1414"/>
    </row>
    <row r="285" spans="1:22" s="1427" customFormat="1" hidden="1" x14ac:dyDescent="0.2">
      <c r="A285" s="1410" t="s">
        <v>333</v>
      </c>
      <c r="B285" s="1449"/>
      <c r="C285" s="1412">
        <f>'72'!E68</f>
        <v>0</v>
      </c>
      <c r="D285" s="1412">
        <f>'72'!F68</f>
        <v>0</v>
      </c>
      <c r="E285" s="1412">
        <f>'72'!G68</f>
        <v>0</v>
      </c>
      <c r="F285" s="1413">
        <v>0</v>
      </c>
      <c r="G285" s="1389">
        <f>'72'!J68</f>
        <v>0</v>
      </c>
      <c r="H285" s="1390">
        <f>'72'!K68</f>
        <v>0</v>
      </c>
      <c r="I285" s="1390">
        <f>'72'!L68</f>
        <v>0</v>
      </c>
      <c r="J285" s="1414"/>
      <c r="K285" s="1414"/>
    </row>
    <row r="286" spans="1:22" s="1427" customFormat="1" hidden="1" x14ac:dyDescent="0.2">
      <c r="A286" s="1417" t="s">
        <v>555</v>
      </c>
      <c r="B286" s="1467"/>
      <c r="C286" s="1419">
        <f>'72'!E69</f>
        <v>0</v>
      </c>
      <c r="D286" s="1419">
        <f>'72'!F69</f>
        <v>0</v>
      </c>
      <c r="E286" s="1419">
        <f>'72'!G69</f>
        <v>0</v>
      </c>
      <c r="F286" s="1420">
        <v>0</v>
      </c>
      <c r="G286" s="1387">
        <f>'72'!J69</f>
        <v>0</v>
      </c>
      <c r="H286" s="1388">
        <f>'72'!K69</f>
        <v>0</v>
      </c>
      <c r="I286" s="1388">
        <f>'72'!L69</f>
        <v>0</v>
      </c>
      <c r="J286" s="1422"/>
      <c r="K286" s="1414"/>
    </row>
    <row r="287" spans="1:22" s="1427" customFormat="1" ht="15" hidden="1" x14ac:dyDescent="0.25">
      <c r="A287" s="3169" t="s">
        <v>756</v>
      </c>
      <c r="B287" s="1449">
        <v>73</v>
      </c>
      <c r="C287" s="1435">
        <f>C289+C290+C291</f>
        <v>0</v>
      </c>
      <c r="D287" s="1435">
        <f>D289+D290+D291</f>
        <v>0</v>
      </c>
      <c r="E287" s="1435">
        <f>E289+E290+E291</f>
        <v>0</v>
      </c>
      <c r="F287" s="1431" t="e">
        <f>E287/D287*100</f>
        <v>#DIV/0!</v>
      </c>
      <c r="G287" s="1409">
        <f>G289+G290+G291</f>
        <v>0</v>
      </c>
      <c r="H287" s="1409">
        <f>H289+H290+H291</f>
        <v>0</v>
      </c>
      <c r="I287" s="1409">
        <f>I289+I290+I291</f>
        <v>0</v>
      </c>
      <c r="J287" s="1414"/>
      <c r="K287" s="1414"/>
      <c r="Q287" s="1395"/>
      <c r="R287" s="1393"/>
      <c r="S287" s="1394"/>
      <c r="T287" s="1394"/>
      <c r="U287" s="1394"/>
      <c r="V287" s="1492"/>
    </row>
    <row r="288" spans="1:22" s="1427" customFormat="1" hidden="1" x14ac:dyDescent="0.2">
      <c r="A288" s="3168"/>
      <c r="B288" s="1449"/>
      <c r="C288" s="1412"/>
      <c r="D288" s="1412"/>
      <c r="E288" s="1412"/>
      <c r="F288" s="1413"/>
      <c r="G288" s="1414"/>
      <c r="H288" s="1414"/>
      <c r="I288" s="1414"/>
      <c r="J288" s="1414"/>
      <c r="K288" s="1414"/>
      <c r="Q288" s="1395"/>
      <c r="R288" s="1393"/>
      <c r="S288" s="1394"/>
      <c r="T288" s="1394"/>
      <c r="U288" s="1394"/>
      <c r="V288" s="1492"/>
    </row>
    <row r="289" spans="1:22" s="1427" customFormat="1" hidden="1" x14ac:dyDescent="0.2">
      <c r="A289" s="1410" t="s">
        <v>332</v>
      </c>
      <c r="B289" s="1449"/>
      <c r="C289" s="1412">
        <f>'73'!E55</f>
        <v>0</v>
      </c>
      <c r="D289" s="1412">
        <f>'73'!F55</f>
        <v>0</v>
      </c>
      <c r="E289" s="1412">
        <f>'73'!G55</f>
        <v>0</v>
      </c>
      <c r="F289" s="1413" t="e">
        <f>E289/D289*100</f>
        <v>#DIV/0!</v>
      </c>
      <c r="G289" s="1389">
        <f>'73'!J55</f>
        <v>0</v>
      </c>
      <c r="H289" s="1390">
        <f>'73'!K55</f>
        <v>0</v>
      </c>
      <c r="I289" s="1390">
        <f>'73'!L55</f>
        <v>0</v>
      </c>
      <c r="J289" s="1414"/>
      <c r="K289" s="1414"/>
      <c r="Q289" s="1395"/>
      <c r="R289" s="1393"/>
      <c r="S289" s="1394"/>
      <c r="T289" s="1394"/>
      <c r="U289" s="1394"/>
      <c r="V289" s="1492"/>
    </row>
    <row r="290" spans="1:22" s="1427" customFormat="1" ht="15" hidden="1" x14ac:dyDescent="0.25">
      <c r="A290" s="1410" t="s">
        <v>333</v>
      </c>
      <c r="B290" s="1449"/>
      <c r="C290" s="1412">
        <f>'73'!E56</f>
        <v>0</v>
      </c>
      <c r="D290" s="1412">
        <f>'73'!F56</f>
        <v>0</v>
      </c>
      <c r="E290" s="1412">
        <f>'73'!G56</f>
        <v>0</v>
      </c>
      <c r="F290" s="1413">
        <v>0</v>
      </c>
      <c r="G290" s="1389">
        <f>'73'!J56</f>
        <v>0</v>
      </c>
      <c r="H290" s="1390">
        <f>'73'!K56</f>
        <v>0</v>
      </c>
      <c r="I290" s="1390">
        <f>'73'!L56</f>
        <v>0</v>
      </c>
      <c r="J290" s="1414"/>
      <c r="K290" s="1414"/>
      <c r="Q290" s="1395"/>
      <c r="R290" s="1393"/>
      <c r="S290" s="1493"/>
      <c r="T290" s="1493"/>
      <c r="U290" s="1493"/>
      <c r="V290" s="1494"/>
    </row>
    <row r="291" spans="1:22" s="1427" customFormat="1" hidden="1" x14ac:dyDescent="0.2">
      <c r="A291" s="1417" t="s">
        <v>555</v>
      </c>
      <c r="B291" s="1467"/>
      <c r="C291" s="1419">
        <f>'73'!E57</f>
        <v>0</v>
      </c>
      <c r="D291" s="1419">
        <f>'73'!F57</f>
        <v>0</v>
      </c>
      <c r="E291" s="1419">
        <f>'73'!G57</f>
        <v>0</v>
      </c>
      <c r="F291" s="1420">
        <v>0</v>
      </c>
      <c r="G291" s="1387">
        <f>'73'!J57</f>
        <v>0</v>
      </c>
      <c r="H291" s="1388">
        <f>'73'!K57</f>
        <v>0</v>
      </c>
      <c r="I291" s="1388">
        <f>'73'!L57</f>
        <v>0</v>
      </c>
      <c r="J291" s="1414"/>
      <c r="K291" s="1414"/>
      <c r="Q291" s="1395"/>
      <c r="R291" s="1393"/>
      <c r="S291" s="1394"/>
      <c r="T291" s="1394"/>
      <c r="U291" s="1394"/>
      <c r="V291" s="1492"/>
    </row>
    <row r="292" spans="1:22" s="1427" customFormat="1" ht="15.75" thickTop="1" x14ac:dyDescent="0.25">
      <c r="A292" s="1584" t="s">
        <v>77</v>
      </c>
      <c r="B292" s="1449">
        <v>199</v>
      </c>
      <c r="C292" s="1435">
        <f>SUM(C293:C294)</f>
        <v>8242</v>
      </c>
      <c r="D292" s="1435">
        <f>SUM(D293:D294)</f>
        <v>9520</v>
      </c>
      <c r="E292" s="1435">
        <f>SUM(E293:E294)</f>
        <v>8146</v>
      </c>
      <c r="F292" s="2863">
        <f>E292/D292*100</f>
        <v>85.567226890756302</v>
      </c>
      <c r="G292" s="1409">
        <f>G293</f>
        <v>8242000</v>
      </c>
      <c r="H292" s="1409">
        <f>H293</f>
        <v>9520381.5700000003</v>
      </c>
      <c r="I292" s="1409">
        <f>I293</f>
        <v>8145953.2699999996</v>
      </c>
      <c r="J292" s="1409"/>
      <c r="K292" s="1471">
        <f>K57+K115+K158+G264</f>
        <v>319230000</v>
      </c>
      <c r="L292" s="1471">
        <f>L57+L115+L158+H264</f>
        <v>403275738.05000001</v>
      </c>
      <c r="M292" s="1471">
        <f>M57+M115+M158+I264</f>
        <v>377071910.47000003</v>
      </c>
      <c r="N292" s="1437" t="s">
        <v>1254</v>
      </c>
      <c r="Q292" s="1391" t="s">
        <v>698</v>
      </c>
      <c r="R292" s="1396">
        <f>C293+C262</f>
        <v>28242</v>
      </c>
      <c r="S292" s="1396">
        <f>D293+D262</f>
        <v>51061</v>
      </c>
      <c r="T292" s="1396">
        <f>E293+E262</f>
        <v>38952</v>
      </c>
      <c r="U292" s="1391"/>
    </row>
    <row r="293" spans="1:22" s="1427" customFormat="1" ht="15" thickBot="1" x14ac:dyDescent="0.25">
      <c r="A293" s="1410" t="s">
        <v>332</v>
      </c>
      <c r="B293" s="1449"/>
      <c r="C293" s="1412">
        <f>'F -199'!E26</f>
        <v>8242</v>
      </c>
      <c r="D293" s="1412">
        <f>'F -199'!F26</f>
        <v>9520</v>
      </c>
      <c r="E293" s="1412">
        <f>'F -199'!G26</f>
        <v>8146</v>
      </c>
      <c r="F293" s="1413">
        <f>E293/D293*100</f>
        <v>85.567226890756302</v>
      </c>
      <c r="G293" s="1414">
        <f>'F -199'!J26</f>
        <v>8242000</v>
      </c>
      <c r="H293" s="1414">
        <f>'F -199'!K26</f>
        <v>9520381.5700000003</v>
      </c>
      <c r="I293" s="1414">
        <f>'F -199'!L26</f>
        <v>8145953.2699999996</v>
      </c>
      <c r="J293" s="1414"/>
      <c r="K293" s="1480">
        <f>SUM(K260:K292)</f>
        <v>4630030000</v>
      </c>
      <c r="L293" s="1480">
        <f>SUM(L260:L292)</f>
        <v>13459332192.700001</v>
      </c>
      <c r="M293" s="1480">
        <f>SUM(M260:M292)</f>
        <v>27091007114.650002</v>
      </c>
      <c r="N293" s="1443" t="s">
        <v>394</v>
      </c>
      <c r="Q293" s="1391" t="s">
        <v>699</v>
      </c>
      <c r="R293" s="1396">
        <f>C294+C263+C264</f>
        <v>30000</v>
      </c>
      <c r="S293" s="1396">
        <f>D294+D263+D264</f>
        <v>32614</v>
      </c>
      <c r="T293" s="1396">
        <f>E294+E263+E264</f>
        <v>30274</v>
      </c>
      <c r="U293" s="1391"/>
    </row>
    <row r="294" spans="1:22" s="1427" customFormat="1" ht="15.75" thickTop="1" thickBot="1" x14ac:dyDescent="0.25">
      <c r="A294" s="1417" t="s">
        <v>333</v>
      </c>
      <c r="B294" s="1467"/>
      <c r="C294" s="1412">
        <f>'F -199'!E27</f>
        <v>0</v>
      </c>
      <c r="D294" s="1412">
        <f>'F -199'!F27</f>
        <v>0</v>
      </c>
      <c r="E294" s="1412">
        <f>'F -199'!G27</f>
        <v>0</v>
      </c>
      <c r="F294" s="1420">
        <v>0</v>
      </c>
      <c r="G294" s="1414">
        <f>'F -199'!J27</f>
        <v>0</v>
      </c>
      <c r="H294" s="1414">
        <f>'F -199'!K27</f>
        <v>0</v>
      </c>
      <c r="I294" s="1414">
        <f>'F -199'!L27</f>
        <v>0</v>
      </c>
      <c r="J294" s="1414"/>
      <c r="K294" s="1409">
        <f>SUM(K261,K263)</f>
        <v>602961000</v>
      </c>
      <c r="L294" s="1409">
        <f>SUM(L261,L263)</f>
        <v>1372256818.48</v>
      </c>
      <c r="M294" s="1409">
        <f>SUM(M261,M263)</f>
        <v>1116409366.6500001</v>
      </c>
      <c r="N294" s="1437" t="s">
        <v>690</v>
      </c>
      <c r="Q294" s="1391" t="s">
        <v>461</v>
      </c>
      <c r="R294" s="1396">
        <f>C246+C241+C291+C286+C281+C236+C231</f>
        <v>0</v>
      </c>
      <c r="S294" s="1396">
        <f>D246+D241+D291+D286+D281+D236+D231</f>
        <v>0</v>
      </c>
      <c r="T294" s="1396">
        <v>0</v>
      </c>
      <c r="U294" s="1391"/>
    </row>
    <row r="295" spans="1:22" ht="26.25" customHeight="1" thickTop="1" thickBot="1" x14ac:dyDescent="0.3">
      <c r="A295" s="3172" t="s">
        <v>557</v>
      </c>
      <c r="B295" s="3173"/>
      <c r="C295" s="1481">
        <f>C7+C13+C21+C26+C31+C36+C44+C51+C62+C85+C98+C110+C121+C134+C135+C140+C147+C161+C166+C176+C183+C188+C197+C202+C207+C212+C217+C222+C228+C233+C278+C282+C287+C237+C260+C292+C242+C170+C252+C247+C160+C256</f>
        <v>4630030</v>
      </c>
      <c r="D295" s="1481">
        <f>D7+D13+D21+D26+D31+D36+D44+D51+D62+D85+D98+D110+D121+D134+D135+D140+D147+D161+D166+D176+D183+D188+D197+D202+D207+D212+D217+D222+D228+D233+D278+D282+D287+D237+D260+D292+D242+D170+D247+D252+D160+D256</f>
        <v>13459332</v>
      </c>
      <c r="E295" s="1481">
        <f>E7+E13+E21+E26+E31+E36+E44+E51+E62+E85+E98+E110+E121+E134+E135+E140+E147+E161+E166+E176+E183+E188+E197+E202+E207+E212+E217+E222+E228+E233+E278+E282+E287+E237+E260+E292+E242+E170+E247+E252+E160+E256</f>
        <v>27091007</v>
      </c>
      <c r="F295" s="1482">
        <f>E295/D295*100</f>
        <v>201.28047216607777</v>
      </c>
      <c r="G295" s="1483">
        <f>SUM(G7,G13,G21,G26,G31,G36,G44,G51,G62,G85,G98,G110,G121,G134,G135,G140,G147,G161,G166,G170,G176,G183,G188,G197,G202,G207,G212,G217,G222,G228,G233,G278,G282,G287,G237,G242,G260,G292,G247,G252,G160,G256)</f>
        <v>4630030000</v>
      </c>
      <c r="H295" s="1483">
        <f>SUM(H7,H13,H21,H26,H31,H36,H44,H51,H62,H85,H98,H110,H121,H134,H135,H140,H147,H161,H166,H170,H176,H183,H188,H197,H202,H207,H212,H217,H222,H228,H233,H278,H282,H287,H237,H242,H260,H292,H247,H252,H160,H256)</f>
        <v>13459332192.700003</v>
      </c>
      <c r="I295" s="1483">
        <f>SUM(I7,I13,I21,I26,I31,I36,I44,I51,I62,I85,I98,I110,I121,I134,I135,I140,I147,I161,I166,I170,I176,I183,I188,I197,I202,I207,I212,I217,I222,I228,I233,I278,I282,I287,I237,I242,I260,I292,I247,I252,I160,I256)</f>
        <v>27091007114.650002</v>
      </c>
      <c r="J295" s="1525"/>
      <c r="K295" s="1409">
        <f>SUM(K264)</f>
        <v>8240000</v>
      </c>
      <c r="L295" s="1409">
        <f>SUM(L264)</f>
        <v>8408300</v>
      </c>
      <c r="M295" s="1409">
        <f>SUM(M264)</f>
        <v>14526118475.27</v>
      </c>
      <c r="N295" s="1437" t="s">
        <v>461</v>
      </c>
      <c r="Q295" s="1427" t="s">
        <v>356</v>
      </c>
      <c r="R295" s="1396">
        <f>R292+R293+R294</f>
        <v>58242</v>
      </c>
      <c r="S295" s="1396">
        <f>S292+S293+S294</f>
        <v>83675</v>
      </c>
      <c r="T295" s="1396">
        <f>T292+T293+T294</f>
        <v>69226</v>
      </c>
    </row>
    <row r="296" spans="1:22" ht="20.25" customHeight="1" thickTop="1" x14ac:dyDescent="0.2">
      <c r="A296" s="1484" t="s">
        <v>649</v>
      </c>
      <c r="C296" s="1394">
        <f>SUM(C12,C19)</f>
        <v>8240</v>
      </c>
      <c r="D296" s="1394">
        <f>D12+D19+D42+D165+D169+D181+D191+D215+D186+D200+D205+D210+D220+D225+D231+D236+D281+D286+D291+D241+D246+D175</f>
        <v>8408</v>
      </c>
      <c r="E296" s="1394">
        <f>E12+E19+E42+E68+E91+E165+E169+E186+E191+E200+E205+E210+E215+E220+E225+E231+E236+E281+E286+E291+E241+E246+E255+E251+E259+E127</f>
        <v>14526118</v>
      </c>
      <c r="F296" s="1474">
        <f>E296/D296*100</f>
        <v>172765.43767840153</v>
      </c>
      <c r="G296" s="1454">
        <f>K295</f>
        <v>8240000</v>
      </c>
      <c r="H296" s="1454">
        <f>L295</f>
        <v>8408300</v>
      </c>
      <c r="I296" s="1454">
        <f>I12+I19++I68+I91+I165+I169+I186+I191+I200+I205+I210+I215+I220+I225+I231+I236+I281+I286+I291+I241+I246+I251+I255+I259+I127+I42</f>
        <v>14526118475.27</v>
      </c>
      <c r="J296" s="1454"/>
      <c r="K296" s="1409">
        <f>K293</f>
        <v>4630030000</v>
      </c>
      <c r="L296" s="1409">
        <f>L293</f>
        <v>13459332192.700001</v>
      </c>
      <c r="M296" s="1409">
        <f>M293</f>
        <v>27091007114.650002</v>
      </c>
      <c r="N296" s="1437" t="s">
        <v>394</v>
      </c>
      <c r="R296" s="1396"/>
      <c r="S296" s="1396"/>
      <c r="T296" s="1396"/>
    </row>
    <row r="297" spans="1:22" ht="32.25" thickBot="1" x14ac:dyDescent="0.3">
      <c r="A297" s="1485" t="s">
        <v>560</v>
      </c>
      <c r="B297" s="1486"/>
      <c r="C297" s="1487">
        <f>C295-C296</f>
        <v>4621790</v>
      </c>
      <c r="D297" s="1487">
        <f>D295-D296</f>
        <v>13450924</v>
      </c>
      <c r="E297" s="1488">
        <f>E295-E296</f>
        <v>12564889</v>
      </c>
      <c r="F297" s="1489">
        <f>E297/D297*100</f>
        <v>93.412831713271146</v>
      </c>
      <c r="G297" s="1490">
        <f>G295-G296</f>
        <v>4621790000</v>
      </c>
      <c r="H297" s="1490">
        <f>H295-H296</f>
        <v>13450923892.700003</v>
      </c>
      <c r="I297" s="1490">
        <f>I295-I296</f>
        <v>12564888639.380001</v>
      </c>
      <c r="J297" s="1525"/>
      <c r="K297" s="1480">
        <f>K296-K295</f>
        <v>4621790000</v>
      </c>
      <c r="L297" s="1480">
        <f>L296-L295</f>
        <v>13450923892.700001</v>
      </c>
      <c r="M297" s="1480">
        <f>M296-M295</f>
        <v>12564888639.380001</v>
      </c>
      <c r="T297" s="1396">
        <f>T294+T246</f>
        <v>1388687</v>
      </c>
    </row>
    <row r="298" spans="1:22" ht="15.75" customHeight="1" thickTop="1" x14ac:dyDescent="0.25">
      <c r="A298" s="1528" t="s">
        <v>650</v>
      </c>
      <c r="B298" s="1475"/>
      <c r="C298" s="1523"/>
      <c r="D298" s="1523"/>
      <c r="E298" s="1523"/>
      <c r="F298" s="1529"/>
      <c r="G298" s="1526"/>
      <c r="H298" s="1526"/>
      <c r="I298" s="1526"/>
      <c r="J298" s="1526"/>
    </row>
    <row r="299" spans="1:22" ht="9.75" customHeight="1" x14ac:dyDescent="0.2">
      <c r="A299" s="3170" t="s">
        <v>651</v>
      </c>
      <c r="B299" s="3171"/>
      <c r="C299" s="3171"/>
      <c r="D299" s="3171"/>
      <c r="E299" s="3171"/>
      <c r="F299" s="3171"/>
      <c r="G299" s="1527"/>
      <c r="H299" s="1527"/>
      <c r="I299" s="1527"/>
      <c r="J299" s="1527"/>
      <c r="K299" s="1527"/>
    </row>
    <row r="300" spans="1:22" x14ac:dyDescent="0.2">
      <c r="A300" s="3171"/>
      <c r="B300" s="3171"/>
      <c r="C300" s="3171"/>
      <c r="D300" s="3171"/>
      <c r="E300" s="3171"/>
      <c r="F300" s="3171"/>
      <c r="G300" s="1414"/>
      <c r="H300" s="1414"/>
      <c r="I300" s="1414"/>
      <c r="J300" s="1414"/>
      <c r="K300" s="1414"/>
    </row>
    <row r="302" spans="1:22" ht="15" x14ac:dyDescent="0.25">
      <c r="G302" s="1491"/>
      <c r="H302" s="1491"/>
      <c r="I302" s="1491"/>
    </row>
    <row r="303" spans="1:22" ht="15" x14ac:dyDescent="0.25">
      <c r="D303" s="1473"/>
      <c r="E303" s="1473"/>
      <c r="F303" s="1579"/>
      <c r="G303" s="1491"/>
      <c r="H303" s="1491"/>
      <c r="I303" s="1491"/>
    </row>
    <row r="304" spans="1:22" s="1392" customFormat="1" ht="15" x14ac:dyDescent="0.25">
      <c r="A304" s="1496" t="s">
        <v>694</v>
      </c>
      <c r="B304" s="1497"/>
      <c r="C304" s="1493">
        <f>SUM(C7,C14,C21,C26,C31,C37,C45,C52,C63,C74,C79,C86,C99,C111,C122,C134,C135,C141,C149,C160,C69,C92,C104,C128)-777779-75929-24564-188</f>
        <v>686314</v>
      </c>
      <c r="D304" s="1493">
        <f>SUM(D7,D14,D21,D26,D31,D37,D45,D52,D63,D74,D79,D86,D99,D111,D122,D134,D135,D141,D149,D160,D69,D92,D104,D128)-488304-437267-26777-188+29423+6866</f>
        <v>8618534</v>
      </c>
      <c r="E304" s="1493">
        <f>SUM(E7,E14,E21,E26,E31,E37,E45,E52,E63,E74,E79,E86,E99,E111,E122,E134,E135,E141,E149,E160,E69,E92,E104,E128)-396259-437164-15157-129+63106+5272</f>
        <v>21325259</v>
      </c>
      <c r="F304" s="1580"/>
      <c r="G304" s="1491">
        <f>SUM(G7,G14,G21,G26,G31,G37,G45,G52,G63,G74,G141,G79,G86,G99,G111,G122,G134,G135,G149,G160,G69,G92,G104,G128)-878460000</f>
        <v>686314000</v>
      </c>
      <c r="H304" s="1491">
        <f>SUM(H7,H14,H21,H26,H31,H37,H45,H52,H63,H74,H141,H79,H86,H99,H111,H122,H134,H135,H149,H160,H69,H92,H104,H128)-488303607.6-437267326.08-26777482-188000+29422961.86+6865520</f>
        <v>8618533146.0000019</v>
      </c>
      <c r="I304" s="1491">
        <f>SUM(I7,I14,I21,I26,I31,I37,I45,I52,I63,I74,I141,I79,I86,I99,I111,I122,I134,I135,I149,I160,I69,I92,I104,I128)-396258813.76-437164286.35-15156647.4-128800.62+63106241.72+5272408.71</f>
        <v>21325259968.610008</v>
      </c>
      <c r="J304" s="1491"/>
      <c r="K304" s="1515" t="s">
        <v>1936</v>
      </c>
      <c r="L304" s="1491"/>
      <c r="M304" s="1586">
        <v>279893106.86000001</v>
      </c>
      <c r="N304" s="1491"/>
      <c r="O304" s="1493">
        <v>462740</v>
      </c>
      <c r="P304" s="1493">
        <v>279893</v>
      </c>
    </row>
    <row r="305" spans="1:16" s="1392" customFormat="1" ht="15" x14ac:dyDescent="0.25">
      <c r="A305" s="1498" t="s">
        <v>1151</v>
      </c>
      <c r="C305" s="1493">
        <f>C159+C146+C133+C109+C97+C84+C57+C50+C43+C20+C116</f>
        <v>289230</v>
      </c>
      <c r="D305" s="1493">
        <f>D159+D146+D133+D109+D97+D84+D57+D50+D43+D20+D116</f>
        <v>370662</v>
      </c>
      <c r="E305" s="1493">
        <f>E159+E146+E133+E109+E97+E84+E57+E50+E43+E20+E116</f>
        <v>346798</v>
      </c>
      <c r="F305" s="2604"/>
      <c r="G305" s="1491">
        <f>G159+G146+G133+G109+G97+G84+G57+G50+G43+G20+G116</f>
        <v>289230000</v>
      </c>
      <c r="H305" s="1491">
        <f>H159+H146+H133+H109+H97+H84+H57+H50+H43+H20+H116</f>
        <v>370661162.69</v>
      </c>
      <c r="I305" s="1491">
        <f>I159+I146+I133+I109+I97+I84+I57+I50+I43+I20+I116</f>
        <v>346797910.47000009</v>
      </c>
      <c r="J305" s="1491"/>
      <c r="K305" s="1507" t="s">
        <v>854</v>
      </c>
      <c r="L305" s="1585">
        <f>H10+H11+H17+H18+H24+H25+H29+H30+H34+H35+H40+H41+H48+H49+H55+H56+H66+H67+H72+H73+H77+H78+H82+H83+H89+H90+H95+H96+H102+H103+H107+H108+H114+H115+H125+H126+H131+H132+H138+H139+H144+H145+H152+H153+H157+H158</f>
        <v>7578499862.9400005</v>
      </c>
      <c r="M305" s="2612">
        <f>I10+I11+I17+I18+I24+I25+I29+I30+I34+I35+I40+I41+I48+I49+I55+I56+I66+I67+I72+I73+I77+I78+I82+I83+I89+I90+I95+I96+I102+I103+I107+I108+I114+I115+I125+I126+I131+I132+I138+I139+I144+I145+I152+I153+I157+I158</f>
        <v>7570463996.0599995</v>
      </c>
      <c r="N305" s="1491"/>
      <c r="O305" s="1506">
        <f>D10+D11+D18+D17+D24+D25+D29+D30+D34+D35+D41+D40+D48+D49+D55+D56+D66+D67+D72+D73+D77+D78+D82+D83+D89+D90+D95+D96+D102+D103+D107+D108+D114+D115+D125+D126+D131+D132+D138+D139</f>
        <v>7578501</v>
      </c>
      <c r="P305" s="1506">
        <f>E10+E11+E18+E17+E24+E25+E29+E30+E34+E35+E41+E40+E48+E49+E55+E56+E66+E67+E72+E73+E77+E78+E82+E83+E89+E90+E95+E96+E102+E103+E107+E108+E114+E115+E125+E126+E131+E132+E138+E139</f>
        <v>7570466</v>
      </c>
    </row>
    <row r="306" spans="1:16" s="1392" customFormat="1" ht="15" x14ac:dyDescent="0.25">
      <c r="A306" s="1498" t="s">
        <v>323</v>
      </c>
      <c r="B306" s="1497"/>
      <c r="C306" s="1493">
        <f>SUM(C154)</f>
        <v>2496931</v>
      </c>
      <c r="D306" s="1493">
        <f t="shared" ref="D306:E306" si="87">SUM(D154)</f>
        <v>2664789</v>
      </c>
      <c r="E306" s="1493">
        <f t="shared" si="87"/>
        <v>2664635</v>
      </c>
      <c r="F306" s="1580"/>
      <c r="G306" s="1491">
        <f>SUM(G154)</f>
        <v>2496931000</v>
      </c>
      <c r="H306" s="1491">
        <f t="shared" ref="H306:I306" si="88">SUM(H154)</f>
        <v>2664789815</v>
      </c>
      <c r="I306" s="1491">
        <f t="shared" si="88"/>
        <v>2664635358.9299998</v>
      </c>
      <c r="J306" s="1493"/>
      <c r="K306" s="1491" t="s">
        <v>834</v>
      </c>
      <c r="L306" s="1491">
        <f>L304+L305</f>
        <v>7578499862.9400005</v>
      </c>
      <c r="M306" s="1586">
        <f>M304+M305</f>
        <v>7850357102.9199991</v>
      </c>
      <c r="N306" s="1491"/>
      <c r="O306" s="1493">
        <f>O304+O305</f>
        <v>8041241</v>
      </c>
      <c r="P306" s="1493">
        <f>P304+P305</f>
        <v>7850359</v>
      </c>
    </row>
    <row r="307" spans="1:16" s="1392" customFormat="1" ht="15" x14ac:dyDescent="0.25">
      <c r="A307" s="1498" t="s">
        <v>618</v>
      </c>
      <c r="B307" s="1497"/>
      <c r="C307" s="1493">
        <f>C161+C166+C202+C212+C217+C222+C228+C233+C278+C282+C287+C237+C242+C247+C252+C207+C256</f>
        <v>17458</v>
      </c>
      <c r="D307" s="1493">
        <f t="shared" ref="D307:E307" si="89">D161+D166+D202+D212+D217+D222+D228+D233+D278+D282+D287+D237+D242+D247+D252+D207+D256</f>
        <v>481367</v>
      </c>
      <c r="E307" s="1493">
        <f t="shared" si="89"/>
        <v>1608529</v>
      </c>
      <c r="F307" s="1580"/>
      <c r="G307" s="1491">
        <f>G161+G166+G183+G188+G197+G202+G207+G212+G217+G222+G228+G233+G278+G282+G287+G237+G242+G247+G252+G256</f>
        <v>220853000</v>
      </c>
      <c r="H307" s="1491">
        <f>H161+H166+H183+H188+H197+H202+H207+H212+H217+H222+H228+H233+H278+H282+H287+H237+H242+H247+H252+H256</f>
        <v>805424481.20000005</v>
      </c>
      <c r="I307" s="1491">
        <f>I161+I166+I183+I188+I197+I202+I207+I212+I217+I222+I228+I233+I278+I282+I287+I237+I242+I247+I252+I256</f>
        <v>1904758011.1700001</v>
      </c>
      <c r="J307" s="1491"/>
      <c r="K307" s="1491"/>
    </row>
    <row r="308" spans="1:16" s="1392" customFormat="1" ht="15" x14ac:dyDescent="0.25">
      <c r="A308" s="1498" t="s">
        <v>2001</v>
      </c>
      <c r="B308" s="1497"/>
      <c r="C308" s="1493">
        <f>C183+C188+C197+777779+75929+24564+188</f>
        <v>1081855</v>
      </c>
      <c r="D308" s="1493">
        <f>D183+D188+D197+488304+437267+26777+188-29423-6866</f>
        <v>1240305</v>
      </c>
      <c r="E308" s="1493">
        <f>E183+E188+E197+396259+437164+15157+129-63106-5272</f>
        <v>1076560</v>
      </c>
      <c r="F308" s="1580"/>
      <c r="G308" s="1491">
        <f>G183+G188+G197+878460</f>
        <v>204273460</v>
      </c>
      <c r="H308" s="1491">
        <f>H183+H188+H197+488303607.6+437267326.08+26777482+188000-29422961.86-6865520</f>
        <v>1240305383.4000001</v>
      </c>
      <c r="I308" s="1491">
        <f>I183+I188+I197+396258813.76+437164286.35+15156647.4+128800.62-63106241.72-5272408.71</f>
        <v>1076559942.78</v>
      </c>
      <c r="J308" s="1491"/>
      <c r="K308" s="1491"/>
    </row>
    <row r="309" spans="1:16" s="1392" customFormat="1" ht="15" x14ac:dyDescent="0.25">
      <c r="A309" s="1498" t="s">
        <v>77</v>
      </c>
      <c r="B309" s="1497"/>
      <c r="C309" s="1493">
        <f>SUM(C292)</f>
        <v>8242</v>
      </c>
      <c r="D309" s="1493">
        <f>SUM(D292)</f>
        <v>9520</v>
      </c>
      <c r="E309" s="1504">
        <f>SUM(E292)</f>
        <v>8146</v>
      </c>
      <c r="F309" s="1580"/>
      <c r="G309" s="1491">
        <f>SUM(G292)</f>
        <v>8242000</v>
      </c>
      <c r="H309" s="1491">
        <f>SUM(H292)</f>
        <v>9520381.5700000003</v>
      </c>
      <c r="I309" s="1491">
        <f>SUM(I292)</f>
        <v>8145953.2699999996</v>
      </c>
      <c r="J309" s="1491"/>
      <c r="K309" s="1491"/>
    </row>
    <row r="310" spans="1:16" s="1392" customFormat="1" ht="15" x14ac:dyDescent="0.25">
      <c r="A310" s="1496" t="s">
        <v>695</v>
      </c>
      <c r="B310" s="1497"/>
      <c r="C310" s="1493">
        <f>SUM(C260)</f>
        <v>50000</v>
      </c>
      <c r="D310" s="1493">
        <f>SUM(D260)</f>
        <v>74155</v>
      </c>
      <c r="E310" s="1504">
        <f>SUM(E260)</f>
        <v>61080</v>
      </c>
      <c r="F310" s="1580"/>
      <c r="G310" s="1491">
        <f>SUM(G260)</f>
        <v>50000000</v>
      </c>
      <c r="H310" s="1491">
        <f>SUM(H260)</f>
        <v>74155272.420000002</v>
      </c>
      <c r="I310" s="1491">
        <f>SUM(I260)</f>
        <v>61080014.5</v>
      </c>
      <c r="J310" s="1491"/>
      <c r="K310" s="1491"/>
    </row>
    <row r="311" spans="1:16" s="1427" customFormat="1" ht="15.75" thickBot="1" x14ac:dyDescent="0.3">
      <c r="A311" s="1499" t="s">
        <v>460</v>
      </c>
      <c r="B311" s="1500"/>
      <c r="C311" s="1501">
        <f>SUM(C304:C310)</f>
        <v>4630030</v>
      </c>
      <c r="D311" s="1501">
        <f>SUM(D304:D310)</f>
        <v>13459332</v>
      </c>
      <c r="E311" s="1501">
        <f>SUM(E304:E310)</f>
        <v>27091007</v>
      </c>
      <c r="F311" s="1581"/>
      <c r="G311" s="1490">
        <f>SUM(G304:G310)</f>
        <v>3955843460</v>
      </c>
      <c r="H311" s="1490">
        <f>SUM(H304:H310)</f>
        <v>13783389642.280003</v>
      </c>
      <c r="I311" s="1490">
        <f>SUM(I304:I310)</f>
        <v>27387237159.730007</v>
      </c>
      <c r="J311" s="1491"/>
      <c r="K311" s="1491"/>
    </row>
    <row r="312" spans="1:16" s="1427" customFormat="1" ht="15.75" thickTop="1" x14ac:dyDescent="0.25">
      <c r="A312" s="1392" t="s">
        <v>461</v>
      </c>
      <c r="B312" s="1502"/>
      <c r="C312" s="1493">
        <f>C12+C19+C42+C165+C169+C181+C186+C191+C200+C205+C210+C215+C220+C225+C231+C236+C281+C286+C291+C241+C246+C175+C68+C91+C251+C255</f>
        <v>8240</v>
      </c>
      <c r="D312" s="1493">
        <f>D12+D19+D42+D165+D169+D181+D186+D191+D200+D205+D210+D215+D220+D225+D231+D236+D281+D286+D291+D241+D246+D175+D68+D91+D251+D255</f>
        <v>8408</v>
      </c>
      <c r="E312" s="1493">
        <f>E12+E19+E42+E165+E169+E181+E186+E191+E200+E205+E210+E215+E220+E225+E231+E236+E281+E286+E291+E241+E246+E175+E68+E91+E251+E255+E127+E259</f>
        <v>14526118</v>
      </c>
      <c r="F312" s="1580"/>
      <c r="G312" s="1491">
        <f>SUM(G165,G181,G186,G191,G200,G205,G215,G12,G19,G169,G175,G210,G220,G225,G231,G236,G281,G286,G291,G241,G246,G251,G255,G259,G42,G68,G91,G127)</f>
        <v>8240000</v>
      </c>
      <c r="H312" s="1491">
        <f>SUM(H165,H181,H186,H191,H200,H205,H215,H12,H19,H169,H175,H210,H220,H225,H231,H236,H281,H286,H291,H241,H246,H251,H255,H259,H42,H68,H91,H127)</f>
        <v>8408300</v>
      </c>
      <c r="I312" s="1491">
        <f>SUM(I165,I181,I186,I191,I200,I205,I215,I12,I19,I169,I175,I210,I220,I225,I231,I236,I281,I286,I291,I241,I246,I251,I255,I259,I42,I68,I91,I127)</f>
        <v>14526118475.269999</v>
      </c>
      <c r="J312" s="1491"/>
      <c r="K312" s="1491"/>
    </row>
    <row r="313" spans="1:16" s="1427" customFormat="1" ht="15.75" thickBot="1" x14ac:dyDescent="0.3">
      <c r="A313" s="1499" t="s">
        <v>697</v>
      </c>
      <c r="B313" s="1503"/>
      <c r="C313" s="1501">
        <f>C311-C312</f>
        <v>4621790</v>
      </c>
      <c r="D313" s="1501">
        <f t="shared" ref="D313:H313" si="90">D311-D312</f>
        <v>13450924</v>
      </c>
      <c r="E313" s="1501">
        <f t="shared" si="90"/>
        <v>12564889</v>
      </c>
      <c r="F313" s="1581"/>
      <c r="G313" s="1490">
        <f t="shared" si="90"/>
        <v>3947603460</v>
      </c>
      <c r="H313" s="1490">
        <f t="shared" si="90"/>
        <v>13774981342.280003</v>
      </c>
      <c r="I313" s="1490">
        <f>I311-I312</f>
        <v>12861118684.460009</v>
      </c>
      <c r="J313" s="1491"/>
      <c r="K313" s="1491"/>
    </row>
    <row r="314" spans="1:16" s="1392" customFormat="1" ht="15.75" thickTop="1" x14ac:dyDescent="0.25">
      <c r="B314" s="1502"/>
      <c r="C314" s="1493"/>
      <c r="D314" s="1504"/>
      <c r="E314" s="1504"/>
      <c r="F314" s="1580"/>
      <c r="G314" s="1491"/>
      <c r="H314" s="1491"/>
      <c r="I314" s="1491"/>
      <c r="J314" s="1491"/>
      <c r="K314" s="1491"/>
    </row>
    <row r="315" spans="1:16" s="1392" customFormat="1" ht="15" x14ac:dyDescent="0.25">
      <c r="A315" s="1392" t="s">
        <v>450</v>
      </c>
      <c r="B315" s="1497"/>
      <c r="C315" s="1493">
        <f>R294+R292+R246+R158+R156+R114+R112+R54+R52+R244</f>
        <v>3974069</v>
      </c>
      <c r="D315" s="1493">
        <v>11955880</v>
      </c>
      <c r="E315" s="1493">
        <v>25851502</v>
      </c>
      <c r="F315" s="1580"/>
      <c r="G315" s="1491">
        <v>3974069000</v>
      </c>
      <c r="H315" s="1491">
        <v>11955880068.620001</v>
      </c>
      <c r="I315" s="1491">
        <v>25851502148.220001</v>
      </c>
      <c r="J315" s="1491"/>
      <c r="K315" s="1491"/>
    </row>
    <row r="316" spans="1:16" s="1392" customFormat="1" ht="15" x14ac:dyDescent="0.25">
      <c r="A316" s="1392" t="s">
        <v>696</v>
      </c>
      <c r="B316" s="1497"/>
      <c r="C316" s="1493">
        <f>R293+R113+R53+R149+R151+R245</f>
        <v>655961</v>
      </c>
      <c r="D316" s="1493">
        <v>1503452</v>
      </c>
      <c r="E316" s="1493">
        <v>1239505</v>
      </c>
      <c r="F316" s="1580"/>
      <c r="G316" s="1491">
        <v>655961000</v>
      </c>
      <c r="H316" s="1491">
        <v>1503452124.0799999</v>
      </c>
      <c r="I316" s="1491">
        <v>1239504966.4300001</v>
      </c>
      <c r="J316" s="1491"/>
      <c r="K316" s="1491"/>
    </row>
    <row r="317" spans="1:16" s="1427" customFormat="1" ht="15.75" thickBot="1" x14ac:dyDescent="0.3">
      <c r="A317" s="1499" t="s">
        <v>460</v>
      </c>
      <c r="B317" s="1500"/>
      <c r="C317" s="1501">
        <f>SUM(C315:C316)</f>
        <v>4630030</v>
      </c>
      <c r="D317" s="1501">
        <f t="shared" ref="D317:I317" si="91">SUM(D315:D316)</f>
        <v>13459332</v>
      </c>
      <c r="E317" s="1501">
        <f t="shared" si="91"/>
        <v>27091007</v>
      </c>
      <c r="F317" s="1581"/>
      <c r="G317" s="1490">
        <f t="shared" si="91"/>
        <v>4630030000</v>
      </c>
      <c r="H317" s="1490">
        <f t="shared" si="91"/>
        <v>13459332192.700001</v>
      </c>
      <c r="I317" s="1490">
        <f t="shared" si="91"/>
        <v>27091007114.650002</v>
      </c>
      <c r="J317" s="1491"/>
      <c r="K317" s="1491"/>
    </row>
    <row r="318" spans="1:16" s="1427" customFormat="1" ht="15.75" thickTop="1" x14ac:dyDescent="0.25">
      <c r="A318" s="1392" t="s">
        <v>461</v>
      </c>
      <c r="B318" s="1502"/>
      <c r="C318" s="1493">
        <f>R294+R207+R190+R152+R114+R54</f>
        <v>8240</v>
      </c>
      <c r="D318" s="1493">
        <f>S294+S207+S190+S152+S114+S54</f>
        <v>8408</v>
      </c>
      <c r="E318" s="1504">
        <f>T294+T152+T114+T54+T246</f>
        <v>14526118</v>
      </c>
      <c r="F318" s="1580"/>
      <c r="G318" s="1491">
        <f>G296</f>
        <v>8240000</v>
      </c>
      <c r="H318" s="1491">
        <f>H296</f>
        <v>8408300</v>
      </c>
      <c r="I318" s="1491">
        <f>I296</f>
        <v>14526118475.27</v>
      </c>
      <c r="J318" s="1491"/>
      <c r="K318" s="1491"/>
    </row>
    <row r="319" spans="1:16" ht="15.75" thickBot="1" x14ac:dyDescent="0.3">
      <c r="A319" s="1499" t="s">
        <v>697</v>
      </c>
      <c r="B319" s="1503"/>
      <c r="C319" s="1501">
        <f>C317-C318</f>
        <v>4621790</v>
      </c>
      <c r="D319" s="1501">
        <f t="shared" ref="D319:I319" si="92">D317-D318</f>
        <v>13450924</v>
      </c>
      <c r="E319" s="1501">
        <f t="shared" si="92"/>
        <v>12564889</v>
      </c>
      <c r="F319" s="1581"/>
      <c r="G319" s="1490">
        <f t="shared" si="92"/>
        <v>4621790000</v>
      </c>
      <c r="H319" s="1490">
        <f t="shared" si="92"/>
        <v>13450923892.700001</v>
      </c>
      <c r="I319" s="1490">
        <f t="shared" si="92"/>
        <v>12564888639.380001</v>
      </c>
    </row>
    <row r="320" spans="1:16" ht="15" thickTop="1" x14ac:dyDescent="0.2">
      <c r="E320" s="1473"/>
      <c r="F320" s="1579"/>
    </row>
    <row r="321" spans="1:16" x14ac:dyDescent="0.2">
      <c r="F321" s="1579"/>
    </row>
    <row r="322" spans="1:16" x14ac:dyDescent="0.2">
      <c r="A322" s="1395" t="s">
        <v>813</v>
      </c>
      <c r="C322" s="1394">
        <v>66667</v>
      </c>
      <c r="D322" s="1394">
        <v>72223</v>
      </c>
      <c r="E322" s="1473">
        <v>72222</v>
      </c>
      <c r="F322" s="1579"/>
      <c r="G322" s="1505">
        <v>66667000</v>
      </c>
      <c r="H322" s="1505">
        <v>72222556</v>
      </c>
      <c r="I322" s="1505">
        <v>72222228</v>
      </c>
    </row>
    <row r="323" spans="1:16" ht="15" x14ac:dyDescent="0.25">
      <c r="A323" s="1506"/>
      <c r="B323" s="2610"/>
      <c r="C323" s="2611">
        <v>186492</v>
      </c>
      <c r="D323" s="2611">
        <v>186492</v>
      </c>
      <c r="E323" s="2611">
        <v>186491</v>
      </c>
      <c r="F323" s="2612"/>
      <c r="G323" s="1507">
        <v>186492000</v>
      </c>
      <c r="H323" s="1507">
        <v>186492000</v>
      </c>
      <c r="I323" s="1507">
        <v>186490708.44</v>
      </c>
    </row>
    <row r="324" spans="1:16" ht="15" x14ac:dyDescent="0.25">
      <c r="A324" s="2613" t="s">
        <v>814</v>
      </c>
      <c r="B324" s="2614"/>
      <c r="C324" s="2615">
        <f>C322+C323</f>
        <v>253159</v>
      </c>
      <c r="D324" s="2615">
        <f>D322+D323</f>
        <v>258715</v>
      </c>
      <c r="E324" s="2615">
        <f>E322+E323</f>
        <v>258713</v>
      </c>
      <c r="F324" s="2616"/>
      <c r="G324" s="1491">
        <f>G322+G323</f>
        <v>253159000</v>
      </c>
      <c r="H324" s="1491">
        <f>H322+H323</f>
        <v>258714556</v>
      </c>
      <c r="I324" s="1491">
        <f>I322+I323</f>
        <v>258712936.44</v>
      </c>
    </row>
    <row r="325" spans="1:16" ht="15.75" thickBot="1" x14ac:dyDescent="0.3">
      <c r="A325" s="1508"/>
      <c r="B325" s="1509"/>
      <c r="C325" s="1510"/>
      <c r="D325" s="1510"/>
      <c r="E325" s="1511"/>
      <c r="F325" s="1582"/>
      <c r="G325" s="1511"/>
      <c r="H325" s="1511"/>
      <c r="I325" s="1511"/>
    </row>
    <row r="326" spans="1:16" ht="15.75" thickTop="1" x14ac:dyDescent="0.25">
      <c r="A326" s="1395" t="s">
        <v>460</v>
      </c>
      <c r="C326" s="1493">
        <f>C313+C324</f>
        <v>4874949</v>
      </c>
      <c r="D326" s="1493">
        <f>D313+D324</f>
        <v>13709639</v>
      </c>
      <c r="E326" s="1504">
        <f>E313+E324</f>
        <v>12823602</v>
      </c>
      <c r="F326" s="1580"/>
      <c r="G326" s="1491">
        <f>G324+G313</f>
        <v>4200762460</v>
      </c>
      <c r="H326" s="1491">
        <f>H324+H313</f>
        <v>14033695898.280003</v>
      </c>
      <c r="I326" s="1491">
        <f>I324+I313</f>
        <v>13119831620.900009</v>
      </c>
    </row>
    <row r="327" spans="1:16" x14ac:dyDescent="0.2">
      <c r="G327" s="1394"/>
      <c r="H327" s="1394"/>
      <c r="I327" s="1394"/>
    </row>
    <row r="330" spans="1:16" x14ac:dyDescent="0.2">
      <c r="A330" s="1512"/>
      <c r="B330" s="1442"/>
      <c r="C330" s="1473"/>
      <c r="D330" s="1473"/>
      <c r="E330" s="1473"/>
      <c r="F330" s="1473"/>
      <c r="G330" s="1454"/>
      <c r="H330" s="1454"/>
      <c r="I330" s="1454"/>
      <c r="J330" s="1473"/>
      <c r="K330" s="1454"/>
      <c r="L330" s="1472"/>
      <c r="M330" s="1472"/>
      <c r="N330" s="1472"/>
      <c r="O330" s="1472"/>
      <c r="P330" s="1472"/>
    </row>
    <row r="331" spans="1:16" x14ac:dyDescent="0.2">
      <c r="A331" s="1512"/>
      <c r="B331" s="1442"/>
      <c r="C331" s="1473"/>
      <c r="D331" s="1473"/>
      <c r="E331" s="1473"/>
      <c r="F331" s="1473"/>
      <c r="G331" s="1454"/>
      <c r="H331" s="1454"/>
      <c r="I331" s="1454"/>
      <c r="J331" s="1454"/>
      <c r="K331" s="1454"/>
      <c r="L331" s="1472"/>
      <c r="M331" s="1472"/>
      <c r="N331" s="1472"/>
      <c r="O331" s="1472"/>
      <c r="P331" s="1472"/>
    </row>
    <row r="332" spans="1:16" x14ac:dyDescent="0.2">
      <c r="A332" s="1512"/>
      <c r="B332" s="1442"/>
      <c r="C332" s="1473"/>
      <c r="D332" s="1473"/>
      <c r="E332" s="1473"/>
      <c r="F332" s="1473"/>
      <c r="G332" s="1454"/>
      <c r="H332" s="1454"/>
      <c r="I332" s="1454"/>
      <c r="J332" s="1454"/>
      <c r="K332" s="1454"/>
      <c r="L332" s="1472"/>
      <c r="M332" s="1472"/>
      <c r="N332" s="1472"/>
      <c r="O332" s="1472"/>
      <c r="P332" s="1472"/>
    </row>
    <row r="333" spans="1:16" x14ac:dyDescent="0.2">
      <c r="A333" s="1512"/>
      <c r="B333" s="1442"/>
      <c r="C333" s="1473"/>
      <c r="D333" s="1473"/>
      <c r="E333" s="1473"/>
      <c r="F333" s="1473"/>
      <c r="G333" s="1454"/>
      <c r="H333" s="1454"/>
      <c r="I333" s="1454"/>
      <c r="J333" s="1454"/>
      <c r="K333" s="1454"/>
      <c r="L333" s="1472"/>
      <c r="M333" s="1472"/>
      <c r="N333" s="1472"/>
      <c r="O333" s="1472"/>
      <c r="P333" s="1472"/>
    </row>
    <row r="334" spans="1:16" x14ac:dyDescent="0.2">
      <c r="A334" s="1512"/>
      <c r="B334" s="1442"/>
      <c r="C334" s="1473"/>
      <c r="D334" s="1473"/>
      <c r="E334" s="1473"/>
      <c r="F334" s="1473"/>
      <c r="G334" s="1454"/>
      <c r="H334" s="1454"/>
      <c r="I334" s="1454"/>
      <c r="J334" s="1454"/>
      <c r="K334" s="1454"/>
      <c r="L334" s="1472"/>
      <c r="M334" s="1472"/>
      <c r="N334" s="1472"/>
      <c r="O334" s="1472"/>
      <c r="P334" s="1472"/>
    </row>
    <row r="335" spans="1:16" x14ac:dyDescent="0.2">
      <c r="A335" s="1512"/>
      <c r="B335" s="1442"/>
      <c r="C335" s="1473"/>
      <c r="D335" s="1473"/>
      <c r="E335" s="1473"/>
      <c r="F335" s="1473"/>
      <c r="G335" s="1454"/>
      <c r="H335" s="1454"/>
      <c r="I335" s="1454"/>
      <c r="J335" s="1473"/>
      <c r="K335" s="1454"/>
      <c r="L335" s="1472"/>
      <c r="M335" s="1472"/>
      <c r="N335" s="1472"/>
      <c r="O335" s="1472"/>
      <c r="P335" s="1472"/>
    </row>
    <row r="336" spans="1:16" x14ac:dyDescent="0.2">
      <c r="A336" s="1512"/>
      <c r="B336" s="1442"/>
      <c r="C336" s="1473"/>
      <c r="D336" s="1473"/>
      <c r="E336" s="1473"/>
      <c r="F336" s="1473"/>
      <c r="G336" s="1454"/>
      <c r="H336" s="1454"/>
      <c r="I336" s="1454"/>
      <c r="J336" s="1454"/>
      <c r="K336" s="1454"/>
      <c r="L336" s="1472"/>
      <c r="M336" s="1472"/>
      <c r="N336" s="1472"/>
      <c r="O336" s="1472"/>
      <c r="P336" s="1472"/>
    </row>
    <row r="337" spans="1:16" x14ac:dyDescent="0.2">
      <c r="A337" s="1512"/>
      <c r="B337" s="1442"/>
      <c r="C337" s="1473"/>
      <c r="D337" s="1473"/>
      <c r="E337" s="1473"/>
      <c r="F337" s="1473"/>
      <c r="G337" s="1454"/>
      <c r="H337" s="1454"/>
      <c r="I337" s="1454"/>
      <c r="J337" s="1454"/>
      <c r="K337" s="1454"/>
      <c r="L337" s="1472"/>
      <c r="M337" s="1472"/>
      <c r="N337" s="1472"/>
      <c r="O337" s="1472"/>
      <c r="P337" s="1472"/>
    </row>
    <row r="338" spans="1:16" x14ac:dyDescent="0.2">
      <c r="A338" s="1512"/>
      <c r="B338" s="1442"/>
      <c r="C338" s="1473"/>
      <c r="D338" s="1473"/>
      <c r="E338" s="1473"/>
      <c r="F338" s="1473"/>
      <c r="G338" s="1454"/>
      <c r="H338" s="1454"/>
      <c r="I338" s="1454"/>
      <c r="J338" s="1454"/>
      <c r="K338" s="1454"/>
      <c r="L338" s="1472"/>
      <c r="M338" s="1472"/>
      <c r="N338" s="1472"/>
      <c r="O338" s="1472"/>
      <c r="P338" s="1472"/>
    </row>
    <row r="339" spans="1:16" x14ac:dyDescent="0.2">
      <c r="A339" s="1512"/>
      <c r="B339" s="1442"/>
      <c r="C339" s="1473"/>
      <c r="D339" s="1473"/>
      <c r="E339" s="1473"/>
      <c r="F339" s="1473"/>
      <c r="G339" s="1454"/>
      <c r="H339" s="1454"/>
      <c r="I339" s="1454"/>
      <c r="J339" s="1454"/>
      <c r="K339" s="1454"/>
      <c r="L339" s="1472"/>
      <c r="M339" s="1472"/>
      <c r="N339" s="1472"/>
      <c r="O339" s="1472"/>
      <c r="P339" s="1472"/>
    </row>
    <row r="340" spans="1:16" x14ac:dyDescent="0.2">
      <c r="A340" s="1512"/>
      <c r="B340" s="1442"/>
      <c r="C340" s="1473"/>
      <c r="D340" s="1473"/>
      <c r="E340" s="1473"/>
      <c r="F340" s="1473"/>
      <c r="G340" s="1454"/>
      <c r="H340" s="1454"/>
      <c r="I340" s="1454"/>
      <c r="J340" s="1454"/>
      <c r="K340" s="1454"/>
      <c r="L340" s="1472"/>
      <c r="M340" s="1472"/>
      <c r="N340" s="1472"/>
      <c r="O340" s="1472"/>
      <c r="P340" s="1472"/>
    </row>
  </sheetData>
  <mergeCells count="22">
    <mergeCell ref="A1:F1"/>
    <mergeCell ref="A2:F2"/>
    <mergeCell ref="A201:A202"/>
    <mergeCell ref="A182:A183"/>
    <mergeCell ref="A187:A188"/>
    <mergeCell ref="A161:A162"/>
    <mergeCell ref="A237:A238"/>
    <mergeCell ref="A247:A248"/>
    <mergeCell ref="A176:A178"/>
    <mergeCell ref="A170:A172"/>
    <mergeCell ref="A299:F300"/>
    <mergeCell ref="A206:A207"/>
    <mergeCell ref="A295:B295"/>
    <mergeCell ref="A211:A212"/>
    <mergeCell ref="A216:A217"/>
    <mergeCell ref="A221:A222"/>
    <mergeCell ref="A242:A243"/>
    <mergeCell ref="A226:A228"/>
    <mergeCell ref="A276:A278"/>
    <mergeCell ref="A232:A233"/>
    <mergeCell ref="A282:A283"/>
    <mergeCell ref="A287:A288"/>
  </mergeCells>
  <phoneticPr fontId="35" type="noConversion"/>
  <pageMargins left="0.78740157480314965" right="0.78740157480314965" top="0.78740157480314965" bottom="0.98425196850393704" header="0.51181102362204722" footer="0.51181102362204722"/>
  <pageSetup paperSize="9" scale="80" firstPageNumber="20" orientation="portrait" useFirstPageNumber="1" r:id="rId1"/>
  <headerFooter alignWithMargins="0">
    <oddFooter>&amp;L&amp;"Arial,Kurzíva"Zastupitelstvo Olomouckého kraje 25. 6. 2018
5. - Rozpočet Olomouckého kraje 2017 - závěrečný  účet 
Příloha č. 3: Plnění rozpočtu výdajů Olomouckého kraje k 31. 12. 2017&amp;R&amp;"Arial,Kurzíva"Strana &amp;P (celkem 478)</oddFooter>
  </headerFooter>
  <rowBreaks count="3" manualBreakCount="3">
    <brk id="58" max="5" man="1"/>
    <brk id="117" max="5" man="1"/>
    <brk id="191" max="5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FF"/>
  </sheetPr>
  <dimension ref="A1:U16"/>
  <sheetViews>
    <sheetView showGridLines="0" view="pageBreakPreview" zoomScaleNormal="100" zoomScaleSheetLayoutView="100" workbookViewId="0">
      <selection activeCell="L15" sqref="L15"/>
    </sheetView>
  </sheetViews>
  <sheetFormatPr defaultColWidth="9.140625" defaultRowHeight="12.75" x14ac:dyDescent="0.2"/>
  <cols>
    <col min="1" max="1" width="5.7109375" style="1098" customWidth="1"/>
    <col min="2" max="2" width="4.85546875" style="1098" customWidth="1"/>
    <col min="3" max="3" width="6.140625" style="1098" customWidth="1"/>
    <col min="4" max="4" width="46.42578125" style="1098" customWidth="1"/>
    <col min="5" max="6" width="13.85546875" style="1098" customWidth="1"/>
    <col min="7" max="7" width="12.85546875" style="1098" customWidth="1"/>
    <col min="8" max="8" width="8" style="1935" customWidth="1"/>
    <col min="9" max="9" width="9.140625" style="1098"/>
    <col min="10" max="10" width="10.7109375" style="1098" customWidth="1"/>
    <col min="11" max="11" width="11.28515625" style="1098" customWidth="1"/>
    <col min="12" max="16384" width="9.140625" style="1098"/>
  </cols>
  <sheetData>
    <row r="1" spans="1:21" ht="21.75" customHeight="1" thickBot="1" x14ac:dyDescent="0.3">
      <c r="A1" s="1082" t="s">
        <v>205</v>
      </c>
      <c r="B1" s="1081"/>
      <c r="C1" s="1081"/>
      <c r="D1" s="1080"/>
      <c r="E1" s="1948"/>
      <c r="F1" s="1078" t="s">
        <v>206</v>
      </c>
      <c r="G1" s="1099"/>
      <c r="I1" s="1052"/>
    </row>
    <row r="2" spans="1:21" ht="12.75" customHeight="1" x14ac:dyDescent="0.25">
      <c r="A2" s="1075"/>
      <c r="B2" s="1056"/>
      <c r="C2" s="1056"/>
      <c r="D2" s="1074"/>
      <c r="E2" s="1947"/>
      <c r="F2" s="1947"/>
      <c r="G2" s="1662"/>
      <c r="H2" s="1866"/>
      <c r="I2" s="1052"/>
    </row>
    <row r="3" spans="1:21" ht="12.75" customHeight="1" x14ac:dyDescent="0.25">
      <c r="A3" s="1077" t="s">
        <v>201</v>
      </c>
      <c r="B3" s="1056"/>
      <c r="C3" s="1697" t="s">
        <v>969</v>
      </c>
      <c r="D3" s="1076"/>
      <c r="E3" s="1947"/>
      <c r="F3" s="1662"/>
      <c r="G3" s="1052"/>
      <c r="H3" s="1866"/>
    </row>
    <row r="4" spans="1:21" ht="16.5" customHeight="1" x14ac:dyDescent="0.25">
      <c r="A4" s="1075"/>
      <c r="B4" s="1056"/>
      <c r="C4" s="1697" t="s">
        <v>518</v>
      </c>
      <c r="D4" s="1099"/>
      <c r="E4" s="1947"/>
      <c r="F4" s="1662"/>
      <c r="G4" s="1052"/>
      <c r="H4" s="1866"/>
    </row>
    <row r="5" spans="1:21" ht="12.75" customHeight="1" x14ac:dyDescent="0.25">
      <c r="A5" s="1075"/>
      <c r="B5" s="1056"/>
      <c r="C5" s="1056"/>
      <c r="D5" s="1074"/>
      <c r="E5" s="1947"/>
      <c r="F5" s="1947"/>
      <c r="G5" s="1662"/>
      <c r="H5" s="1866"/>
      <c r="I5" s="1052"/>
    </row>
    <row r="6" spans="1:21" ht="18" x14ac:dyDescent="0.25">
      <c r="A6" s="1057" t="s">
        <v>450</v>
      </c>
      <c r="B6" s="1056"/>
      <c r="C6" s="1056"/>
      <c r="D6" s="1074"/>
      <c r="E6" s="1947"/>
      <c r="F6" s="1947"/>
      <c r="G6" s="1662"/>
      <c r="H6" s="1866"/>
      <c r="I6" s="1052"/>
    </row>
    <row r="7" spans="1:21" ht="13.5" thickBot="1" x14ac:dyDescent="0.25">
      <c r="A7" s="1050"/>
      <c r="B7" s="1050"/>
      <c r="C7" s="1050"/>
      <c r="D7" s="1070"/>
      <c r="E7" s="1099"/>
      <c r="F7" s="1099"/>
      <c r="G7" s="1946"/>
      <c r="H7" s="1958" t="s">
        <v>92</v>
      </c>
    </row>
    <row r="8" spans="1:21" s="1043" customFormat="1" ht="20.25" customHeight="1" thickTop="1" thickBot="1" x14ac:dyDescent="0.25">
      <c r="A8" s="1047" t="s">
        <v>93</v>
      </c>
      <c r="B8" s="1046" t="s">
        <v>94</v>
      </c>
      <c r="C8" s="1957" t="s">
        <v>364</v>
      </c>
      <c r="D8" s="1069" t="s">
        <v>95</v>
      </c>
      <c r="E8" s="1069" t="s">
        <v>328</v>
      </c>
      <c r="F8" s="1069" t="s">
        <v>329</v>
      </c>
      <c r="G8" s="1749" t="s">
        <v>448</v>
      </c>
      <c r="H8" s="1784" t="s">
        <v>449</v>
      </c>
    </row>
    <row r="9" spans="1:21" s="1037" customFormat="1" ht="13.5" thickTop="1" thickBot="1" x14ac:dyDescent="0.25">
      <c r="A9" s="1042">
        <v>1</v>
      </c>
      <c r="B9" s="1041">
        <v>2</v>
      </c>
      <c r="C9" s="1041">
        <v>3</v>
      </c>
      <c r="D9" s="1041">
        <v>4</v>
      </c>
      <c r="E9" s="1041">
        <v>5</v>
      </c>
      <c r="F9" s="1040">
        <v>6</v>
      </c>
      <c r="G9" s="1040">
        <v>7</v>
      </c>
      <c r="H9" s="1039" t="s">
        <v>33</v>
      </c>
      <c r="I9" s="1043"/>
    </row>
    <row r="10" spans="1:21" s="1816" customFormat="1" ht="19.5" thickTop="1" thickBot="1" x14ac:dyDescent="0.3">
      <c r="A10" s="2789">
        <v>6172</v>
      </c>
      <c r="B10" s="2790">
        <v>5166</v>
      </c>
      <c r="C10" s="2791"/>
      <c r="D10" s="1956" t="s">
        <v>317</v>
      </c>
      <c r="E10" s="1955">
        <v>10</v>
      </c>
      <c r="F10" s="1954">
        <v>10</v>
      </c>
      <c r="G10" s="1953">
        <v>0</v>
      </c>
      <c r="H10" s="1952">
        <v>0</v>
      </c>
      <c r="I10" s="1810"/>
      <c r="J10" s="1810"/>
      <c r="K10" s="1810"/>
      <c r="L10" s="1810"/>
      <c r="M10" s="1810"/>
      <c r="N10" s="1810"/>
      <c r="O10" s="1810"/>
      <c r="P10" s="1810"/>
      <c r="Q10" s="1810"/>
      <c r="R10" s="1810"/>
      <c r="S10" s="1810"/>
      <c r="T10" s="1810"/>
      <c r="U10" s="1810"/>
    </row>
    <row r="11" spans="1:21" s="1014" customFormat="1" ht="35.25" customHeight="1" thickTop="1" thickBot="1" x14ac:dyDescent="0.3">
      <c r="A11" s="1020" t="s">
        <v>134</v>
      </c>
      <c r="B11" s="1945"/>
      <c r="C11" s="1018"/>
      <c r="D11" s="1019"/>
      <c r="E11" s="1016">
        <f>SUM(E10)</f>
        <v>10</v>
      </c>
      <c r="F11" s="1016">
        <f>SUM(F10)</f>
        <v>10</v>
      </c>
      <c r="G11" s="1016">
        <f>SUM(G10)</f>
        <v>0</v>
      </c>
      <c r="H11" s="1871">
        <v>0</v>
      </c>
    </row>
    <row r="12" spans="1:21" ht="15.75" thickTop="1" x14ac:dyDescent="0.25">
      <c r="A12" s="1829"/>
      <c r="B12" s="1829"/>
      <c r="C12" s="1829"/>
      <c r="D12" s="1944"/>
      <c r="E12" s="1944"/>
      <c r="F12" s="1943"/>
      <c r="G12" s="1942"/>
      <c r="H12" s="1951"/>
    </row>
    <row r="13" spans="1:21" x14ac:dyDescent="0.2">
      <c r="A13" s="1829"/>
    </row>
    <row r="14" spans="1:21" x14ac:dyDescent="0.2">
      <c r="A14" s="1829"/>
    </row>
    <row r="15" spans="1:21" s="1004" customFormat="1" ht="47.25" customHeight="1" thickBot="1" x14ac:dyDescent="0.4">
      <c r="A15" s="1941" t="s">
        <v>648</v>
      </c>
      <c r="B15" s="1940"/>
      <c r="C15" s="1939"/>
      <c r="D15" s="1938"/>
      <c r="E15" s="1006">
        <f>SUM(E11)</f>
        <v>10</v>
      </c>
      <c r="F15" s="1006">
        <f>SUM(F11)</f>
        <v>10</v>
      </c>
      <c r="G15" s="1006">
        <f>SUM(G11)</f>
        <v>0</v>
      </c>
      <c r="H15" s="1950">
        <v>0</v>
      </c>
      <c r="I15" s="1937"/>
      <c r="J15" s="1949">
        <v>10000</v>
      </c>
      <c r="K15" s="1949">
        <v>10000</v>
      </c>
      <c r="L15" s="1949">
        <v>0</v>
      </c>
    </row>
    <row r="16" spans="1:21" ht="13.5" thickTop="1" x14ac:dyDescent="0.2"/>
  </sheetData>
  <pageMargins left="0.98425196850393704" right="0.98425196850393704" top="0.98425196850393704" bottom="0.98425196850393704" header="0.51181102362204722" footer="0.51181102362204722"/>
  <pageSetup paperSize="9" scale="70" firstPageNumber="92" orientation="portrait" useFirstPageNumber="1" r:id="rId1"/>
  <headerFooter alignWithMargins="0">
    <oddFooter>&amp;L&amp;"Arial,Kurzíva"Zastupitelstvo Olomouckého kraje 25. 6. 2018
5. - Rozpočet Olomouckého kraje 2017 - závěrečný  účet 
Příloha č. 3: Plnění rozpočtu výdajů Olomouckého kraje k 31. 12. 2017&amp;R&amp;"Arial,Kurzíva"Strana &amp;P (celkem 478)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FF"/>
  </sheetPr>
  <dimension ref="A1:U219"/>
  <sheetViews>
    <sheetView showGridLines="0" view="pageBreakPreview" zoomScaleNormal="100" zoomScaleSheetLayoutView="100" workbookViewId="0">
      <selection activeCell="D214" sqref="D214"/>
    </sheetView>
  </sheetViews>
  <sheetFormatPr defaultColWidth="9.140625" defaultRowHeight="12.75" x14ac:dyDescent="0.2"/>
  <cols>
    <col min="1" max="1" width="5" style="1829" customWidth="1"/>
    <col min="2" max="2" width="4.85546875" style="997" customWidth="1"/>
    <col min="3" max="3" width="9.7109375" style="1959" customWidth="1"/>
    <col min="4" max="4" width="46.140625" style="997" customWidth="1"/>
    <col min="5" max="5" width="14.28515625" style="1002" customWidth="1"/>
    <col min="6" max="6" width="15.28515625" style="1002" customWidth="1"/>
    <col min="7" max="7" width="13.5703125" style="1002" customWidth="1"/>
    <col min="8" max="8" width="8" style="1753" customWidth="1"/>
    <col min="9" max="9" width="9.140625" style="1002"/>
    <col min="10" max="10" width="15.28515625" style="1002" customWidth="1"/>
    <col min="11" max="11" width="14.7109375" style="997" customWidth="1"/>
    <col min="12" max="12" width="13.7109375" style="997" customWidth="1"/>
    <col min="13" max="16384" width="9.140625" style="997"/>
  </cols>
  <sheetData>
    <row r="1" spans="1:10" ht="18.75" thickBot="1" x14ac:dyDescent="0.3">
      <c r="A1" s="2013" t="s">
        <v>1917</v>
      </c>
      <c r="B1" s="2012"/>
      <c r="C1" s="2011"/>
      <c r="D1" s="1079"/>
      <c r="E1" s="2010"/>
      <c r="F1" s="1899" t="s">
        <v>462</v>
      </c>
      <c r="J1" s="997"/>
    </row>
    <row r="2" spans="1:10" ht="18" x14ac:dyDescent="0.25">
      <c r="A2" s="2009"/>
      <c r="B2" s="2008"/>
      <c r="C2" s="2007"/>
      <c r="D2" s="1053"/>
      <c r="E2" s="1054"/>
      <c r="F2" s="1053"/>
      <c r="G2" s="2006"/>
      <c r="J2" s="997"/>
    </row>
    <row r="3" spans="1:10" ht="12.75" customHeight="1" x14ac:dyDescent="0.25">
      <c r="A3" s="1077" t="s">
        <v>201</v>
      </c>
      <c r="B3" s="1056"/>
      <c r="C3" s="2005" t="s">
        <v>948</v>
      </c>
      <c r="D3" s="1076"/>
      <c r="E3" s="1053"/>
      <c r="F3" s="1662"/>
      <c r="G3" s="1052"/>
      <c r="H3" s="1866"/>
      <c r="I3" s="997"/>
      <c r="J3" s="997"/>
    </row>
    <row r="4" spans="1:10" ht="12.75" customHeight="1" x14ac:dyDescent="0.25">
      <c r="A4" s="1075"/>
      <c r="B4" s="1056"/>
      <c r="C4" s="2005" t="s">
        <v>190</v>
      </c>
      <c r="D4" s="1002"/>
      <c r="E4" s="1053"/>
      <c r="F4" s="1662"/>
      <c r="G4" s="1052"/>
      <c r="H4" s="1866"/>
      <c r="I4" s="997"/>
      <c r="J4" s="997"/>
    </row>
    <row r="5" spans="1:10" ht="12.75" customHeight="1" x14ac:dyDescent="0.25">
      <c r="A5" s="1075"/>
      <c r="B5" s="1056"/>
      <c r="C5" s="2005"/>
      <c r="D5" s="1002"/>
      <c r="E5" s="1053"/>
      <c r="F5" s="1662"/>
      <c r="G5" s="1052"/>
      <c r="H5" s="1866"/>
      <c r="I5" s="997"/>
      <c r="J5" s="997"/>
    </row>
    <row r="6" spans="1:10" ht="12.75" customHeight="1" x14ac:dyDescent="0.25">
      <c r="A6" s="1075"/>
      <c r="B6" s="1056"/>
      <c r="C6" s="2005"/>
      <c r="D6" s="1002"/>
      <c r="E6" s="1053"/>
      <c r="F6" s="1662"/>
      <c r="G6" s="1052"/>
      <c r="H6" s="1866"/>
      <c r="I6" s="997"/>
      <c r="J6" s="997"/>
    </row>
    <row r="7" spans="1:10" ht="16.5" customHeight="1" x14ac:dyDescent="0.25">
      <c r="A7" s="1057" t="s">
        <v>450</v>
      </c>
      <c r="B7" s="1056"/>
      <c r="C7" s="2005"/>
      <c r="D7" s="1002"/>
      <c r="E7" s="1053"/>
      <c r="F7" s="1662"/>
      <c r="G7" s="1052"/>
      <c r="H7" s="1866"/>
      <c r="I7" s="997"/>
      <c r="J7" s="997"/>
    </row>
    <row r="8" spans="1:10" ht="12.75" customHeight="1" thickBot="1" x14ac:dyDescent="0.3">
      <c r="A8" s="1057"/>
      <c r="B8" s="1056"/>
      <c r="C8" s="2005"/>
      <c r="D8" s="1002"/>
      <c r="E8" s="1053"/>
      <c r="F8" s="1662"/>
      <c r="G8" s="1052"/>
      <c r="H8" s="1753" t="s">
        <v>92</v>
      </c>
      <c r="I8" s="997"/>
      <c r="J8" s="997"/>
    </row>
    <row r="9" spans="1:10" s="1994" customFormat="1" ht="20.25" customHeight="1" thickTop="1" thickBot="1" x14ac:dyDescent="0.25">
      <c r="A9" s="1998" t="s">
        <v>93</v>
      </c>
      <c r="B9" s="1997" t="s">
        <v>94</v>
      </c>
      <c r="C9" s="1996" t="s">
        <v>364</v>
      </c>
      <c r="D9" s="1996" t="s">
        <v>95</v>
      </c>
      <c r="E9" s="1069" t="s">
        <v>328</v>
      </c>
      <c r="F9" s="1069" t="s">
        <v>329</v>
      </c>
      <c r="G9" s="1749" t="s">
        <v>448</v>
      </c>
      <c r="H9" s="1784" t="s">
        <v>449</v>
      </c>
      <c r="I9" s="1995"/>
      <c r="J9" s="1995"/>
    </row>
    <row r="10" spans="1:10" s="1037" customFormat="1" ht="13.5" thickTop="1" thickBot="1" x14ac:dyDescent="0.25">
      <c r="A10" s="1042">
        <v>1</v>
      </c>
      <c r="B10" s="1041">
        <v>2</v>
      </c>
      <c r="C10" s="1041">
        <v>3</v>
      </c>
      <c r="D10" s="1041">
        <v>4</v>
      </c>
      <c r="E10" s="1041">
        <v>5</v>
      </c>
      <c r="F10" s="1040">
        <v>6</v>
      </c>
      <c r="G10" s="1040">
        <v>7</v>
      </c>
      <c r="H10" s="1039" t="s">
        <v>33</v>
      </c>
      <c r="I10" s="1043"/>
    </row>
    <row r="11" spans="1:10" s="1037" customFormat="1" ht="15.75" thickTop="1" x14ac:dyDescent="0.25">
      <c r="A11" s="2553">
        <v>2212</v>
      </c>
      <c r="B11" s="2554">
        <v>5169</v>
      </c>
      <c r="C11" s="2792"/>
      <c r="D11" s="2004" t="s">
        <v>430</v>
      </c>
      <c r="E11" s="1030">
        <f>E12</f>
        <v>0</v>
      </c>
      <c r="F11" s="1030">
        <f>F12</f>
        <v>270</v>
      </c>
      <c r="G11" s="1030">
        <f>G12</f>
        <v>263</v>
      </c>
      <c r="H11" s="1029">
        <f t="shared" ref="H11:H97" si="0">(G11/F11)*100</f>
        <v>97.407407407407405</v>
      </c>
      <c r="I11" s="1043"/>
    </row>
    <row r="12" spans="1:10" s="1037" customFormat="1" ht="25.5" x14ac:dyDescent="0.2">
      <c r="A12" s="2553"/>
      <c r="B12" s="2554"/>
      <c r="C12" s="2796" t="s">
        <v>952</v>
      </c>
      <c r="D12" s="2527" t="s">
        <v>1366</v>
      </c>
      <c r="E12" s="2549">
        <v>0</v>
      </c>
      <c r="F12" s="2485">
        <v>270</v>
      </c>
      <c r="G12" s="2482">
        <v>263</v>
      </c>
      <c r="H12" s="2528">
        <f t="shared" si="0"/>
        <v>97.407407407407405</v>
      </c>
      <c r="I12" s="1043"/>
    </row>
    <row r="13" spans="1:10" s="1037" customFormat="1" ht="15" x14ac:dyDescent="0.25">
      <c r="A13" s="2553">
        <v>2212</v>
      </c>
      <c r="B13" s="2554">
        <v>5171</v>
      </c>
      <c r="C13" s="2796"/>
      <c r="D13" s="1814" t="s">
        <v>456</v>
      </c>
      <c r="E13" s="1809">
        <f>E14</f>
        <v>0</v>
      </c>
      <c r="F13" s="1031">
        <f>F14</f>
        <v>126</v>
      </c>
      <c r="G13" s="1030">
        <f>G14</f>
        <v>111</v>
      </c>
      <c r="H13" s="1990">
        <f t="shared" ref="H13:H14" si="1">(G13/F13)*100</f>
        <v>88.095238095238088</v>
      </c>
      <c r="I13" s="1043"/>
    </row>
    <row r="14" spans="1:10" s="1037" customFormat="1" ht="25.5" x14ac:dyDescent="0.2">
      <c r="A14" s="2553"/>
      <c r="B14" s="2554"/>
      <c r="C14" s="2796" t="s">
        <v>952</v>
      </c>
      <c r="D14" s="2527" t="s">
        <v>1366</v>
      </c>
      <c r="E14" s="2549">
        <v>0</v>
      </c>
      <c r="F14" s="2485">
        <v>126</v>
      </c>
      <c r="G14" s="2482">
        <v>111</v>
      </c>
      <c r="H14" s="2528">
        <f t="shared" si="1"/>
        <v>88.095238095238088</v>
      </c>
      <c r="I14" s="1043"/>
    </row>
    <row r="15" spans="1:10" s="1037" customFormat="1" ht="15" hidden="1" x14ac:dyDescent="0.25">
      <c r="A15" s="2553">
        <v>3111</v>
      </c>
      <c r="B15" s="2554">
        <v>5137</v>
      </c>
      <c r="C15" s="2796"/>
      <c r="D15" s="1814" t="s">
        <v>88</v>
      </c>
      <c r="E15" s="1807"/>
      <c r="F15" s="1030">
        <f>F16</f>
        <v>0</v>
      </c>
      <c r="G15" s="1030">
        <f>G16</f>
        <v>0</v>
      </c>
      <c r="H15" s="1029" t="e">
        <f t="shared" si="0"/>
        <v>#DIV/0!</v>
      </c>
      <c r="I15" s="1043"/>
    </row>
    <row r="16" spans="1:10" s="1037" customFormat="1" ht="25.5" hidden="1" x14ac:dyDescent="0.2">
      <c r="A16" s="2553"/>
      <c r="B16" s="2554"/>
      <c r="C16" s="2796" t="s">
        <v>972</v>
      </c>
      <c r="D16" s="2527" t="s">
        <v>1367</v>
      </c>
      <c r="E16" s="1807"/>
      <c r="F16" s="2485"/>
      <c r="G16" s="2482"/>
      <c r="H16" s="2528" t="e">
        <f t="shared" si="0"/>
        <v>#DIV/0!</v>
      </c>
      <c r="I16" s="1043"/>
    </row>
    <row r="17" spans="1:9" s="1037" customFormat="1" ht="15" hidden="1" x14ac:dyDescent="0.25">
      <c r="A17" s="2553">
        <v>3111</v>
      </c>
      <c r="B17" s="2554">
        <v>5169</v>
      </c>
      <c r="C17" s="2796"/>
      <c r="D17" s="2004" t="s">
        <v>430</v>
      </c>
      <c r="E17" s="1807"/>
      <c r="F17" s="1030">
        <f>F18</f>
        <v>0</v>
      </c>
      <c r="G17" s="1030">
        <f>G18</f>
        <v>0</v>
      </c>
      <c r="H17" s="1029" t="e">
        <f t="shared" si="0"/>
        <v>#DIV/0!</v>
      </c>
      <c r="I17" s="1043"/>
    </row>
    <row r="18" spans="1:9" s="1037" customFormat="1" ht="25.5" hidden="1" x14ac:dyDescent="0.2">
      <c r="A18" s="2553"/>
      <c r="B18" s="2554"/>
      <c r="C18" s="2796" t="s">
        <v>972</v>
      </c>
      <c r="D18" s="2527" t="s">
        <v>1367</v>
      </c>
      <c r="E18" s="1807"/>
      <c r="F18" s="2485"/>
      <c r="G18" s="2482"/>
      <c r="H18" s="2528" t="e">
        <f t="shared" si="0"/>
        <v>#DIV/0!</v>
      </c>
      <c r="I18" s="1043"/>
    </row>
    <row r="19" spans="1:9" s="1037" customFormat="1" ht="15" hidden="1" x14ac:dyDescent="0.25">
      <c r="A19" s="2553">
        <v>3114</v>
      </c>
      <c r="B19" s="2554">
        <v>5171</v>
      </c>
      <c r="C19" s="2796"/>
      <c r="D19" s="1814" t="s">
        <v>456</v>
      </c>
      <c r="E19" s="1809">
        <f>E20</f>
        <v>0</v>
      </c>
      <c r="F19" s="1031">
        <f t="shared" ref="F19:G19" si="2">F20</f>
        <v>0</v>
      </c>
      <c r="G19" s="1030">
        <f t="shared" si="2"/>
        <v>0</v>
      </c>
      <c r="H19" s="1029" t="e">
        <f t="shared" si="0"/>
        <v>#DIV/0!</v>
      </c>
      <c r="I19" s="1043"/>
    </row>
    <row r="20" spans="1:9" s="1037" customFormat="1" ht="25.5" hidden="1" x14ac:dyDescent="0.2">
      <c r="A20" s="2553"/>
      <c r="B20" s="2554"/>
      <c r="C20" s="2796" t="s">
        <v>972</v>
      </c>
      <c r="D20" s="2527" t="s">
        <v>1367</v>
      </c>
      <c r="E20" s="2549"/>
      <c r="F20" s="2485"/>
      <c r="G20" s="2482"/>
      <c r="H20" s="2528" t="e">
        <f t="shared" si="0"/>
        <v>#DIV/0!</v>
      </c>
      <c r="I20" s="1043"/>
    </row>
    <row r="21" spans="1:9" s="1037" customFormat="1" ht="15" x14ac:dyDescent="0.25">
      <c r="A21" s="2553">
        <v>3121</v>
      </c>
      <c r="B21" s="2554">
        <v>5137</v>
      </c>
      <c r="C21" s="2796"/>
      <c r="D21" s="1928" t="s">
        <v>88</v>
      </c>
      <c r="E21" s="1030">
        <f>E22</f>
        <v>0</v>
      </c>
      <c r="F21" s="1031">
        <f>F22</f>
        <v>1881</v>
      </c>
      <c r="G21" s="1030">
        <f>G22</f>
        <v>1749</v>
      </c>
      <c r="H21" s="1029">
        <f t="shared" si="0"/>
        <v>92.982456140350877</v>
      </c>
      <c r="I21" s="1043"/>
    </row>
    <row r="22" spans="1:9" s="1037" customFormat="1" ht="25.5" x14ac:dyDescent="0.2">
      <c r="A22" s="2553"/>
      <c r="B22" s="2554"/>
      <c r="C22" s="2796" t="s">
        <v>972</v>
      </c>
      <c r="D22" s="2527" t="s">
        <v>1367</v>
      </c>
      <c r="E22" s="2549">
        <v>0</v>
      </c>
      <c r="F22" s="2485">
        <v>1881</v>
      </c>
      <c r="G22" s="2482">
        <v>1749</v>
      </c>
      <c r="H22" s="2528">
        <f t="shared" si="0"/>
        <v>92.982456140350877</v>
      </c>
      <c r="I22" s="1043"/>
    </row>
    <row r="23" spans="1:9" s="1037" customFormat="1" ht="15" x14ac:dyDescent="0.25">
      <c r="A23" s="2553">
        <v>3121</v>
      </c>
      <c r="B23" s="2554">
        <v>5169</v>
      </c>
      <c r="C23" s="2796"/>
      <c r="D23" s="2004" t="s">
        <v>430</v>
      </c>
      <c r="E23" s="1030">
        <f>E24</f>
        <v>0</v>
      </c>
      <c r="F23" s="1031">
        <f>F24</f>
        <v>159</v>
      </c>
      <c r="G23" s="1030">
        <f>G24</f>
        <v>159</v>
      </c>
      <c r="H23" s="1029">
        <f t="shared" si="0"/>
        <v>100</v>
      </c>
      <c r="I23" s="1043"/>
    </row>
    <row r="24" spans="1:9" s="1037" customFormat="1" ht="25.5" x14ac:dyDescent="0.2">
      <c r="A24" s="2553"/>
      <c r="B24" s="2554"/>
      <c r="C24" s="2796" t="s">
        <v>972</v>
      </c>
      <c r="D24" s="2527" t="s">
        <v>1367</v>
      </c>
      <c r="E24" s="2549">
        <v>0</v>
      </c>
      <c r="F24" s="2485">
        <v>159</v>
      </c>
      <c r="G24" s="2482">
        <v>159</v>
      </c>
      <c r="H24" s="2528">
        <f t="shared" si="0"/>
        <v>100</v>
      </c>
      <c r="I24" s="1043"/>
    </row>
    <row r="25" spans="1:9" s="1037" customFormat="1" ht="15" x14ac:dyDescent="0.25">
      <c r="A25" s="2553">
        <v>3121</v>
      </c>
      <c r="B25" s="2554">
        <v>5171</v>
      </c>
      <c r="C25" s="2796"/>
      <c r="D25" s="1814" t="s">
        <v>456</v>
      </c>
      <c r="E25" s="1809">
        <f>E26</f>
        <v>33260</v>
      </c>
      <c r="F25" s="1031">
        <f>F26</f>
        <v>33067</v>
      </c>
      <c r="G25" s="1030">
        <f>G26</f>
        <v>32951</v>
      </c>
      <c r="H25" s="1990">
        <f t="shared" si="0"/>
        <v>99.649197084706813</v>
      </c>
      <c r="I25" s="1043"/>
    </row>
    <row r="26" spans="1:9" s="1037" customFormat="1" ht="25.5" x14ac:dyDescent="0.2">
      <c r="A26" s="2553"/>
      <c r="B26" s="2554"/>
      <c r="C26" s="2796" t="s">
        <v>972</v>
      </c>
      <c r="D26" s="2527" t="s">
        <v>1367</v>
      </c>
      <c r="E26" s="2549">
        <v>33260</v>
      </c>
      <c r="F26" s="2485">
        <v>33067</v>
      </c>
      <c r="G26" s="2482">
        <v>32951</v>
      </c>
      <c r="H26" s="2528">
        <f t="shared" si="0"/>
        <v>99.649197084706813</v>
      </c>
      <c r="I26" s="1043"/>
    </row>
    <row r="27" spans="1:9" s="1037" customFormat="1" ht="15" x14ac:dyDescent="0.25">
      <c r="A27" s="2553">
        <v>3122</v>
      </c>
      <c r="B27" s="2554">
        <v>5137</v>
      </c>
      <c r="C27" s="2796"/>
      <c r="D27" s="1928" t="s">
        <v>88</v>
      </c>
      <c r="E27" s="1030">
        <f>E28</f>
        <v>0</v>
      </c>
      <c r="F27" s="1031">
        <f>F28</f>
        <v>2151</v>
      </c>
      <c r="G27" s="1030">
        <f>G28</f>
        <v>1555</v>
      </c>
      <c r="H27" s="1990">
        <f t="shared" si="0"/>
        <v>72.291957229195731</v>
      </c>
      <c r="I27" s="1043"/>
    </row>
    <row r="28" spans="1:9" s="1037" customFormat="1" ht="25.5" x14ac:dyDescent="0.2">
      <c r="A28" s="2553"/>
      <c r="B28" s="2554"/>
      <c r="C28" s="2796" t="s">
        <v>972</v>
      </c>
      <c r="D28" s="2527" t="s">
        <v>1367</v>
      </c>
      <c r="E28" s="2549">
        <v>0</v>
      </c>
      <c r="F28" s="2485">
        <v>2151</v>
      </c>
      <c r="G28" s="2482">
        <v>1555</v>
      </c>
      <c r="H28" s="2528">
        <f t="shared" si="0"/>
        <v>72.291957229195731</v>
      </c>
      <c r="I28" s="1043"/>
    </row>
    <row r="29" spans="1:9" s="1037" customFormat="1" ht="15" hidden="1" x14ac:dyDescent="0.25">
      <c r="A29" s="2553">
        <v>3122</v>
      </c>
      <c r="B29" s="2554">
        <v>5139</v>
      </c>
      <c r="C29" s="2796"/>
      <c r="D29" s="1071" t="s">
        <v>396</v>
      </c>
      <c r="E29" s="1807"/>
      <c r="F29" s="1031">
        <f>F30</f>
        <v>0</v>
      </c>
      <c r="G29" s="1030">
        <f>G30</f>
        <v>0</v>
      </c>
      <c r="H29" s="1990" t="e">
        <f t="shared" si="0"/>
        <v>#DIV/0!</v>
      </c>
      <c r="I29" s="1043"/>
    </row>
    <row r="30" spans="1:9" s="1037" customFormat="1" ht="25.5" hidden="1" x14ac:dyDescent="0.2">
      <c r="A30" s="2553"/>
      <c r="B30" s="2554"/>
      <c r="C30" s="2796" t="s">
        <v>972</v>
      </c>
      <c r="D30" s="2527" t="s">
        <v>1367</v>
      </c>
      <c r="E30" s="1807"/>
      <c r="F30" s="2485"/>
      <c r="G30" s="2482"/>
      <c r="H30" s="2528" t="e">
        <f t="shared" si="0"/>
        <v>#DIV/0!</v>
      </c>
      <c r="I30" s="1043"/>
    </row>
    <row r="31" spans="1:9" s="1037" customFormat="1" ht="15" x14ac:dyDescent="0.25">
      <c r="A31" s="2553">
        <v>3122</v>
      </c>
      <c r="B31" s="2554">
        <v>5169</v>
      </c>
      <c r="C31" s="2796"/>
      <c r="D31" s="2004" t="s">
        <v>430</v>
      </c>
      <c r="E31" s="1809">
        <f>E32</f>
        <v>0</v>
      </c>
      <c r="F31" s="1031">
        <f>F32</f>
        <v>401</v>
      </c>
      <c r="G31" s="1030">
        <f>G32</f>
        <v>396</v>
      </c>
      <c r="H31" s="1990">
        <f t="shared" si="0"/>
        <v>98.753117206982537</v>
      </c>
      <c r="I31" s="1043"/>
    </row>
    <row r="32" spans="1:9" s="1037" customFormat="1" ht="25.5" x14ac:dyDescent="0.2">
      <c r="A32" s="2553"/>
      <c r="B32" s="2554"/>
      <c r="C32" s="2796" t="s">
        <v>972</v>
      </c>
      <c r="D32" s="2527" t="s">
        <v>1367</v>
      </c>
      <c r="E32" s="2549">
        <v>0</v>
      </c>
      <c r="F32" s="2485">
        <v>401</v>
      </c>
      <c r="G32" s="2482">
        <v>396</v>
      </c>
      <c r="H32" s="2528">
        <f t="shared" si="0"/>
        <v>98.753117206982537</v>
      </c>
      <c r="I32" s="1043"/>
    </row>
    <row r="33" spans="1:9" s="1037" customFormat="1" ht="15" x14ac:dyDescent="0.25">
      <c r="A33" s="2553">
        <v>3122</v>
      </c>
      <c r="B33" s="2554">
        <v>5171</v>
      </c>
      <c r="C33" s="2796"/>
      <c r="D33" s="1814" t="s">
        <v>456</v>
      </c>
      <c r="E33" s="1809">
        <f>E34</f>
        <v>15350</v>
      </c>
      <c r="F33" s="1031">
        <f>F34</f>
        <v>36048</v>
      </c>
      <c r="G33" s="1030">
        <f>G34</f>
        <v>35825</v>
      </c>
      <c r="H33" s="1990">
        <f t="shared" si="0"/>
        <v>99.381380381713271</v>
      </c>
      <c r="I33" s="1043"/>
    </row>
    <row r="34" spans="1:9" s="1037" customFormat="1" ht="25.5" x14ac:dyDescent="0.2">
      <c r="A34" s="2553"/>
      <c r="B34" s="2554"/>
      <c r="C34" s="2796" t="s">
        <v>972</v>
      </c>
      <c r="D34" s="2527" t="s">
        <v>1367</v>
      </c>
      <c r="E34" s="2549">
        <v>15350</v>
      </c>
      <c r="F34" s="2485">
        <v>36048</v>
      </c>
      <c r="G34" s="2482">
        <v>35825</v>
      </c>
      <c r="H34" s="2528">
        <f t="shared" si="0"/>
        <v>99.381380381713271</v>
      </c>
      <c r="I34" s="1043"/>
    </row>
    <row r="35" spans="1:9" s="1037" customFormat="1" ht="15" x14ac:dyDescent="0.25">
      <c r="A35" s="2553">
        <v>3122</v>
      </c>
      <c r="B35" s="2554">
        <v>5172</v>
      </c>
      <c r="C35" s="2796"/>
      <c r="D35" s="1130" t="s">
        <v>457</v>
      </c>
      <c r="E35" s="1030">
        <f>E36</f>
        <v>0</v>
      </c>
      <c r="F35" s="1031">
        <f>F36</f>
        <v>300</v>
      </c>
      <c r="G35" s="1030">
        <f>G36</f>
        <v>300</v>
      </c>
      <c r="H35" s="1990">
        <f t="shared" si="0"/>
        <v>100</v>
      </c>
      <c r="I35" s="1043"/>
    </row>
    <row r="36" spans="1:9" s="1037" customFormat="1" ht="25.5" x14ac:dyDescent="0.2">
      <c r="A36" s="2553"/>
      <c r="B36" s="2554"/>
      <c r="C36" s="2796" t="s">
        <v>972</v>
      </c>
      <c r="D36" s="2527" t="s">
        <v>1367</v>
      </c>
      <c r="E36" s="2549">
        <v>0</v>
      </c>
      <c r="F36" s="2485">
        <v>300</v>
      </c>
      <c r="G36" s="2482">
        <v>300</v>
      </c>
      <c r="H36" s="2528">
        <f t="shared" si="0"/>
        <v>100</v>
      </c>
      <c r="I36" s="1043"/>
    </row>
    <row r="37" spans="1:9" s="1037" customFormat="1" ht="15" hidden="1" x14ac:dyDescent="0.25">
      <c r="A37" s="2553">
        <v>3131</v>
      </c>
      <c r="B37" s="2554">
        <v>5171</v>
      </c>
      <c r="C37" s="2796"/>
      <c r="D37" s="1814" t="s">
        <v>456</v>
      </c>
      <c r="E37" s="1807"/>
      <c r="F37" s="1030">
        <f>F38</f>
        <v>0</v>
      </c>
      <c r="G37" s="1030">
        <f>G38</f>
        <v>0</v>
      </c>
      <c r="H37" s="1029" t="e">
        <f t="shared" si="0"/>
        <v>#DIV/0!</v>
      </c>
      <c r="I37" s="1043"/>
    </row>
    <row r="38" spans="1:9" s="1037" customFormat="1" ht="25.5" hidden="1" x14ac:dyDescent="0.2">
      <c r="A38" s="2553"/>
      <c r="B38" s="2554"/>
      <c r="C38" s="2796" t="s">
        <v>972</v>
      </c>
      <c r="D38" s="2527" t="s">
        <v>1367</v>
      </c>
      <c r="E38" s="1807"/>
      <c r="F38" s="2485"/>
      <c r="G38" s="2482"/>
      <c r="H38" s="2528" t="e">
        <f t="shared" si="0"/>
        <v>#DIV/0!</v>
      </c>
      <c r="I38" s="1043"/>
    </row>
    <row r="39" spans="1:9" s="1037" customFormat="1" ht="15" hidden="1" x14ac:dyDescent="0.25">
      <c r="A39" s="2553">
        <v>3147</v>
      </c>
      <c r="B39" s="2554">
        <v>5171</v>
      </c>
      <c r="C39" s="2796"/>
      <c r="D39" s="1814" t="s">
        <v>456</v>
      </c>
      <c r="E39" s="1809">
        <f>E40</f>
        <v>0</v>
      </c>
      <c r="F39" s="1031">
        <f>F40</f>
        <v>0</v>
      </c>
      <c r="G39" s="1030">
        <f>G40</f>
        <v>0</v>
      </c>
      <c r="H39" s="1990" t="e">
        <f t="shared" si="0"/>
        <v>#DIV/0!</v>
      </c>
      <c r="I39" s="1043"/>
    </row>
    <row r="40" spans="1:9" s="1037" customFormat="1" ht="25.5" hidden="1" x14ac:dyDescent="0.2">
      <c r="A40" s="2553"/>
      <c r="B40" s="2554"/>
      <c r="C40" s="2796" t="s">
        <v>972</v>
      </c>
      <c r="D40" s="2527" t="s">
        <v>1367</v>
      </c>
      <c r="E40" s="2549"/>
      <c r="F40" s="2485"/>
      <c r="G40" s="2482"/>
      <c r="H40" s="2528" t="e">
        <f t="shared" si="0"/>
        <v>#DIV/0!</v>
      </c>
      <c r="I40" s="2550"/>
    </row>
    <row r="41" spans="1:9" s="1037" customFormat="1" ht="15" hidden="1" x14ac:dyDescent="0.25">
      <c r="A41" s="2553">
        <v>3150</v>
      </c>
      <c r="B41" s="2554">
        <v>5171</v>
      </c>
      <c r="C41" s="2796"/>
      <c r="D41" s="1814" t="s">
        <v>456</v>
      </c>
      <c r="E41" s="1809">
        <f>E42</f>
        <v>0</v>
      </c>
      <c r="F41" s="1031">
        <f>F42</f>
        <v>0</v>
      </c>
      <c r="G41" s="1030">
        <f>G42</f>
        <v>0</v>
      </c>
      <c r="H41" s="1990">
        <v>0</v>
      </c>
      <c r="I41" s="1043"/>
    </row>
    <row r="42" spans="1:9" s="1037" customFormat="1" ht="25.5" hidden="1" x14ac:dyDescent="0.2">
      <c r="A42" s="2553"/>
      <c r="B42" s="2554"/>
      <c r="C42" s="2796" t="s">
        <v>972</v>
      </c>
      <c r="D42" s="2527" t="s">
        <v>1367</v>
      </c>
      <c r="E42" s="2549"/>
      <c r="F42" s="2485"/>
      <c r="G42" s="2482"/>
      <c r="H42" s="2528">
        <v>0</v>
      </c>
      <c r="I42" s="1043"/>
    </row>
    <row r="43" spans="1:9" s="1037" customFormat="1" ht="15" x14ac:dyDescent="0.25">
      <c r="A43" s="2553">
        <v>3314</v>
      </c>
      <c r="B43" s="2554">
        <v>5171</v>
      </c>
      <c r="C43" s="2796"/>
      <c r="D43" s="1814" t="s">
        <v>456</v>
      </c>
      <c r="E43" s="1030">
        <f>E44</f>
        <v>600</v>
      </c>
      <c r="F43" s="1031">
        <f>F44</f>
        <v>278</v>
      </c>
      <c r="G43" s="1030">
        <f>G44</f>
        <v>145</v>
      </c>
      <c r="H43" s="1990">
        <f t="shared" si="0"/>
        <v>52.158273381294961</v>
      </c>
      <c r="I43" s="1043"/>
    </row>
    <row r="44" spans="1:9" s="1037" customFormat="1" ht="25.5" x14ac:dyDescent="0.2">
      <c r="A44" s="2553"/>
      <c r="B44" s="2554"/>
      <c r="C44" s="2796" t="s">
        <v>956</v>
      </c>
      <c r="D44" s="2527" t="s">
        <v>1368</v>
      </c>
      <c r="E44" s="2549">
        <v>600</v>
      </c>
      <c r="F44" s="2485">
        <v>278</v>
      </c>
      <c r="G44" s="2482">
        <v>145</v>
      </c>
      <c r="H44" s="2528">
        <f t="shared" si="0"/>
        <v>52.158273381294961</v>
      </c>
      <c r="I44" s="1043"/>
    </row>
    <row r="45" spans="1:9" s="1037" customFormat="1" ht="15" x14ac:dyDescent="0.25">
      <c r="A45" s="2553">
        <v>3315</v>
      </c>
      <c r="B45" s="2554">
        <v>5137</v>
      </c>
      <c r="C45" s="2796"/>
      <c r="D45" s="3013" t="s">
        <v>88</v>
      </c>
      <c r="E45" s="1030">
        <f>E46</f>
        <v>0</v>
      </c>
      <c r="F45" s="1031">
        <f>F46</f>
        <v>120</v>
      </c>
      <c r="G45" s="1030">
        <f>G46</f>
        <v>120</v>
      </c>
      <c r="H45" s="1990">
        <f t="shared" si="0"/>
        <v>100</v>
      </c>
      <c r="I45" s="1043"/>
    </row>
    <row r="46" spans="1:9" s="1037" customFormat="1" ht="25.5" x14ac:dyDescent="0.2">
      <c r="A46" s="2553"/>
      <c r="B46" s="2554"/>
      <c r="C46" s="2796" t="s">
        <v>956</v>
      </c>
      <c r="D46" s="2527" t="s">
        <v>1368</v>
      </c>
      <c r="E46" s="2549">
        <v>0</v>
      </c>
      <c r="F46" s="2485">
        <v>120</v>
      </c>
      <c r="G46" s="2482">
        <v>120</v>
      </c>
      <c r="H46" s="2551">
        <f t="shared" si="0"/>
        <v>100</v>
      </c>
      <c r="I46" s="1043"/>
    </row>
    <row r="47" spans="1:9" s="1037" customFormat="1" ht="15" x14ac:dyDescent="0.25">
      <c r="A47" s="2553">
        <v>3315</v>
      </c>
      <c r="B47" s="2554">
        <v>5139</v>
      </c>
      <c r="C47" s="2796"/>
      <c r="D47" s="3013" t="s">
        <v>396</v>
      </c>
      <c r="E47" s="1030">
        <f>E48</f>
        <v>0</v>
      </c>
      <c r="F47" s="1031">
        <f>F48</f>
        <v>3</v>
      </c>
      <c r="G47" s="1030">
        <f>G48</f>
        <v>3</v>
      </c>
      <c r="H47" s="1990">
        <f t="shared" ref="H47:H50" si="3">(G47/F47)*100</f>
        <v>100</v>
      </c>
      <c r="I47" s="1043"/>
    </row>
    <row r="48" spans="1:9" s="1037" customFormat="1" ht="25.5" x14ac:dyDescent="0.2">
      <c r="A48" s="2553"/>
      <c r="B48" s="2554"/>
      <c r="C48" s="2796" t="s">
        <v>956</v>
      </c>
      <c r="D48" s="2527" t="s">
        <v>1368</v>
      </c>
      <c r="E48" s="2549">
        <v>0</v>
      </c>
      <c r="F48" s="2485">
        <v>3</v>
      </c>
      <c r="G48" s="2482">
        <v>3</v>
      </c>
      <c r="H48" s="2528">
        <f t="shared" si="3"/>
        <v>100</v>
      </c>
      <c r="I48" s="1043"/>
    </row>
    <row r="49" spans="1:21" s="1037" customFormat="1" ht="30" x14ac:dyDescent="0.25">
      <c r="A49" s="2553">
        <v>3315</v>
      </c>
      <c r="B49" s="2554">
        <v>5168</v>
      </c>
      <c r="C49" s="2796"/>
      <c r="D49" s="2948" t="s">
        <v>1153</v>
      </c>
      <c r="E49" s="1030">
        <f>E50</f>
        <v>0</v>
      </c>
      <c r="F49" s="1031">
        <f>F50</f>
        <v>12</v>
      </c>
      <c r="G49" s="1030">
        <f>G50</f>
        <v>12</v>
      </c>
      <c r="H49" s="1990">
        <f t="shared" si="3"/>
        <v>100</v>
      </c>
      <c r="I49" s="1043"/>
    </row>
    <row r="50" spans="1:21" s="1037" customFormat="1" ht="25.5" x14ac:dyDescent="0.2">
      <c r="A50" s="2553"/>
      <c r="B50" s="2554"/>
      <c r="C50" s="2796" t="s">
        <v>956</v>
      </c>
      <c r="D50" s="2527" t="s">
        <v>1368</v>
      </c>
      <c r="E50" s="1807">
        <v>0</v>
      </c>
      <c r="F50" s="2485">
        <v>12</v>
      </c>
      <c r="G50" s="2482">
        <v>12</v>
      </c>
      <c r="H50" s="2528">
        <f t="shared" si="3"/>
        <v>100</v>
      </c>
      <c r="I50" s="1043"/>
    </row>
    <row r="51" spans="1:21" s="1037" customFormat="1" ht="15" x14ac:dyDescent="0.25">
      <c r="A51" s="2553">
        <v>3315</v>
      </c>
      <c r="B51" s="2554">
        <v>5169</v>
      </c>
      <c r="C51" s="2796"/>
      <c r="D51" s="2520" t="s">
        <v>430</v>
      </c>
      <c r="E51" s="1030">
        <f>E52</f>
        <v>0</v>
      </c>
      <c r="F51" s="1031">
        <f>F52</f>
        <v>820</v>
      </c>
      <c r="G51" s="1030">
        <f>G52</f>
        <v>769</v>
      </c>
      <c r="H51" s="1990">
        <f t="shared" si="0"/>
        <v>93.780487804878049</v>
      </c>
      <c r="I51" s="1043"/>
    </row>
    <row r="52" spans="1:21" s="1037" customFormat="1" ht="25.5" x14ac:dyDescent="0.2">
      <c r="A52" s="2553"/>
      <c r="B52" s="2554"/>
      <c r="C52" s="2796" t="s">
        <v>956</v>
      </c>
      <c r="D52" s="2527" t="s">
        <v>1368</v>
      </c>
      <c r="E52" s="2549">
        <v>0</v>
      </c>
      <c r="F52" s="2485">
        <v>820</v>
      </c>
      <c r="G52" s="2482">
        <v>769</v>
      </c>
      <c r="H52" s="2528">
        <f t="shared" si="0"/>
        <v>93.780487804878049</v>
      </c>
      <c r="I52" s="1043"/>
    </row>
    <row r="53" spans="1:21" s="1816" customFormat="1" ht="15" x14ac:dyDescent="0.25">
      <c r="A53" s="2553">
        <v>3315</v>
      </c>
      <c r="B53" s="2554">
        <v>5171</v>
      </c>
      <c r="C53" s="2796"/>
      <c r="D53" s="1814" t="s">
        <v>456</v>
      </c>
      <c r="E53" s="1809">
        <f>E54</f>
        <v>8109</v>
      </c>
      <c r="F53" s="1031">
        <f>F54</f>
        <v>2698</v>
      </c>
      <c r="G53" s="1030">
        <f>G54</f>
        <v>536</v>
      </c>
      <c r="H53" s="1990">
        <f t="shared" si="0"/>
        <v>19.866567828020756</v>
      </c>
      <c r="I53" s="1810"/>
      <c r="J53" s="1810"/>
      <c r="K53" s="1810"/>
      <c r="L53" s="1810"/>
      <c r="M53" s="1810"/>
      <c r="N53" s="1810"/>
      <c r="O53" s="1810"/>
      <c r="P53" s="1810"/>
      <c r="Q53" s="1810"/>
      <c r="R53" s="1810"/>
      <c r="S53" s="1810"/>
      <c r="T53" s="1810"/>
      <c r="U53" s="1810"/>
    </row>
    <row r="54" spans="1:21" s="1816" customFormat="1" ht="26.25" thickBot="1" x14ac:dyDescent="0.25">
      <c r="A54" s="2562"/>
      <c r="B54" s="2844"/>
      <c r="C54" s="2845" t="s">
        <v>956</v>
      </c>
      <c r="D54" s="2846" t="s">
        <v>1368</v>
      </c>
      <c r="E54" s="2847">
        <v>8109</v>
      </c>
      <c r="F54" s="2848">
        <v>2698</v>
      </c>
      <c r="G54" s="2847">
        <v>536</v>
      </c>
      <c r="H54" s="2849">
        <f t="shared" si="0"/>
        <v>19.866567828020756</v>
      </c>
      <c r="I54" s="1810"/>
      <c r="J54" s="1810"/>
      <c r="K54" s="1810"/>
      <c r="L54" s="1810"/>
      <c r="M54" s="1810"/>
      <c r="N54" s="1810"/>
      <c r="O54" s="1810"/>
      <c r="P54" s="1810"/>
      <c r="Q54" s="1810"/>
      <c r="R54" s="1810"/>
      <c r="S54" s="1810"/>
      <c r="T54" s="1810"/>
      <c r="U54" s="1810"/>
    </row>
    <row r="55" spans="1:21" s="1816" customFormat="1" ht="15" thickTop="1" x14ac:dyDescent="0.2">
      <c r="A55" s="2554"/>
      <c r="B55" s="2554"/>
      <c r="C55" s="2806"/>
      <c r="D55" s="2527"/>
      <c r="E55" s="2485"/>
      <c r="F55" s="2485"/>
      <c r="G55" s="2485"/>
      <c r="H55" s="2853"/>
      <c r="I55" s="1810"/>
      <c r="J55" s="1810"/>
      <c r="K55" s="1810"/>
      <c r="L55" s="1810"/>
      <c r="M55" s="1810"/>
      <c r="N55" s="1810"/>
      <c r="O55" s="1810"/>
      <c r="P55" s="1810"/>
      <c r="Q55" s="1810"/>
      <c r="R55" s="1810"/>
      <c r="S55" s="1810"/>
      <c r="T55" s="1810"/>
      <c r="U55" s="1810"/>
    </row>
    <row r="56" spans="1:21" s="1816" customFormat="1" ht="14.25" x14ac:dyDescent="0.2">
      <c r="A56" s="2554"/>
      <c r="B56" s="2554"/>
      <c r="C56" s="2806"/>
      <c r="D56" s="2527"/>
      <c r="E56" s="2485"/>
      <c r="F56" s="2485"/>
      <c r="G56" s="2485"/>
      <c r="H56" s="2853"/>
      <c r="I56" s="1810"/>
      <c r="J56" s="1810"/>
      <c r="K56" s="1810"/>
      <c r="L56" s="1810"/>
      <c r="M56" s="1810"/>
      <c r="N56" s="1810"/>
      <c r="O56" s="1810"/>
      <c r="P56" s="1810"/>
      <c r="Q56" s="1810"/>
      <c r="R56" s="1810"/>
      <c r="S56" s="1810"/>
      <c r="T56" s="1810"/>
      <c r="U56" s="1810"/>
    </row>
    <row r="57" spans="1:21" s="1816" customFormat="1" ht="14.25" x14ac:dyDescent="0.2">
      <c r="A57" s="2554"/>
      <c r="B57" s="2554"/>
      <c r="C57" s="2806"/>
      <c r="D57" s="2527"/>
      <c r="E57" s="2485"/>
      <c r="F57" s="2485"/>
      <c r="G57" s="2485"/>
      <c r="H57" s="2853"/>
      <c r="I57" s="1810"/>
      <c r="J57" s="1810"/>
      <c r="K57" s="1810"/>
      <c r="L57" s="1810"/>
      <c r="M57" s="1810"/>
      <c r="N57" s="1810"/>
      <c r="O57" s="1810"/>
      <c r="P57" s="1810"/>
      <c r="Q57" s="1810"/>
      <c r="R57" s="1810"/>
      <c r="S57" s="1810"/>
      <c r="T57" s="1810"/>
      <c r="U57" s="1810"/>
    </row>
    <row r="58" spans="1:21" s="1816" customFormat="1" ht="18.75" thickBot="1" x14ac:dyDescent="0.3">
      <c r="A58" s="1057"/>
      <c r="B58" s="1056"/>
      <c r="C58" s="2005"/>
      <c r="D58" s="1002"/>
      <c r="E58" s="1053"/>
      <c r="F58" s="1668"/>
      <c r="G58" s="1052"/>
      <c r="H58" s="1753" t="s">
        <v>92</v>
      </c>
      <c r="I58" s="1810"/>
      <c r="J58" s="1810"/>
      <c r="K58" s="1810"/>
      <c r="L58" s="1810"/>
      <c r="M58" s="1810"/>
      <c r="N58" s="1810"/>
      <c r="O58" s="1810"/>
      <c r="P58" s="1810"/>
      <c r="Q58" s="1810"/>
      <c r="R58" s="1810"/>
      <c r="S58" s="1810"/>
      <c r="T58" s="1810"/>
      <c r="U58" s="1810"/>
    </row>
    <row r="59" spans="1:21" s="1816" customFormat="1" ht="14.25" thickTop="1" thickBot="1" x14ac:dyDescent="0.25">
      <c r="A59" s="1998" t="s">
        <v>93</v>
      </c>
      <c r="B59" s="1997" t="s">
        <v>94</v>
      </c>
      <c r="C59" s="1996" t="s">
        <v>364</v>
      </c>
      <c r="D59" s="1996" t="s">
        <v>95</v>
      </c>
      <c r="E59" s="1069" t="s">
        <v>328</v>
      </c>
      <c r="F59" s="1069" t="s">
        <v>329</v>
      </c>
      <c r="G59" s="1749" t="s">
        <v>448</v>
      </c>
      <c r="H59" s="1784" t="s">
        <v>449</v>
      </c>
      <c r="I59" s="1810"/>
      <c r="J59" s="1810"/>
      <c r="K59" s="1810"/>
      <c r="L59" s="1810"/>
      <c r="M59" s="1810"/>
      <c r="N59" s="1810"/>
      <c r="O59" s="1810"/>
      <c r="P59" s="1810"/>
      <c r="Q59" s="1810"/>
      <c r="R59" s="1810"/>
      <c r="S59" s="1810"/>
      <c r="T59" s="1810"/>
      <c r="U59" s="1810"/>
    </row>
    <row r="60" spans="1:21" s="1816" customFormat="1" ht="14.25" thickTop="1" thickBot="1" x14ac:dyDescent="0.25">
      <c r="A60" s="1042">
        <v>1</v>
      </c>
      <c r="B60" s="1041">
        <v>2</v>
      </c>
      <c r="C60" s="1041">
        <v>3</v>
      </c>
      <c r="D60" s="1041">
        <v>4</v>
      </c>
      <c r="E60" s="1041">
        <v>5</v>
      </c>
      <c r="F60" s="1040">
        <v>6</v>
      </c>
      <c r="G60" s="1040">
        <v>7</v>
      </c>
      <c r="H60" s="1039" t="s">
        <v>33</v>
      </c>
      <c r="I60" s="1810"/>
      <c r="J60" s="1810"/>
      <c r="K60" s="1810"/>
      <c r="L60" s="1810"/>
      <c r="M60" s="1810"/>
      <c r="N60" s="1810"/>
      <c r="O60" s="1810"/>
      <c r="P60" s="1810"/>
      <c r="Q60" s="1810"/>
      <c r="R60" s="1810"/>
      <c r="S60" s="1810"/>
      <c r="T60" s="1810"/>
      <c r="U60" s="1810"/>
    </row>
    <row r="61" spans="1:21" s="1816" customFormat="1" ht="15.75" hidden="1" thickTop="1" x14ac:dyDescent="0.25">
      <c r="A61" s="2553">
        <v>3315</v>
      </c>
      <c r="B61" s="2554">
        <v>5172</v>
      </c>
      <c r="C61" s="2796"/>
      <c r="D61" s="1130" t="s">
        <v>457</v>
      </c>
      <c r="E61" s="1022"/>
      <c r="F61" s="1031">
        <f>F62</f>
        <v>0</v>
      </c>
      <c r="G61" s="1030">
        <f>G62</f>
        <v>0</v>
      </c>
      <c r="H61" s="1990" t="e">
        <f t="shared" si="0"/>
        <v>#DIV/0!</v>
      </c>
      <c r="I61" s="1810"/>
      <c r="J61" s="1810"/>
      <c r="K61" s="1810"/>
      <c r="L61" s="1810"/>
      <c r="M61" s="1810"/>
      <c r="N61" s="1810"/>
      <c r="O61" s="1810"/>
      <c r="P61" s="1810"/>
      <c r="Q61" s="1810"/>
      <c r="R61" s="1810"/>
      <c r="S61" s="1810"/>
      <c r="T61" s="1810"/>
      <c r="U61" s="1810"/>
    </row>
    <row r="62" spans="1:21" s="1816" customFormat="1" ht="25.5" hidden="1" x14ac:dyDescent="0.2">
      <c r="A62" s="2553"/>
      <c r="B62" s="2554"/>
      <c r="C62" s="2796" t="s">
        <v>956</v>
      </c>
      <c r="D62" s="2527" t="s">
        <v>1368</v>
      </c>
      <c r="E62" s="1022"/>
      <c r="F62" s="2485"/>
      <c r="G62" s="2482"/>
      <c r="H62" s="2528" t="e">
        <f t="shared" si="0"/>
        <v>#DIV/0!</v>
      </c>
      <c r="I62" s="1810"/>
      <c r="J62" s="1810"/>
      <c r="K62" s="1810"/>
      <c r="L62" s="1810"/>
      <c r="M62" s="1810"/>
      <c r="N62" s="1810"/>
      <c r="O62" s="1810"/>
      <c r="P62" s="1810"/>
      <c r="Q62" s="1810"/>
      <c r="R62" s="1810"/>
      <c r="S62" s="1810"/>
      <c r="T62" s="1810"/>
      <c r="U62" s="1810"/>
    </row>
    <row r="63" spans="1:21" s="1816" customFormat="1" ht="15.75" thickTop="1" x14ac:dyDescent="0.25">
      <c r="A63" s="2553">
        <v>3315</v>
      </c>
      <c r="B63" s="2554">
        <v>5901</v>
      </c>
      <c r="C63" s="2796"/>
      <c r="D63" s="1032" t="s">
        <v>311</v>
      </c>
      <c r="E63" s="1809">
        <v>5200</v>
      </c>
      <c r="F63" s="1031">
        <v>5200</v>
      </c>
      <c r="G63" s="1030">
        <v>0</v>
      </c>
      <c r="H63" s="1029">
        <f t="shared" si="0"/>
        <v>0</v>
      </c>
      <c r="I63" s="1810"/>
      <c r="J63" s="1810"/>
      <c r="K63" s="1810"/>
      <c r="L63" s="1810"/>
      <c r="M63" s="1810"/>
      <c r="N63" s="1810"/>
      <c r="O63" s="1810"/>
      <c r="P63" s="1810"/>
      <c r="Q63" s="1810"/>
      <c r="R63" s="1810"/>
      <c r="S63" s="1810"/>
      <c r="T63" s="1810"/>
      <c r="U63" s="1810"/>
    </row>
    <row r="64" spans="1:21" s="1816" customFormat="1" ht="15" x14ac:dyDescent="0.25">
      <c r="A64" s="2553">
        <v>3522</v>
      </c>
      <c r="B64" s="2554">
        <v>5137</v>
      </c>
      <c r="C64" s="2796"/>
      <c r="D64" s="985" t="s">
        <v>88</v>
      </c>
      <c r="E64" s="1030">
        <f>E65</f>
        <v>0</v>
      </c>
      <c r="F64" s="1031">
        <f>F65</f>
        <v>195</v>
      </c>
      <c r="G64" s="1030">
        <f>G65</f>
        <v>195</v>
      </c>
      <c r="H64" s="1029">
        <f t="shared" si="0"/>
        <v>100</v>
      </c>
      <c r="I64" s="1810"/>
      <c r="J64" s="1810"/>
      <c r="K64" s="1810"/>
      <c r="L64" s="1810"/>
      <c r="M64" s="1810"/>
      <c r="N64" s="1810"/>
      <c r="O64" s="1810"/>
      <c r="P64" s="1810"/>
      <c r="Q64" s="1810"/>
      <c r="R64" s="1810"/>
      <c r="S64" s="1810"/>
      <c r="T64" s="1810"/>
      <c r="U64" s="1810"/>
    </row>
    <row r="65" spans="1:21" s="1816" customFormat="1" ht="14.25" x14ac:dyDescent="0.2">
      <c r="A65" s="2553"/>
      <c r="B65" s="2554"/>
      <c r="C65" s="2796" t="s">
        <v>970</v>
      </c>
      <c r="D65" s="2527" t="s">
        <v>1605</v>
      </c>
      <c r="E65" s="1022">
        <v>0</v>
      </c>
      <c r="F65" s="1023">
        <v>195</v>
      </c>
      <c r="G65" s="1022">
        <v>195</v>
      </c>
      <c r="H65" s="1021">
        <f t="shared" si="0"/>
        <v>100</v>
      </c>
      <c r="I65" s="1810"/>
      <c r="J65" s="1810"/>
      <c r="K65" s="1810"/>
      <c r="L65" s="1810"/>
      <c r="M65" s="1810"/>
      <c r="N65" s="1810"/>
      <c r="O65" s="1810"/>
      <c r="P65" s="1810"/>
      <c r="Q65" s="1810"/>
      <c r="R65" s="1810"/>
      <c r="S65" s="1810"/>
      <c r="T65" s="1810"/>
      <c r="U65" s="1810"/>
    </row>
    <row r="66" spans="1:21" s="1816" customFormat="1" ht="30" x14ac:dyDescent="0.2">
      <c r="A66" s="2553">
        <v>3522</v>
      </c>
      <c r="B66" s="2554">
        <v>5168</v>
      </c>
      <c r="C66" s="2796"/>
      <c r="D66" s="2948" t="s">
        <v>1153</v>
      </c>
      <c r="E66" s="2919">
        <f>E67</f>
        <v>0</v>
      </c>
      <c r="F66" s="2949">
        <f>F67</f>
        <v>27</v>
      </c>
      <c r="G66" s="2919">
        <f>G67</f>
        <v>27</v>
      </c>
      <c r="H66" s="2950">
        <f t="shared" ref="H66:H67" si="4">(G66/F66)*100</f>
        <v>100</v>
      </c>
      <c r="I66" s="1810"/>
      <c r="J66" s="1810"/>
      <c r="K66" s="1810"/>
      <c r="L66" s="1810"/>
      <c r="M66" s="1810"/>
      <c r="N66" s="1810"/>
      <c r="O66" s="1810"/>
      <c r="P66" s="1810"/>
      <c r="Q66" s="1810"/>
      <c r="R66" s="1810"/>
      <c r="S66" s="1810"/>
      <c r="T66" s="1810"/>
      <c r="U66" s="1810"/>
    </row>
    <row r="67" spans="1:21" s="1816" customFormat="1" ht="14.25" x14ac:dyDescent="0.2">
      <c r="A67" s="2553"/>
      <c r="B67" s="2554"/>
      <c r="C67" s="2796" t="s">
        <v>970</v>
      </c>
      <c r="D67" s="2527" t="s">
        <v>1605</v>
      </c>
      <c r="E67" s="2482">
        <v>0</v>
      </c>
      <c r="F67" s="2485">
        <v>27</v>
      </c>
      <c r="G67" s="2482">
        <v>27</v>
      </c>
      <c r="H67" s="2528">
        <f t="shared" si="4"/>
        <v>100</v>
      </c>
      <c r="I67" s="1810"/>
      <c r="J67" s="1810"/>
      <c r="K67" s="1810"/>
      <c r="L67" s="1810"/>
      <c r="M67" s="1810"/>
      <c r="N67" s="1810"/>
      <c r="O67" s="1810"/>
      <c r="P67" s="1810"/>
      <c r="Q67" s="1810"/>
      <c r="R67" s="1810"/>
      <c r="S67" s="1810"/>
      <c r="T67" s="1810"/>
      <c r="U67" s="1810"/>
    </row>
    <row r="68" spans="1:21" s="1816" customFormat="1" ht="15" x14ac:dyDescent="0.25">
      <c r="A68" s="2553">
        <v>3522</v>
      </c>
      <c r="B68" s="2554">
        <v>5169</v>
      </c>
      <c r="C68" s="2796"/>
      <c r="D68" s="2520" t="s">
        <v>430</v>
      </c>
      <c r="E68" s="1030">
        <f>E69</f>
        <v>0</v>
      </c>
      <c r="F68" s="1031">
        <f>F69</f>
        <v>2</v>
      </c>
      <c r="G68" s="1030">
        <f>G69</f>
        <v>2</v>
      </c>
      <c r="H68" s="1029">
        <f t="shared" si="0"/>
        <v>100</v>
      </c>
      <c r="I68" s="1810"/>
      <c r="J68" s="1810"/>
      <c r="K68" s="1810"/>
      <c r="L68" s="1810"/>
      <c r="M68" s="1810"/>
      <c r="N68" s="1810"/>
      <c r="O68" s="1810"/>
      <c r="P68" s="1810"/>
      <c r="Q68" s="1810"/>
      <c r="R68" s="1810"/>
      <c r="S68" s="1810"/>
      <c r="T68" s="1810"/>
      <c r="U68" s="1810"/>
    </row>
    <row r="69" spans="1:21" s="1816" customFormat="1" ht="14.25" x14ac:dyDescent="0.2">
      <c r="A69" s="2553"/>
      <c r="B69" s="2554"/>
      <c r="C69" s="2796" t="s">
        <v>970</v>
      </c>
      <c r="D69" s="2527" t="s">
        <v>1605</v>
      </c>
      <c r="E69" s="2482">
        <v>0</v>
      </c>
      <c r="F69" s="1023">
        <v>2</v>
      </c>
      <c r="G69" s="1022">
        <v>2</v>
      </c>
      <c r="H69" s="1021">
        <f t="shared" si="0"/>
        <v>100</v>
      </c>
      <c r="I69" s="1810"/>
      <c r="J69" s="1810"/>
      <c r="K69" s="1810"/>
      <c r="L69" s="1810"/>
      <c r="M69" s="1810"/>
      <c r="N69" s="1810"/>
      <c r="O69" s="1810"/>
      <c r="P69" s="1810"/>
      <c r="Q69" s="1810"/>
      <c r="R69" s="1810"/>
      <c r="S69" s="1810"/>
      <c r="T69" s="1810"/>
      <c r="U69" s="1810"/>
    </row>
    <row r="70" spans="1:21" s="1816" customFormat="1" ht="15" hidden="1" x14ac:dyDescent="0.25">
      <c r="A70" s="2553">
        <v>3522</v>
      </c>
      <c r="B70" s="2554">
        <v>5171</v>
      </c>
      <c r="C70" s="2796"/>
      <c r="D70" s="1814" t="s">
        <v>456</v>
      </c>
      <c r="E70" s="1809">
        <f>E71</f>
        <v>0</v>
      </c>
      <c r="F70" s="1031">
        <f>F71</f>
        <v>0</v>
      </c>
      <c r="G70" s="1030">
        <f>G71</f>
        <v>0</v>
      </c>
      <c r="H70" s="1029" t="e">
        <f t="shared" si="0"/>
        <v>#DIV/0!</v>
      </c>
      <c r="I70" s="1810"/>
      <c r="J70" s="1810"/>
      <c r="K70" s="1810"/>
      <c r="L70" s="1810"/>
      <c r="M70" s="1810"/>
      <c r="N70" s="1810"/>
      <c r="O70" s="1810"/>
      <c r="P70" s="1810"/>
      <c r="Q70" s="1810"/>
      <c r="R70" s="1810"/>
      <c r="S70" s="1810"/>
      <c r="T70" s="1810"/>
      <c r="U70" s="1810"/>
    </row>
    <row r="71" spans="1:21" s="1816" customFormat="1" ht="14.25" hidden="1" x14ac:dyDescent="0.2">
      <c r="A71" s="2553"/>
      <c r="B71" s="2554"/>
      <c r="C71" s="2796" t="s">
        <v>970</v>
      </c>
      <c r="D71" s="2527" t="s">
        <v>1605</v>
      </c>
      <c r="E71" s="1022"/>
      <c r="F71" s="1023"/>
      <c r="G71" s="1022"/>
      <c r="H71" s="1021" t="e">
        <f t="shared" si="0"/>
        <v>#DIV/0!</v>
      </c>
      <c r="I71" s="1810"/>
      <c r="J71" s="1810"/>
      <c r="K71" s="1810"/>
      <c r="L71" s="1810"/>
      <c r="M71" s="1810"/>
      <c r="N71" s="1810"/>
      <c r="O71" s="1810"/>
      <c r="P71" s="1810"/>
      <c r="Q71" s="1810"/>
      <c r="R71" s="1810"/>
      <c r="S71" s="1810"/>
      <c r="T71" s="1810"/>
      <c r="U71" s="1810"/>
    </row>
    <row r="72" spans="1:21" s="1816" customFormat="1" ht="15" x14ac:dyDescent="0.25">
      <c r="A72" s="2553">
        <v>3533</v>
      </c>
      <c r="B72" s="2554">
        <v>5137</v>
      </c>
      <c r="C72" s="2796"/>
      <c r="D72" s="1814" t="s">
        <v>88</v>
      </c>
      <c r="E72" s="1809">
        <f>E73</f>
        <v>0</v>
      </c>
      <c r="F72" s="1031">
        <f>F73</f>
        <v>267</v>
      </c>
      <c r="G72" s="1030">
        <f>G73</f>
        <v>267</v>
      </c>
      <c r="H72" s="1029">
        <f t="shared" si="0"/>
        <v>100</v>
      </c>
      <c r="I72" s="1810"/>
      <c r="J72" s="1810"/>
      <c r="K72" s="1810"/>
      <c r="L72" s="1810"/>
      <c r="M72" s="1810"/>
      <c r="N72" s="1810"/>
      <c r="O72" s="1810"/>
      <c r="P72" s="1810"/>
      <c r="Q72" s="1810"/>
      <c r="R72" s="1810"/>
      <c r="S72" s="1810"/>
      <c r="T72" s="1810"/>
      <c r="U72" s="1810"/>
    </row>
    <row r="73" spans="1:21" s="2706" customFormat="1" ht="25.5" x14ac:dyDescent="0.2">
      <c r="A73" s="2553"/>
      <c r="B73" s="2554"/>
      <c r="C73" s="2796" t="s">
        <v>963</v>
      </c>
      <c r="D73" s="2704" t="s">
        <v>1355</v>
      </c>
      <c r="E73" s="2482">
        <v>0</v>
      </c>
      <c r="F73" s="2485">
        <v>267</v>
      </c>
      <c r="G73" s="2482">
        <v>267</v>
      </c>
      <c r="H73" s="2528">
        <f t="shared" si="0"/>
        <v>100</v>
      </c>
      <c r="I73" s="2705"/>
      <c r="J73" s="2705"/>
      <c r="K73" s="2705"/>
      <c r="L73" s="2705"/>
      <c r="M73" s="2705"/>
      <c r="N73" s="2705"/>
      <c r="O73" s="2705"/>
      <c r="P73" s="2705"/>
      <c r="Q73" s="2705"/>
      <c r="R73" s="2705"/>
      <c r="S73" s="2705"/>
      <c r="T73" s="2705"/>
      <c r="U73" s="2705"/>
    </row>
    <row r="74" spans="1:21" s="2706" customFormat="1" ht="15" x14ac:dyDescent="0.25">
      <c r="A74" s="2553">
        <v>3533</v>
      </c>
      <c r="B74" s="2554">
        <v>5169</v>
      </c>
      <c r="C74" s="2796"/>
      <c r="D74" s="1814" t="s">
        <v>430</v>
      </c>
      <c r="E74" s="1809">
        <f>E75</f>
        <v>0</v>
      </c>
      <c r="F74" s="1031">
        <f>F75</f>
        <v>215</v>
      </c>
      <c r="G74" s="1030">
        <f>G75</f>
        <v>215</v>
      </c>
      <c r="H74" s="1029">
        <f t="shared" si="0"/>
        <v>100</v>
      </c>
      <c r="I74" s="2705"/>
      <c r="J74" s="2705"/>
      <c r="K74" s="2705"/>
      <c r="L74" s="2705"/>
      <c r="M74" s="2705"/>
      <c r="N74" s="2705"/>
      <c r="O74" s="2705"/>
      <c r="P74" s="2705"/>
      <c r="Q74" s="2705"/>
      <c r="R74" s="2705"/>
      <c r="S74" s="2705"/>
      <c r="T74" s="2705"/>
      <c r="U74" s="2705"/>
    </row>
    <row r="75" spans="1:21" s="2706" customFormat="1" ht="25.5" x14ac:dyDescent="0.2">
      <c r="A75" s="2553"/>
      <c r="B75" s="2554"/>
      <c r="C75" s="2796" t="s">
        <v>963</v>
      </c>
      <c r="D75" s="2704" t="s">
        <v>1355</v>
      </c>
      <c r="E75" s="2482">
        <v>0</v>
      </c>
      <c r="F75" s="2485">
        <v>215</v>
      </c>
      <c r="G75" s="2482">
        <v>215</v>
      </c>
      <c r="H75" s="2528">
        <f t="shared" si="0"/>
        <v>100</v>
      </c>
      <c r="I75" s="2705"/>
      <c r="J75" s="2705"/>
      <c r="K75" s="2705"/>
      <c r="L75" s="2705"/>
      <c r="M75" s="2705"/>
      <c r="N75" s="2705"/>
      <c r="O75" s="2705"/>
      <c r="P75" s="2705"/>
      <c r="Q75" s="2705"/>
      <c r="R75" s="2705"/>
      <c r="S75" s="2705"/>
      <c r="T75" s="2705"/>
      <c r="U75" s="2705"/>
    </row>
    <row r="76" spans="1:21" s="2706" customFormat="1" ht="15" x14ac:dyDescent="0.25">
      <c r="A76" s="2553">
        <v>3533</v>
      </c>
      <c r="B76" s="2554">
        <v>5171</v>
      </c>
      <c r="C76" s="2796"/>
      <c r="D76" s="1814" t="s">
        <v>456</v>
      </c>
      <c r="E76" s="1809">
        <f>E77</f>
        <v>0</v>
      </c>
      <c r="F76" s="1031">
        <f>F77</f>
        <v>2465</v>
      </c>
      <c r="G76" s="1030">
        <f>G77</f>
        <v>2090</v>
      </c>
      <c r="H76" s="1029">
        <f t="shared" si="0"/>
        <v>84.78701825557809</v>
      </c>
      <c r="I76" s="2705"/>
      <c r="J76" s="2705"/>
      <c r="K76" s="2705"/>
      <c r="L76" s="2705"/>
      <c r="M76" s="2705"/>
      <c r="N76" s="2705"/>
      <c r="O76" s="2705"/>
      <c r="P76" s="2705"/>
      <c r="Q76" s="2705"/>
      <c r="R76" s="2705"/>
      <c r="S76" s="2705"/>
      <c r="T76" s="2705"/>
      <c r="U76" s="2705"/>
    </row>
    <row r="77" spans="1:21" s="2706" customFormat="1" ht="25.5" x14ac:dyDescent="0.2">
      <c r="A77" s="2553"/>
      <c r="B77" s="2554"/>
      <c r="C77" s="2796" t="s">
        <v>963</v>
      </c>
      <c r="D77" s="2704" t="s">
        <v>1355</v>
      </c>
      <c r="E77" s="2482">
        <v>0</v>
      </c>
      <c r="F77" s="2485">
        <v>2465</v>
      </c>
      <c r="G77" s="2482">
        <v>2090</v>
      </c>
      <c r="H77" s="2528">
        <f t="shared" si="0"/>
        <v>84.78701825557809</v>
      </c>
      <c r="I77" s="2705"/>
      <c r="J77" s="2705"/>
      <c r="K77" s="2705"/>
      <c r="L77" s="2705"/>
      <c r="M77" s="2705"/>
      <c r="N77" s="2705"/>
      <c r="O77" s="2705"/>
      <c r="P77" s="2705"/>
      <c r="Q77" s="2705"/>
      <c r="R77" s="2705"/>
      <c r="S77" s="2705"/>
      <c r="T77" s="2705"/>
      <c r="U77" s="2705"/>
    </row>
    <row r="78" spans="1:21" s="1816" customFormat="1" ht="15" x14ac:dyDescent="0.25">
      <c r="A78" s="2553">
        <v>4350</v>
      </c>
      <c r="B78" s="2554">
        <v>5137</v>
      </c>
      <c r="C78" s="2796"/>
      <c r="D78" s="3013" t="s">
        <v>88</v>
      </c>
      <c r="E78" s="1030">
        <f>E79</f>
        <v>0</v>
      </c>
      <c r="F78" s="1031">
        <f>F79</f>
        <v>2073</v>
      </c>
      <c r="G78" s="1030">
        <f>G79</f>
        <v>2073</v>
      </c>
      <c r="H78" s="1029">
        <f>G78/F78*100</f>
        <v>100</v>
      </c>
      <c r="I78" s="1810"/>
      <c r="J78" s="1810"/>
      <c r="K78" s="1810"/>
      <c r="L78" s="1810"/>
      <c r="M78" s="1810"/>
      <c r="N78" s="1810"/>
      <c r="O78" s="1810"/>
      <c r="P78" s="1810"/>
      <c r="Q78" s="1810"/>
      <c r="R78" s="1810"/>
      <c r="S78" s="1810"/>
      <c r="T78" s="1810"/>
      <c r="U78" s="1810"/>
    </row>
    <row r="79" spans="1:21" s="2706" customFormat="1" ht="25.5" x14ac:dyDescent="0.2">
      <c r="A79" s="2553"/>
      <c r="B79" s="2554"/>
      <c r="C79" s="2796" t="s">
        <v>971</v>
      </c>
      <c r="D79" s="2704" t="s">
        <v>1606</v>
      </c>
      <c r="E79" s="2482">
        <v>0</v>
      </c>
      <c r="F79" s="2485">
        <v>2073</v>
      </c>
      <c r="G79" s="2482">
        <v>2073</v>
      </c>
      <c r="H79" s="2528">
        <f>G79/F79*100</f>
        <v>100</v>
      </c>
      <c r="I79" s="2705"/>
      <c r="J79" s="2705"/>
      <c r="K79" s="2705"/>
      <c r="L79" s="2705"/>
      <c r="M79" s="2705"/>
      <c r="N79" s="2705"/>
      <c r="O79" s="2705"/>
      <c r="P79" s="2705"/>
      <c r="Q79" s="2705"/>
      <c r="R79" s="2705"/>
      <c r="S79" s="2705"/>
      <c r="T79" s="2705"/>
      <c r="U79" s="2705"/>
    </row>
    <row r="80" spans="1:21" s="2706" customFormat="1" ht="15" x14ac:dyDescent="0.25">
      <c r="A80" s="2553">
        <v>4350</v>
      </c>
      <c r="B80" s="2554">
        <v>5169</v>
      </c>
      <c r="C80" s="2796"/>
      <c r="D80" s="3013" t="s">
        <v>430</v>
      </c>
      <c r="E80" s="1030">
        <f>E81</f>
        <v>0</v>
      </c>
      <c r="F80" s="1031">
        <f>F81</f>
        <v>44</v>
      </c>
      <c r="G80" s="1030">
        <f>G81</f>
        <v>44</v>
      </c>
      <c r="H80" s="1029">
        <f>G80/F80*100</f>
        <v>100</v>
      </c>
      <c r="I80" s="2705"/>
      <c r="J80" s="2705"/>
      <c r="K80" s="2705"/>
      <c r="L80" s="2705"/>
      <c r="M80" s="2705"/>
      <c r="N80" s="2705"/>
      <c r="O80" s="2705"/>
      <c r="P80" s="2705"/>
      <c r="Q80" s="2705"/>
      <c r="R80" s="2705"/>
      <c r="S80" s="2705"/>
      <c r="T80" s="2705"/>
      <c r="U80" s="2705"/>
    </row>
    <row r="81" spans="1:21" s="2706" customFormat="1" ht="25.5" x14ac:dyDescent="0.2">
      <c r="A81" s="2553"/>
      <c r="B81" s="2554"/>
      <c r="C81" s="2796" t="s">
        <v>971</v>
      </c>
      <c r="D81" s="2704" t="s">
        <v>1606</v>
      </c>
      <c r="E81" s="2482">
        <v>0</v>
      </c>
      <c r="F81" s="2485">
        <v>44</v>
      </c>
      <c r="G81" s="2482">
        <v>44</v>
      </c>
      <c r="H81" s="2528">
        <f>G81/F81*100</f>
        <v>100</v>
      </c>
      <c r="I81" s="2705"/>
      <c r="J81" s="2705"/>
      <c r="K81" s="2705"/>
      <c r="L81" s="2705"/>
      <c r="M81" s="2705"/>
      <c r="N81" s="2705"/>
      <c r="O81" s="2705"/>
      <c r="P81" s="2705"/>
      <c r="Q81" s="2705"/>
      <c r="R81" s="2705"/>
      <c r="S81" s="2705"/>
      <c r="T81" s="2705"/>
      <c r="U81" s="2705"/>
    </row>
    <row r="82" spans="1:21" s="1816" customFormat="1" ht="15" x14ac:dyDescent="0.25">
      <c r="A82" s="2553">
        <v>4350</v>
      </c>
      <c r="B82" s="2554">
        <v>5171</v>
      </c>
      <c r="C82" s="2796"/>
      <c r="D82" s="1814" t="s">
        <v>456</v>
      </c>
      <c r="E82" s="1809">
        <f>E83</f>
        <v>14275</v>
      </c>
      <c r="F82" s="1031">
        <f>F83</f>
        <v>10140</v>
      </c>
      <c r="G82" s="1030">
        <f>G83</f>
        <v>10140</v>
      </c>
      <c r="H82" s="1990">
        <f t="shared" si="0"/>
        <v>100</v>
      </c>
      <c r="I82" s="1810"/>
      <c r="J82" s="1810"/>
      <c r="K82" s="1810"/>
      <c r="L82" s="1810"/>
      <c r="M82" s="1810"/>
      <c r="N82" s="1810"/>
      <c r="O82" s="1810"/>
      <c r="P82" s="1810"/>
      <c r="Q82" s="1810"/>
      <c r="R82" s="1810"/>
      <c r="S82" s="1810"/>
      <c r="T82" s="1810"/>
      <c r="U82" s="1810"/>
    </row>
    <row r="83" spans="1:21" s="2706" customFormat="1" ht="25.5" x14ac:dyDescent="0.2">
      <c r="A83" s="2553"/>
      <c r="B83" s="2554"/>
      <c r="C83" s="2796" t="s">
        <v>971</v>
      </c>
      <c r="D83" s="2704" t="s">
        <v>1606</v>
      </c>
      <c r="E83" s="2482">
        <v>14275</v>
      </c>
      <c r="F83" s="2485">
        <v>10140</v>
      </c>
      <c r="G83" s="2482">
        <v>10140</v>
      </c>
      <c r="H83" s="2528">
        <f t="shared" si="0"/>
        <v>100</v>
      </c>
      <c r="I83" s="2705"/>
      <c r="J83" s="2705"/>
      <c r="K83" s="2705"/>
      <c r="L83" s="2705"/>
      <c r="M83" s="2705"/>
      <c r="N83" s="2705"/>
      <c r="O83" s="2705"/>
      <c r="P83" s="2705"/>
      <c r="Q83" s="2705"/>
      <c r="R83" s="2705"/>
      <c r="S83" s="2705"/>
      <c r="T83" s="2705"/>
      <c r="U83" s="2705"/>
    </row>
    <row r="84" spans="1:21" s="2706" customFormat="1" ht="15" x14ac:dyDescent="0.25">
      <c r="A84" s="2553">
        <v>4351</v>
      </c>
      <c r="B84" s="2554">
        <v>5137</v>
      </c>
      <c r="C84" s="2796"/>
      <c r="D84" s="3013" t="s">
        <v>88</v>
      </c>
      <c r="E84" s="1030">
        <f>E85</f>
        <v>0</v>
      </c>
      <c r="F84" s="1031">
        <f>F85</f>
        <v>637</v>
      </c>
      <c r="G84" s="1030">
        <f>G85</f>
        <v>93</v>
      </c>
      <c r="H84" s="1029">
        <f>G84/F84*100</f>
        <v>14.599686028257459</v>
      </c>
      <c r="I84" s="2705"/>
      <c r="J84" s="2705"/>
      <c r="K84" s="2705"/>
      <c r="L84" s="2705"/>
      <c r="M84" s="2705"/>
      <c r="N84" s="2705"/>
      <c r="O84" s="2705"/>
      <c r="P84" s="2705"/>
      <c r="Q84" s="2705"/>
      <c r="R84" s="2705"/>
      <c r="S84" s="2705"/>
      <c r="T84" s="2705"/>
      <c r="U84" s="2705"/>
    </row>
    <row r="85" spans="1:21" s="2706" customFormat="1" ht="25.5" x14ac:dyDescent="0.2">
      <c r="A85" s="2553"/>
      <c r="B85" s="2554"/>
      <c r="C85" s="2796" t="s">
        <v>971</v>
      </c>
      <c r="D85" s="2704" t="s">
        <v>1606</v>
      </c>
      <c r="E85" s="2482">
        <v>0</v>
      </c>
      <c r="F85" s="2485">
        <v>637</v>
      </c>
      <c r="G85" s="2482">
        <v>93</v>
      </c>
      <c r="H85" s="2528">
        <f>G85/F85*100</f>
        <v>14.599686028257459</v>
      </c>
      <c r="I85" s="2705"/>
      <c r="J85" s="2705"/>
      <c r="K85" s="2705"/>
      <c r="L85" s="2705"/>
      <c r="M85" s="2705"/>
      <c r="N85" s="2705"/>
      <c r="O85" s="2705"/>
      <c r="P85" s="2705"/>
      <c r="Q85" s="2705"/>
      <c r="R85" s="2705"/>
      <c r="S85" s="2705"/>
      <c r="T85" s="2705"/>
      <c r="U85" s="2705"/>
    </row>
    <row r="86" spans="1:21" s="1816" customFormat="1" ht="15" x14ac:dyDescent="0.25">
      <c r="A86" s="2553">
        <v>4351</v>
      </c>
      <c r="B86" s="2554">
        <v>5171</v>
      </c>
      <c r="C86" s="2796"/>
      <c r="D86" s="1814" t="s">
        <v>456</v>
      </c>
      <c r="E86" s="1809">
        <f>E87</f>
        <v>0</v>
      </c>
      <c r="F86" s="1031">
        <f>F87</f>
        <v>1081</v>
      </c>
      <c r="G86" s="1030">
        <f>G87</f>
        <v>725</v>
      </c>
      <c r="H86" s="1029">
        <f t="shared" si="0"/>
        <v>67.067530064754848</v>
      </c>
      <c r="I86" s="1810"/>
      <c r="J86" s="1810"/>
      <c r="K86" s="1810"/>
      <c r="L86" s="1810"/>
      <c r="M86" s="1810"/>
      <c r="N86" s="1810"/>
      <c r="O86" s="1810"/>
      <c r="P86" s="1810"/>
      <c r="Q86" s="1810"/>
      <c r="R86" s="1810"/>
      <c r="S86" s="1810"/>
      <c r="T86" s="1810"/>
      <c r="U86" s="1810"/>
    </row>
    <row r="87" spans="1:21" s="2706" customFormat="1" ht="25.5" x14ac:dyDescent="0.2">
      <c r="A87" s="2553"/>
      <c r="B87" s="2554"/>
      <c r="C87" s="2796" t="s">
        <v>971</v>
      </c>
      <c r="D87" s="2704" t="s">
        <v>1606</v>
      </c>
      <c r="E87" s="2482">
        <v>0</v>
      </c>
      <c r="F87" s="2485">
        <v>1081</v>
      </c>
      <c r="G87" s="2482">
        <v>725</v>
      </c>
      <c r="H87" s="2528">
        <f t="shared" si="0"/>
        <v>67.067530064754848</v>
      </c>
      <c r="I87" s="2705"/>
      <c r="J87" s="2705"/>
      <c r="K87" s="2705"/>
      <c r="L87" s="2705"/>
      <c r="M87" s="2705"/>
      <c r="N87" s="2705"/>
      <c r="O87" s="2705"/>
      <c r="P87" s="2705"/>
      <c r="Q87" s="2705"/>
      <c r="R87" s="2705"/>
      <c r="S87" s="2705"/>
      <c r="T87" s="2705"/>
      <c r="U87" s="2705"/>
    </row>
    <row r="88" spans="1:21" s="2706" customFormat="1" ht="15" x14ac:dyDescent="0.25">
      <c r="A88" s="2553">
        <v>4356</v>
      </c>
      <c r="B88" s="2554">
        <v>5169</v>
      </c>
      <c r="C88" s="2796"/>
      <c r="D88" s="1814" t="s">
        <v>430</v>
      </c>
      <c r="E88" s="1809">
        <f>E89</f>
        <v>0</v>
      </c>
      <c r="F88" s="1031">
        <f t="shared" ref="F88:G90" si="5">F89</f>
        <v>47</v>
      </c>
      <c r="G88" s="1030">
        <f t="shared" si="5"/>
        <v>47</v>
      </c>
      <c r="H88" s="1029">
        <f t="shared" si="0"/>
        <v>100</v>
      </c>
      <c r="I88" s="2705"/>
      <c r="J88" s="2705"/>
      <c r="K88" s="2705"/>
      <c r="L88" s="2705"/>
      <c r="M88" s="2705"/>
      <c r="N88" s="2705"/>
      <c r="O88" s="2705"/>
      <c r="P88" s="2705"/>
      <c r="Q88" s="2705"/>
      <c r="R88" s="2705"/>
      <c r="S88" s="2705"/>
      <c r="T88" s="2705"/>
      <c r="U88" s="2705"/>
    </row>
    <row r="89" spans="1:21" s="2706" customFormat="1" ht="25.5" x14ac:dyDescent="0.2">
      <c r="A89" s="2553"/>
      <c r="B89" s="2554"/>
      <c r="C89" s="2796" t="s">
        <v>971</v>
      </c>
      <c r="D89" s="2704" t="s">
        <v>1606</v>
      </c>
      <c r="E89" s="2482">
        <v>0</v>
      </c>
      <c r="F89" s="2485">
        <v>47</v>
      </c>
      <c r="G89" s="2482">
        <v>47</v>
      </c>
      <c r="H89" s="2528">
        <f t="shared" si="0"/>
        <v>100</v>
      </c>
      <c r="I89" s="2705"/>
      <c r="J89" s="2705"/>
      <c r="K89" s="2705"/>
      <c r="L89" s="2705"/>
      <c r="M89" s="2705"/>
      <c r="N89" s="2705"/>
      <c r="O89" s="2705"/>
      <c r="P89" s="2705"/>
      <c r="Q89" s="2705"/>
      <c r="R89" s="2705"/>
      <c r="S89" s="2705"/>
      <c r="T89" s="2705"/>
      <c r="U89" s="2705"/>
    </row>
    <row r="90" spans="1:21" s="1816" customFormat="1" ht="15" x14ac:dyDescent="0.25">
      <c r="A90" s="2553">
        <v>4356</v>
      </c>
      <c r="B90" s="2554">
        <v>5171</v>
      </c>
      <c r="C90" s="2796"/>
      <c r="D90" s="1814" t="s">
        <v>456</v>
      </c>
      <c r="E90" s="1809">
        <f>E91</f>
        <v>0</v>
      </c>
      <c r="F90" s="1031">
        <f t="shared" si="5"/>
        <v>2805</v>
      </c>
      <c r="G90" s="1030">
        <f t="shared" si="5"/>
        <v>2791</v>
      </c>
      <c r="H90" s="1029">
        <f t="shared" si="0"/>
        <v>99.500891265597147</v>
      </c>
      <c r="I90" s="1810"/>
      <c r="J90" s="1810"/>
      <c r="K90" s="1810"/>
      <c r="L90" s="1810"/>
      <c r="M90" s="1810"/>
      <c r="N90" s="1810"/>
      <c r="O90" s="1810"/>
      <c r="P90" s="1810"/>
      <c r="Q90" s="1810"/>
      <c r="R90" s="1810"/>
      <c r="S90" s="1810"/>
      <c r="T90" s="1810"/>
      <c r="U90" s="1810"/>
    </row>
    <row r="91" spans="1:21" s="2706" customFormat="1" ht="25.5" x14ac:dyDescent="0.2">
      <c r="A91" s="2553"/>
      <c r="B91" s="2554"/>
      <c r="C91" s="2796" t="s">
        <v>971</v>
      </c>
      <c r="D91" s="2704" t="s">
        <v>1606</v>
      </c>
      <c r="E91" s="2482">
        <v>0</v>
      </c>
      <c r="F91" s="2485">
        <v>2805</v>
      </c>
      <c r="G91" s="2482">
        <v>2791</v>
      </c>
      <c r="H91" s="2528">
        <f t="shared" si="0"/>
        <v>99.500891265597147</v>
      </c>
      <c r="I91" s="2705"/>
      <c r="J91" s="2705"/>
      <c r="K91" s="2705"/>
      <c r="L91" s="2705"/>
      <c r="M91" s="2705"/>
      <c r="N91" s="2705"/>
      <c r="O91" s="2705"/>
      <c r="P91" s="2705"/>
      <c r="Q91" s="2705"/>
      <c r="R91" s="2705"/>
      <c r="S91" s="2705"/>
      <c r="T91" s="2705"/>
      <c r="U91" s="2705"/>
    </row>
    <row r="92" spans="1:21" s="1816" customFormat="1" ht="15" x14ac:dyDescent="0.25">
      <c r="A92" s="2793">
        <v>4357</v>
      </c>
      <c r="B92" s="2794">
        <v>5137</v>
      </c>
      <c r="C92" s="2796"/>
      <c r="D92" s="3013" t="s">
        <v>88</v>
      </c>
      <c r="E92" s="1030">
        <f>E93</f>
        <v>0</v>
      </c>
      <c r="F92" s="1815">
        <f>F93</f>
        <v>342</v>
      </c>
      <c r="G92" s="1030">
        <f>G93</f>
        <v>342</v>
      </c>
      <c r="H92" s="1990">
        <f t="shared" si="0"/>
        <v>100</v>
      </c>
      <c r="I92" s="1810"/>
      <c r="J92" s="1810"/>
      <c r="K92" s="1810"/>
      <c r="L92" s="1810"/>
      <c r="M92" s="1810"/>
      <c r="N92" s="1810"/>
      <c r="O92" s="1810"/>
      <c r="P92" s="1810"/>
      <c r="Q92" s="1810"/>
      <c r="R92" s="1810"/>
      <c r="S92" s="1810"/>
      <c r="T92" s="1810"/>
      <c r="U92" s="1810"/>
    </row>
    <row r="93" spans="1:21" s="2706" customFormat="1" ht="25.5" x14ac:dyDescent="0.2">
      <c r="A93" s="2793"/>
      <c r="B93" s="2794"/>
      <c r="C93" s="2796" t="s">
        <v>971</v>
      </c>
      <c r="D93" s="2704" t="s">
        <v>1606</v>
      </c>
      <c r="E93" s="2549">
        <v>0</v>
      </c>
      <c r="F93" s="2483">
        <v>342</v>
      </c>
      <c r="G93" s="2482">
        <v>342</v>
      </c>
      <c r="H93" s="2707">
        <f t="shared" si="0"/>
        <v>100</v>
      </c>
      <c r="I93" s="2705"/>
      <c r="J93" s="2705"/>
      <c r="K93" s="2705"/>
      <c r="L93" s="2705"/>
      <c r="M93" s="2705"/>
      <c r="N93" s="2705"/>
      <c r="O93" s="2705"/>
      <c r="P93" s="2705"/>
      <c r="Q93" s="2705"/>
      <c r="R93" s="2705"/>
      <c r="S93" s="2705"/>
      <c r="T93" s="2705"/>
      <c r="U93" s="2705"/>
    </row>
    <row r="94" spans="1:21" s="1816" customFormat="1" ht="15" x14ac:dyDescent="0.25">
      <c r="A94" s="2793">
        <v>4357</v>
      </c>
      <c r="B94" s="2794">
        <v>5139</v>
      </c>
      <c r="C94" s="2796"/>
      <c r="D94" s="1071" t="s">
        <v>396</v>
      </c>
      <c r="E94" s="1030">
        <f>E95</f>
        <v>0</v>
      </c>
      <c r="F94" s="1815">
        <f>F95</f>
        <v>9</v>
      </c>
      <c r="G94" s="1030">
        <f>G95</f>
        <v>9</v>
      </c>
      <c r="H94" s="1990">
        <f t="shared" si="0"/>
        <v>100</v>
      </c>
      <c r="I94" s="1810"/>
      <c r="J94" s="1810"/>
      <c r="K94" s="1810"/>
      <c r="L94" s="1810"/>
      <c r="M94" s="1810"/>
      <c r="N94" s="1810"/>
      <c r="O94" s="1810"/>
      <c r="P94" s="1810"/>
      <c r="Q94" s="1810"/>
      <c r="R94" s="1810"/>
      <c r="S94" s="1810"/>
      <c r="T94" s="1810"/>
      <c r="U94" s="1810"/>
    </row>
    <row r="95" spans="1:21" s="2706" customFormat="1" ht="25.5" x14ac:dyDescent="0.2">
      <c r="A95" s="2793"/>
      <c r="B95" s="2794"/>
      <c r="C95" s="2796" t="s">
        <v>971</v>
      </c>
      <c r="D95" s="2704" t="s">
        <v>1606</v>
      </c>
      <c r="E95" s="2549">
        <v>0</v>
      </c>
      <c r="F95" s="2483">
        <v>9</v>
      </c>
      <c r="G95" s="2482">
        <v>9</v>
      </c>
      <c r="H95" s="2707">
        <f t="shared" si="0"/>
        <v>100</v>
      </c>
      <c r="I95" s="2705"/>
      <c r="J95" s="2705"/>
      <c r="K95" s="2705"/>
      <c r="L95" s="2705"/>
      <c r="M95" s="2705"/>
      <c r="N95" s="2705"/>
      <c r="O95" s="2705"/>
      <c r="P95" s="2705"/>
      <c r="Q95" s="2705"/>
      <c r="R95" s="2705"/>
      <c r="S95" s="2705"/>
      <c r="T95" s="2705"/>
      <c r="U95" s="2705"/>
    </row>
    <row r="96" spans="1:21" s="1816" customFormat="1" ht="15" x14ac:dyDescent="0.25">
      <c r="A96" s="2553">
        <v>4357</v>
      </c>
      <c r="B96" s="2554">
        <v>5169</v>
      </c>
      <c r="C96" s="2796"/>
      <c r="D96" s="3014" t="s">
        <v>430</v>
      </c>
      <c r="E96" s="1030">
        <f>E97</f>
        <v>0</v>
      </c>
      <c r="F96" s="1815">
        <f>F97</f>
        <v>289</v>
      </c>
      <c r="G96" s="1030">
        <f>G97</f>
        <v>289</v>
      </c>
      <c r="H96" s="1029">
        <f t="shared" si="0"/>
        <v>100</v>
      </c>
      <c r="I96" s="1810"/>
      <c r="J96" s="1810"/>
      <c r="K96" s="1810"/>
      <c r="L96" s="1810"/>
      <c r="M96" s="1810"/>
      <c r="N96" s="1810"/>
      <c r="O96" s="1810"/>
      <c r="P96" s="1810"/>
      <c r="Q96" s="1810"/>
      <c r="R96" s="1810"/>
      <c r="S96" s="1810"/>
      <c r="T96" s="1810"/>
      <c r="U96" s="1810"/>
    </row>
    <row r="97" spans="1:21" s="2706" customFormat="1" ht="25.5" x14ac:dyDescent="0.2">
      <c r="A97" s="2793"/>
      <c r="B97" s="2794"/>
      <c r="C97" s="2796" t="s">
        <v>971</v>
      </c>
      <c r="D97" s="2704" t="s">
        <v>1606</v>
      </c>
      <c r="E97" s="2549">
        <v>0</v>
      </c>
      <c r="F97" s="2483">
        <v>289</v>
      </c>
      <c r="G97" s="2482">
        <v>289</v>
      </c>
      <c r="H97" s="2707">
        <f t="shared" si="0"/>
        <v>100</v>
      </c>
      <c r="I97" s="2705"/>
      <c r="J97" s="2705"/>
      <c r="K97" s="2705"/>
      <c r="L97" s="2705"/>
      <c r="M97" s="2705"/>
      <c r="N97" s="2705"/>
      <c r="O97" s="2705"/>
      <c r="P97" s="2705"/>
      <c r="Q97" s="2705"/>
      <c r="R97" s="2705"/>
      <c r="S97" s="2705"/>
      <c r="T97" s="2705"/>
      <c r="U97" s="2705"/>
    </row>
    <row r="98" spans="1:21" s="1816" customFormat="1" ht="15" x14ac:dyDescent="0.25">
      <c r="A98" s="2793">
        <v>4357</v>
      </c>
      <c r="B98" s="2794">
        <v>5171</v>
      </c>
      <c r="C98" s="2796"/>
      <c r="D98" s="1814" t="s">
        <v>456</v>
      </c>
      <c r="E98" s="1809">
        <f>E99</f>
        <v>850</v>
      </c>
      <c r="F98" s="1031">
        <f>F99</f>
        <v>6267</v>
      </c>
      <c r="G98" s="1030">
        <f>G99</f>
        <v>6267</v>
      </c>
      <c r="H98" s="1029">
        <f>(G98/F98)*100</f>
        <v>100</v>
      </c>
      <c r="I98" s="1810"/>
      <c r="J98" s="1810"/>
      <c r="K98" s="1810"/>
      <c r="L98" s="1810"/>
      <c r="M98" s="1810"/>
      <c r="N98" s="1810"/>
      <c r="O98" s="1810"/>
      <c r="P98" s="1810"/>
      <c r="Q98" s="1810"/>
      <c r="R98" s="1810"/>
      <c r="S98" s="1810"/>
      <c r="T98" s="1810"/>
      <c r="U98" s="1810"/>
    </row>
    <row r="99" spans="1:21" s="2706" customFormat="1" ht="25.5" x14ac:dyDescent="0.2">
      <c r="A99" s="2793"/>
      <c r="B99" s="2794"/>
      <c r="C99" s="2796" t="s">
        <v>971</v>
      </c>
      <c r="D99" s="2704" t="s">
        <v>1606</v>
      </c>
      <c r="E99" s="2549">
        <v>850</v>
      </c>
      <c r="F99" s="2485">
        <v>6267</v>
      </c>
      <c r="G99" s="2482">
        <v>6267</v>
      </c>
      <c r="H99" s="2528">
        <f>(G99/F99)*100</f>
        <v>100</v>
      </c>
      <c r="I99" s="2705"/>
      <c r="J99" s="2705"/>
      <c r="K99" s="2705"/>
      <c r="L99" s="2705"/>
      <c r="M99" s="2705"/>
      <c r="N99" s="2705"/>
      <c r="O99" s="2705"/>
      <c r="P99" s="2705"/>
      <c r="Q99" s="2705"/>
      <c r="R99" s="2705"/>
      <c r="S99" s="2705"/>
      <c r="T99" s="2705"/>
      <c r="U99" s="2705"/>
    </row>
    <row r="100" spans="1:21" s="1816" customFormat="1" ht="15" hidden="1" x14ac:dyDescent="0.25">
      <c r="A100" s="2793">
        <v>4357</v>
      </c>
      <c r="B100" s="2794">
        <v>5172</v>
      </c>
      <c r="C100" s="2796"/>
      <c r="D100" s="3015" t="s">
        <v>457</v>
      </c>
      <c r="E100" s="1807"/>
      <c r="F100" s="1031">
        <f>F101</f>
        <v>0</v>
      </c>
      <c r="G100" s="1030">
        <f>G101</f>
        <v>0</v>
      </c>
      <c r="H100" s="1029" t="e">
        <f t="shared" ref="H100:H101" si="6">(G100/F100)*100</f>
        <v>#DIV/0!</v>
      </c>
      <c r="I100" s="1810"/>
      <c r="J100" s="1810"/>
      <c r="K100" s="1810"/>
      <c r="L100" s="1810"/>
      <c r="M100" s="1810"/>
      <c r="N100" s="1810"/>
      <c r="O100" s="1810"/>
      <c r="P100" s="1810"/>
      <c r="Q100" s="1810"/>
      <c r="R100" s="1810"/>
      <c r="S100" s="1810"/>
      <c r="T100" s="1810"/>
      <c r="U100" s="1810"/>
    </row>
    <row r="101" spans="1:21" s="2706" customFormat="1" ht="25.5" hidden="1" x14ac:dyDescent="0.2">
      <c r="A101" s="2793"/>
      <c r="B101" s="2794"/>
      <c r="C101" s="2796" t="s">
        <v>971</v>
      </c>
      <c r="D101" s="2704" t="s">
        <v>1606</v>
      </c>
      <c r="E101" s="2549"/>
      <c r="F101" s="2485"/>
      <c r="G101" s="2482"/>
      <c r="H101" s="2528" t="e">
        <f t="shared" si="6"/>
        <v>#DIV/0!</v>
      </c>
      <c r="I101" s="2705"/>
      <c r="J101" s="2705"/>
      <c r="K101" s="2705"/>
      <c r="L101" s="2705"/>
      <c r="M101" s="2705"/>
      <c r="N101" s="2705"/>
      <c r="O101" s="2705"/>
      <c r="P101" s="2705"/>
      <c r="Q101" s="2705"/>
      <c r="R101" s="2705"/>
      <c r="S101" s="2705"/>
      <c r="T101" s="2705"/>
      <c r="U101" s="2705"/>
    </row>
    <row r="102" spans="1:21" s="1816" customFormat="1" ht="15" hidden="1" x14ac:dyDescent="0.25">
      <c r="A102" s="2793">
        <v>6172</v>
      </c>
      <c r="B102" s="2794">
        <v>5137</v>
      </c>
      <c r="C102" s="2792"/>
      <c r="D102" s="3013" t="s">
        <v>88</v>
      </c>
      <c r="E102" s="1809"/>
      <c r="F102" s="1815"/>
      <c r="G102" s="1030"/>
      <c r="H102" s="1029" t="e">
        <f t="shared" ref="H102:H108" si="7">(G102/F102)*100</f>
        <v>#DIV/0!</v>
      </c>
      <c r="I102" s="1810"/>
      <c r="J102" s="1810"/>
      <c r="K102" s="1810"/>
      <c r="L102" s="1810"/>
      <c r="M102" s="1810"/>
      <c r="N102" s="1810"/>
      <c r="O102" s="1810"/>
      <c r="P102" s="1810"/>
      <c r="Q102" s="1810"/>
      <c r="R102" s="1810"/>
      <c r="S102" s="1810"/>
      <c r="T102" s="1810"/>
      <c r="U102" s="1810"/>
    </row>
    <row r="103" spans="1:21" s="1816" customFormat="1" ht="15" x14ac:dyDescent="0.25">
      <c r="A103" s="2793">
        <v>6172</v>
      </c>
      <c r="B103" s="2794">
        <v>5164</v>
      </c>
      <c r="C103" s="2795"/>
      <c r="D103" s="3014" t="s">
        <v>101</v>
      </c>
      <c r="E103" s="1809">
        <v>350</v>
      </c>
      <c r="F103" s="1815">
        <v>350</v>
      </c>
      <c r="G103" s="1030">
        <v>91</v>
      </c>
      <c r="H103" s="1029">
        <f t="shared" si="7"/>
        <v>26</v>
      </c>
      <c r="I103" s="1810"/>
      <c r="J103" s="1810"/>
      <c r="K103" s="1810"/>
      <c r="L103" s="1810"/>
      <c r="M103" s="1810"/>
      <c r="N103" s="1810"/>
      <c r="O103" s="1810"/>
      <c r="P103" s="1810"/>
      <c r="Q103" s="1810"/>
      <c r="R103" s="1810"/>
      <c r="S103" s="1810"/>
      <c r="T103" s="1810"/>
      <c r="U103" s="1810"/>
    </row>
    <row r="104" spans="1:21" s="1816" customFormat="1" ht="15" x14ac:dyDescent="0.25">
      <c r="A104" s="2793">
        <v>6172</v>
      </c>
      <c r="B104" s="2794">
        <v>5166</v>
      </c>
      <c r="C104" s="2795"/>
      <c r="D104" s="3014" t="s">
        <v>354</v>
      </c>
      <c r="E104" s="1809">
        <v>750</v>
      </c>
      <c r="F104" s="1815">
        <v>370</v>
      </c>
      <c r="G104" s="1030">
        <v>202</v>
      </c>
      <c r="H104" s="1029">
        <f t="shared" si="7"/>
        <v>54.594594594594589</v>
      </c>
      <c r="I104" s="1810"/>
      <c r="J104" s="1810"/>
      <c r="K104" s="1810"/>
      <c r="L104" s="1810"/>
      <c r="M104" s="1810"/>
      <c r="N104" s="1810"/>
      <c r="O104" s="1810"/>
      <c r="P104" s="1810"/>
      <c r="Q104" s="1810"/>
      <c r="R104" s="1810"/>
      <c r="S104" s="1810"/>
      <c r="T104" s="1810"/>
      <c r="U104" s="1810"/>
    </row>
    <row r="105" spans="1:21" s="1816" customFormat="1" ht="15" x14ac:dyDescent="0.25">
      <c r="A105" s="2793">
        <v>6172</v>
      </c>
      <c r="B105" s="2794">
        <v>5169</v>
      </c>
      <c r="C105" s="2795"/>
      <c r="D105" s="3014" t="s">
        <v>430</v>
      </c>
      <c r="E105" s="1809">
        <v>300</v>
      </c>
      <c r="F105" s="1815">
        <v>554</v>
      </c>
      <c r="G105" s="1030">
        <v>230</v>
      </c>
      <c r="H105" s="1029">
        <f t="shared" si="7"/>
        <v>41.516245487364621</v>
      </c>
      <c r="I105" s="1810"/>
      <c r="J105" s="1810"/>
      <c r="K105" s="1810"/>
      <c r="L105" s="1810"/>
      <c r="M105" s="1810"/>
      <c r="N105" s="1810"/>
      <c r="O105" s="1810"/>
      <c r="P105" s="1810"/>
      <c r="Q105" s="1810"/>
      <c r="R105" s="1810"/>
      <c r="S105" s="1810"/>
      <c r="T105" s="1810"/>
      <c r="U105" s="1810"/>
    </row>
    <row r="106" spans="1:21" s="1816" customFormat="1" ht="15" x14ac:dyDescent="0.25">
      <c r="A106" s="2793">
        <v>6172</v>
      </c>
      <c r="B106" s="2794">
        <v>5192</v>
      </c>
      <c r="C106" s="2795"/>
      <c r="D106" s="3014" t="s">
        <v>826</v>
      </c>
      <c r="E106" s="1809"/>
      <c r="F106" s="1815">
        <v>107</v>
      </c>
      <c r="G106" s="1030">
        <v>107</v>
      </c>
      <c r="H106" s="1029">
        <f t="shared" si="7"/>
        <v>100</v>
      </c>
      <c r="I106" s="1810"/>
      <c r="J106" s="1810"/>
      <c r="K106" s="1810"/>
      <c r="L106" s="1810"/>
      <c r="M106" s="1810"/>
      <c r="N106" s="1810"/>
      <c r="O106" s="1810"/>
      <c r="P106" s="1810"/>
      <c r="Q106" s="1810"/>
      <c r="R106" s="1810"/>
      <c r="S106" s="1810"/>
      <c r="T106" s="1810"/>
      <c r="U106" s="1810"/>
    </row>
    <row r="107" spans="1:21" s="1816" customFormat="1" ht="15.75" thickBot="1" x14ac:dyDescent="0.3">
      <c r="A107" s="2793">
        <v>6172</v>
      </c>
      <c r="B107" s="2794">
        <v>5362</v>
      </c>
      <c r="C107" s="2795"/>
      <c r="D107" s="3014" t="s">
        <v>389</v>
      </c>
      <c r="E107" s="1809">
        <v>40</v>
      </c>
      <c r="F107" s="1815">
        <v>0</v>
      </c>
      <c r="G107" s="1030">
        <v>0</v>
      </c>
      <c r="H107" s="1029">
        <v>0</v>
      </c>
      <c r="I107" s="1810"/>
      <c r="J107" s="1810"/>
      <c r="K107" s="1810"/>
      <c r="L107" s="1810"/>
      <c r="M107" s="1988"/>
      <c r="N107" s="1988"/>
      <c r="O107" s="1810"/>
      <c r="P107" s="1810"/>
      <c r="Q107" s="1810"/>
      <c r="R107" s="1810"/>
      <c r="S107" s="1810"/>
      <c r="T107" s="1810"/>
      <c r="U107" s="1810"/>
    </row>
    <row r="108" spans="1:21" s="1816" customFormat="1" ht="15.75" hidden="1" thickBot="1" x14ac:dyDescent="0.3">
      <c r="A108" s="2793">
        <v>6172</v>
      </c>
      <c r="B108" s="2794">
        <v>5363</v>
      </c>
      <c r="C108" s="2795"/>
      <c r="D108" s="3014" t="s">
        <v>739</v>
      </c>
      <c r="E108" s="2561"/>
      <c r="F108" s="1815"/>
      <c r="G108" s="1030"/>
      <c r="H108" s="1029" t="e">
        <f t="shared" si="7"/>
        <v>#DIV/0!</v>
      </c>
      <c r="I108" s="1810"/>
      <c r="J108" s="1810"/>
      <c r="K108" s="1810"/>
      <c r="L108" s="1810"/>
      <c r="M108" s="1988"/>
      <c r="N108" s="1988"/>
      <c r="O108" s="1810"/>
      <c r="P108" s="1810"/>
      <c r="Q108" s="1810"/>
      <c r="R108" s="1810"/>
      <c r="S108" s="1810"/>
      <c r="T108" s="1810"/>
      <c r="U108" s="1810"/>
    </row>
    <row r="109" spans="1:21" s="1014" customFormat="1" ht="35.85" customHeight="1" thickTop="1" thickBot="1" x14ac:dyDescent="0.35">
      <c r="A109" s="1805" t="s">
        <v>134</v>
      </c>
      <c r="B109" s="1987"/>
      <c r="C109" s="2003"/>
      <c r="D109" s="1985"/>
      <c r="E109" s="1016">
        <f>E107+E105+E104+E103+E98+E90+E86+E82+E72+E70+E63+E53+E41+E39+E33+E31+E25+E19+E11+E13+E15+E17+E21+E23+E27+E29+E35+E37+E43+E45+E47+E49+E51+E61+E64+E66+E68+E74+E76+E78+E80+E84+E88+E92+E94+E96+E100+E106+E108</f>
        <v>79084</v>
      </c>
      <c r="F109" s="1016">
        <f>F107+F105+F104+F103+F98+F90+F86+F82+F72+F70+F63+F53+F41+F39+F33+F31+F25+F19+F11+F13+F15+F17+F21+F23+F27+F29+F35+F37+F43+F45+F47+F49+F51+F61+F64+F66+F68+F74+F76+F78+F80+F84+F88+F92+F94+F96+F100+F106+F108</f>
        <v>111820</v>
      </c>
      <c r="G109" s="1016">
        <f>G107+G105+G104+G103+G98+G90+G86+G82+G72+G70+G63+G53+G41+G39+G33+G31+G25+G19+G11+G13+G15+G17+G21+G23+G27+G29+G35+G37+G43+G45+G47+G49+G51+G61+G64+G66+G68+G74+G76+G78+G80+G84+G88+G92+G94+G96+G100+G106+G108</f>
        <v>101140</v>
      </c>
      <c r="H109" s="1871">
        <f>G109/F109*100</f>
        <v>90.448935789661959</v>
      </c>
      <c r="J109" s="2002">
        <v>79084000</v>
      </c>
      <c r="K109" s="2002">
        <v>111820454.25</v>
      </c>
      <c r="L109" s="2002">
        <v>101139735.18000001</v>
      </c>
      <c r="M109" s="2001"/>
      <c r="N109" s="2001"/>
    </row>
    <row r="110" spans="1:21" ht="13.5" thickTop="1" x14ac:dyDescent="0.2">
      <c r="E110" s="2000"/>
      <c r="F110" s="2000"/>
      <c r="G110" s="2000"/>
    </row>
    <row r="116" spans="1:21" ht="18" x14ac:dyDescent="0.25">
      <c r="A116" s="1057" t="s">
        <v>594</v>
      </c>
      <c r="B116" s="1056"/>
      <c r="C116" s="1999"/>
      <c r="D116" s="1054"/>
      <c r="E116" s="1053"/>
      <c r="F116" s="1662"/>
      <c r="G116" s="1052"/>
      <c r="H116" s="1866"/>
      <c r="I116" s="997"/>
      <c r="J116" s="997"/>
    </row>
    <row r="117" spans="1:21" ht="13.5" thickBot="1" x14ac:dyDescent="0.25">
      <c r="A117" s="1050"/>
      <c r="B117" s="1050"/>
      <c r="C117" s="1070"/>
      <c r="F117" s="1048"/>
      <c r="H117" s="1753" t="s">
        <v>92</v>
      </c>
      <c r="I117" s="997"/>
      <c r="J117" s="997"/>
    </row>
    <row r="118" spans="1:21" s="1994" customFormat="1" ht="20.25" customHeight="1" thickTop="1" thickBot="1" x14ac:dyDescent="0.25">
      <c r="A118" s="1998" t="s">
        <v>93</v>
      </c>
      <c r="B118" s="1997" t="s">
        <v>94</v>
      </c>
      <c r="C118" s="1996" t="s">
        <v>364</v>
      </c>
      <c r="D118" s="1996" t="s">
        <v>95</v>
      </c>
      <c r="E118" s="1069" t="s">
        <v>328</v>
      </c>
      <c r="F118" s="1069" t="s">
        <v>329</v>
      </c>
      <c r="G118" s="1749" t="s">
        <v>448</v>
      </c>
      <c r="H118" s="1784" t="s">
        <v>449</v>
      </c>
      <c r="I118" s="1995"/>
      <c r="J118" s="1995"/>
    </row>
    <row r="119" spans="1:21" s="1037" customFormat="1" ht="13.5" thickTop="1" thickBot="1" x14ac:dyDescent="0.25">
      <c r="A119" s="1042">
        <v>1</v>
      </c>
      <c r="B119" s="1041">
        <v>2</v>
      </c>
      <c r="C119" s="1041">
        <v>3</v>
      </c>
      <c r="D119" s="1041">
        <v>4</v>
      </c>
      <c r="E119" s="1041">
        <v>5</v>
      </c>
      <c r="F119" s="1040">
        <v>6</v>
      </c>
      <c r="G119" s="1040">
        <v>7</v>
      </c>
      <c r="H119" s="1039" t="s">
        <v>33</v>
      </c>
      <c r="I119" s="1043"/>
    </row>
    <row r="120" spans="1:21" s="1816" customFormat="1" ht="15.75" thickTop="1" x14ac:dyDescent="0.25">
      <c r="A120" s="2797">
        <v>2212</v>
      </c>
      <c r="B120" s="2798">
        <v>6121</v>
      </c>
      <c r="C120" s="2799"/>
      <c r="D120" s="1993" t="s">
        <v>312</v>
      </c>
      <c r="E120" s="1992">
        <f>E121</f>
        <v>11704</v>
      </c>
      <c r="F120" s="1992">
        <f t="shared" ref="F120:G120" si="8">F121</f>
        <v>55285</v>
      </c>
      <c r="G120" s="1992">
        <f t="shared" si="8"/>
        <v>37184</v>
      </c>
      <c r="H120" s="1991">
        <f t="shared" ref="H120:H202" si="9">(G120/F120)*100</f>
        <v>67.258750113050553</v>
      </c>
      <c r="I120" s="1810"/>
      <c r="J120" s="1810"/>
      <c r="K120" s="1810"/>
      <c r="L120" s="1810"/>
      <c r="M120" s="1810"/>
      <c r="N120" s="1810"/>
      <c r="O120" s="1810"/>
      <c r="P120" s="1810"/>
      <c r="Q120" s="1810"/>
      <c r="R120" s="1810"/>
      <c r="S120" s="1810"/>
      <c r="T120" s="1810"/>
      <c r="U120" s="1810"/>
    </row>
    <row r="121" spans="1:21" s="2706" customFormat="1" ht="25.5" x14ac:dyDescent="0.2">
      <c r="A121" s="2793"/>
      <c r="B121" s="2794"/>
      <c r="C121" s="2796" t="s">
        <v>952</v>
      </c>
      <c r="D121" s="2704" t="s">
        <v>1366</v>
      </c>
      <c r="E121" s="2549">
        <v>11704</v>
      </c>
      <c r="F121" s="2485">
        <v>55285</v>
      </c>
      <c r="G121" s="2482">
        <v>37184</v>
      </c>
      <c r="H121" s="2528">
        <f t="shared" si="9"/>
        <v>67.258750113050553</v>
      </c>
      <c r="I121" s="2705"/>
      <c r="J121" s="2705"/>
      <c r="K121" s="2705"/>
      <c r="L121" s="2705"/>
      <c r="M121" s="2705"/>
      <c r="N121" s="2705"/>
      <c r="O121" s="2705"/>
      <c r="P121" s="2705"/>
      <c r="Q121" s="2705"/>
      <c r="R121" s="2705"/>
      <c r="S121" s="2705"/>
      <c r="T121" s="2705"/>
      <c r="U121" s="2705"/>
    </row>
    <row r="122" spans="1:21" s="1816" customFormat="1" ht="15" x14ac:dyDescent="0.25">
      <c r="A122" s="2793">
        <v>2212</v>
      </c>
      <c r="B122" s="2794">
        <v>6130</v>
      </c>
      <c r="C122" s="2796"/>
      <c r="D122" s="1032" t="s">
        <v>433</v>
      </c>
      <c r="E122" s="1809">
        <f>E123</f>
        <v>2000</v>
      </c>
      <c r="F122" s="1809">
        <f t="shared" ref="F122:G122" si="10">F123</f>
        <v>95</v>
      </c>
      <c r="G122" s="1809">
        <f t="shared" si="10"/>
        <v>0</v>
      </c>
      <c r="H122" s="1029">
        <f t="shared" si="9"/>
        <v>0</v>
      </c>
      <c r="I122" s="1810"/>
      <c r="J122" s="1810"/>
      <c r="K122" s="1810"/>
      <c r="L122" s="1810"/>
      <c r="M122" s="1810"/>
      <c r="N122" s="1810"/>
      <c r="O122" s="1810"/>
      <c r="P122" s="1810"/>
      <c r="Q122" s="1810"/>
      <c r="R122" s="1810"/>
      <c r="S122" s="1810"/>
      <c r="T122" s="1810"/>
      <c r="U122" s="1810"/>
    </row>
    <row r="123" spans="1:21" s="2706" customFormat="1" ht="25.5" x14ac:dyDescent="0.2">
      <c r="A123" s="2793"/>
      <c r="B123" s="2794"/>
      <c r="C123" s="2796" t="s">
        <v>952</v>
      </c>
      <c r="D123" s="2704" t="s">
        <v>1366</v>
      </c>
      <c r="E123" s="2549">
        <v>2000</v>
      </c>
      <c r="F123" s="2485">
        <v>95</v>
      </c>
      <c r="G123" s="2482">
        <v>0</v>
      </c>
      <c r="H123" s="2528">
        <f t="shared" si="9"/>
        <v>0</v>
      </c>
      <c r="I123" s="2705"/>
      <c r="J123" s="2705"/>
      <c r="K123" s="2705"/>
      <c r="L123" s="2705"/>
      <c r="M123" s="2705"/>
      <c r="N123" s="2705"/>
      <c r="O123" s="2705"/>
      <c r="P123" s="2705"/>
      <c r="Q123" s="2705"/>
      <c r="R123" s="2705"/>
      <c r="S123" s="2705"/>
      <c r="T123" s="2705"/>
      <c r="U123" s="2705"/>
    </row>
    <row r="124" spans="1:21" s="1816" customFormat="1" ht="15" x14ac:dyDescent="0.25">
      <c r="A124" s="2793">
        <v>3111</v>
      </c>
      <c r="B124" s="2794">
        <v>6121</v>
      </c>
      <c r="C124" s="2796"/>
      <c r="D124" s="1814" t="s">
        <v>312</v>
      </c>
      <c r="E124" s="1809">
        <f>E125</f>
        <v>221</v>
      </c>
      <c r="F124" s="1809">
        <f>F125</f>
        <v>221</v>
      </c>
      <c r="G124" s="1809">
        <f>G125</f>
        <v>10</v>
      </c>
      <c r="H124" s="1029">
        <f t="shared" si="9"/>
        <v>4.5248868778280542</v>
      </c>
      <c r="I124" s="1810"/>
      <c r="J124" s="1810"/>
      <c r="K124" s="1810"/>
      <c r="L124" s="1810"/>
      <c r="M124" s="1810"/>
      <c r="N124" s="1810"/>
      <c r="O124" s="1810"/>
      <c r="P124" s="1810"/>
      <c r="Q124" s="1810"/>
      <c r="R124" s="1810"/>
      <c r="S124" s="1810"/>
      <c r="T124" s="1810"/>
      <c r="U124" s="1810"/>
    </row>
    <row r="125" spans="1:21" s="2706" customFormat="1" ht="25.5" x14ac:dyDescent="0.2">
      <c r="A125" s="2793"/>
      <c r="B125" s="2794"/>
      <c r="C125" s="2796" t="s">
        <v>972</v>
      </c>
      <c r="D125" s="2704" t="s">
        <v>1367</v>
      </c>
      <c r="E125" s="2549">
        <v>221</v>
      </c>
      <c r="F125" s="2485">
        <v>221</v>
      </c>
      <c r="G125" s="2482">
        <v>10</v>
      </c>
      <c r="H125" s="2528">
        <f t="shared" si="9"/>
        <v>4.5248868778280542</v>
      </c>
      <c r="I125" s="2705"/>
      <c r="J125" s="2705"/>
      <c r="K125" s="2705"/>
      <c r="L125" s="2705"/>
      <c r="M125" s="2705"/>
      <c r="N125" s="2705"/>
      <c r="O125" s="2705"/>
      <c r="P125" s="2705"/>
      <c r="Q125" s="2705"/>
      <c r="R125" s="2705"/>
      <c r="S125" s="2705"/>
      <c r="T125" s="2705"/>
      <c r="U125" s="2705"/>
    </row>
    <row r="126" spans="1:21" s="1816" customFormat="1" ht="15" hidden="1" x14ac:dyDescent="0.25">
      <c r="A126" s="2793">
        <v>3111</v>
      </c>
      <c r="B126" s="2794">
        <v>6122</v>
      </c>
      <c r="C126" s="2796"/>
      <c r="D126" s="1814" t="s">
        <v>313</v>
      </c>
      <c r="E126" s="1807"/>
      <c r="F126" s="1030">
        <f>F127</f>
        <v>0</v>
      </c>
      <c r="G126" s="1030">
        <f>G127</f>
        <v>0</v>
      </c>
      <c r="H126" s="1029" t="e">
        <f t="shared" si="9"/>
        <v>#DIV/0!</v>
      </c>
      <c r="I126" s="1810"/>
      <c r="J126" s="1810"/>
      <c r="K126" s="1810"/>
      <c r="L126" s="1810"/>
      <c r="M126" s="1810"/>
      <c r="N126" s="1810"/>
      <c r="O126" s="1810"/>
      <c r="P126" s="1810"/>
      <c r="Q126" s="1810"/>
      <c r="R126" s="1810"/>
      <c r="S126" s="1810"/>
      <c r="T126" s="1810"/>
      <c r="U126" s="1810"/>
    </row>
    <row r="127" spans="1:21" s="2706" customFormat="1" ht="25.5" hidden="1" x14ac:dyDescent="0.2">
      <c r="A127" s="2793"/>
      <c r="B127" s="2794"/>
      <c r="C127" s="2796" t="s">
        <v>972</v>
      </c>
      <c r="D127" s="2704" t="s">
        <v>1367</v>
      </c>
      <c r="E127" s="2549"/>
      <c r="F127" s="2485"/>
      <c r="G127" s="2482"/>
      <c r="H127" s="2528" t="e">
        <f t="shared" si="9"/>
        <v>#DIV/0!</v>
      </c>
      <c r="I127" s="2705"/>
      <c r="J127" s="2705"/>
      <c r="K127" s="2705"/>
      <c r="L127" s="2705"/>
      <c r="M127" s="2705"/>
      <c r="N127" s="2705"/>
      <c r="O127" s="2705"/>
      <c r="P127" s="2705"/>
      <c r="Q127" s="2705"/>
      <c r="R127" s="2705"/>
      <c r="S127" s="2705"/>
      <c r="T127" s="2705"/>
      <c r="U127" s="2705"/>
    </row>
    <row r="128" spans="1:21" s="2706" customFormat="1" ht="15" x14ac:dyDescent="0.25">
      <c r="A128" s="2793">
        <v>3113</v>
      </c>
      <c r="B128" s="2794">
        <v>6121</v>
      </c>
      <c r="C128" s="2796"/>
      <c r="D128" s="1814" t="s">
        <v>312</v>
      </c>
      <c r="E128" s="1809">
        <f>E129</f>
        <v>0</v>
      </c>
      <c r="F128" s="1809">
        <f>F129</f>
        <v>726</v>
      </c>
      <c r="G128" s="1809">
        <f>G129</f>
        <v>297</v>
      </c>
      <c r="H128" s="1029">
        <f t="shared" ref="H128:H129" si="11">(G128/F128)*100</f>
        <v>40.909090909090914</v>
      </c>
      <c r="I128" s="2705"/>
      <c r="J128" s="2705"/>
      <c r="K128" s="2705"/>
      <c r="L128" s="2705"/>
      <c r="M128" s="2705"/>
      <c r="N128" s="2705"/>
      <c r="O128" s="2705"/>
      <c r="P128" s="2705"/>
      <c r="Q128" s="2705"/>
      <c r="R128" s="2705"/>
      <c r="S128" s="2705"/>
      <c r="T128" s="2705"/>
      <c r="U128" s="2705"/>
    </row>
    <row r="129" spans="1:21" s="2706" customFormat="1" ht="25.5" x14ac:dyDescent="0.2">
      <c r="A129" s="2793"/>
      <c r="B129" s="2794"/>
      <c r="C129" s="2796" t="s">
        <v>972</v>
      </c>
      <c r="D129" s="2704" t="s">
        <v>1367</v>
      </c>
      <c r="E129" s="2549">
        <v>0</v>
      </c>
      <c r="F129" s="2485">
        <v>726</v>
      </c>
      <c r="G129" s="2482">
        <v>297</v>
      </c>
      <c r="H129" s="2528">
        <f t="shared" si="11"/>
        <v>40.909090909090914</v>
      </c>
      <c r="I129" s="2705"/>
      <c r="J129" s="2705"/>
      <c r="K129" s="2705"/>
      <c r="L129" s="2705"/>
      <c r="M129" s="2705"/>
      <c r="N129" s="2705"/>
      <c r="O129" s="2705"/>
      <c r="P129" s="2705"/>
      <c r="Q129" s="2705"/>
      <c r="R129" s="2705"/>
      <c r="S129" s="2705"/>
      <c r="T129" s="2705"/>
      <c r="U129" s="2705"/>
    </row>
    <row r="130" spans="1:21" s="1816" customFormat="1" ht="15" x14ac:dyDescent="0.25">
      <c r="A130" s="2793">
        <v>3114</v>
      </c>
      <c r="B130" s="2794">
        <v>6121</v>
      </c>
      <c r="C130" s="2796"/>
      <c r="D130" s="1814" t="s">
        <v>312</v>
      </c>
      <c r="E130" s="1809">
        <f>E131</f>
        <v>5518</v>
      </c>
      <c r="F130" s="1809">
        <f>F131</f>
        <v>5881</v>
      </c>
      <c r="G130" s="1809">
        <f>G131</f>
        <v>4675</v>
      </c>
      <c r="H130" s="1029">
        <f t="shared" si="9"/>
        <v>79.4932834551947</v>
      </c>
      <c r="I130" s="1810"/>
      <c r="J130" s="1810"/>
      <c r="K130" s="1810"/>
      <c r="L130" s="1810"/>
      <c r="M130" s="1810"/>
      <c r="N130" s="1810"/>
      <c r="O130" s="1810"/>
      <c r="P130" s="1810"/>
      <c r="Q130" s="1810"/>
      <c r="R130" s="1810"/>
      <c r="S130" s="1810"/>
      <c r="T130" s="1810"/>
      <c r="U130" s="1810"/>
    </row>
    <row r="131" spans="1:21" s="2706" customFormat="1" ht="25.5" x14ac:dyDescent="0.2">
      <c r="A131" s="2793"/>
      <c r="B131" s="2794"/>
      <c r="C131" s="2796" t="s">
        <v>972</v>
      </c>
      <c r="D131" s="2704" t="s">
        <v>1367</v>
      </c>
      <c r="E131" s="2549">
        <v>5518</v>
      </c>
      <c r="F131" s="2485">
        <v>5881</v>
      </c>
      <c r="G131" s="2482">
        <v>4675</v>
      </c>
      <c r="H131" s="2528">
        <f t="shared" si="9"/>
        <v>79.4932834551947</v>
      </c>
      <c r="I131" s="2705"/>
      <c r="J131" s="2705"/>
      <c r="K131" s="2705"/>
      <c r="L131" s="2705"/>
      <c r="M131" s="2705"/>
      <c r="N131" s="2705"/>
      <c r="O131" s="2705"/>
      <c r="P131" s="2705"/>
      <c r="Q131" s="2705"/>
      <c r="R131" s="2705"/>
      <c r="S131" s="2705"/>
      <c r="T131" s="2705"/>
      <c r="U131" s="2705"/>
    </row>
    <row r="132" spans="1:21" s="2706" customFormat="1" ht="15" x14ac:dyDescent="0.25">
      <c r="A132" s="2793">
        <v>3114</v>
      </c>
      <c r="B132" s="2794">
        <v>6122</v>
      </c>
      <c r="C132" s="2796"/>
      <c r="D132" s="1814" t="s">
        <v>313</v>
      </c>
      <c r="E132" s="1809">
        <f>E133</f>
        <v>0</v>
      </c>
      <c r="F132" s="1809">
        <f>F133</f>
        <v>187</v>
      </c>
      <c r="G132" s="1809">
        <f>G133</f>
        <v>187</v>
      </c>
      <c r="H132" s="1029">
        <f t="shared" ref="H132:H133" si="12">(G132/F132)*100</f>
        <v>100</v>
      </c>
      <c r="I132" s="2705"/>
      <c r="J132" s="2705"/>
      <c r="K132" s="2705"/>
      <c r="L132" s="2705"/>
      <c r="M132" s="2705"/>
      <c r="N132" s="2705"/>
      <c r="O132" s="2705"/>
      <c r="P132" s="2705"/>
      <c r="Q132" s="2705"/>
      <c r="R132" s="2705"/>
      <c r="S132" s="2705"/>
      <c r="T132" s="2705"/>
      <c r="U132" s="2705"/>
    </row>
    <row r="133" spans="1:21" s="2706" customFormat="1" ht="25.5" x14ac:dyDescent="0.2">
      <c r="A133" s="2793"/>
      <c r="B133" s="2794"/>
      <c r="C133" s="2796" t="s">
        <v>972</v>
      </c>
      <c r="D133" s="2704" t="s">
        <v>1367</v>
      </c>
      <c r="E133" s="2549">
        <v>0</v>
      </c>
      <c r="F133" s="2485">
        <v>187</v>
      </c>
      <c r="G133" s="2482">
        <v>187</v>
      </c>
      <c r="H133" s="2528">
        <f t="shared" si="12"/>
        <v>100</v>
      </c>
      <c r="I133" s="2705"/>
      <c r="J133" s="2705"/>
      <c r="K133" s="2705"/>
      <c r="L133" s="2705"/>
      <c r="M133" s="2705"/>
      <c r="N133" s="2705"/>
      <c r="O133" s="2705"/>
      <c r="P133" s="2705"/>
      <c r="Q133" s="2705"/>
      <c r="R133" s="2705"/>
      <c r="S133" s="2705"/>
      <c r="T133" s="2705"/>
      <c r="U133" s="2705"/>
    </row>
    <row r="134" spans="1:21" s="1816" customFormat="1" ht="15" x14ac:dyDescent="0.25">
      <c r="A134" s="2793">
        <v>3119</v>
      </c>
      <c r="B134" s="2794">
        <v>6121</v>
      </c>
      <c r="C134" s="2796"/>
      <c r="D134" s="1814" t="s">
        <v>312</v>
      </c>
      <c r="E134" s="1809">
        <f>E135</f>
        <v>0</v>
      </c>
      <c r="F134" s="1809">
        <f>F135</f>
        <v>255</v>
      </c>
      <c r="G134" s="1809">
        <f>G135</f>
        <v>255</v>
      </c>
      <c r="H134" s="1029">
        <f t="shared" si="9"/>
        <v>100</v>
      </c>
      <c r="I134" s="1810"/>
      <c r="J134" s="1810"/>
      <c r="K134" s="1810"/>
      <c r="L134" s="1810"/>
      <c r="M134" s="1810"/>
      <c r="N134" s="1810"/>
      <c r="O134" s="1810"/>
      <c r="P134" s="1810"/>
      <c r="Q134" s="1810"/>
      <c r="R134" s="1810"/>
      <c r="S134" s="1810"/>
      <c r="T134" s="1810"/>
      <c r="U134" s="1810"/>
    </row>
    <row r="135" spans="1:21" s="2706" customFormat="1" ht="25.5" x14ac:dyDescent="0.2">
      <c r="A135" s="2793"/>
      <c r="B135" s="2794"/>
      <c r="C135" s="2796" t="s">
        <v>972</v>
      </c>
      <c r="D135" s="2704" t="s">
        <v>1367</v>
      </c>
      <c r="E135" s="2549">
        <v>0</v>
      </c>
      <c r="F135" s="2485">
        <v>255</v>
      </c>
      <c r="G135" s="2482">
        <v>255</v>
      </c>
      <c r="H135" s="2528">
        <f t="shared" si="9"/>
        <v>100</v>
      </c>
      <c r="I135" s="2705"/>
      <c r="J135" s="2705"/>
      <c r="K135" s="2705"/>
      <c r="L135" s="2705"/>
      <c r="M135" s="2705"/>
      <c r="N135" s="2705"/>
      <c r="O135" s="2705"/>
      <c r="P135" s="2705"/>
      <c r="Q135" s="2705"/>
      <c r="R135" s="2705"/>
      <c r="S135" s="2705"/>
      <c r="T135" s="2705"/>
      <c r="U135" s="2705"/>
    </row>
    <row r="136" spans="1:21" s="1816" customFormat="1" ht="15" x14ac:dyDescent="0.25">
      <c r="A136" s="2793">
        <v>3121</v>
      </c>
      <c r="B136" s="2794">
        <v>6121</v>
      </c>
      <c r="C136" s="2796"/>
      <c r="D136" s="1814" t="s">
        <v>312</v>
      </c>
      <c r="E136" s="1809">
        <f>E137</f>
        <v>27483</v>
      </c>
      <c r="F136" s="1809">
        <f>F137</f>
        <v>28456</v>
      </c>
      <c r="G136" s="1809">
        <f>G137</f>
        <v>24670</v>
      </c>
      <c r="H136" s="1029">
        <f t="shared" si="9"/>
        <v>86.695248805172895</v>
      </c>
      <c r="I136" s="1810"/>
      <c r="J136" s="1810"/>
      <c r="K136" s="1810"/>
      <c r="L136" s="1810"/>
      <c r="M136" s="1810"/>
      <c r="N136" s="1810"/>
      <c r="O136" s="1810"/>
      <c r="P136" s="1810"/>
      <c r="Q136" s="1810"/>
      <c r="R136" s="1810"/>
      <c r="S136" s="1810"/>
      <c r="T136" s="1810"/>
      <c r="U136" s="1810"/>
    </row>
    <row r="137" spans="1:21" s="2706" customFormat="1" ht="25.5" x14ac:dyDescent="0.2">
      <c r="A137" s="2793"/>
      <c r="B137" s="2794"/>
      <c r="C137" s="2796" t="s">
        <v>972</v>
      </c>
      <c r="D137" s="2704" t="s">
        <v>1367</v>
      </c>
      <c r="E137" s="2549">
        <v>27483</v>
      </c>
      <c r="F137" s="2485">
        <v>28456</v>
      </c>
      <c r="G137" s="2482">
        <v>24670</v>
      </c>
      <c r="H137" s="2528">
        <f t="shared" si="9"/>
        <v>86.695248805172895</v>
      </c>
      <c r="I137" s="2705"/>
      <c r="J137" s="2705"/>
      <c r="K137" s="2705"/>
      <c r="L137" s="2705"/>
      <c r="M137" s="2705"/>
      <c r="N137" s="2705"/>
      <c r="O137" s="2705"/>
      <c r="P137" s="2705"/>
      <c r="Q137" s="2705"/>
      <c r="R137" s="2705"/>
      <c r="S137" s="2705"/>
      <c r="T137" s="2705"/>
      <c r="U137" s="2705"/>
    </row>
    <row r="138" spans="1:21" s="2706" customFormat="1" ht="15" x14ac:dyDescent="0.25">
      <c r="A138" s="2793">
        <v>3121</v>
      </c>
      <c r="B138" s="2794">
        <v>6122</v>
      </c>
      <c r="C138" s="2796"/>
      <c r="D138" s="1814" t="s">
        <v>313</v>
      </c>
      <c r="E138" s="1809">
        <f>E139</f>
        <v>0</v>
      </c>
      <c r="F138" s="1809">
        <f>F139</f>
        <v>825</v>
      </c>
      <c r="G138" s="1809">
        <f>G139</f>
        <v>731</v>
      </c>
      <c r="H138" s="1029">
        <f t="shared" ref="H138:H139" si="13">(G138/F138)*100</f>
        <v>88.606060606060609</v>
      </c>
      <c r="I138" s="2705"/>
      <c r="J138" s="2705"/>
      <c r="K138" s="2705"/>
      <c r="L138" s="2705"/>
      <c r="M138" s="2705"/>
      <c r="N138" s="2705"/>
      <c r="O138" s="2705"/>
      <c r="P138" s="2705"/>
      <c r="Q138" s="2705"/>
      <c r="R138" s="2705"/>
      <c r="S138" s="2705"/>
      <c r="T138" s="2705"/>
      <c r="U138" s="2705"/>
    </row>
    <row r="139" spans="1:21" s="2706" customFormat="1" ht="25.5" x14ac:dyDescent="0.2">
      <c r="A139" s="2793"/>
      <c r="B139" s="2794"/>
      <c r="C139" s="2796" t="s">
        <v>972</v>
      </c>
      <c r="D139" s="2704" t="s">
        <v>1367</v>
      </c>
      <c r="E139" s="2549">
        <v>0</v>
      </c>
      <c r="F139" s="2485">
        <v>825</v>
      </c>
      <c r="G139" s="2482">
        <v>731</v>
      </c>
      <c r="H139" s="2528">
        <f t="shared" si="13"/>
        <v>88.606060606060609</v>
      </c>
      <c r="I139" s="2705"/>
      <c r="J139" s="2705"/>
      <c r="K139" s="2705"/>
      <c r="L139" s="2705"/>
      <c r="M139" s="2705"/>
      <c r="N139" s="2705"/>
      <c r="O139" s="2705"/>
      <c r="P139" s="2705"/>
      <c r="Q139" s="2705"/>
      <c r="R139" s="2705"/>
      <c r="S139" s="2705"/>
      <c r="T139" s="2705"/>
      <c r="U139" s="2705"/>
    </row>
    <row r="140" spans="1:21" s="1816" customFormat="1" ht="15" x14ac:dyDescent="0.25">
      <c r="A140" s="2793">
        <v>3121</v>
      </c>
      <c r="B140" s="2794">
        <v>6125</v>
      </c>
      <c r="C140" s="2796"/>
      <c r="D140" s="1130" t="s">
        <v>103</v>
      </c>
      <c r="E140" s="1809">
        <f>E141</f>
        <v>0</v>
      </c>
      <c r="F140" s="1809">
        <f>F141</f>
        <v>244</v>
      </c>
      <c r="G140" s="1809">
        <f>G141</f>
        <v>244</v>
      </c>
      <c r="H140" s="1029">
        <f t="shared" si="9"/>
        <v>100</v>
      </c>
      <c r="I140" s="1810"/>
      <c r="J140" s="1810"/>
      <c r="K140" s="1810"/>
      <c r="L140" s="1810"/>
      <c r="M140" s="1810"/>
      <c r="N140" s="1810"/>
      <c r="O140" s="1810"/>
      <c r="P140" s="1810"/>
      <c r="Q140" s="1810"/>
      <c r="R140" s="1810"/>
      <c r="S140" s="1810"/>
      <c r="T140" s="1810"/>
      <c r="U140" s="1810"/>
    </row>
    <row r="141" spans="1:21" s="2706" customFormat="1" ht="25.5" x14ac:dyDescent="0.2">
      <c r="A141" s="2793"/>
      <c r="B141" s="2794"/>
      <c r="C141" s="2796" t="s">
        <v>972</v>
      </c>
      <c r="D141" s="2704" t="s">
        <v>1367</v>
      </c>
      <c r="E141" s="2549">
        <v>0</v>
      </c>
      <c r="F141" s="2485">
        <v>244</v>
      </c>
      <c r="G141" s="2482">
        <v>244</v>
      </c>
      <c r="H141" s="2528">
        <f t="shared" si="9"/>
        <v>100</v>
      </c>
      <c r="I141" s="2705"/>
      <c r="J141" s="2705"/>
      <c r="K141" s="2705"/>
      <c r="L141" s="2705"/>
      <c r="M141" s="2705"/>
      <c r="N141" s="2705"/>
      <c r="O141" s="2705"/>
      <c r="P141" s="2705"/>
      <c r="Q141" s="2705"/>
      <c r="R141" s="2705"/>
      <c r="S141" s="2705"/>
      <c r="T141" s="2705"/>
      <c r="U141" s="2705"/>
    </row>
    <row r="142" spans="1:21" s="1816" customFormat="1" ht="15" x14ac:dyDescent="0.25">
      <c r="A142" s="2793">
        <v>3122</v>
      </c>
      <c r="B142" s="2794">
        <v>6121</v>
      </c>
      <c r="C142" s="2796"/>
      <c r="D142" s="1814" t="s">
        <v>312</v>
      </c>
      <c r="E142" s="1809">
        <f>E143</f>
        <v>144348</v>
      </c>
      <c r="F142" s="1809">
        <f>F143</f>
        <v>130891</v>
      </c>
      <c r="G142" s="1809">
        <f>G143</f>
        <v>106340</v>
      </c>
      <c r="H142" s="1029">
        <f t="shared" si="9"/>
        <v>81.243171799436169</v>
      </c>
      <c r="I142" s="1810"/>
      <c r="J142" s="1810"/>
      <c r="K142" s="1810"/>
      <c r="L142" s="1810"/>
      <c r="M142" s="1810"/>
      <c r="N142" s="1810"/>
      <c r="O142" s="1810"/>
      <c r="P142" s="1810"/>
      <c r="Q142" s="1810"/>
      <c r="R142" s="1810"/>
      <c r="S142" s="1810"/>
      <c r="T142" s="1810"/>
      <c r="U142" s="1810"/>
    </row>
    <row r="143" spans="1:21" s="2706" customFormat="1" ht="25.5" x14ac:dyDescent="0.2">
      <c r="A143" s="2793"/>
      <c r="B143" s="2794"/>
      <c r="C143" s="2796" t="s">
        <v>972</v>
      </c>
      <c r="D143" s="2704" t="s">
        <v>1367</v>
      </c>
      <c r="E143" s="2549">
        <v>144348</v>
      </c>
      <c r="F143" s="2485">
        <v>130891</v>
      </c>
      <c r="G143" s="2482">
        <v>106340</v>
      </c>
      <c r="H143" s="2528">
        <f t="shared" si="9"/>
        <v>81.243171799436169</v>
      </c>
      <c r="I143" s="2705"/>
      <c r="J143" s="2705"/>
      <c r="K143" s="2705"/>
      <c r="L143" s="2705"/>
      <c r="M143" s="2705"/>
      <c r="N143" s="2705"/>
      <c r="O143" s="2705"/>
      <c r="P143" s="2705"/>
      <c r="Q143" s="2705"/>
      <c r="R143" s="2705"/>
      <c r="S143" s="2705"/>
      <c r="T143" s="2705"/>
      <c r="U143" s="2705"/>
    </row>
    <row r="144" spans="1:21" s="1816" customFormat="1" ht="15" x14ac:dyDescent="0.25">
      <c r="A144" s="2793">
        <v>3122</v>
      </c>
      <c r="B144" s="2794">
        <v>6122</v>
      </c>
      <c r="C144" s="2796"/>
      <c r="D144" s="1814" t="s">
        <v>313</v>
      </c>
      <c r="E144" s="1809">
        <f>E145</f>
        <v>0</v>
      </c>
      <c r="F144" s="1809">
        <f>F145</f>
        <v>1259</v>
      </c>
      <c r="G144" s="1809">
        <f>G145</f>
        <v>1256</v>
      </c>
      <c r="H144" s="1029">
        <f t="shared" si="9"/>
        <v>99.761715647339159</v>
      </c>
      <c r="I144" s="1810"/>
      <c r="J144" s="1810"/>
      <c r="K144" s="1810"/>
      <c r="L144" s="1810"/>
      <c r="M144" s="1810"/>
      <c r="N144" s="1810"/>
      <c r="O144" s="1810"/>
      <c r="P144" s="1810"/>
      <c r="Q144" s="1810"/>
      <c r="R144" s="1810"/>
      <c r="S144" s="1810"/>
      <c r="T144" s="1810"/>
      <c r="U144" s="1810"/>
    </row>
    <row r="145" spans="1:21" s="2706" customFormat="1" ht="25.5" x14ac:dyDescent="0.2">
      <c r="A145" s="2793"/>
      <c r="B145" s="2794"/>
      <c r="C145" s="2796" t="s">
        <v>972</v>
      </c>
      <c r="D145" s="2704" t="s">
        <v>1367</v>
      </c>
      <c r="E145" s="2549">
        <v>0</v>
      </c>
      <c r="F145" s="2485">
        <v>1259</v>
      </c>
      <c r="G145" s="2482">
        <v>1256</v>
      </c>
      <c r="H145" s="2528">
        <f t="shared" si="9"/>
        <v>99.761715647339159</v>
      </c>
      <c r="I145" s="2705"/>
      <c r="J145" s="2705"/>
      <c r="K145" s="2705"/>
      <c r="L145" s="2705"/>
      <c r="M145" s="2705"/>
      <c r="N145" s="2705"/>
      <c r="O145" s="2705"/>
      <c r="P145" s="2705"/>
      <c r="Q145" s="2705"/>
      <c r="R145" s="2705"/>
      <c r="S145" s="2705"/>
      <c r="T145" s="2705"/>
      <c r="U145" s="2705"/>
    </row>
    <row r="146" spans="1:21" s="2706" customFormat="1" ht="15" x14ac:dyDescent="0.25">
      <c r="A146" s="2793">
        <v>3122</v>
      </c>
      <c r="B146" s="2794">
        <v>6125</v>
      </c>
      <c r="C146" s="2796"/>
      <c r="D146" s="1130" t="s">
        <v>103</v>
      </c>
      <c r="E146" s="1809">
        <f>E147</f>
        <v>0</v>
      </c>
      <c r="F146" s="1809">
        <f>F147</f>
        <v>255</v>
      </c>
      <c r="G146" s="1809">
        <f>G147</f>
        <v>254</v>
      </c>
      <c r="H146" s="1029">
        <f t="shared" ref="H146:H147" si="14">(G146/F146)*100</f>
        <v>99.607843137254903</v>
      </c>
      <c r="I146" s="2705"/>
      <c r="J146" s="2705"/>
      <c r="K146" s="2705"/>
      <c r="L146" s="2705"/>
      <c r="M146" s="2705"/>
      <c r="N146" s="2705"/>
      <c r="O146" s="2705"/>
      <c r="P146" s="2705"/>
      <c r="Q146" s="2705"/>
      <c r="R146" s="2705"/>
      <c r="S146" s="2705"/>
      <c r="T146" s="2705"/>
      <c r="U146" s="2705"/>
    </row>
    <row r="147" spans="1:21" s="2706" customFormat="1" ht="25.5" x14ac:dyDescent="0.2">
      <c r="A147" s="2793"/>
      <c r="B147" s="2794"/>
      <c r="C147" s="2796" t="s">
        <v>972</v>
      </c>
      <c r="D147" s="2704" t="s">
        <v>1367</v>
      </c>
      <c r="E147" s="2549">
        <v>0</v>
      </c>
      <c r="F147" s="2485">
        <v>255</v>
      </c>
      <c r="G147" s="2482">
        <v>254</v>
      </c>
      <c r="H147" s="2528">
        <f t="shared" si="14"/>
        <v>99.607843137254903</v>
      </c>
      <c r="I147" s="2705"/>
      <c r="J147" s="2705"/>
      <c r="K147" s="2705"/>
      <c r="L147" s="2705"/>
      <c r="M147" s="2705"/>
      <c r="N147" s="2705"/>
      <c r="O147" s="2705"/>
      <c r="P147" s="2705"/>
      <c r="Q147" s="2705"/>
      <c r="R147" s="2705"/>
      <c r="S147" s="2705"/>
      <c r="T147" s="2705"/>
      <c r="U147" s="2705"/>
    </row>
    <row r="148" spans="1:21" s="1816" customFormat="1" ht="15" hidden="1" x14ac:dyDescent="0.25">
      <c r="A148" s="2793">
        <v>3123</v>
      </c>
      <c r="B148" s="2794">
        <v>6121</v>
      </c>
      <c r="C148" s="2796"/>
      <c r="D148" s="1814" t="s">
        <v>312</v>
      </c>
      <c r="E148" s="1809">
        <f>E149</f>
        <v>0</v>
      </c>
      <c r="F148" s="1031">
        <f>F149</f>
        <v>0</v>
      </c>
      <c r="G148" s="1030">
        <f>G149</f>
        <v>0</v>
      </c>
      <c r="H148" s="1029" t="e">
        <f t="shared" si="9"/>
        <v>#DIV/0!</v>
      </c>
      <c r="I148" s="1810"/>
      <c r="J148" s="1810"/>
      <c r="K148" s="1810"/>
      <c r="L148" s="1810"/>
      <c r="M148" s="1810"/>
      <c r="N148" s="1810"/>
      <c r="O148" s="1810"/>
      <c r="P148" s="1810"/>
      <c r="Q148" s="1810"/>
      <c r="R148" s="1810"/>
      <c r="S148" s="1810"/>
      <c r="T148" s="1810"/>
      <c r="U148" s="1810"/>
    </row>
    <row r="149" spans="1:21" s="2706" customFormat="1" ht="25.5" hidden="1" x14ac:dyDescent="0.2">
      <c r="A149" s="2793"/>
      <c r="B149" s="2794"/>
      <c r="C149" s="2796" t="s">
        <v>972</v>
      </c>
      <c r="D149" s="2704" t="s">
        <v>1367</v>
      </c>
      <c r="E149" s="2549"/>
      <c r="F149" s="2485"/>
      <c r="G149" s="2482"/>
      <c r="H149" s="2528" t="e">
        <f t="shared" si="9"/>
        <v>#DIV/0!</v>
      </c>
      <c r="I149" s="2705"/>
      <c r="J149" s="2705"/>
      <c r="K149" s="2705"/>
      <c r="L149" s="2705"/>
      <c r="M149" s="2705"/>
      <c r="N149" s="2705"/>
      <c r="O149" s="2705"/>
      <c r="P149" s="2705"/>
      <c r="Q149" s="2705"/>
      <c r="R149" s="2705"/>
      <c r="S149" s="2705"/>
      <c r="T149" s="2705"/>
      <c r="U149" s="2705"/>
    </row>
    <row r="150" spans="1:21" s="2706" customFormat="1" ht="15" x14ac:dyDescent="0.25">
      <c r="A150" s="2793">
        <v>3127</v>
      </c>
      <c r="B150" s="2794">
        <v>6121</v>
      </c>
      <c r="C150" s="2796"/>
      <c r="D150" s="1814" t="s">
        <v>312</v>
      </c>
      <c r="E150" s="1809">
        <f>E151</f>
        <v>0</v>
      </c>
      <c r="F150" s="1031">
        <f>F151</f>
        <v>1789</v>
      </c>
      <c r="G150" s="1030">
        <f>G151</f>
        <v>1789</v>
      </c>
      <c r="H150" s="1029">
        <f t="shared" ref="H150:H151" si="15">(G150/F150)*100</f>
        <v>100</v>
      </c>
      <c r="I150" s="2705"/>
      <c r="J150" s="2705"/>
      <c r="K150" s="2705"/>
      <c r="L150" s="2705"/>
      <c r="M150" s="2705"/>
      <c r="N150" s="2705"/>
      <c r="O150" s="2705"/>
      <c r="P150" s="2705"/>
      <c r="Q150" s="2705"/>
      <c r="R150" s="2705"/>
      <c r="S150" s="2705"/>
      <c r="T150" s="2705"/>
      <c r="U150" s="2705"/>
    </row>
    <row r="151" spans="1:21" s="2706" customFormat="1" ht="25.5" x14ac:dyDescent="0.2">
      <c r="A151" s="2793"/>
      <c r="B151" s="2794"/>
      <c r="C151" s="2796" t="s">
        <v>972</v>
      </c>
      <c r="D151" s="2704" t="s">
        <v>1367</v>
      </c>
      <c r="E151" s="2549">
        <v>0</v>
      </c>
      <c r="F151" s="2485">
        <v>1789</v>
      </c>
      <c r="G151" s="2482">
        <v>1789</v>
      </c>
      <c r="H151" s="2528">
        <f t="shared" si="15"/>
        <v>100</v>
      </c>
      <c r="I151" s="2705"/>
      <c r="J151" s="2705"/>
      <c r="K151" s="2705"/>
      <c r="L151" s="2705"/>
      <c r="M151" s="2705"/>
      <c r="N151" s="2705"/>
      <c r="O151" s="2705"/>
      <c r="P151" s="2705"/>
      <c r="Q151" s="2705"/>
      <c r="R151" s="2705"/>
      <c r="S151" s="2705"/>
      <c r="T151" s="2705"/>
      <c r="U151" s="2705"/>
    </row>
    <row r="152" spans="1:21" s="1816" customFormat="1" ht="15" hidden="1" x14ac:dyDescent="0.25">
      <c r="A152" s="2793">
        <v>3131</v>
      </c>
      <c r="B152" s="2794">
        <v>6121</v>
      </c>
      <c r="C152" s="2796"/>
      <c r="D152" s="1814" t="s">
        <v>312</v>
      </c>
      <c r="E152" s="1809">
        <f>E153</f>
        <v>0</v>
      </c>
      <c r="F152" s="1031">
        <f>F153</f>
        <v>0</v>
      </c>
      <c r="G152" s="1030">
        <f>G153</f>
        <v>0</v>
      </c>
      <c r="H152" s="1029">
        <v>0</v>
      </c>
      <c r="I152" s="1810"/>
      <c r="J152" s="1810"/>
      <c r="K152" s="1810"/>
      <c r="L152" s="1810"/>
      <c r="M152" s="1810"/>
      <c r="N152" s="1810"/>
      <c r="O152" s="1810"/>
      <c r="P152" s="1810"/>
      <c r="Q152" s="1810"/>
      <c r="R152" s="1810"/>
      <c r="S152" s="1810"/>
      <c r="T152" s="1810"/>
      <c r="U152" s="1810"/>
    </row>
    <row r="153" spans="1:21" s="2706" customFormat="1" ht="25.5" hidden="1" x14ac:dyDescent="0.2">
      <c r="A153" s="2793"/>
      <c r="B153" s="2794"/>
      <c r="C153" s="2796" t="s">
        <v>972</v>
      </c>
      <c r="D153" s="2704" t="s">
        <v>1367</v>
      </c>
      <c r="E153" s="2549"/>
      <c r="F153" s="2485"/>
      <c r="G153" s="2482"/>
      <c r="H153" s="2528">
        <v>0</v>
      </c>
      <c r="I153" s="2705"/>
      <c r="J153" s="2705"/>
      <c r="K153" s="2705"/>
      <c r="L153" s="2705"/>
      <c r="M153" s="2705"/>
      <c r="N153" s="2705"/>
      <c r="O153" s="2705"/>
      <c r="P153" s="2705"/>
      <c r="Q153" s="2705"/>
      <c r="R153" s="2705"/>
      <c r="S153" s="2705"/>
      <c r="T153" s="2705"/>
      <c r="U153" s="2705"/>
    </row>
    <row r="154" spans="1:21" s="1816" customFormat="1" ht="15" hidden="1" x14ac:dyDescent="0.25">
      <c r="A154" s="2793">
        <v>3133</v>
      </c>
      <c r="B154" s="2794">
        <v>6121</v>
      </c>
      <c r="C154" s="2796"/>
      <c r="D154" s="1814" t="s">
        <v>312</v>
      </c>
      <c r="E154" s="1809">
        <f>E155</f>
        <v>0</v>
      </c>
      <c r="F154" s="1809">
        <f>F155</f>
        <v>0</v>
      </c>
      <c r="G154" s="1809">
        <f>G155</f>
        <v>0</v>
      </c>
      <c r="H154" s="1029" t="e">
        <f t="shared" si="9"/>
        <v>#DIV/0!</v>
      </c>
      <c r="I154" s="1810"/>
      <c r="J154" s="1810"/>
      <c r="K154" s="1810"/>
      <c r="L154" s="1810"/>
      <c r="M154" s="1810"/>
      <c r="N154" s="1810"/>
      <c r="O154" s="1810"/>
      <c r="P154" s="1810"/>
      <c r="Q154" s="1810"/>
      <c r="R154" s="1810"/>
      <c r="S154" s="1810"/>
      <c r="T154" s="1810"/>
      <c r="U154" s="1810"/>
    </row>
    <row r="155" spans="1:21" s="2706" customFormat="1" ht="25.5" hidden="1" x14ac:dyDescent="0.2">
      <c r="A155" s="2793"/>
      <c r="B155" s="2794"/>
      <c r="C155" s="2796" t="s">
        <v>972</v>
      </c>
      <c r="D155" s="2704" t="s">
        <v>1367</v>
      </c>
      <c r="E155" s="2549"/>
      <c r="F155" s="2485"/>
      <c r="G155" s="2482"/>
      <c r="H155" s="2528" t="e">
        <f t="shared" si="9"/>
        <v>#DIV/0!</v>
      </c>
      <c r="I155" s="2705"/>
      <c r="J155" s="2705"/>
      <c r="K155" s="2705"/>
      <c r="L155" s="2705"/>
      <c r="M155" s="2705"/>
      <c r="N155" s="2705"/>
      <c r="O155" s="2705"/>
      <c r="P155" s="2705"/>
      <c r="Q155" s="2705"/>
      <c r="R155" s="2705"/>
      <c r="S155" s="2705"/>
      <c r="T155" s="2705"/>
      <c r="U155" s="2705"/>
    </row>
    <row r="156" spans="1:21" s="1816" customFormat="1" ht="15" hidden="1" x14ac:dyDescent="0.25">
      <c r="A156" s="2793">
        <v>3146</v>
      </c>
      <c r="B156" s="2794">
        <v>6121</v>
      </c>
      <c r="C156" s="2796"/>
      <c r="D156" s="1814" t="s">
        <v>312</v>
      </c>
      <c r="E156" s="1809">
        <f>E157</f>
        <v>0</v>
      </c>
      <c r="F156" s="1809">
        <f>F157</f>
        <v>0</v>
      </c>
      <c r="G156" s="1809">
        <f>G157</f>
        <v>0</v>
      </c>
      <c r="H156" s="1029" t="e">
        <f t="shared" si="9"/>
        <v>#DIV/0!</v>
      </c>
      <c r="I156" s="1810"/>
      <c r="J156" s="1810"/>
      <c r="K156" s="1810"/>
      <c r="L156" s="1810"/>
      <c r="M156" s="1810"/>
      <c r="N156" s="1810"/>
      <c r="O156" s="1810"/>
      <c r="P156" s="1810"/>
      <c r="Q156" s="1810"/>
      <c r="R156" s="1810"/>
      <c r="S156" s="1810"/>
      <c r="T156" s="1810"/>
      <c r="U156" s="1810"/>
    </row>
    <row r="157" spans="1:21" s="2706" customFormat="1" ht="25.5" hidden="1" x14ac:dyDescent="0.2">
      <c r="A157" s="2793"/>
      <c r="B157" s="2794"/>
      <c r="C157" s="2796" t="s">
        <v>972</v>
      </c>
      <c r="D157" s="2704" t="s">
        <v>1367</v>
      </c>
      <c r="E157" s="2549"/>
      <c r="F157" s="2485"/>
      <c r="G157" s="2482"/>
      <c r="H157" s="2528" t="e">
        <f t="shared" si="9"/>
        <v>#DIV/0!</v>
      </c>
      <c r="I157" s="2705"/>
      <c r="J157" s="2705"/>
      <c r="K157" s="2705"/>
      <c r="L157" s="2705"/>
      <c r="M157" s="2705"/>
      <c r="N157" s="2705"/>
      <c r="O157" s="2705"/>
      <c r="P157" s="2705"/>
      <c r="Q157" s="2705"/>
      <c r="R157" s="2705"/>
      <c r="S157" s="2705"/>
      <c r="T157" s="2705"/>
      <c r="U157" s="2705"/>
    </row>
    <row r="158" spans="1:21" s="1816" customFormat="1" ht="15" x14ac:dyDescent="0.25">
      <c r="A158" s="2793">
        <v>3147</v>
      </c>
      <c r="B158" s="2794">
        <v>6121</v>
      </c>
      <c r="C158" s="2796"/>
      <c r="D158" s="1814" t="s">
        <v>312</v>
      </c>
      <c r="E158" s="1809">
        <f>E159</f>
        <v>7171</v>
      </c>
      <c r="F158" s="1809">
        <f>F159</f>
        <v>12031</v>
      </c>
      <c r="G158" s="1809">
        <f>G159</f>
        <v>11431</v>
      </c>
      <c r="H158" s="1029">
        <f t="shared" si="9"/>
        <v>95.012883384589813</v>
      </c>
      <c r="I158" s="1810"/>
      <c r="J158" s="1810"/>
      <c r="K158" s="1810"/>
      <c r="L158" s="1810"/>
      <c r="M158" s="1810"/>
      <c r="N158" s="1810"/>
      <c r="O158" s="1810"/>
      <c r="P158" s="1810"/>
      <c r="Q158" s="1810"/>
      <c r="R158" s="1810"/>
      <c r="S158" s="1810"/>
      <c r="T158" s="1810"/>
      <c r="U158" s="1810"/>
    </row>
    <row r="159" spans="1:21" s="2706" customFormat="1" ht="25.5" x14ac:dyDescent="0.2">
      <c r="A159" s="2793"/>
      <c r="B159" s="2794"/>
      <c r="C159" s="2796" t="s">
        <v>972</v>
      </c>
      <c r="D159" s="2704" t="s">
        <v>1367</v>
      </c>
      <c r="E159" s="2549">
        <v>7171</v>
      </c>
      <c r="F159" s="2485">
        <v>12031</v>
      </c>
      <c r="G159" s="2482">
        <v>11431</v>
      </c>
      <c r="H159" s="2528">
        <f t="shared" si="9"/>
        <v>95.012883384589813</v>
      </c>
      <c r="I159" s="2705"/>
      <c r="J159" s="2705"/>
      <c r="K159" s="2705"/>
      <c r="L159" s="2705"/>
      <c r="M159" s="2705"/>
      <c r="N159" s="2705"/>
      <c r="O159" s="2705"/>
      <c r="P159" s="2705"/>
      <c r="Q159" s="2705"/>
      <c r="R159" s="2705"/>
      <c r="S159" s="2705"/>
      <c r="T159" s="2705"/>
      <c r="U159" s="2705"/>
    </row>
    <row r="160" spans="1:21" s="1816" customFormat="1" ht="15" hidden="1" x14ac:dyDescent="0.25">
      <c r="A160" s="2793">
        <v>3231</v>
      </c>
      <c r="B160" s="2794">
        <v>6121</v>
      </c>
      <c r="C160" s="2796"/>
      <c r="D160" s="1814" t="s">
        <v>312</v>
      </c>
      <c r="E160" s="1807"/>
      <c r="F160" s="1809">
        <f>F161</f>
        <v>0</v>
      </c>
      <c r="G160" s="1809">
        <f>G161</f>
        <v>0</v>
      </c>
      <c r="H160" s="1029" t="e">
        <f t="shared" si="9"/>
        <v>#DIV/0!</v>
      </c>
      <c r="I160" s="1810"/>
      <c r="J160" s="1810"/>
      <c r="K160" s="1810"/>
      <c r="L160" s="1810"/>
      <c r="M160" s="1810"/>
      <c r="N160" s="1810"/>
      <c r="O160" s="1810"/>
      <c r="P160" s="1810"/>
      <c r="Q160" s="1810"/>
      <c r="R160" s="1810"/>
      <c r="S160" s="1810"/>
      <c r="T160" s="1810"/>
      <c r="U160" s="1810"/>
    </row>
    <row r="161" spans="1:21" s="2706" customFormat="1" ht="25.5" hidden="1" x14ac:dyDescent="0.2">
      <c r="A161" s="2793"/>
      <c r="B161" s="2794"/>
      <c r="C161" s="2796" t="s">
        <v>972</v>
      </c>
      <c r="D161" s="2704" t="s">
        <v>1367</v>
      </c>
      <c r="E161" s="2549"/>
      <c r="F161" s="2485"/>
      <c r="G161" s="2482"/>
      <c r="H161" s="2528" t="e">
        <f t="shared" si="9"/>
        <v>#DIV/0!</v>
      </c>
      <c r="I161" s="2705"/>
      <c r="J161" s="2705"/>
      <c r="K161" s="2705"/>
      <c r="L161" s="2705"/>
      <c r="M161" s="2705"/>
      <c r="N161" s="2705"/>
      <c r="O161" s="2705"/>
      <c r="P161" s="2705"/>
      <c r="Q161" s="2705"/>
      <c r="R161" s="2705"/>
      <c r="S161" s="2705"/>
      <c r="T161" s="2705"/>
      <c r="U161" s="2705"/>
    </row>
    <row r="162" spans="1:21" s="1816" customFormat="1" ht="15" x14ac:dyDescent="0.25">
      <c r="A162" s="2793">
        <v>3314</v>
      </c>
      <c r="B162" s="2794">
        <v>6121</v>
      </c>
      <c r="C162" s="2796"/>
      <c r="D162" s="1814" t="s">
        <v>312</v>
      </c>
      <c r="E162" s="1809">
        <f>E163</f>
        <v>1764</v>
      </c>
      <c r="F162" s="1809">
        <f>F163</f>
        <v>1264</v>
      </c>
      <c r="G162" s="1809">
        <f>G163</f>
        <v>1160</v>
      </c>
      <c r="H162" s="1029">
        <f t="shared" si="9"/>
        <v>91.77215189873418</v>
      </c>
      <c r="I162" s="1810"/>
      <c r="J162" s="1810"/>
      <c r="K162" s="1810"/>
      <c r="L162" s="1810"/>
      <c r="M162" s="1810"/>
      <c r="N162" s="1810"/>
      <c r="O162" s="1810"/>
      <c r="P162" s="1810"/>
      <c r="Q162" s="1810"/>
      <c r="R162" s="1810"/>
      <c r="S162" s="1810"/>
      <c r="T162" s="1810"/>
      <c r="U162" s="1810"/>
    </row>
    <row r="163" spans="1:21" s="2706" customFormat="1" ht="25.5" x14ac:dyDescent="0.2">
      <c r="A163" s="2793"/>
      <c r="B163" s="2794"/>
      <c r="C163" s="2796" t="s">
        <v>956</v>
      </c>
      <c r="D163" s="2704" t="s">
        <v>1368</v>
      </c>
      <c r="E163" s="2549">
        <v>1764</v>
      </c>
      <c r="F163" s="2485">
        <v>1264</v>
      </c>
      <c r="G163" s="2482">
        <v>1160</v>
      </c>
      <c r="H163" s="2528">
        <f t="shared" si="9"/>
        <v>91.77215189873418</v>
      </c>
      <c r="I163" s="2705"/>
      <c r="J163" s="2705"/>
      <c r="K163" s="2705"/>
      <c r="L163" s="2705"/>
      <c r="M163" s="2705"/>
      <c r="N163" s="2705"/>
      <c r="O163" s="2705"/>
      <c r="P163" s="2705"/>
      <c r="Q163" s="2705"/>
      <c r="R163" s="2705"/>
      <c r="S163" s="2705"/>
      <c r="T163" s="2705"/>
      <c r="U163" s="2705"/>
    </row>
    <row r="164" spans="1:21" s="1816" customFormat="1" ht="15" x14ac:dyDescent="0.25">
      <c r="A164" s="2793">
        <v>3315</v>
      </c>
      <c r="B164" s="2794">
        <v>6121</v>
      </c>
      <c r="C164" s="2796"/>
      <c r="D164" s="1814" t="s">
        <v>312</v>
      </c>
      <c r="E164" s="1809">
        <f>E165</f>
        <v>33340</v>
      </c>
      <c r="F164" s="1809">
        <f>F165</f>
        <v>20047</v>
      </c>
      <c r="G164" s="1809">
        <f>G165</f>
        <v>11348</v>
      </c>
      <c r="H164" s="1029">
        <f t="shared" si="9"/>
        <v>56.606973612011771</v>
      </c>
      <c r="I164" s="1810"/>
      <c r="J164" s="1810"/>
      <c r="K164" s="1810"/>
      <c r="L164" s="1810"/>
      <c r="M164" s="1810"/>
      <c r="N164" s="1810"/>
      <c r="O164" s="1810"/>
      <c r="P164" s="1810"/>
      <c r="Q164" s="1810"/>
      <c r="R164" s="1810"/>
      <c r="S164" s="1810"/>
      <c r="T164" s="1810"/>
      <c r="U164" s="1810"/>
    </row>
    <row r="165" spans="1:21" s="2706" customFormat="1" ht="25.5" x14ac:dyDescent="0.2">
      <c r="A165" s="2793"/>
      <c r="B165" s="2794"/>
      <c r="C165" s="2796" t="s">
        <v>956</v>
      </c>
      <c r="D165" s="2704" t="s">
        <v>1368</v>
      </c>
      <c r="E165" s="2549">
        <v>33340</v>
      </c>
      <c r="F165" s="2485">
        <v>20047</v>
      </c>
      <c r="G165" s="2482">
        <v>11348</v>
      </c>
      <c r="H165" s="2528">
        <f t="shared" si="9"/>
        <v>56.606973612011771</v>
      </c>
      <c r="I165" s="2705"/>
      <c r="J165" s="2705"/>
      <c r="K165" s="2705"/>
      <c r="L165" s="2705"/>
      <c r="M165" s="2705"/>
      <c r="N165" s="2705"/>
      <c r="O165" s="2705"/>
      <c r="P165" s="2705"/>
      <c r="Q165" s="2705"/>
      <c r="R165" s="2705"/>
      <c r="S165" s="2705"/>
      <c r="T165" s="2705"/>
      <c r="U165" s="2705"/>
    </row>
    <row r="166" spans="1:21" s="1816" customFormat="1" ht="15" x14ac:dyDescent="0.25">
      <c r="A166" s="2793">
        <v>3315</v>
      </c>
      <c r="B166" s="2794">
        <v>6122</v>
      </c>
      <c r="C166" s="2796"/>
      <c r="D166" s="1814" t="s">
        <v>313</v>
      </c>
      <c r="E166" s="1809">
        <f>E167</f>
        <v>0</v>
      </c>
      <c r="F166" s="1809">
        <f>F167</f>
        <v>1120</v>
      </c>
      <c r="G166" s="1809">
        <f>G167</f>
        <v>1110</v>
      </c>
      <c r="H166" s="1029">
        <f t="shared" si="9"/>
        <v>99.107142857142861</v>
      </c>
      <c r="I166" s="1810"/>
      <c r="J166" s="1810"/>
      <c r="K166" s="1810"/>
      <c r="L166" s="1810"/>
      <c r="M166" s="1810"/>
      <c r="N166" s="1810"/>
      <c r="O166" s="1810"/>
      <c r="P166" s="1810"/>
      <c r="Q166" s="1810"/>
      <c r="R166" s="1810"/>
      <c r="S166" s="1810"/>
      <c r="T166" s="1810"/>
      <c r="U166" s="1810"/>
    </row>
    <row r="167" spans="1:21" s="2706" customFormat="1" ht="25.5" x14ac:dyDescent="0.2">
      <c r="A167" s="2793"/>
      <c r="B167" s="2794"/>
      <c r="C167" s="2796" t="s">
        <v>956</v>
      </c>
      <c r="D167" s="2704" t="s">
        <v>1368</v>
      </c>
      <c r="E167" s="2549">
        <v>0</v>
      </c>
      <c r="F167" s="2485">
        <v>1120</v>
      </c>
      <c r="G167" s="2482">
        <v>1110</v>
      </c>
      <c r="H167" s="2528">
        <f t="shared" si="9"/>
        <v>99.107142857142861</v>
      </c>
      <c r="I167" s="2705"/>
      <c r="J167" s="2705"/>
      <c r="K167" s="2705"/>
      <c r="L167" s="2705"/>
      <c r="M167" s="2705"/>
      <c r="N167" s="2705"/>
      <c r="O167" s="2705"/>
      <c r="P167" s="2705"/>
      <c r="Q167" s="2705"/>
      <c r="R167" s="2705"/>
      <c r="S167" s="2705"/>
      <c r="T167" s="2705"/>
      <c r="U167" s="2705"/>
    </row>
    <row r="168" spans="1:21" s="1816" customFormat="1" ht="15" x14ac:dyDescent="0.25">
      <c r="A168" s="2793">
        <v>3522</v>
      </c>
      <c r="B168" s="2794">
        <v>6121</v>
      </c>
      <c r="C168" s="2800"/>
      <c r="D168" s="1814" t="s">
        <v>312</v>
      </c>
      <c r="E168" s="1809">
        <f>E169+E170</f>
        <v>24564</v>
      </c>
      <c r="F168" s="1809">
        <f t="shared" ref="F168:G168" si="16">F169+F170</f>
        <v>26488</v>
      </c>
      <c r="G168" s="1809">
        <f t="shared" si="16"/>
        <v>14866</v>
      </c>
      <c r="H168" s="1029">
        <f t="shared" si="9"/>
        <v>56.123527635155547</v>
      </c>
      <c r="I168" s="1810"/>
      <c r="J168" s="1810"/>
      <c r="K168" s="1810"/>
      <c r="L168" s="1810"/>
      <c r="M168" s="1810"/>
      <c r="N168" s="1810"/>
      <c r="O168" s="1810"/>
      <c r="P168" s="1810"/>
      <c r="Q168" s="1810"/>
      <c r="R168" s="1810"/>
      <c r="S168" s="1810"/>
      <c r="T168" s="1810"/>
      <c r="U168" s="1810"/>
    </row>
    <row r="169" spans="1:21" s="2706" customFormat="1" ht="14.25" x14ac:dyDescent="0.2">
      <c r="A169" s="2793"/>
      <c r="B169" s="2794"/>
      <c r="C169" s="2796" t="s">
        <v>970</v>
      </c>
      <c r="D169" s="2708" t="s">
        <v>1605</v>
      </c>
      <c r="E169" s="2549">
        <v>23440</v>
      </c>
      <c r="F169" s="2485">
        <v>25405</v>
      </c>
      <c r="G169" s="2482">
        <v>14700</v>
      </c>
      <c r="H169" s="2528">
        <f t="shared" si="9"/>
        <v>57.862625467427677</v>
      </c>
      <c r="I169" s="2705"/>
      <c r="J169" s="2705"/>
      <c r="K169" s="2705"/>
      <c r="L169" s="2705"/>
      <c r="M169" s="2705"/>
      <c r="N169" s="2705"/>
      <c r="O169" s="2705"/>
      <c r="P169" s="2705"/>
      <c r="Q169" s="2705"/>
      <c r="R169" s="2705"/>
      <c r="S169" s="2705"/>
      <c r="T169" s="2705"/>
      <c r="U169" s="2705"/>
    </row>
    <row r="170" spans="1:21" s="2706" customFormat="1" ht="14.25" x14ac:dyDescent="0.2">
      <c r="A170" s="2793"/>
      <c r="B170" s="2794"/>
      <c r="C170" s="2796" t="s">
        <v>931</v>
      </c>
      <c r="D170" s="2708" t="s">
        <v>1876</v>
      </c>
      <c r="E170" s="2549">
        <v>1124</v>
      </c>
      <c r="F170" s="2485">
        <v>1083</v>
      </c>
      <c r="G170" s="2482">
        <v>166</v>
      </c>
      <c r="H170" s="2528">
        <f t="shared" si="9"/>
        <v>15.327793167128348</v>
      </c>
      <c r="I170" s="2705"/>
      <c r="J170" s="2705"/>
      <c r="K170" s="2705"/>
      <c r="L170" s="2705"/>
      <c r="M170" s="2705"/>
      <c r="N170" s="2705"/>
      <c r="O170" s="2705"/>
      <c r="P170" s="2705"/>
      <c r="Q170" s="2705"/>
      <c r="R170" s="2705"/>
      <c r="S170" s="2705"/>
      <c r="T170" s="2705"/>
      <c r="U170" s="2705"/>
    </row>
    <row r="171" spans="1:21" s="1816" customFormat="1" ht="15" x14ac:dyDescent="0.25">
      <c r="A171" s="2793">
        <v>3522</v>
      </c>
      <c r="B171" s="2794">
        <v>6122</v>
      </c>
      <c r="C171" s="2796"/>
      <c r="D171" s="1814" t="s">
        <v>313</v>
      </c>
      <c r="E171" s="1809">
        <f>E172</f>
        <v>0</v>
      </c>
      <c r="F171" s="1809">
        <f>F172</f>
        <v>66</v>
      </c>
      <c r="G171" s="1809">
        <f>G172</f>
        <v>66</v>
      </c>
      <c r="H171" s="1029">
        <f t="shared" si="9"/>
        <v>100</v>
      </c>
      <c r="I171" s="1810"/>
      <c r="J171" s="1810"/>
      <c r="K171" s="1810"/>
      <c r="L171" s="1810"/>
      <c r="M171" s="1810"/>
      <c r="N171" s="1810"/>
      <c r="O171" s="1810"/>
      <c r="P171" s="1810"/>
      <c r="Q171" s="1810"/>
      <c r="R171" s="1810"/>
      <c r="S171" s="1810"/>
      <c r="T171" s="1810"/>
      <c r="U171" s="1810"/>
    </row>
    <row r="172" spans="1:21" s="2706" customFormat="1" ht="15" thickBot="1" x14ac:dyDescent="0.25">
      <c r="A172" s="2850"/>
      <c r="B172" s="2563"/>
      <c r="C172" s="2845" t="s">
        <v>970</v>
      </c>
      <c r="D172" s="2851" t="s">
        <v>1605</v>
      </c>
      <c r="E172" s="2852">
        <v>0</v>
      </c>
      <c r="F172" s="2848">
        <v>66</v>
      </c>
      <c r="G172" s="2847">
        <v>66</v>
      </c>
      <c r="H172" s="2849">
        <f t="shared" si="9"/>
        <v>100</v>
      </c>
      <c r="I172" s="2705"/>
      <c r="J172" s="2705"/>
      <c r="K172" s="2705"/>
      <c r="L172" s="2705"/>
      <c r="M172" s="2705"/>
      <c r="N172" s="2705"/>
      <c r="O172" s="2705"/>
      <c r="P172" s="2705"/>
      <c r="Q172" s="2705"/>
      <c r="R172" s="2705"/>
      <c r="S172" s="2705"/>
      <c r="T172" s="2705"/>
      <c r="U172" s="2705"/>
    </row>
    <row r="173" spans="1:21" s="2706" customFormat="1" ht="15" thickTop="1" x14ac:dyDescent="0.2">
      <c r="A173" s="2554"/>
      <c r="B173" s="2554"/>
      <c r="C173" s="2806"/>
      <c r="D173" s="2708"/>
      <c r="E173" s="2709"/>
      <c r="F173" s="2485"/>
      <c r="G173" s="2485"/>
      <c r="H173" s="2853"/>
      <c r="I173" s="2705"/>
      <c r="J173" s="2705"/>
      <c r="K173" s="2705"/>
      <c r="L173" s="2705"/>
      <c r="M173" s="2705"/>
      <c r="N173" s="2705"/>
      <c r="O173" s="2705"/>
      <c r="P173" s="2705"/>
      <c r="Q173" s="2705"/>
      <c r="R173" s="2705"/>
      <c r="S173" s="2705"/>
      <c r="T173" s="2705"/>
      <c r="U173" s="2705"/>
    </row>
    <row r="174" spans="1:21" s="2706" customFormat="1" ht="14.25" x14ac:dyDescent="0.2">
      <c r="A174" s="2554"/>
      <c r="B174" s="2554"/>
      <c r="C174" s="2806"/>
      <c r="D174" s="2708"/>
      <c r="E174" s="2709"/>
      <c r="F174" s="2485"/>
      <c r="G174" s="2485"/>
      <c r="H174" s="2853"/>
      <c r="I174" s="2705"/>
      <c r="J174" s="2705"/>
      <c r="K174" s="2705"/>
      <c r="L174" s="2705"/>
      <c r="M174" s="2705"/>
      <c r="N174" s="2705"/>
      <c r="O174" s="2705"/>
      <c r="P174" s="2705"/>
      <c r="Q174" s="2705"/>
      <c r="R174" s="2705"/>
      <c r="S174" s="2705"/>
      <c r="T174" s="2705"/>
      <c r="U174" s="2705"/>
    </row>
    <row r="175" spans="1:21" s="2706" customFormat="1" ht="14.25" x14ac:dyDescent="0.2">
      <c r="A175" s="2554"/>
      <c r="B175" s="2554"/>
      <c r="C175" s="2806"/>
      <c r="D175" s="2708"/>
      <c r="E175" s="2709"/>
      <c r="F175" s="2485"/>
      <c r="G175" s="2485"/>
      <c r="H175" s="2853"/>
      <c r="I175" s="2705"/>
      <c r="J175" s="2705"/>
      <c r="K175" s="2705"/>
      <c r="L175" s="2705"/>
      <c r="M175" s="2705"/>
      <c r="N175" s="2705"/>
      <c r="O175" s="2705"/>
      <c r="P175" s="2705"/>
      <c r="Q175" s="2705"/>
      <c r="R175" s="2705"/>
      <c r="S175" s="2705"/>
      <c r="T175" s="2705"/>
      <c r="U175" s="2705"/>
    </row>
    <row r="176" spans="1:21" s="2706" customFormat="1" ht="13.5" thickBot="1" x14ac:dyDescent="0.25">
      <c r="A176" s="1050"/>
      <c r="B176" s="1050"/>
      <c r="C176" s="1070"/>
      <c r="D176" s="997"/>
      <c r="E176" s="1002"/>
      <c r="F176" s="1048"/>
      <c r="G176" s="1002"/>
      <c r="H176" s="1753" t="s">
        <v>92</v>
      </c>
      <c r="I176" s="2705"/>
      <c r="J176" s="2705"/>
      <c r="K176" s="2705"/>
      <c r="L176" s="2705"/>
      <c r="M176" s="2705"/>
      <c r="N176" s="2705"/>
      <c r="O176" s="2705"/>
      <c r="P176" s="2705"/>
      <c r="Q176" s="2705"/>
      <c r="R176" s="2705"/>
      <c r="S176" s="2705"/>
      <c r="T176" s="2705"/>
      <c r="U176" s="2705"/>
    </row>
    <row r="177" spans="1:21" s="2706" customFormat="1" ht="14.25" thickTop="1" thickBot="1" x14ac:dyDescent="0.25">
      <c r="A177" s="1998" t="s">
        <v>93</v>
      </c>
      <c r="B177" s="1997" t="s">
        <v>94</v>
      </c>
      <c r="C177" s="1996" t="s">
        <v>364</v>
      </c>
      <c r="D177" s="1996" t="s">
        <v>95</v>
      </c>
      <c r="E177" s="1069" t="s">
        <v>328</v>
      </c>
      <c r="F177" s="1069" t="s">
        <v>329</v>
      </c>
      <c r="G177" s="1749" t="s">
        <v>448</v>
      </c>
      <c r="H177" s="1784" t="s">
        <v>449</v>
      </c>
      <c r="I177" s="2705"/>
      <c r="J177" s="2705"/>
      <c r="K177" s="2705"/>
      <c r="L177" s="2705"/>
      <c r="M177" s="2705"/>
      <c r="N177" s="2705"/>
      <c r="O177" s="2705"/>
      <c r="P177" s="2705"/>
      <c r="Q177" s="2705"/>
      <c r="R177" s="2705"/>
      <c r="S177" s="2705"/>
      <c r="T177" s="2705"/>
      <c r="U177" s="2705"/>
    </row>
    <row r="178" spans="1:21" s="2706" customFormat="1" ht="14.25" thickTop="1" thickBot="1" x14ac:dyDescent="0.25">
      <c r="A178" s="1042">
        <v>1</v>
      </c>
      <c r="B178" s="1041">
        <v>2</v>
      </c>
      <c r="C178" s="1041">
        <v>3</v>
      </c>
      <c r="D178" s="1041">
        <v>4</v>
      </c>
      <c r="E178" s="1041">
        <v>5</v>
      </c>
      <c r="F178" s="1040">
        <v>6</v>
      </c>
      <c r="G178" s="1040">
        <v>7</v>
      </c>
      <c r="H178" s="1039" t="s">
        <v>33</v>
      </c>
      <c r="I178" s="2705"/>
      <c r="J178" s="2705"/>
      <c r="K178" s="2705"/>
      <c r="L178" s="2705"/>
      <c r="M178" s="2705"/>
      <c r="N178" s="2705"/>
      <c r="O178" s="2705"/>
      <c r="P178" s="2705"/>
      <c r="Q178" s="2705"/>
      <c r="R178" s="2705"/>
      <c r="S178" s="2705"/>
      <c r="T178" s="2705"/>
      <c r="U178" s="2705"/>
    </row>
    <row r="179" spans="1:21" s="1816" customFormat="1" ht="15.75" thickTop="1" x14ac:dyDescent="0.25">
      <c r="A179" s="2793">
        <v>3523</v>
      </c>
      <c r="B179" s="2794">
        <v>6121</v>
      </c>
      <c r="C179" s="2796"/>
      <c r="D179" s="1814" t="s">
        <v>312</v>
      </c>
      <c r="E179" s="1809">
        <f>E180</f>
        <v>0</v>
      </c>
      <c r="F179" s="1809">
        <f>F180</f>
        <v>8557</v>
      </c>
      <c r="G179" s="1809">
        <f>G180</f>
        <v>2995</v>
      </c>
      <c r="H179" s="1990">
        <f t="shared" si="9"/>
        <v>35.000584316933505</v>
      </c>
      <c r="I179" s="1810"/>
      <c r="J179" s="1810"/>
      <c r="K179" s="1810"/>
      <c r="L179" s="1810"/>
      <c r="M179" s="1810"/>
      <c r="N179" s="1810"/>
      <c r="O179" s="1810"/>
      <c r="P179" s="1810"/>
      <c r="Q179" s="1810"/>
      <c r="R179" s="1810"/>
      <c r="S179" s="1810"/>
      <c r="T179" s="1810"/>
      <c r="U179" s="1810"/>
    </row>
    <row r="180" spans="1:21" s="2706" customFormat="1" ht="25.5" x14ac:dyDescent="0.2">
      <c r="A180" s="2793"/>
      <c r="B180" s="2794"/>
      <c r="C180" s="2796" t="s">
        <v>963</v>
      </c>
      <c r="D180" s="2704" t="s">
        <v>1355</v>
      </c>
      <c r="E180" s="2549">
        <v>0</v>
      </c>
      <c r="F180" s="2485">
        <v>8557</v>
      </c>
      <c r="G180" s="2482">
        <v>2995</v>
      </c>
      <c r="H180" s="2528">
        <f t="shared" si="9"/>
        <v>35.000584316933505</v>
      </c>
      <c r="I180" s="2705"/>
      <c r="J180" s="2705"/>
      <c r="K180" s="2705"/>
      <c r="L180" s="2705"/>
      <c r="M180" s="2705"/>
      <c r="N180" s="2705"/>
      <c r="O180" s="2705"/>
      <c r="P180" s="2705"/>
      <c r="Q180" s="2705"/>
      <c r="R180" s="2705"/>
      <c r="S180" s="2705"/>
      <c r="T180" s="2705"/>
      <c r="U180" s="2705"/>
    </row>
    <row r="181" spans="1:21" s="1816" customFormat="1" ht="15" hidden="1" x14ac:dyDescent="0.25">
      <c r="A181" s="2793">
        <v>3529</v>
      </c>
      <c r="B181" s="2794">
        <v>6121</v>
      </c>
      <c r="C181" s="2796"/>
      <c r="D181" s="1814" t="s">
        <v>312</v>
      </c>
      <c r="E181" s="1809">
        <f>E182</f>
        <v>0</v>
      </c>
      <c r="F181" s="1031">
        <f>F182</f>
        <v>0</v>
      </c>
      <c r="G181" s="1030">
        <f>G182</f>
        <v>0</v>
      </c>
      <c r="H181" s="1029" t="e">
        <f t="shared" si="9"/>
        <v>#DIV/0!</v>
      </c>
      <c r="I181" s="1810"/>
      <c r="J181" s="1810"/>
      <c r="K181" s="1810"/>
      <c r="L181" s="1810"/>
      <c r="M181" s="1810"/>
      <c r="N181" s="1810"/>
      <c r="O181" s="1810"/>
      <c r="P181" s="1810"/>
      <c r="Q181" s="1810"/>
      <c r="R181" s="1810"/>
      <c r="S181" s="1810"/>
      <c r="T181" s="1810"/>
      <c r="U181" s="1810"/>
    </row>
    <row r="182" spans="1:21" s="2706" customFormat="1" ht="25.5" hidden="1" x14ac:dyDescent="0.2">
      <c r="A182" s="2793"/>
      <c r="B182" s="2794"/>
      <c r="C182" s="2796" t="s">
        <v>963</v>
      </c>
      <c r="D182" s="2704" t="s">
        <v>1355</v>
      </c>
      <c r="E182" s="2549"/>
      <c r="F182" s="2485"/>
      <c r="G182" s="2482"/>
      <c r="H182" s="2528" t="e">
        <f t="shared" si="9"/>
        <v>#DIV/0!</v>
      </c>
      <c r="I182" s="2705"/>
      <c r="J182" s="2705"/>
      <c r="K182" s="2705"/>
      <c r="L182" s="2705"/>
      <c r="M182" s="2705"/>
      <c r="N182" s="2705"/>
      <c r="O182" s="2705"/>
      <c r="P182" s="2705"/>
      <c r="Q182" s="2705"/>
      <c r="R182" s="2705"/>
      <c r="S182" s="2705"/>
      <c r="T182" s="2705"/>
      <c r="U182" s="2705"/>
    </row>
    <row r="183" spans="1:21" s="1816" customFormat="1" ht="15" x14ac:dyDescent="0.25">
      <c r="A183" s="2793">
        <v>3533</v>
      </c>
      <c r="B183" s="2794">
        <v>6121</v>
      </c>
      <c r="C183" s="2796"/>
      <c r="D183" s="1814" t="s">
        <v>312</v>
      </c>
      <c r="E183" s="1809">
        <f>E184</f>
        <v>4912</v>
      </c>
      <c r="F183" s="1809">
        <f>F184</f>
        <v>208</v>
      </c>
      <c r="G183" s="1809">
        <f>G184</f>
        <v>101</v>
      </c>
      <c r="H183" s="1990">
        <f t="shared" si="9"/>
        <v>48.557692307692307</v>
      </c>
      <c r="I183" s="1810"/>
      <c r="J183" s="1810"/>
      <c r="K183" s="1810"/>
      <c r="L183" s="1810"/>
      <c r="M183" s="1810"/>
      <c r="N183" s="1810"/>
      <c r="O183" s="1810"/>
      <c r="P183" s="1810"/>
      <c r="Q183" s="1810"/>
      <c r="R183" s="1810"/>
      <c r="S183" s="1810"/>
      <c r="T183" s="1810"/>
      <c r="U183" s="1810"/>
    </row>
    <row r="184" spans="1:21" s="2706" customFormat="1" ht="25.5" x14ac:dyDescent="0.2">
      <c r="A184" s="2793"/>
      <c r="B184" s="2794"/>
      <c r="C184" s="2796" t="s">
        <v>963</v>
      </c>
      <c r="D184" s="2704" t="s">
        <v>1355</v>
      </c>
      <c r="E184" s="2549">
        <v>4912</v>
      </c>
      <c r="F184" s="2485">
        <v>208</v>
      </c>
      <c r="G184" s="2482">
        <v>101</v>
      </c>
      <c r="H184" s="2528">
        <f t="shared" si="9"/>
        <v>48.557692307692307</v>
      </c>
      <c r="I184" s="2705"/>
      <c r="J184" s="2705"/>
      <c r="K184" s="2705"/>
      <c r="L184" s="2705"/>
      <c r="M184" s="2705"/>
      <c r="N184" s="2705"/>
      <c r="O184" s="2705"/>
      <c r="P184" s="2705"/>
      <c r="Q184" s="2705"/>
      <c r="R184" s="2705"/>
      <c r="S184" s="2705"/>
      <c r="T184" s="2705"/>
      <c r="U184" s="2705"/>
    </row>
    <row r="185" spans="1:21" s="1816" customFormat="1" ht="15" x14ac:dyDescent="0.25">
      <c r="A185" s="2793">
        <v>3533</v>
      </c>
      <c r="B185" s="2794">
        <v>6122</v>
      </c>
      <c r="C185" s="2796"/>
      <c r="D185" s="1814" t="s">
        <v>313</v>
      </c>
      <c r="E185" s="1809">
        <f>E186</f>
        <v>0</v>
      </c>
      <c r="F185" s="1809">
        <f>F186</f>
        <v>8469</v>
      </c>
      <c r="G185" s="1809">
        <f>G186</f>
        <v>8469</v>
      </c>
      <c r="H185" s="1990">
        <f t="shared" si="9"/>
        <v>100</v>
      </c>
      <c r="I185" s="1810"/>
      <c r="J185" s="1810"/>
      <c r="K185" s="1810"/>
      <c r="L185" s="1810"/>
      <c r="M185" s="1810"/>
      <c r="N185" s="1810"/>
      <c r="O185" s="1810"/>
      <c r="P185" s="1810"/>
      <c r="Q185" s="1810"/>
      <c r="R185" s="1810"/>
      <c r="S185" s="1810"/>
      <c r="T185" s="1810"/>
      <c r="U185" s="1810"/>
    </row>
    <row r="186" spans="1:21" s="2706" customFormat="1" ht="25.5" x14ac:dyDescent="0.2">
      <c r="A186" s="2793"/>
      <c r="B186" s="2794"/>
      <c r="C186" s="2796" t="s">
        <v>963</v>
      </c>
      <c r="D186" s="2704" t="s">
        <v>1355</v>
      </c>
      <c r="E186" s="2549">
        <v>0</v>
      </c>
      <c r="F186" s="2485">
        <v>8469</v>
      </c>
      <c r="G186" s="2482">
        <v>8469</v>
      </c>
      <c r="H186" s="2528">
        <f t="shared" si="9"/>
        <v>100</v>
      </c>
      <c r="I186" s="2705"/>
      <c r="J186" s="2705"/>
      <c r="K186" s="2705"/>
      <c r="L186" s="2705"/>
      <c r="M186" s="2705"/>
      <c r="N186" s="2705"/>
      <c r="O186" s="2705"/>
      <c r="P186" s="2705"/>
      <c r="Q186" s="2705"/>
      <c r="R186" s="2705"/>
      <c r="S186" s="2705"/>
      <c r="T186" s="2705"/>
      <c r="U186" s="2705"/>
    </row>
    <row r="187" spans="1:21" s="1816" customFormat="1" ht="15" x14ac:dyDescent="0.25">
      <c r="A187" s="2793">
        <v>3533</v>
      </c>
      <c r="B187" s="2794">
        <v>6123</v>
      </c>
      <c r="C187" s="2796"/>
      <c r="D187" s="1814" t="s">
        <v>586</v>
      </c>
      <c r="E187" s="1030">
        <f>E188</f>
        <v>0</v>
      </c>
      <c r="F187" s="1031">
        <f>F188</f>
        <v>15804</v>
      </c>
      <c r="G187" s="1030">
        <f>G188</f>
        <v>15804</v>
      </c>
      <c r="H187" s="1029">
        <f t="shared" si="9"/>
        <v>100</v>
      </c>
      <c r="I187" s="1810"/>
      <c r="J187" s="1810"/>
      <c r="K187" s="1810"/>
      <c r="L187" s="1810"/>
      <c r="M187" s="1810"/>
      <c r="N187" s="1810"/>
      <c r="O187" s="1810"/>
      <c r="P187" s="1810"/>
      <c r="Q187" s="1810"/>
      <c r="R187" s="1810"/>
      <c r="S187" s="1810"/>
      <c r="T187" s="1810"/>
      <c r="U187" s="1810"/>
    </row>
    <row r="188" spans="1:21" s="2706" customFormat="1" ht="25.5" x14ac:dyDescent="0.2">
      <c r="A188" s="2793"/>
      <c r="B188" s="2794"/>
      <c r="C188" s="2796" t="s">
        <v>963</v>
      </c>
      <c r="D188" s="2704" t="s">
        <v>1355</v>
      </c>
      <c r="E188" s="2549">
        <v>0</v>
      </c>
      <c r="F188" s="2485">
        <v>15804</v>
      </c>
      <c r="G188" s="2482">
        <v>15804</v>
      </c>
      <c r="H188" s="2528">
        <f t="shared" si="9"/>
        <v>100</v>
      </c>
      <c r="I188" s="2705"/>
      <c r="J188" s="2705"/>
      <c r="K188" s="2705"/>
      <c r="L188" s="2705"/>
      <c r="M188" s="2705"/>
      <c r="N188" s="2705"/>
      <c r="O188" s="2705"/>
      <c r="P188" s="2705"/>
      <c r="Q188" s="2705"/>
      <c r="R188" s="2705"/>
      <c r="S188" s="2705"/>
      <c r="T188" s="2705"/>
      <c r="U188" s="2705"/>
    </row>
    <row r="189" spans="1:21" s="1816" customFormat="1" ht="15" x14ac:dyDescent="0.25">
      <c r="A189" s="2793">
        <v>4350</v>
      </c>
      <c r="B189" s="2794">
        <v>6121</v>
      </c>
      <c r="C189" s="2796"/>
      <c r="D189" s="1814" t="s">
        <v>312</v>
      </c>
      <c r="E189" s="1809">
        <f>E190</f>
        <v>24099</v>
      </c>
      <c r="F189" s="1031">
        <f>F190</f>
        <v>22813</v>
      </c>
      <c r="G189" s="1030">
        <f>G190</f>
        <v>22044</v>
      </c>
      <c r="H189" s="1029">
        <f t="shared" si="9"/>
        <v>96.629114978301843</v>
      </c>
      <c r="I189" s="1810"/>
      <c r="J189" s="1810"/>
      <c r="K189" s="1810"/>
      <c r="L189" s="1810"/>
      <c r="M189" s="1810"/>
      <c r="N189" s="1810"/>
      <c r="O189" s="1810"/>
      <c r="P189" s="1810"/>
      <c r="Q189" s="1810"/>
      <c r="R189" s="1810"/>
      <c r="S189" s="1810"/>
      <c r="T189" s="1810"/>
      <c r="U189" s="1810"/>
    </row>
    <row r="190" spans="1:21" s="2706" customFormat="1" ht="25.5" x14ac:dyDescent="0.2">
      <c r="A190" s="2793"/>
      <c r="B190" s="2794"/>
      <c r="C190" s="2796" t="s">
        <v>971</v>
      </c>
      <c r="D190" s="2704" t="s">
        <v>1606</v>
      </c>
      <c r="E190" s="2549">
        <v>24099</v>
      </c>
      <c r="F190" s="2485">
        <v>22813</v>
      </c>
      <c r="G190" s="2482">
        <v>22044</v>
      </c>
      <c r="H190" s="2528">
        <f t="shared" si="9"/>
        <v>96.629114978301843</v>
      </c>
      <c r="I190" s="2705"/>
      <c r="J190" s="2705"/>
      <c r="K190" s="2705"/>
      <c r="L190" s="2705"/>
      <c r="M190" s="2705"/>
      <c r="N190" s="2705"/>
      <c r="O190" s="2705"/>
      <c r="P190" s="2705"/>
      <c r="Q190" s="2705"/>
      <c r="R190" s="2705"/>
      <c r="S190" s="2705"/>
      <c r="T190" s="2705"/>
      <c r="U190" s="2705"/>
    </row>
    <row r="191" spans="1:21" s="1816" customFormat="1" ht="15" x14ac:dyDescent="0.25">
      <c r="A191" s="2793">
        <v>4350</v>
      </c>
      <c r="B191" s="2794">
        <v>6122</v>
      </c>
      <c r="C191" s="2796"/>
      <c r="D191" s="1814" t="s">
        <v>313</v>
      </c>
      <c r="E191" s="1030">
        <f>E192</f>
        <v>0</v>
      </c>
      <c r="F191" s="1031">
        <f>F192</f>
        <v>816</v>
      </c>
      <c r="G191" s="1030">
        <f>G192</f>
        <v>816</v>
      </c>
      <c r="H191" s="1029">
        <f t="shared" si="9"/>
        <v>100</v>
      </c>
      <c r="I191" s="1810"/>
      <c r="J191" s="1810"/>
      <c r="K191" s="1810"/>
      <c r="L191" s="1810"/>
      <c r="M191" s="1810"/>
      <c r="N191" s="1810"/>
      <c r="O191" s="1810"/>
      <c r="P191" s="1810"/>
      <c r="Q191" s="1810"/>
      <c r="R191" s="1810"/>
      <c r="S191" s="1810"/>
      <c r="T191" s="1810"/>
      <c r="U191" s="1810"/>
    </row>
    <row r="192" spans="1:21" s="2706" customFormat="1" ht="25.5" x14ac:dyDescent="0.2">
      <c r="A192" s="2793"/>
      <c r="B192" s="2794"/>
      <c r="C192" s="2796" t="s">
        <v>971</v>
      </c>
      <c r="D192" s="2704" t="s">
        <v>1606</v>
      </c>
      <c r="E192" s="2549">
        <v>0</v>
      </c>
      <c r="F192" s="2485">
        <v>816</v>
      </c>
      <c r="G192" s="2482">
        <v>816</v>
      </c>
      <c r="H192" s="2528">
        <f t="shared" si="9"/>
        <v>100</v>
      </c>
      <c r="I192" s="2705"/>
      <c r="J192" s="2705"/>
      <c r="K192" s="2705"/>
      <c r="L192" s="2705"/>
      <c r="M192" s="2705"/>
      <c r="N192" s="2705"/>
      <c r="O192" s="2705"/>
      <c r="P192" s="2705"/>
      <c r="Q192" s="2705"/>
      <c r="R192" s="2705"/>
      <c r="S192" s="2705"/>
      <c r="T192" s="2705"/>
      <c r="U192" s="2705"/>
    </row>
    <row r="193" spans="1:21" s="1816" customFormat="1" ht="15" x14ac:dyDescent="0.25">
      <c r="A193" s="2793">
        <v>4351</v>
      </c>
      <c r="B193" s="2794">
        <v>6121</v>
      </c>
      <c r="C193" s="2796"/>
      <c r="D193" s="1814" t="s">
        <v>312</v>
      </c>
      <c r="E193" s="1809">
        <f>E194</f>
        <v>22000</v>
      </c>
      <c r="F193" s="1809">
        <f>F194</f>
        <v>20887</v>
      </c>
      <c r="G193" s="1809">
        <f>G194</f>
        <v>11729</v>
      </c>
      <c r="H193" s="1029">
        <f t="shared" si="9"/>
        <v>56.154545889787912</v>
      </c>
      <c r="I193" s="1810"/>
      <c r="J193" s="1810"/>
      <c r="K193" s="1810"/>
      <c r="L193" s="1810"/>
      <c r="M193" s="1810"/>
      <c r="N193" s="1810"/>
      <c r="O193" s="1810"/>
      <c r="P193" s="1810"/>
      <c r="Q193" s="1810"/>
      <c r="R193" s="1810"/>
      <c r="S193" s="1810"/>
      <c r="T193" s="1810"/>
      <c r="U193" s="1810"/>
    </row>
    <row r="194" spans="1:21" s="2706" customFormat="1" ht="25.5" x14ac:dyDescent="0.2">
      <c r="A194" s="2793"/>
      <c r="B194" s="2794"/>
      <c r="C194" s="2796" t="s">
        <v>971</v>
      </c>
      <c r="D194" s="2704" t="s">
        <v>1606</v>
      </c>
      <c r="E194" s="2549">
        <v>22000</v>
      </c>
      <c r="F194" s="2709">
        <v>20887</v>
      </c>
      <c r="G194" s="2549">
        <v>11729</v>
      </c>
      <c r="H194" s="2528">
        <f t="shared" si="9"/>
        <v>56.154545889787912</v>
      </c>
      <c r="I194" s="2705"/>
      <c r="J194" s="2705"/>
      <c r="K194" s="2705"/>
      <c r="L194" s="2705"/>
      <c r="M194" s="2705"/>
      <c r="N194" s="2705"/>
      <c r="O194" s="2705"/>
      <c r="P194" s="2705"/>
      <c r="Q194" s="2705"/>
      <c r="R194" s="2705"/>
      <c r="S194" s="2705"/>
      <c r="T194" s="2705"/>
      <c r="U194" s="2705"/>
    </row>
    <row r="195" spans="1:21" s="2706" customFormat="1" ht="15" x14ac:dyDescent="0.25">
      <c r="A195" s="2793">
        <v>4351</v>
      </c>
      <c r="B195" s="2794">
        <v>6122</v>
      </c>
      <c r="C195" s="2796"/>
      <c r="D195" s="1814" t="s">
        <v>313</v>
      </c>
      <c r="E195" s="1809">
        <f>E196</f>
        <v>0</v>
      </c>
      <c r="F195" s="1809">
        <f>F196</f>
        <v>1140</v>
      </c>
      <c r="G195" s="1809">
        <f>G196</f>
        <v>305</v>
      </c>
      <c r="H195" s="1029">
        <f t="shared" ref="H195:H196" si="17">(G195/F195)*100</f>
        <v>26.754385964912281</v>
      </c>
      <c r="I195" s="2705"/>
      <c r="J195" s="2705"/>
      <c r="K195" s="2705"/>
      <c r="L195" s="2705"/>
      <c r="M195" s="2705"/>
      <c r="N195" s="2705"/>
      <c r="O195" s="2705"/>
      <c r="P195" s="2705"/>
      <c r="Q195" s="2705"/>
      <c r="R195" s="2705"/>
      <c r="S195" s="2705"/>
      <c r="T195" s="2705"/>
      <c r="U195" s="2705"/>
    </row>
    <row r="196" spans="1:21" s="2706" customFormat="1" ht="25.5" x14ac:dyDescent="0.2">
      <c r="A196" s="2793"/>
      <c r="B196" s="2794"/>
      <c r="C196" s="2796" t="s">
        <v>971</v>
      </c>
      <c r="D196" s="2704" t="s">
        <v>1606</v>
      </c>
      <c r="E196" s="2549">
        <v>0</v>
      </c>
      <c r="F196" s="2709">
        <v>1140</v>
      </c>
      <c r="G196" s="2549">
        <v>305</v>
      </c>
      <c r="H196" s="2528">
        <f t="shared" si="17"/>
        <v>26.754385964912281</v>
      </c>
      <c r="I196" s="2705"/>
      <c r="J196" s="2705"/>
      <c r="K196" s="2705"/>
      <c r="L196" s="2705"/>
      <c r="M196" s="2705"/>
      <c r="N196" s="2705"/>
      <c r="O196" s="2705"/>
      <c r="P196" s="2705"/>
      <c r="Q196" s="2705"/>
      <c r="R196" s="2705"/>
      <c r="S196" s="2705"/>
      <c r="T196" s="2705"/>
      <c r="U196" s="2705"/>
    </row>
    <row r="197" spans="1:21" s="1816" customFormat="1" ht="15" x14ac:dyDescent="0.25">
      <c r="A197" s="2793">
        <v>4357</v>
      </c>
      <c r="B197" s="2794">
        <v>6121</v>
      </c>
      <c r="C197" s="2796"/>
      <c r="D197" s="1814" t="s">
        <v>312</v>
      </c>
      <c r="E197" s="1809">
        <f>E198</f>
        <v>20215</v>
      </c>
      <c r="F197" s="1030">
        <f>F198</f>
        <v>16853</v>
      </c>
      <c r="G197" s="1030">
        <f>G198</f>
        <v>8408</v>
      </c>
      <c r="H197" s="1029">
        <f t="shared" si="9"/>
        <v>49.890227259241676</v>
      </c>
      <c r="I197" s="1810"/>
      <c r="J197" s="1810"/>
      <c r="K197" s="1810"/>
      <c r="L197" s="1810"/>
      <c r="M197" s="1810"/>
      <c r="N197" s="1810"/>
      <c r="O197" s="1810"/>
      <c r="P197" s="1810"/>
      <c r="Q197" s="1810"/>
      <c r="R197" s="1810"/>
      <c r="S197" s="1810"/>
      <c r="T197" s="1810"/>
      <c r="U197" s="1810"/>
    </row>
    <row r="198" spans="1:21" s="2706" customFormat="1" ht="25.5" x14ac:dyDescent="0.2">
      <c r="A198" s="2793"/>
      <c r="B198" s="2794"/>
      <c r="C198" s="2796" t="s">
        <v>971</v>
      </c>
      <c r="D198" s="2704" t="s">
        <v>1606</v>
      </c>
      <c r="E198" s="2549">
        <v>20215</v>
      </c>
      <c r="F198" s="2485">
        <v>16853</v>
      </c>
      <c r="G198" s="2482">
        <v>8408</v>
      </c>
      <c r="H198" s="2528">
        <f t="shared" si="9"/>
        <v>49.890227259241676</v>
      </c>
      <c r="I198" s="2705"/>
      <c r="J198" s="2705"/>
      <c r="K198" s="2705"/>
      <c r="L198" s="2705"/>
      <c r="M198" s="2705"/>
      <c r="N198" s="2705"/>
      <c r="O198" s="2705"/>
      <c r="P198" s="2705"/>
      <c r="Q198" s="2705"/>
      <c r="R198" s="2705"/>
      <c r="S198" s="2705"/>
      <c r="T198" s="2705"/>
      <c r="U198" s="2705"/>
    </row>
    <row r="199" spans="1:21" s="1816" customFormat="1" ht="15" x14ac:dyDescent="0.25">
      <c r="A199" s="2793">
        <v>4357</v>
      </c>
      <c r="B199" s="2794">
        <v>6122</v>
      </c>
      <c r="C199" s="2796"/>
      <c r="D199" s="1814" t="s">
        <v>313</v>
      </c>
      <c r="E199" s="1030">
        <f>E200</f>
        <v>0</v>
      </c>
      <c r="F199" s="1030">
        <f>F200</f>
        <v>333</v>
      </c>
      <c r="G199" s="1030">
        <f>G200</f>
        <v>333</v>
      </c>
      <c r="H199" s="1029">
        <f t="shared" si="9"/>
        <v>100</v>
      </c>
      <c r="I199" s="1810"/>
      <c r="J199" s="1810"/>
      <c r="K199" s="1810"/>
      <c r="L199" s="1810"/>
      <c r="M199" s="1810"/>
      <c r="N199" s="1810"/>
      <c r="O199" s="1810"/>
      <c r="P199" s="1810"/>
      <c r="Q199" s="1810"/>
      <c r="R199" s="1810"/>
      <c r="S199" s="1810"/>
      <c r="T199" s="1810"/>
      <c r="U199" s="1810"/>
    </row>
    <row r="200" spans="1:21" s="2706" customFormat="1" ht="26.25" thickBot="1" x14ac:dyDescent="0.25">
      <c r="A200" s="2793"/>
      <c r="B200" s="2794"/>
      <c r="C200" s="2796" t="s">
        <v>971</v>
      </c>
      <c r="D200" s="2704" t="s">
        <v>1606</v>
      </c>
      <c r="E200" s="2549">
        <v>0</v>
      </c>
      <c r="F200" s="2485">
        <v>333</v>
      </c>
      <c r="G200" s="2482">
        <v>333</v>
      </c>
      <c r="H200" s="2528">
        <f t="shared" si="9"/>
        <v>100</v>
      </c>
      <c r="I200" s="2705"/>
      <c r="J200" s="2705"/>
      <c r="K200" s="2705"/>
      <c r="L200" s="2705"/>
      <c r="M200" s="2705"/>
      <c r="N200" s="2705"/>
      <c r="O200" s="2705"/>
      <c r="P200" s="2705"/>
      <c r="Q200" s="2705"/>
      <c r="R200" s="2705"/>
      <c r="S200" s="2705"/>
      <c r="T200" s="2705"/>
      <c r="U200" s="2705"/>
    </row>
    <row r="201" spans="1:21" s="1816" customFormat="1" ht="15" hidden="1" x14ac:dyDescent="0.25">
      <c r="A201" s="2793">
        <v>4357</v>
      </c>
      <c r="B201" s="2794">
        <v>6125</v>
      </c>
      <c r="C201" s="2796"/>
      <c r="D201" s="1130" t="s">
        <v>103</v>
      </c>
      <c r="E201" s="1807"/>
      <c r="F201" s="1030">
        <f>F202</f>
        <v>0</v>
      </c>
      <c r="G201" s="1030">
        <f>G202</f>
        <v>0</v>
      </c>
      <c r="H201" s="1029" t="e">
        <f t="shared" si="9"/>
        <v>#DIV/0!</v>
      </c>
      <c r="I201" s="1810"/>
      <c r="J201" s="1810"/>
      <c r="K201" s="1810"/>
      <c r="L201" s="1810"/>
      <c r="M201" s="1810"/>
      <c r="N201" s="1810"/>
      <c r="O201" s="1810"/>
      <c r="P201" s="1810"/>
      <c r="Q201" s="1810"/>
      <c r="R201" s="1810"/>
      <c r="S201" s="1810"/>
      <c r="T201" s="1810"/>
      <c r="U201" s="1810"/>
    </row>
    <row r="202" spans="1:21" s="2706" customFormat="1" ht="25.5" hidden="1" x14ac:dyDescent="0.2">
      <c r="A202" s="2793"/>
      <c r="B202" s="2794"/>
      <c r="C202" s="2796" t="s">
        <v>971</v>
      </c>
      <c r="D202" s="2704" t="s">
        <v>1606</v>
      </c>
      <c r="E202" s="2549"/>
      <c r="F202" s="2485"/>
      <c r="G202" s="2482"/>
      <c r="H202" s="2528" t="e">
        <f t="shared" si="9"/>
        <v>#DIV/0!</v>
      </c>
      <c r="I202" s="2705"/>
      <c r="J202" s="2705"/>
      <c r="K202" s="2705"/>
      <c r="L202" s="2705"/>
      <c r="M202" s="2705"/>
      <c r="N202" s="2705"/>
      <c r="O202" s="2705"/>
      <c r="P202" s="2705"/>
      <c r="Q202" s="2705"/>
      <c r="R202" s="2705"/>
      <c r="S202" s="2705"/>
      <c r="T202" s="2705"/>
      <c r="U202" s="2705"/>
    </row>
    <row r="203" spans="1:21" s="1816" customFormat="1" ht="15" hidden="1" x14ac:dyDescent="0.25">
      <c r="A203" s="2793">
        <v>4358</v>
      </c>
      <c r="B203" s="2794">
        <v>6121</v>
      </c>
      <c r="C203" s="2796"/>
      <c r="D203" s="1814" t="s">
        <v>312</v>
      </c>
      <c r="E203" s="1030">
        <f>E204</f>
        <v>0</v>
      </c>
      <c r="F203" s="1030">
        <f>F204</f>
        <v>0</v>
      </c>
      <c r="G203" s="1030">
        <f>G204</f>
        <v>0</v>
      </c>
      <c r="H203" s="1029">
        <v>0</v>
      </c>
      <c r="I203" s="1810"/>
      <c r="J203" s="1810"/>
      <c r="K203" s="1810"/>
      <c r="L203" s="1810"/>
      <c r="M203" s="1810"/>
      <c r="N203" s="1810"/>
      <c r="O203" s="1810"/>
      <c r="P203" s="1810"/>
      <c r="Q203" s="1810"/>
      <c r="R203" s="1810"/>
      <c r="S203" s="1810"/>
      <c r="T203" s="1810"/>
      <c r="U203" s="1810"/>
    </row>
    <row r="204" spans="1:21" s="2706" customFormat="1" ht="26.25" hidden="1" thickBot="1" x14ac:dyDescent="0.25">
      <c r="A204" s="2793"/>
      <c r="B204" s="2794"/>
      <c r="C204" s="2796" t="s">
        <v>971</v>
      </c>
      <c r="D204" s="2704" t="s">
        <v>1606</v>
      </c>
      <c r="E204" s="2549"/>
      <c r="F204" s="2485"/>
      <c r="G204" s="2482"/>
      <c r="H204" s="2528">
        <v>0</v>
      </c>
      <c r="I204" s="2705"/>
      <c r="J204" s="2705"/>
      <c r="K204" s="2705"/>
      <c r="L204" s="2705"/>
      <c r="M204" s="2705"/>
      <c r="N204" s="2705"/>
      <c r="O204" s="2705"/>
      <c r="P204" s="2705"/>
      <c r="Q204" s="2705"/>
      <c r="R204" s="2705"/>
      <c r="S204" s="2705"/>
      <c r="T204" s="2705"/>
      <c r="U204" s="2705"/>
    </row>
    <row r="205" spans="1:21" s="1014" customFormat="1" ht="23.25" customHeight="1" thickTop="1" thickBot="1" x14ac:dyDescent="0.35">
      <c r="A205" s="1020" t="s">
        <v>133</v>
      </c>
      <c r="B205" s="1987"/>
      <c r="C205" s="1986"/>
      <c r="D205" s="1985"/>
      <c r="E205" s="1016">
        <f>E203+E197+E193+E189+E187+E181+E179+E168+E164+E162+E158+E156+E154+E152+E148+E142+E136+E134+E130+E124+E122+E120+E128+E132+E138+E140+E144+E146+E150+E183+E185+E195+E199+E201</f>
        <v>329339</v>
      </c>
      <c r="F205" s="1016">
        <f>F203+F197+F193+F189+F187+F181+F179+F168+F164+F162+F158+F156+F154+F152+F148+F142+F136+F134+F130+F124+F122+F120+F128+F132+F138+F140+F144+F146+F150+F183+F185+F195+F199+F201+F166+F171+F191</f>
        <v>383265</v>
      </c>
      <c r="G205" s="1016">
        <f>G203+G197+G193+G189+G187+G181+G179+G168+G164+G162+G158+G156+G154+G152+G148+G142+G136+G134+G130+G124+G122+G120+G128+G132+G138+G140+G144+G146+G150+G183+G185+G195+G199+G201+G166+G171+G191</f>
        <v>288877</v>
      </c>
      <c r="H205" s="1871">
        <f>G205/F205*100</f>
        <v>75.37265338603838</v>
      </c>
      <c r="J205" s="1984">
        <v>329339000</v>
      </c>
      <c r="K205" s="1984">
        <v>383264628.52999997</v>
      </c>
      <c r="L205" s="1936">
        <v>288876944.04000002</v>
      </c>
      <c r="M205" s="1983"/>
      <c r="N205" s="1982"/>
    </row>
    <row r="206" spans="1:21" s="1014" customFormat="1" ht="23.25" customHeight="1" thickTop="1" x14ac:dyDescent="0.3">
      <c r="A206" s="1868"/>
      <c r="B206" s="3016"/>
      <c r="C206" s="3017"/>
      <c r="D206" s="3018"/>
      <c r="E206" s="1052"/>
      <c r="F206" s="1052"/>
      <c r="G206" s="1052"/>
      <c r="H206" s="1866"/>
      <c r="J206" s="1984"/>
      <c r="K206" s="1984"/>
      <c r="L206" s="1936"/>
      <c r="M206" s="1983"/>
      <c r="N206" s="1982"/>
    </row>
    <row r="207" spans="1:21" ht="15" x14ac:dyDescent="0.25">
      <c r="A207" s="1975"/>
      <c r="B207" s="1975"/>
      <c r="C207" s="1974"/>
      <c r="D207" s="1723"/>
      <c r="E207" s="1981"/>
      <c r="F207" s="1980"/>
      <c r="G207" s="1980"/>
      <c r="H207" s="1972"/>
      <c r="K207" s="1002"/>
      <c r="L207" s="1002"/>
      <c r="M207" s="1002"/>
    </row>
    <row r="208" spans="1:21" ht="15" customHeight="1" x14ac:dyDescent="0.25">
      <c r="A208" s="3288" t="s">
        <v>1918</v>
      </c>
      <c r="B208" s="3289"/>
      <c r="C208" s="3289"/>
      <c r="D208" s="3289"/>
      <c r="E208" s="1979">
        <f>E210+E211+E212+E213</f>
        <v>408423</v>
      </c>
      <c r="F208" s="1979">
        <f>F210+F211+F212+F213</f>
        <v>495085</v>
      </c>
      <c r="G208" s="1979">
        <f>G210+G211+G212+G213</f>
        <v>390017</v>
      </c>
      <c r="H208" s="1978">
        <f>G208/F208*100</f>
        <v>78.777785632770119</v>
      </c>
      <c r="I208" s="997"/>
      <c r="J208" s="1688">
        <f>J210+J211+J212+J213</f>
        <v>408423000</v>
      </c>
      <c r="K208" s="1688">
        <f>K210+K211+K212+K213</f>
        <v>495085082.77999997</v>
      </c>
      <c r="L208" s="1688">
        <f>L210+L211+L212+L213</f>
        <v>390016679.22000003</v>
      </c>
    </row>
    <row r="209" spans="1:12" ht="15.75" x14ac:dyDescent="0.25">
      <c r="A209" s="3289"/>
      <c r="B209" s="3289"/>
      <c r="C209" s="3289"/>
      <c r="D209" s="3289"/>
      <c r="E209" s="1979"/>
      <c r="F209" s="1979"/>
      <c r="G209" s="1979"/>
      <c r="H209" s="1978"/>
      <c r="I209" s="997"/>
      <c r="J209" s="997"/>
    </row>
    <row r="210" spans="1:12" ht="15" x14ac:dyDescent="0.2">
      <c r="A210" s="1011" t="s">
        <v>147</v>
      </c>
      <c r="B210" s="1013"/>
      <c r="C210" s="1009"/>
      <c r="D210" s="1009"/>
      <c r="E210" s="1008">
        <f>E109</f>
        <v>79084</v>
      </c>
      <c r="F210" s="1008">
        <f>F109-F212</f>
        <v>111820</v>
      </c>
      <c r="G210" s="1008">
        <f>G109-G212</f>
        <v>101140</v>
      </c>
      <c r="H210" s="1976">
        <f>G210/F210*100</f>
        <v>90.448935789661959</v>
      </c>
      <c r="I210" s="997"/>
      <c r="J210" s="1218">
        <f>J109</f>
        <v>79084000</v>
      </c>
      <c r="K210" s="1218">
        <f>K109</f>
        <v>111820454.25</v>
      </c>
      <c r="L210" s="1218">
        <f>L109</f>
        <v>101139735.18000001</v>
      </c>
    </row>
    <row r="211" spans="1:12" ht="15" x14ac:dyDescent="0.2">
      <c r="A211" s="1011" t="s">
        <v>148</v>
      </c>
      <c r="B211" s="1010"/>
      <c r="C211" s="1009"/>
      <c r="D211" s="1009"/>
      <c r="E211" s="1977">
        <f>E205</f>
        <v>329339</v>
      </c>
      <c r="F211" s="1977">
        <f>F205-F213</f>
        <v>383265</v>
      </c>
      <c r="G211" s="1977">
        <f>G205-G213</f>
        <v>288877</v>
      </c>
      <c r="H211" s="1976">
        <f>G211/F211*100</f>
        <v>75.37265338603838</v>
      </c>
      <c r="I211" s="997"/>
      <c r="J211" s="1218">
        <f>J205</f>
        <v>329339000</v>
      </c>
      <c r="K211" s="1218">
        <f>K205-K213</f>
        <v>383264628.52999997</v>
      </c>
      <c r="L211" s="1218">
        <f>L205-L213</f>
        <v>288876944.04000002</v>
      </c>
    </row>
    <row r="212" spans="1:12" ht="15" x14ac:dyDescent="0.2">
      <c r="A212" s="1011" t="s">
        <v>119</v>
      </c>
      <c r="B212" s="1010"/>
      <c r="C212" s="1009"/>
      <c r="D212" s="1009"/>
      <c r="E212" s="1008">
        <v>0</v>
      </c>
      <c r="F212" s="1012">
        <v>0</v>
      </c>
      <c r="G212" s="1012">
        <v>0</v>
      </c>
      <c r="H212" s="1976">
        <v>0</v>
      </c>
      <c r="I212" s="997"/>
      <c r="J212" s="1218">
        <v>0</v>
      </c>
      <c r="K212" s="1218">
        <v>0</v>
      </c>
      <c r="L212" s="1218">
        <v>0</v>
      </c>
    </row>
    <row r="213" spans="1:12" ht="15" x14ac:dyDescent="0.2">
      <c r="A213" s="1011" t="s">
        <v>537</v>
      </c>
      <c r="B213" s="1010"/>
      <c r="C213" s="1009"/>
      <c r="D213" s="1009"/>
      <c r="E213" s="1008">
        <v>0</v>
      </c>
      <c r="F213" s="1008">
        <v>0</v>
      </c>
      <c r="G213" s="1008">
        <v>0</v>
      </c>
      <c r="H213" s="1976">
        <v>0</v>
      </c>
      <c r="I213" s="997"/>
      <c r="J213" s="1218">
        <v>0</v>
      </c>
      <c r="K213" s="1218">
        <v>0</v>
      </c>
      <c r="L213" s="1218">
        <v>0</v>
      </c>
    </row>
    <row r="214" spans="1:12" ht="15" x14ac:dyDescent="0.25">
      <c r="A214" s="1975"/>
      <c r="B214" s="1975"/>
      <c r="C214" s="1974"/>
      <c r="D214" s="1723"/>
      <c r="E214" s="1973"/>
      <c r="F214" s="1023"/>
      <c r="G214" s="1023"/>
      <c r="H214" s="1972"/>
      <c r="J214" s="1218"/>
      <c r="K214" s="1218"/>
      <c r="L214" s="1218"/>
    </row>
    <row r="215" spans="1:12" ht="18" x14ac:dyDescent="0.25">
      <c r="A215" s="1971"/>
      <c r="B215" s="1971"/>
      <c r="C215" s="1970"/>
      <c r="D215" s="1969"/>
      <c r="E215" s="1968"/>
      <c r="F215" s="1967"/>
      <c r="G215" s="1966"/>
      <c r="H215" s="1965"/>
      <c r="J215" s="1218"/>
      <c r="K215" s="1218"/>
      <c r="L215" s="1218"/>
    </row>
    <row r="216" spans="1:12" s="1961" customFormat="1" ht="46.5" customHeight="1" thickBot="1" x14ac:dyDescent="0.4">
      <c r="A216" s="3286" t="s">
        <v>1919</v>
      </c>
      <c r="B216" s="3287"/>
      <c r="C216" s="3287"/>
      <c r="D216" s="3287"/>
      <c r="E216" s="1964">
        <f>E109+E205</f>
        <v>408423</v>
      </c>
      <c r="F216" s="1964">
        <f>F109+F205</f>
        <v>495085</v>
      </c>
      <c r="G216" s="1964">
        <f>G109+G205</f>
        <v>390017</v>
      </c>
      <c r="H216" s="1963">
        <f>(G216/F216)*100</f>
        <v>78.777785632770119</v>
      </c>
      <c r="I216" s="1962"/>
      <c r="J216" s="1688">
        <f>J208</f>
        <v>408423000</v>
      </c>
      <c r="K216" s="1688">
        <f t="shared" ref="K216:L216" si="18">K208</f>
        <v>495085082.77999997</v>
      </c>
      <c r="L216" s="1688">
        <f t="shared" si="18"/>
        <v>390016679.22000003</v>
      </c>
    </row>
    <row r="217" spans="1:12" ht="13.5" thickTop="1" x14ac:dyDescent="0.2"/>
    <row r="218" spans="1:12" x14ac:dyDescent="0.2">
      <c r="A218" s="3284"/>
      <c r="B218" s="3285"/>
      <c r="C218" s="3285"/>
      <c r="D218" s="3285"/>
      <c r="E218" s="3285"/>
      <c r="F218" s="3285"/>
      <c r="G218" s="3285"/>
      <c r="H218" s="3285"/>
      <c r="I218" s="1960"/>
    </row>
    <row r="219" spans="1:12" x14ac:dyDescent="0.2">
      <c r="A219" s="3285"/>
      <c r="B219" s="3285"/>
      <c r="C219" s="3285"/>
      <c r="D219" s="3285"/>
      <c r="E219" s="3285"/>
      <c r="F219" s="3285"/>
      <c r="G219" s="3285"/>
      <c r="H219" s="3285"/>
      <c r="I219" s="1960"/>
    </row>
  </sheetData>
  <mergeCells count="3">
    <mergeCell ref="A218:H219"/>
    <mergeCell ref="A216:D216"/>
    <mergeCell ref="A208:D209"/>
  </mergeCells>
  <pageMargins left="0.98425196850393704" right="0.98425196850393704" top="0.98425196850393704" bottom="0.98425196850393704" header="0.51181102362204722" footer="0.51181102362204722"/>
  <pageSetup paperSize="9" scale="68" firstPageNumber="93" orientation="portrait" useFirstPageNumber="1" r:id="rId1"/>
  <headerFooter alignWithMargins="0">
    <oddFooter>&amp;L&amp;"Arial,Kurzíva"Zastupitelstvo Olomouckého kraje 25. 6. 2018
5. - Rozpočet Olomouckého kraje 2017 - závěrečný  účet 
Příloha č. 3: Plnění rozpočtu výdajů Olomouckého kraje k 31. 12. 2017&amp;R&amp;"Arial,Kurzíva"Strana &amp;P (celkem 478)</oddFooter>
  </headerFooter>
  <rowBreaks count="3" manualBreakCount="3">
    <brk id="54" max="7" man="1"/>
    <brk id="109" max="7" man="1"/>
    <brk id="172" max="7" man="1"/>
  </rowBreaks>
  <colBreaks count="1" manualBreakCount="1">
    <brk id="8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FF"/>
  </sheetPr>
  <dimension ref="A1:U208"/>
  <sheetViews>
    <sheetView showGridLines="0" view="pageBreakPreview" zoomScaleNormal="100" zoomScaleSheetLayoutView="100" workbookViewId="0">
      <selection activeCell="H57" sqref="H57"/>
    </sheetView>
  </sheetViews>
  <sheetFormatPr defaultColWidth="9.140625" defaultRowHeight="12.75" x14ac:dyDescent="0.2"/>
  <cols>
    <col min="1" max="1" width="5" style="997" customWidth="1"/>
    <col min="2" max="2" width="4.85546875" style="997" customWidth="1"/>
    <col min="3" max="3" width="9.5703125" style="997" customWidth="1"/>
    <col min="4" max="4" width="47.140625" style="997" customWidth="1"/>
    <col min="5" max="5" width="14.28515625" style="997" customWidth="1"/>
    <col min="6" max="6" width="13.7109375" style="997" customWidth="1"/>
    <col min="7" max="7" width="12.140625" style="997" customWidth="1"/>
    <col min="8" max="8" width="9.140625" style="1753" customWidth="1"/>
    <col min="9" max="9" width="9.140625" style="997"/>
    <col min="10" max="10" width="13" style="997" customWidth="1"/>
    <col min="11" max="11" width="13.28515625" style="997" customWidth="1"/>
    <col min="12" max="12" width="12.7109375" style="997" bestFit="1" customWidth="1"/>
    <col min="13" max="16384" width="9.140625" style="997"/>
  </cols>
  <sheetData>
    <row r="1" spans="1:9" ht="21.75" customHeight="1" thickBot="1" x14ac:dyDescent="0.3">
      <c r="A1" s="1082" t="s">
        <v>1920</v>
      </c>
      <c r="B1" s="1081"/>
      <c r="C1" s="1081"/>
      <c r="D1" s="1080"/>
      <c r="E1" s="1079"/>
      <c r="F1" s="1078" t="s">
        <v>773</v>
      </c>
      <c r="G1" s="1002"/>
      <c r="I1" s="1052"/>
    </row>
    <row r="2" spans="1:9" ht="12.75" customHeight="1" x14ac:dyDescent="0.25">
      <c r="A2" s="1075"/>
      <c r="B2" s="1056"/>
      <c r="C2" s="1056"/>
      <c r="D2" s="1074"/>
      <c r="E2" s="1053"/>
      <c r="F2" s="1053"/>
      <c r="G2" s="1668"/>
      <c r="H2" s="1866"/>
      <c r="I2" s="1052"/>
    </row>
    <row r="3" spans="1:9" ht="12.75" customHeight="1" x14ac:dyDescent="0.25">
      <c r="A3" s="1077" t="s">
        <v>201</v>
      </c>
      <c r="B3" s="1056"/>
      <c r="C3" s="1697" t="s">
        <v>948</v>
      </c>
      <c r="D3" s="1076"/>
      <c r="E3" s="1053"/>
      <c r="F3" s="1668"/>
      <c r="G3" s="1052"/>
      <c r="H3" s="1866"/>
    </row>
    <row r="4" spans="1:9" ht="16.5" customHeight="1" x14ac:dyDescent="0.25">
      <c r="A4" s="1075"/>
      <c r="B4" s="1056"/>
      <c r="C4" s="1697" t="s">
        <v>200</v>
      </c>
      <c r="D4" s="1002"/>
      <c r="E4" s="1053"/>
      <c r="F4" s="1668"/>
      <c r="G4" s="1052"/>
      <c r="H4" s="1866"/>
    </row>
    <row r="5" spans="1:9" ht="12.75" customHeight="1" x14ac:dyDescent="0.25">
      <c r="A5" s="1075"/>
      <c r="B5" s="1056"/>
      <c r="C5" s="1056"/>
      <c r="D5" s="1074"/>
      <c r="E5" s="1053"/>
      <c r="F5" s="1053"/>
      <c r="G5" s="1668"/>
      <c r="H5" s="1866"/>
      <c r="I5" s="1052"/>
    </row>
    <row r="6" spans="1:9" ht="18" x14ac:dyDescent="0.25">
      <c r="A6" s="1057" t="s">
        <v>450</v>
      </c>
      <c r="B6" s="1056"/>
      <c r="C6" s="1056"/>
      <c r="D6" s="1074"/>
      <c r="E6" s="1053"/>
      <c r="F6" s="1053"/>
      <c r="G6" s="1668"/>
      <c r="H6" s="1866"/>
      <c r="I6" s="1052"/>
    </row>
    <row r="7" spans="1:9" ht="13.5" thickBot="1" x14ac:dyDescent="0.25">
      <c r="A7" s="1050"/>
      <c r="B7" s="1050"/>
      <c r="C7" s="1050"/>
      <c r="D7" s="1070"/>
      <c r="E7" s="1002"/>
      <c r="F7" s="1002"/>
      <c r="G7" s="1048"/>
      <c r="H7" s="1901" t="s">
        <v>92</v>
      </c>
    </row>
    <row r="8" spans="1:9" s="1043" customFormat="1" ht="20.25" customHeight="1" thickTop="1" thickBot="1" x14ac:dyDescent="0.25">
      <c r="A8" s="1047" t="s">
        <v>93</v>
      </c>
      <c r="B8" s="1046" t="s">
        <v>94</v>
      </c>
      <c r="C8" s="1957" t="s">
        <v>364</v>
      </c>
      <c r="D8" s="1069" t="s">
        <v>95</v>
      </c>
      <c r="E8" s="1069" t="s">
        <v>328</v>
      </c>
      <c r="F8" s="1069" t="s">
        <v>329</v>
      </c>
      <c r="G8" s="1749" t="s">
        <v>448</v>
      </c>
      <c r="H8" s="1784" t="s">
        <v>449</v>
      </c>
    </row>
    <row r="9" spans="1:9" s="1037" customFormat="1" ht="13.5" thickTop="1" thickBot="1" x14ac:dyDescent="0.25">
      <c r="A9" s="1042">
        <v>1</v>
      </c>
      <c r="B9" s="1041">
        <v>2</v>
      </c>
      <c r="C9" s="1041">
        <v>3</v>
      </c>
      <c r="D9" s="1041">
        <v>4</v>
      </c>
      <c r="E9" s="1041">
        <v>5</v>
      </c>
      <c r="F9" s="1040">
        <v>6</v>
      </c>
      <c r="G9" s="1040">
        <v>7</v>
      </c>
      <c r="H9" s="1039" t="s">
        <v>33</v>
      </c>
      <c r="I9" s="1043"/>
    </row>
    <row r="10" spans="1:9" s="1037" customFormat="1" ht="15.75" thickTop="1" x14ac:dyDescent="0.25">
      <c r="A10" s="2556">
        <v>2143</v>
      </c>
      <c r="B10" s="2557">
        <v>5041</v>
      </c>
      <c r="C10" s="1143"/>
      <c r="D10" s="1814" t="s">
        <v>995</v>
      </c>
      <c r="E10" s="1811">
        <f>E11</f>
        <v>0</v>
      </c>
      <c r="F10" s="1811">
        <f>F11</f>
        <v>110</v>
      </c>
      <c r="G10" s="1811">
        <f>G11</f>
        <v>110</v>
      </c>
      <c r="H10" s="3021">
        <f t="shared" ref="H10:H21" si="0">(G10/F10)*100</f>
        <v>100</v>
      </c>
      <c r="I10" s="1043"/>
    </row>
    <row r="11" spans="1:9" s="1037" customFormat="1" ht="14.25" x14ac:dyDescent="0.2">
      <c r="A11" s="1366"/>
      <c r="B11" s="2552"/>
      <c r="C11" s="2521" t="s">
        <v>1369</v>
      </c>
      <c r="D11" s="1654" t="s">
        <v>714</v>
      </c>
      <c r="E11" s="1022">
        <v>0</v>
      </c>
      <c r="F11" s="1022">
        <v>110</v>
      </c>
      <c r="G11" s="1022">
        <v>110</v>
      </c>
      <c r="H11" s="2560">
        <f t="shared" si="0"/>
        <v>100</v>
      </c>
      <c r="I11" s="1043"/>
    </row>
    <row r="12" spans="1:9" s="1037" customFormat="1" ht="15" x14ac:dyDescent="0.25">
      <c r="A12" s="2556">
        <v>2143</v>
      </c>
      <c r="B12" s="2557">
        <v>5137</v>
      </c>
      <c r="C12" s="2521"/>
      <c r="D12" s="1071" t="s">
        <v>88</v>
      </c>
      <c r="E12" s="1030">
        <f>E13</f>
        <v>0</v>
      </c>
      <c r="F12" s="1030">
        <f>F13</f>
        <v>250</v>
      </c>
      <c r="G12" s="1030">
        <f>G13</f>
        <v>247</v>
      </c>
      <c r="H12" s="2342">
        <f t="shared" ref="H12:H13" si="1">(G12/F12)*100</f>
        <v>98.8</v>
      </c>
      <c r="I12" s="1043"/>
    </row>
    <row r="13" spans="1:9" s="1037" customFormat="1" ht="14.25" x14ac:dyDescent="0.2">
      <c r="A13" s="2556"/>
      <c r="B13" s="2557"/>
      <c r="C13" s="2521" t="s">
        <v>1369</v>
      </c>
      <c r="D13" s="1654" t="s">
        <v>714</v>
      </c>
      <c r="E13" s="1022">
        <v>0</v>
      </c>
      <c r="F13" s="1022">
        <v>250</v>
      </c>
      <c r="G13" s="1022">
        <v>247</v>
      </c>
      <c r="H13" s="2560">
        <f t="shared" si="1"/>
        <v>98.8</v>
      </c>
      <c r="I13" s="1043"/>
    </row>
    <row r="14" spans="1:9" s="1037" customFormat="1" ht="15" x14ac:dyDescent="0.25">
      <c r="A14" s="2556">
        <v>2143</v>
      </c>
      <c r="B14" s="2557">
        <v>5139</v>
      </c>
      <c r="C14" s="2521"/>
      <c r="D14" s="1071" t="s">
        <v>396</v>
      </c>
      <c r="E14" s="1030">
        <f>E15</f>
        <v>1050</v>
      </c>
      <c r="F14" s="1030">
        <f>F15</f>
        <v>1255</v>
      </c>
      <c r="G14" s="1030">
        <f>G15</f>
        <v>1226</v>
      </c>
      <c r="H14" s="2342">
        <f t="shared" si="0"/>
        <v>97.689243027888452</v>
      </c>
      <c r="I14" s="1043"/>
    </row>
    <row r="15" spans="1:9" s="1037" customFormat="1" ht="14.25" x14ac:dyDescent="0.2">
      <c r="A15" s="2556"/>
      <c r="B15" s="2557"/>
      <c r="C15" s="2521" t="s">
        <v>1369</v>
      </c>
      <c r="D15" s="1654" t="s">
        <v>714</v>
      </c>
      <c r="E15" s="1022">
        <v>1050</v>
      </c>
      <c r="F15" s="1022">
        <v>1255</v>
      </c>
      <c r="G15" s="1022">
        <v>1226</v>
      </c>
      <c r="H15" s="2560">
        <f t="shared" si="0"/>
        <v>97.689243027888452</v>
      </c>
      <c r="I15" s="1043"/>
    </row>
    <row r="16" spans="1:9" s="1037" customFormat="1" ht="15" x14ac:dyDescent="0.25">
      <c r="A16" s="2556">
        <v>2143</v>
      </c>
      <c r="B16" s="2557">
        <v>5162</v>
      </c>
      <c r="C16" s="2521"/>
      <c r="D16" s="1071" t="s">
        <v>439</v>
      </c>
      <c r="E16" s="1030">
        <f>E17</f>
        <v>0</v>
      </c>
      <c r="F16" s="1030">
        <f>F17</f>
        <v>12</v>
      </c>
      <c r="G16" s="1030">
        <f>G17</f>
        <v>11</v>
      </c>
      <c r="H16" s="2342">
        <f t="shared" si="0"/>
        <v>91.666666666666657</v>
      </c>
      <c r="I16" s="1043"/>
    </row>
    <row r="17" spans="1:9" s="1037" customFormat="1" ht="14.25" x14ac:dyDescent="0.2">
      <c r="A17" s="2556"/>
      <c r="B17" s="2557"/>
      <c r="C17" s="2521" t="s">
        <v>1369</v>
      </c>
      <c r="D17" s="1654" t="s">
        <v>714</v>
      </c>
      <c r="E17" s="1022">
        <v>0</v>
      </c>
      <c r="F17" s="1022">
        <v>12</v>
      </c>
      <c r="G17" s="1022">
        <v>11</v>
      </c>
      <c r="H17" s="2560">
        <f t="shared" si="0"/>
        <v>91.666666666666657</v>
      </c>
      <c r="I17" s="1043"/>
    </row>
    <row r="18" spans="1:9" s="1037" customFormat="1" ht="15" x14ac:dyDescent="0.25">
      <c r="A18" s="2556">
        <v>2143</v>
      </c>
      <c r="B18" s="2557">
        <v>5164</v>
      </c>
      <c r="C18" s="2521"/>
      <c r="D18" s="2060" t="s">
        <v>101</v>
      </c>
      <c r="E18" s="1030">
        <f>E19</f>
        <v>0</v>
      </c>
      <c r="F18" s="1030">
        <f>F19</f>
        <v>32</v>
      </c>
      <c r="G18" s="1030">
        <f>G19</f>
        <v>0</v>
      </c>
      <c r="H18" s="2342">
        <f t="shared" si="0"/>
        <v>0</v>
      </c>
      <c r="I18" s="1043"/>
    </row>
    <row r="19" spans="1:9" s="1037" customFormat="1" ht="14.25" x14ac:dyDescent="0.2">
      <c r="A19" s="2556"/>
      <c r="B19" s="2557"/>
      <c r="C19" s="2521" t="s">
        <v>1369</v>
      </c>
      <c r="D19" s="1654" t="s">
        <v>714</v>
      </c>
      <c r="E19" s="1022">
        <v>0</v>
      </c>
      <c r="F19" s="1022">
        <v>32</v>
      </c>
      <c r="G19" s="1022">
        <v>0</v>
      </c>
      <c r="H19" s="2560">
        <f t="shared" si="0"/>
        <v>0</v>
      </c>
      <c r="I19" s="1043"/>
    </row>
    <row r="20" spans="1:9" s="1037" customFormat="1" ht="15" hidden="1" x14ac:dyDescent="0.25">
      <c r="A20" s="2556">
        <v>2143</v>
      </c>
      <c r="B20" s="2557">
        <v>5166</v>
      </c>
      <c r="C20" s="2521"/>
      <c r="D20" s="2060" t="s">
        <v>354</v>
      </c>
      <c r="E20" s="1030">
        <f>E21</f>
        <v>0</v>
      </c>
      <c r="F20" s="1030">
        <f>F21</f>
        <v>0</v>
      </c>
      <c r="G20" s="1030">
        <f>G21</f>
        <v>0</v>
      </c>
      <c r="H20" s="2342" t="e">
        <f t="shared" si="0"/>
        <v>#DIV/0!</v>
      </c>
      <c r="I20" s="1043"/>
    </row>
    <row r="21" spans="1:9" s="1037" customFormat="1" ht="14.25" hidden="1" x14ac:dyDescent="0.2">
      <c r="A21" s="2556"/>
      <c r="B21" s="2557"/>
      <c r="C21" s="2521" t="s">
        <v>1369</v>
      </c>
      <c r="D21" s="1654" t="s">
        <v>714</v>
      </c>
      <c r="E21" s="1022"/>
      <c r="F21" s="1022"/>
      <c r="G21" s="1022"/>
      <c r="H21" s="2560" t="e">
        <f t="shared" si="0"/>
        <v>#DIV/0!</v>
      </c>
      <c r="I21" s="1043"/>
    </row>
    <row r="22" spans="1:9" s="1037" customFormat="1" ht="15" x14ac:dyDescent="0.25">
      <c r="A22" s="2556">
        <v>2143</v>
      </c>
      <c r="B22" s="2557">
        <v>5168</v>
      </c>
      <c r="C22" s="2521"/>
      <c r="D22" s="3292" t="s">
        <v>838</v>
      </c>
      <c r="E22" s="1030">
        <f>E24</f>
        <v>552</v>
      </c>
      <c r="F22" s="1030">
        <f>F24</f>
        <v>822</v>
      </c>
      <c r="G22" s="1030">
        <f>G24</f>
        <v>820</v>
      </c>
      <c r="H22" s="2342">
        <f>(G22/F22)*100</f>
        <v>99.756690997566906</v>
      </c>
      <c r="I22" s="1043"/>
    </row>
    <row r="23" spans="1:9" s="1037" customFormat="1" x14ac:dyDescent="0.2">
      <c r="A23" s="2556"/>
      <c r="B23" s="2557"/>
      <c r="C23" s="2521"/>
      <c r="D23" s="3293"/>
      <c r="E23" s="3022"/>
      <c r="F23" s="3022"/>
      <c r="G23" s="3022"/>
      <c r="H23" s="3023"/>
      <c r="I23" s="1043"/>
    </row>
    <row r="24" spans="1:9" s="1037" customFormat="1" ht="14.25" x14ac:dyDescent="0.2">
      <c r="A24" s="2556"/>
      <c r="B24" s="2557"/>
      <c r="C24" s="2521" t="s">
        <v>1369</v>
      </c>
      <c r="D24" s="1654" t="s">
        <v>714</v>
      </c>
      <c r="E24" s="1022">
        <v>552</v>
      </c>
      <c r="F24" s="1022">
        <v>822</v>
      </c>
      <c r="G24" s="1022">
        <v>820</v>
      </c>
      <c r="H24" s="2560">
        <f t="shared" ref="H24:H34" si="2">(G24/F24)*100</f>
        <v>99.756690997566906</v>
      </c>
      <c r="I24" s="1043"/>
    </row>
    <row r="25" spans="1:9" s="1037" customFormat="1" ht="15" x14ac:dyDescent="0.25">
      <c r="A25" s="2556">
        <v>2143</v>
      </c>
      <c r="B25" s="2557">
        <v>5169</v>
      </c>
      <c r="C25" s="2521"/>
      <c r="D25" s="2060" t="s">
        <v>430</v>
      </c>
      <c r="E25" s="1030">
        <f>E26+E27</f>
        <v>6025</v>
      </c>
      <c r="F25" s="1030">
        <f>F26+F27</f>
        <v>5078</v>
      </c>
      <c r="G25" s="1030">
        <f>G26+G27</f>
        <v>4845</v>
      </c>
      <c r="H25" s="2342">
        <f t="shared" si="2"/>
        <v>95.411579361953528</v>
      </c>
      <c r="I25" s="1043"/>
    </row>
    <row r="26" spans="1:9" s="1037" customFormat="1" ht="14.25" x14ac:dyDescent="0.2">
      <c r="A26" s="2556"/>
      <c r="B26" s="2557"/>
      <c r="C26" s="2521" t="s">
        <v>871</v>
      </c>
      <c r="D26" s="1654" t="s">
        <v>600</v>
      </c>
      <c r="E26" s="1022">
        <v>600</v>
      </c>
      <c r="F26" s="1022">
        <v>600</v>
      </c>
      <c r="G26" s="1022">
        <v>368</v>
      </c>
      <c r="H26" s="2560">
        <f t="shared" si="2"/>
        <v>61.333333333333329</v>
      </c>
      <c r="I26" s="1043"/>
    </row>
    <row r="27" spans="1:9" s="1037" customFormat="1" ht="14.25" x14ac:dyDescent="0.2">
      <c r="A27" s="2556"/>
      <c r="B27" s="2557"/>
      <c r="C27" s="2521" t="s">
        <v>1369</v>
      </c>
      <c r="D27" s="1654" t="s">
        <v>714</v>
      </c>
      <c r="E27" s="1022">
        <v>5425</v>
      </c>
      <c r="F27" s="1022">
        <v>4478</v>
      </c>
      <c r="G27" s="1022">
        <v>4477</v>
      </c>
      <c r="H27" s="2560">
        <f t="shared" si="2"/>
        <v>99.977668602054493</v>
      </c>
      <c r="I27" s="1043"/>
    </row>
    <row r="28" spans="1:9" s="1037" customFormat="1" ht="15" x14ac:dyDescent="0.25">
      <c r="A28" s="2556">
        <v>2143</v>
      </c>
      <c r="B28" s="2557">
        <v>5171</v>
      </c>
      <c r="C28" s="2521"/>
      <c r="D28" s="1071" t="s">
        <v>456</v>
      </c>
      <c r="E28" s="1030">
        <f>E29</f>
        <v>0</v>
      </c>
      <c r="F28" s="1030">
        <f>F29</f>
        <v>20</v>
      </c>
      <c r="G28" s="1030">
        <f>G29</f>
        <v>17</v>
      </c>
      <c r="H28" s="2342">
        <f t="shared" si="2"/>
        <v>85</v>
      </c>
      <c r="I28" s="1043"/>
    </row>
    <row r="29" spans="1:9" s="1037" customFormat="1" ht="14.25" x14ac:dyDescent="0.2">
      <c r="A29" s="2556"/>
      <c r="B29" s="2557"/>
      <c r="C29" s="2521" t="s">
        <v>1369</v>
      </c>
      <c r="D29" s="1654" t="s">
        <v>714</v>
      </c>
      <c r="E29" s="1022">
        <v>0</v>
      </c>
      <c r="F29" s="1022">
        <v>20</v>
      </c>
      <c r="G29" s="1022">
        <v>17</v>
      </c>
      <c r="H29" s="2560">
        <f t="shared" si="2"/>
        <v>85</v>
      </c>
      <c r="I29" s="1043"/>
    </row>
    <row r="30" spans="1:9" s="1037" customFormat="1" ht="15" x14ac:dyDescent="0.25">
      <c r="A30" s="2556">
        <v>2143</v>
      </c>
      <c r="B30" s="2557">
        <v>5175</v>
      </c>
      <c r="C30" s="2521"/>
      <c r="D30" s="1071" t="s">
        <v>352</v>
      </c>
      <c r="E30" s="1030">
        <f>E31</f>
        <v>60</v>
      </c>
      <c r="F30" s="1030">
        <f>F31</f>
        <v>78</v>
      </c>
      <c r="G30" s="1030">
        <f>G31</f>
        <v>74</v>
      </c>
      <c r="H30" s="2342">
        <f t="shared" si="2"/>
        <v>94.871794871794862</v>
      </c>
      <c r="I30" s="1043"/>
    </row>
    <row r="31" spans="1:9" s="1037" customFormat="1" ht="14.25" x14ac:dyDescent="0.2">
      <c r="A31" s="2556"/>
      <c r="B31" s="2557"/>
      <c r="C31" s="2521" t="s">
        <v>1369</v>
      </c>
      <c r="D31" s="1654" t="s">
        <v>714</v>
      </c>
      <c r="E31" s="1022">
        <v>60</v>
      </c>
      <c r="F31" s="1022">
        <v>78</v>
      </c>
      <c r="G31" s="1022">
        <v>74</v>
      </c>
      <c r="H31" s="2560">
        <f t="shared" si="2"/>
        <v>94.871794871794862</v>
      </c>
      <c r="I31" s="1043"/>
    </row>
    <row r="32" spans="1:9" s="1037" customFormat="1" ht="15" x14ac:dyDescent="0.25">
      <c r="A32" s="2556">
        <v>2143</v>
      </c>
      <c r="B32" s="2557">
        <v>5179</v>
      </c>
      <c r="C32" s="2521"/>
      <c r="D32" s="800" t="s">
        <v>1130</v>
      </c>
      <c r="E32" s="1030">
        <f>E33+E34</f>
        <v>4152</v>
      </c>
      <c r="F32" s="1030">
        <f>F33+F34</f>
        <v>5152</v>
      </c>
      <c r="G32" s="1030">
        <f>G33+G34</f>
        <v>5135</v>
      </c>
      <c r="H32" s="2342">
        <f t="shared" si="2"/>
        <v>99.670031055900623</v>
      </c>
      <c r="I32" s="1043"/>
    </row>
    <row r="33" spans="1:9" s="1037" customFormat="1" ht="14.25" x14ac:dyDescent="0.2">
      <c r="A33" s="2556"/>
      <c r="B33" s="2557"/>
      <c r="C33" s="2521" t="s">
        <v>871</v>
      </c>
      <c r="D33" s="1037" t="s">
        <v>600</v>
      </c>
      <c r="E33" s="1022">
        <v>2</v>
      </c>
      <c r="F33" s="1022">
        <v>2</v>
      </c>
      <c r="G33" s="1022">
        <v>0</v>
      </c>
      <c r="H33" s="2560">
        <f t="shared" si="2"/>
        <v>0</v>
      </c>
      <c r="I33" s="1043"/>
    </row>
    <row r="34" spans="1:9" s="1037" customFormat="1" ht="14.25" x14ac:dyDescent="0.2">
      <c r="A34" s="2556"/>
      <c r="B34" s="2557"/>
      <c r="C34" s="2521" t="s">
        <v>1085</v>
      </c>
      <c r="D34" s="1654" t="s">
        <v>1089</v>
      </c>
      <c r="E34" s="1022">
        <v>4150</v>
      </c>
      <c r="F34" s="1022">
        <v>5150</v>
      </c>
      <c r="G34" s="1022">
        <v>5135</v>
      </c>
      <c r="H34" s="2560">
        <f t="shared" si="2"/>
        <v>99.708737864077662</v>
      </c>
      <c r="I34" s="1043"/>
    </row>
    <row r="35" spans="1:9" s="1037" customFormat="1" ht="15" hidden="1" x14ac:dyDescent="0.25">
      <c r="A35" s="2556">
        <v>2143</v>
      </c>
      <c r="B35" s="2557">
        <v>5229</v>
      </c>
      <c r="C35" s="2521"/>
      <c r="D35" s="3019" t="s">
        <v>1229</v>
      </c>
      <c r="E35" s="1030">
        <f>E36</f>
        <v>0</v>
      </c>
      <c r="F35" s="1030">
        <f t="shared" ref="F35:G35" si="3">F36</f>
        <v>0</v>
      </c>
      <c r="G35" s="1030">
        <f t="shared" si="3"/>
        <v>0</v>
      </c>
      <c r="H35" s="2342">
        <v>0</v>
      </c>
      <c r="I35" s="1043"/>
    </row>
    <row r="36" spans="1:9" s="1037" customFormat="1" ht="14.25" hidden="1" x14ac:dyDescent="0.2">
      <c r="A36" s="2556"/>
      <c r="B36" s="2557"/>
      <c r="C36" s="2521" t="s">
        <v>1085</v>
      </c>
      <c r="D36" s="1654" t="s">
        <v>1089</v>
      </c>
      <c r="E36" s="1022"/>
      <c r="F36" s="1022"/>
      <c r="G36" s="1022"/>
      <c r="H36" s="2560">
        <v>0</v>
      </c>
      <c r="I36" s="1043"/>
    </row>
    <row r="37" spans="1:9" s="1037" customFormat="1" ht="15" hidden="1" customHeight="1" x14ac:dyDescent="0.25">
      <c r="A37" s="2556">
        <v>2413</v>
      </c>
      <c r="B37" s="2557">
        <v>5168</v>
      </c>
      <c r="C37" s="2521"/>
      <c r="D37" s="3294" t="s">
        <v>821</v>
      </c>
      <c r="E37" s="1030">
        <f>E39</f>
        <v>0</v>
      </c>
      <c r="F37" s="1030">
        <f>F39</f>
        <v>0</v>
      </c>
      <c r="G37" s="1030">
        <f>G39</f>
        <v>0</v>
      </c>
      <c r="H37" s="2342">
        <v>0</v>
      </c>
      <c r="I37" s="1043"/>
    </row>
    <row r="38" spans="1:9" s="1037" customFormat="1" ht="15" hidden="1" customHeight="1" x14ac:dyDescent="0.25">
      <c r="A38" s="2556"/>
      <c r="B38" s="2557"/>
      <c r="C38" s="2521"/>
      <c r="D38" s="3295"/>
      <c r="E38" s="1030"/>
      <c r="F38" s="1030"/>
      <c r="G38" s="1030"/>
      <c r="H38" s="2342"/>
      <c r="I38" s="1043"/>
    </row>
    <row r="39" spans="1:9" s="1037" customFormat="1" ht="14.25" hidden="1" x14ac:dyDescent="0.2">
      <c r="A39" s="2556"/>
      <c r="B39" s="2062"/>
      <c r="C39" s="2521" t="s">
        <v>1369</v>
      </c>
      <c r="D39" s="3020" t="s">
        <v>714</v>
      </c>
      <c r="E39" s="1022"/>
      <c r="F39" s="1022">
        <v>0</v>
      </c>
      <c r="G39" s="1022">
        <v>0</v>
      </c>
      <c r="H39" s="2560">
        <v>0</v>
      </c>
      <c r="I39" s="1043"/>
    </row>
    <row r="40" spans="1:9" s="1037" customFormat="1" ht="15" x14ac:dyDescent="0.25">
      <c r="A40" s="2556">
        <v>3341</v>
      </c>
      <c r="B40" s="2557">
        <v>5169</v>
      </c>
      <c r="C40" s="2521"/>
      <c r="D40" s="2060" t="s">
        <v>430</v>
      </c>
      <c r="E40" s="1030">
        <f>E41+E42</f>
        <v>4500</v>
      </c>
      <c r="F40" s="1030">
        <f>F41+F42</f>
        <v>4500</v>
      </c>
      <c r="G40" s="1030">
        <f>G41+G42</f>
        <v>4412</v>
      </c>
      <c r="H40" s="2342">
        <f t="shared" ref="H40:H64" si="4">(G40/F40)*100</f>
        <v>98.044444444444451</v>
      </c>
      <c r="I40" s="1043"/>
    </row>
    <row r="41" spans="1:9" s="1037" customFormat="1" ht="14.25" hidden="1" x14ac:dyDescent="0.2">
      <c r="A41" s="2556"/>
      <c r="B41" s="2557"/>
      <c r="C41" s="2521" t="s">
        <v>1369</v>
      </c>
      <c r="D41" s="1654" t="s">
        <v>714</v>
      </c>
      <c r="E41" s="1022"/>
      <c r="F41" s="1022"/>
      <c r="G41" s="1022"/>
      <c r="H41" s="2560" t="e">
        <f t="shared" si="4"/>
        <v>#DIV/0!</v>
      </c>
      <c r="I41" s="1043"/>
    </row>
    <row r="42" spans="1:9" s="1037" customFormat="1" ht="14.25" x14ac:dyDescent="0.2">
      <c r="A42" s="2556"/>
      <c r="B42" s="2557"/>
      <c r="C42" s="2521" t="s">
        <v>1370</v>
      </c>
      <c r="D42" s="1654" t="s">
        <v>774</v>
      </c>
      <c r="E42" s="1022">
        <v>4500</v>
      </c>
      <c r="F42" s="1022">
        <v>4500</v>
      </c>
      <c r="G42" s="1022">
        <v>4412</v>
      </c>
      <c r="H42" s="2560">
        <f t="shared" si="4"/>
        <v>98.044444444444451</v>
      </c>
      <c r="I42" s="1043"/>
    </row>
    <row r="43" spans="1:9" s="1037" customFormat="1" ht="15" x14ac:dyDescent="0.25">
      <c r="A43" s="2556">
        <v>3349</v>
      </c>
      <c r="B43" s="2557">
        <v>5139</v>
      </c>
      <c r="C43" s="2521"/>
      <c r="D43" s="1071" t="s">
        <v>396</v>
      </c>
      <c r="E43" s="1030">
        <f>E44</f>
        <v>1620</v>
      </c>
      <c r="F43" s="1030">
        <f>F44</f>
        <v>1601</v>
      </c>
      <c r="G43" s="1030">
        <f>G44</f>
        <v>1374</v>
      </c>
      <c r="H43" s="2342">
        <f t="shared" si="4"/>
        <v>85.8213616489694</v>
      </c>
      <c r="I43" s="1043"/>
    </row>
    <row r="44" spans="1:9" s="1037" customFormat="1" ht="14.25" x14ac:dyDescent="0.2">
      <c r="A44" s="2556"/>
      <c r="B44" s="2557"/>
      <c r="C44" s="2521" t="s">
        <v>1370</v>
      </c>
      <c r="D44" s="1654" t="s">
        <v>774</v>
      </c>
      <c r="E44" s="1022">
        <v>1620</v>
      </c>
      <c r="F44" s="1022">
        <v>1601</v>
      </c>
      <c r="G44" s="1022">
        <v>1374</v>
      </c>
      <c r="H44" s="2560">
        <f t="shared" si="4"/>
        <v>85.8213616489694</v>
      </c>
      <c r="I44" s="1043"/>
    </row>
    <row r="45" spans="1:9" s="1037" customFormat="1" ht="15" x14ac:dyDescent="0.25">
      <c r="A45" s="2556">
        <v>3349</v>
      </c>
      <c r="B45" s="2557">
        <v>5169</v>
      </c>
      <c r="C45" s="2521"/>
      <c r="D45" s="2060" t="s">
        <v>430</v>
      </c>
      <c r="E45" s="1030">
        <f>E46</f>
        <v>2200</v>
      </c>
      <c r="F45" s="1030">
        <f>F46</f>
        <v>2200</v>
      </c>
      <c r="G45" s="1030">
        <f>G46</f>
        <v>1445</v>
      </c>
      <c r="H45" s="2342">
        <f t="shared" si="4"/>
        <v>65.681818181818187</v>
      </c>
      <c r="I45" s="1043"/>
    </row>
    <row r="46" spans="1:9" s="1037" customFormat="1" ht="14.25" x14ac:dyDescent="0.2">
      <c r="A46" s="2556"/>
      <c r="B46" s="2557"/>
      <c r="C46" s="2521" t="s">
        <v>1370</v>
      </c>
      <c r="D46" s="1654" t="s">
        <v>774</v>
      </c>
      <c r="E46" s="1022">
        <v>2200</v>
      </c>
      <c r="F46" s="1022">
        <v>2200</v>
      </c>
      <c r="G46" s="1022">
        <v>1445</v>
      </c>
      <c r="H46" s="2560">
        <f t="shared" si="4"/>
        <v>65.681818181818187</v>
      </c>
      <c r="I46" s="1043"/>
    </row>
    <row r="47" spans="1:9" s="1037" customFormat="1" ht="15" x14ac:dyDescent="0.25">
      <c r="A47" s="2556">
        <v>3349</v>
      </c>
      <c r="B47" s="2557">
        <v>5192</v>
      </c>
      <c r="C47" s="2521"/>
      <c r="D47" s="2060" t="s">
        <v>826</v>
      </c>
      <c r="E47" s="1030">
        <v>0</v>
      </c>
      <c r="F47" s="1030">
        <v>1</v>
      </c>
      <c r="G47" s="1030">
        <v>1</v>
      </c>
      <c r="H47" s="2342">
        <f t="shared" ref="H47:H48" si="5">(G47/F47)*100</f>
        <v>100</v>
      </c>
      <c r="I47" s="1043"/>
    </row>
    <row r="48" spans="1:9" s="1037" customFormat="1" ht="15" x14ac:dyDescent="0.25">
      <c r="A48" s="2556">
        <v>3349</v>
      </c>
      <c r="B48" s="2557">
        <v>5363</v>
      </c>
      <c r="C48" s="2521"/>
      <c r="D48" s="1071" t="s">
        <v>739</v>
      </c>
      <c r="E48" s="1030">
        <v>0</v>
      </c>
      <c r="F48" s="1030">
        <v>18</v>
      </c>
      <c r="G48" s="1030">
        <v>18</v>
      </c>
      <c r="H48" s="2342">
        <f t="shared" si="5"/>
        <v>100</v>
      </c>
      <c r="I48" s="1043"/>
    </row>
    <row r="49" spans="1:21" s="1037" customFormat="1" ht="15" hidden="1" x14ac:dyDescent="0.25">
      <c r="A49" s="2556">
        <v>3900</v>
      </c>
      <c r="B49" s="2557">
        <v>5222</v>
      </c>
      <c r="C49" s="2521"/>
      <c r="D49" s="1032" t="s">
        <v>800</v>
      </c>
      <c r="E49" s="1022"/>
      <c r="F49" s="1030">
        <f>F50</f>
        <v>0</v>
      </c>
      <c r="G49" s="1030">
        <f>G50</f>
        <v>0</v>
      </c>
      <c r="H49" s="2342" t="e">
        <f t="shared" si="4"/>
        <v>#DIV/0!</v>
      </c>
      <c r="I49" s="1043"/>
    </row>
    <row r="50" spans="1:21" s="1037" customFormat="1" ht="14.25" hidden="1" x14ac:dyDescent="0.2">
      <c r="A50" s="2556"/>
      <c r="B50" s="2557"/>
      <c r="C50" s="2521" t="s">
        <v>1087</v>
      </c>
      <c r="D50" s="1654" t="s">
        <v>1354</v>
      </c>
      <c r="E50" s="1022"/>
      <c r="F50" s="1022"/>
      <c r="G50" s="1022"/>
      <c r="H50" s="2560" t="e">
        <f t="shared" si="4"/>
        <v>#DIV/0!</v>
      </c>
      <c r="I50" s="1043"/>
    </row>
    <row r="51" spans="1:21" s="1037" customFormat="1" ht="15" hidden="1" x14ac:dyDescent="0.25">
      <c r="A51" s="2556">
        <v>6113</v>
      </c>
      <c r="B51" s="2557">
        <v>5134</v>
      </c>
      <c r="C51" s="2521"/>
      <c r="D51" s="1060" t="s">
        <v>315</v>
      </c>
      <c r="E51" s="1022"/>
      <c r="F51" s="1030">
        <f>F52</f>
        <v>0</v>
      </c>
      <c r="G51" s="1030">
        <f>G52</f>
        <v>0</v>
      </c>
      <c r="H51" s="2342" t="e">
        <f t="shared" si="4"/>
        <v>#DIV/0!</v>
      </c>
      <c r="I51" s="1043"/>
    </row>
    <row r="52" spans="1:21" s="1037" customFormat="1" ht="14.25" hidden="1" x14ac:dyDescent="0.2">
      <c r="A52" s="2556"/>
      <c r="B52" s="2557"/>
      <c r="C52" s="2521" t="s">
        <v>1371</v>
      </c>
      <c r="D52" s="1654" t="s">
        <v>776</v>
      </c>
      <c r="E52" s="1022"/>
      <c r="F52" s="1022"/>
      <c r="G52" s="1022"/>
      <c r="H52" s="2560" t="e">
        <f t="shared" si="4"/>
        <v>#DIV/0!</v>
      </c>
      <c r="I52" s="1043"/>
    </row>
    <row r="53" spans="1:21" s="1037" customFormat="1" ht="15" x14ac:dyDescent="0.25">
      <c r="A53" s="2556">
        <v>6113</v>
      </c>
      <c r="B53" s="2557">
        <v>5137</v>
      </c>
      <c r="C53" s="2521"/>
      <c r="D53" s="1071" t="s">
        <v>88</v>
      </c>
      <c r="E53" s="1030">
        <v>100</v>
      </c>
      <c r="F53" s="1030">
        <v>100</v>
      </c>
      <c r="G53" s="1030">
        <v>54</v>
      </c>
      <c r="H53" s="2342">
        <f t="shared" si="4"/>
        <v>54</v>
      </c>
      <c r="I53" s="1043"/>
    </row>
    <row r="54" spans="1:21" s="1037" customFormat="1" ht="15" x14ac:dyDescent="0.25">
      <c r="A54" s="2556">
        <v>6113</v>
      </c>
      <c r="B54" s="2557">
        <v>5139</v>
      </c>
      <c r="C54" s="2521"/>
      <c r="D54" s="1071" t="s">
        <v>396</v>
      </c>
      <c r="E54" s="1030">
        <f>E55</f>
        <v>2610</v>
      </c>
      <c r="F54" s="1030">
        <f>F55</f>
        <v>2930</v>
      </c>
      <c r="G54" s="1030">
        <f>G55</f>
        <v>2920</v>
      </c>
      <c r="H54" s="2342">
        <f t="shared" si="4"/>
        <v>99.658703071672349</v>
      </c>
      <c r="I54" s="1043"/>
    </row>
    <row r="55" spans="1:21" ht="14.25" x14ac:dyDescent="0.2">
      <c r="A55" s="2556"/>
      <c r="B55" s="2557"/>
      <c r="C55" s="2521" t="s">
        <v>1371</v>
      </c>
      <c r="D55" s="1654" t="s">
        <v>776</v>
      </c>
      <c r="E55" s="1022">
        <v>2610</v>
      </c>
      <c r="F55" s="1022">
        <v>2930</v>
      </c>
      <c r="G55" s="1022">
        <v>2920</v>
      </c>
      <c r="H55" s="2560">
        <f t="shared" si="4"/>
        <v>99.658703071672349</v>
      </c>
    </row>
    <row r="56" spans="1:21" ht="15" x14ac:dyDescent="0.25">
      <c r="A56" s="2556">
        <v>6113</v>
      </c>
      <c r="B56" s="2557">
        <v>5142</v>
      </c>
      <c r="C56" s="2521"/>
      <c r="D56" s="3015" t="s">
        <v>820</v>
      </c>
      <c r="E56" s="1030">
        <v>1</v>
      </c>
      <c r="F56" s="1030">
        <v>1</v>
      </c>
      <c r="G56" s="1030">
        <v>0</v>
      </c>
      <c r="H56" s="2342">
        <f t="shared" si="4"/>
        <v>0</v>
      </c>
    </row>
    <row r="57" spans="1:21" s="1037" customFormat="1" ht="15" x14ac:dyDescent="0.25">
      <c r="A57" s="2556">
        <v>6113</v>
      </c>
      <c r="B57" s="2557">
        <v>5161</v>
      </c>
      <c r="C57" s="2521"/>
      <c r="D57" s="1894" t="s">
        <v>975</v>
      </c>
      <c r="E57" s="1030">
        <v>1</v>
      </c>
      <c r="F57" s="1030">
        <v>1</v>
      </c>
      <c r="G57" s="1030">
        <v>1</v>
      </c>
      <c r="H57" s="2342">
        <f t="shared" si="4"/>
        <v>100</v>
      </c>
      <c r="I57" s="1043"/>
    </row>
    <row r="58" spans="1:21" s="1037" customFormat="1" ht="15" x14ac:dyDescent="0.25">
      <c r="A58" s="2556">
        <v>6113</v>
      </c>
      <c r="B58" s="2557">
        <v>5162</v>
      </c>
      <c r="C58" s="2521"/>
      <c r="D58" s="3015" t="s">
        <v>439</v>
      </c>
      <c r="E58" s="1030">
        <f>E59</f>
        <v>1</v>
      </c>
      <c r="F58" s="1030">
        <f>F59</f>
        <v>1</v>
      </c>
      <c r="G58" s="1030">
        <f>G59</f>
        <v>0</v>
      </c>
      <c r="H58" s="2342">
        <v>0</v>
      </c>
      <c r="I58" s="1043"/>
    </row>
    <row r="59" spans="1:21" s="1037" customFormat="1" ht="14.25" x14ac:dyDescent="0.2">
      <c r="A59" s="2556"/>
      <c r="B59" s="2557"/>
      <c r="C59" s="2521" t="s">
        <v>1371</v>
      </c>
      <c r="D59" s="1654" t="s">
        <v>776</v>
      </c>
      <c r="E59" s="1022">
        <v>1</v>
      </c>
      <c r="F59" s="1022">
        <v>1</v>
      </c>
      <c r="G59" s="1022">
        <v>0</v>
      </c>
      <c r="H59" s="2560">
        <v>0</v>
      </c>
      <c r="I59" s="1043"/>
    </row>
    <row r="60" spans="1:21" s="1037" customFormat="1" ht="15" x14ac:dyDescent="0.25">
      <c r="A60" s="2556">
        <v>6113</v>
      </c>
      <c r="B60" s="2557">
        <v>5164</v>
      </c>
      <c r="C60" s="2521"/>
      <c r="D60" s="2060" t="s">
        <v>101</v>
      </c>
      <c r="E60" s="1030">
        <f>E61+E63+E62</f>
        <v>435</v>
      </c>
      <c r="F60" s="1030">
        <f t="shared" ref="F60:G60" si="6">F61+F63+F62</f>
        <v>459</v>
      </c>
      <c r="G60" s="1030">
        <f t="shared" si="6"/>
        <v>418</v>
      </c>
      <c r="H60" s="2342">
        <f t="shared" si="4"/>
        <v>91.067538126361654</v>
      </c>
      <c r="I60" s="1043"/>
    </row>
    <row r="61" spans="1:21" ht="14.25" x14ac:dyDescent="0.2">
      <c r="A61" s="2556"/>
      <c r="B61" s="2557"/>
      <c r="C61" s="2521" t="s">
        <v>1373</v>
      </c>
      <c r="D61" s="1654" t="s">
        <v>775</v>
      </c>
      <c r="E61" s="1022"/>
      <c r="F61" s="1022">
        <v>20</v>
      </c>
      <c r="G61" s="1022">
        <v>20</v>
      </c>
      <c r="H61" s="2560">
        <f t="shared" si="4"/>
        <v>100</v>
      </c>
    </row>
    <row r="62" spans="1:21" ht="14.25" x14ac:dyDescent="0.2">
      <c r="A62" s="2556"/>
      <c r="B62" s="2557"/>
      <c r="C62" s="2521" t="s">
        <v>1371</v>
      </c>
      <c r="D62" s="1654" t="s">
        <v>776</v>
      </c>
      <c r="E62" s="1022">
        <v>405</v>
      </c>
      <c r="F62" s="1022">
        <v>405</v>
      </c>
      <c r="G62" s="1022">
        <v>366</v>
      </c>
      <c r="H62" s="2560">
        <f t="shared" si="4"/>
        <v>90.370370370370367</v>
      </c>
    </row>
    <row r="63" spans="1:21" s="1037" customFormat="1" ht="14.25" x14ac:dyDescent="0.2">
      <c r="A63" s="2556"/>
      <c r="B63" s="2557"/>
      <c r="C63" s="2521" t="s">
        <v>1372</v>
      </c>
      <c r="D63" s="3020" t="s">
        <v>830</v>
      </c>
      <c r="E63" s="1022">
        <v>30</v>
      </c>
      <c r="F63" s="1022">
        <v>34</v>
      </c>
      <c r="G63" s="1022">
        <v>32</v>
      </c>
      <c r="H63" s="2560">
        <f t="shared" si="4"/>
        <v>94.117647058823522</v>
      </c>
      <c r="I63" s="1043"/>
    </row>
    <row r="64" spans="1:21" s="1875" customFormat="1" ht="15" x14ac:dyDescent="0.25">
      <c r="A64" s="2556">
        <v>6113</v>
      </c>
      <c r="B64" s="2557">
        <v>5166</v>
      </c>
      <c r="C64" s="2521"/>
      <c r="D64" s="2060" t="s">
        <v>354</v>
      </c>
      <c r="E64" s="1030">
        <v>1700</v>
      </c>
      <c r="F64" s="1030">
        <v>1681</v>
      </c>
      <c r="G64" s="1030">
        <v>1486</v>
      </c>
      <c r="H64" s="2342">
        <f t="shared" si="4"/>
        <v>88.399762046400951</v>
      </c>
      <c r="I64" s="1654"/>
      <c r="J64" s="1654"/>
      <c r="K64" s="1654"/>
      <c r="L64" s="1654"/>
      <c r="M64" s="1654"/>
      <c r="N64" s="1654"/>
      <c r="O64" s="1654"/>
      <c r="P64" s="1654"/>
      <c r="Q64" s="1654"/>
      <c r="R64" s="1654"/>
      <c r="S64" s="1654"/>
      <c r="T64" s="1654"/>
      <c r="U64" s="1654"/>
    </row>
    <row r="65" spans="1:21" s="1875" customFormat="1" ht="15" x14ac:dyDescent="0.25">
      <c r="A65" s="2556">
        <v>6113</v>
      </c>
      <c r="B65" s="2557">
        <v>5168</v>
      </c>
      <c r="C65" s="2521"/>
      <c r="D65" s="3294" t="s">
        <v>821</v>
      </c>
      <c r="E65" s="1030">
        <f>E67</f>
        <v>5</v>
      </c>
      <c r="F65" s="1030">
        <f>F67+F68</f>
        <v>45</v>
      </c>
      <c r="G65" s="1030">
        <f>G67+G68</f>
        <v>24</v>
      </c>
      <c r="H65" s="2342">
        <f>(G65/F65)*100</f>
        <v>53.333333333333336</v>
      </c>
      <c r="I65" s="1654"/>
      <c r="J65" s="1654"/>
      <c r="K65" s="1654"/>
      <c r="L65" s="1654"/>
      <c r="M65" s="1654"/>
      <c r="N65" s="1654"/>
      <c r="O65" s="1654"/>
      <c r="P65" s="1654"/>
      <c r="Q65" s="1654"/>
      <c r="R65" s="1654"/>
      <c r="S65" s="1654"/>
      <c r="T65" s="1654"/>
      <c r="U65" s="1654"/>
    </row>
    <row r="66" spans="1:21" s="1875" customFormat="1" x14ac:dyDescent="0.2">
      <c r="A66" s="2556"/>
      <c r="B66" s="2557"/>
      <c r="C66" s="2521"/>
      <c r="D66" s="3295"/>
      <c r="E66" s="2603"/>
      <c r="F66" s="2603"/>
      <c r="G66" s="2603"/>
      <c r="H66" s="3024"/>
      <c r="I66" s="1654"/>
      <c r="J66" s="1654"/>
      <c r="K66" s="1654"/>
      <c r="L66" s="1654"/>
      <c r="M66" s="1654"/>
      <c r="N66" s="1654"/>
      <c r="O66" s="1654"/>
      <c r="P66" s="1654"/>
      <c r="Q66" s="1654"/>
      <c r="R66" s="1654"/>
      <c r="S66" s="1654"/>
      <c r="T66" s="1654"/>
      <c r="U66" s="1654"/>
    </row>
    <row r="67" spans="1:21" ht="14.25" x14ac:dyDescent="0.2">
      <c r="A67" s="2556"/>
      <c r="B67" s="2557"/>
      <c r="C67" s="2521" t="s">
        <v>1373</v>
      </c>
      <c r="D67" s="1654" t="s">
        <v>775</v>
      </c>
      <c r="E67" s="1022">
        <v>5</v>
      </c>
      <c r="F67" s="1022">
        <v>5</v>
      </c>
      <c r="G67" s="1022">
        <v>0</v>
      </c>
      <c r="H67" s="2560">
        <f t="shared" ref="H67:H100" si="7">(G67/F67)*100</f>
        <v>0</v>
      </c>
    </row>
    <row r="68" spans="1:21" s="1037" customFormat="1" ht="15" thickBot="1" x14ac:dyDescent="0.25">
      <c r="A68" s="2785"/>
      <c r="B68" s="2854"/>
      <c r="C68" s="2801" t="s">
        <v>1371</v>
      </c>
      <c r="D68" s="2855" t="s">
        <v>776</v>
      </c>
      <c r="E68" s="1812">
        <v>0</v>
      </c>
      <c r="F68" s="1812">
        <v>40</v>
      </c>
      <c r="G68" s="1812">
        <v>24</v>
      </c>
      <c r="H68" s="3025">
        <f t="shared" si="7"/>
        <v>60</v>
      </c>
      <c r="I68" s="1043"/>
    </row>
    <row r="69" spans="1:21" s="1037" customFormat="1" ht="14.25" thickTop="1" thickBot="1" x14ac:dyDescent="0.25">
      <c r="A69" s="1050"/>
      <c r="B69" s="1050"/>
      <c r="C69" s="1050"/>
      <c r="D69" s="1070"/>
      <c r="E69" s="1002"/>
      <c r="F69" s="1002"/>
      <c r="G69" s="1048"/>
      <c r="H69" s="1901" t="s">
        <v>92</v>
      </c>
      <c r="I69" s="1043"/>
    </row>
    <row r="70" spans="1:21" s="1037" customFormat="1" ht="13.5" thickTop="1" thickBot="1" x14ac:dyDescent="0.25">
      <c r="A70" s="1047" t="s">
        <v>93</v>
      </c>
      <c r="B70" s="1046" t="s">
        <v>94</v>
      </c>
      <c r="C70" s="1957" t="s">
        <v>364</v>
      </c>
      <c r="D70" s="1069" t="s">
        <v>95</v>
      </c>
      <c r="E70" s="1069" t="s">
        <v>328</v>
      </c>
      <c r="F70" s="1069" t="s">
        <v>329</v>
      </c>
      <c r="G70" s="1749" t="s">
        <v>448</v>
      </c>
      <c r="H70" s="1784" t="s">
        <v>449</v>
      </c>
      <c r="I70" s="1043"/>
    </row>
    <row r="71" spans="1:21" s="1037" customFormat="1" ht="13.5" thickTop="1" thickBot="1" x14ac:dyDescent="0.25">
      <c r="A71" s="1042">
        <v>1</v>
      </c>
      <c r="B71" s="1041">
        <v>2</v>
      </c>
      <c r="C71" s="1041">
        <v>3</v>
      </c>
      <c r="D71" s="1041">
        <v>4</v>
      </c>
      <c r="E71" s="1041">
        <v>5</v>
      </c>
      <c r="F71" s="1040">
        <v>6</v>
      </c>
      <c r="G71" s="1040">
        <v>7</v>
      </c>
      <c r="H71" s="1039" t="s">
        <v>33</v>
      </c>
      <c r="I71" s="1043"/>
    </row>
    <row r="72" spans="1:21" ht="15.75" thickTop="1" x14ac:dyDescent="0.25">
      <c r="A72" s="2556">
        <v>6113</v>
      </c>
      <c r="B72" s="2557">
        <v>5169</v>
      </c>
      <c r="C72" s="2521"/>
      <c r="D72" s="1869" t="s">
        <v>430</v>
      </c>
      <c r="E72" s="1030">
        <f>E73+E74+E75+E76</f>
        <v>4301</v>
      </c>
      <c r="F72" s="1030">
        <f>F73+F74+F75+F76</f>
        <v>3757</v>
      </c>
      <c r="G72" s="1030">
        <f>G73+G74+G75+G76</f>
        <v>2672</v>
      </c>
      <c r="H72" s="1886">
        <f t="shared" si="7"/>
        <v>71.1205749268033</v>
      </c>
    </row>
    <row r="73" spans="1:21" ht="14.25" x14ac:dyDescent="0.2">
      <c r="A73" s="2556"/>
      <c r="B73" s="2557"/>
      <c r="C73" s="2521" t="s">
        <v>871</v>
      </c>
      <c r="D73" s="1654" t="s">
        <v>600</v>
      </c>
      <c r="E73" s="1022">
        <v>91</v>
      </c>
      <c r="F73" s="1023">
        <v>91</v>
      </c>
      <c r="G73" s="1022">
        <v>91</v>
      </c>
      <c r="H73" s="2064">
        <f t="shared" si="7"/>
        <v>100</v>
      </c>
    </row>
    <row r="74" spans="1:21" ht="14.25" x14ac:dyDescent="0.2">
      <c r="A74" s="2556"/>
      <c r="B74" s="2557"/>
      <c r="C74" s="2521" t="s">
        <v>1373</v>
      </c>
      <c r="D74" s="1654" t="s">
        <v>775</v>
      </c>
      <c r="E74" s="1022">
        <v>325</v>
      </c>
      <c r="F74" s="1023">
        <v>205</v>
      </c>
      <c r="G74" s="1022">
        <v>5</v>
      </c>
      <c r="H74" s="2064">
        <f t="shared" si="7"/>
        <v>2.4390243902439024</v>
      </c>
    </row>
    <row r="75" spans="1:21" ht="14.25" x14ac:dyDescent="0.2">
      <c r="A75" s="2556"/>
      <c r="B75" s="2557"/>
      <c r="C75" s="2521" t="s">
        <v>1371</v>
      </c>
      <c r="D75" s="1654" t="s">
        <v>776</v>
      </c>
      <c r="E75" s="1022">
        <v>3700</v>
      </c>
      <c r="F75" s="1023">
        <v>3276</v>
      </c>
      <c r="G75" s="1022">
        <v>2442</v>
      </c>
      <c r="H75" s="2064">
        <f t="shared" si="7"/>
        <v>74.54212454212454</v>
      </c>
    </row>
    <row r="76" spans="1:21" ht="14.25" x14ac:dyDescent="0.2">
      <c r="A76" s="2556"/>
      <c r="B76" s="2557"/>
      <c r="C76" s="2521" t="s">
        <v>1372</v>
      </c>
      <c r="D76" s="1654" t="s">
        <v>830</v>
      </c>
      <c r="E76" s="1022">
        <v>185</v>
      </c>
      <c r="F76" s="1023">
        <v>185</v>
      </c>
      <c r="G76" s="1022">
        <v>134</v>
      </c>
      <c r="H76" s="2064">
        <f t="shared" si="7"/>
        <v>72.432432432432435</v>
      </c>
    </row>
    <row r="77" spans="1:21" ht="15" x14ac:dyDescent="0.25">
      <c r="A77" s="2556">
        <v>6113</v>
      </c>
      <c r="B77" s="2557">
        <v>5171</v>
      </c>
      <c r="C77" s="2521"/>
      <c r="D77" s="1071" t="s">
        <v>456</v>
      </c>
      <c r="E77" s="1030">
        <f>E78</f>
        <v>50</v>
      </c>
      <c r="F77" s="1031">
        <f>F78</f>
        <v>74</v>
      </c>
      <c r="G77" s="1030">
        <f>G78</f>
        <v>74</v>
      </c>
      <c r="H77" s="1886">
        <f t="shared" si="7"/>
        <v>100</v>
      </c>
    </row>
    <row r="78" spans="1:21" ht="14.25" x14ac:dyDescent="0.2">
      <c r="A78" s="2556"/>
      <c r="B78" s="2557"/>
      <c r="C78" s="2521" t="s">
        <v>1371</v>
      </c>
      <c r="D78" s="1654" t="s">
        <v>776</v>
      </c>
      <c r="E78" s="1022">
        <v>50</v>
      </c>
      <c r="F78" s="1023">
        <v>74</v>
      </c>
      <c r="G78" s="1022">
        <v>74</v>
      </c>
      <c r="H78" s="2064">
        <f t="shared" si="7"/>
        <v>100</v>
      </c>
    </row>
    <row r="79" spans="1:21" ht="15" x14ac:dyDescent="0.25">
      <c r="A79" s="2556">
        <v>6113</v>
      </c>
      <c r="B79" s="2557">
        <v>5175</v>
      </c>
      <c r="C79" s="2521"/>
      <c r="D79" s="1071" t="s">
        <v>352</v>
      </c>
      <c r="E79" s="1030">
        <f>E80+E81+E82</f>
        <v>1330</v>
      </c>
      <c r="F79" s="1030">
        <f>F80+F81+F82</f>
        <v>1356</v>
      </c>
      <c r="G79" s="1030">
        <f>G80+G81+G82</f>
        <v>1191</v>
      </c>
      <c r="H79" s="1886">
        <f t="shared" si="7"/>
        <v>87.83185840707965</v>
      </c>
    </row>
    <row r="80" spans="1:21" s="1004" customFormat="1" ht="17.25" customHeight="1" x14ac:dyDescent="0.35">
      <c r="A80" s="2556"/>
      <c r="B80" s="2557"/>
      <c r="C80" s="2521" t="s">
        <v>1373</v>
      </c>
      <c r="D80" s="1654" t="s">
        <v>775</v>
      </c>
      <c r="E80" s="1022">
        <v>150</v>
      </c>
      <c r="F80" s="1022">
        <v>180</v>
      </c>
      <c r="G80" s="1022">
        <v>147</v>
      </c>
      <c r="H80" s="2064">
        <f t="shared" si="7"/>
        <v>81.666666666666671</v>
      </c>
    </row>
    <row r="81" spans="1:8" ht="14.25" x14ac:dyDescent="0.2">
      <c r="A81" s="2556"/>
      <c r="B81" s="2557"/>
      <c r="C81" s="2521" t="s">
        <v>1371</v>
      </c>
      <c r="D81" s="1654" t="s">
        <v>776</v>
      </c>
      <c r="E81" s="1022">
        <v>1145</v>
      </c>
      <c r="F81" s="1023">
        <v>1145</v>
      </c>
      <c r="G81" s="1022">
        <v>1033</v>
      </c>
      <c r="H81" s="2560">
        <f t="shared" si="7"/>
        <v>90.21834061135371</v>
      </c>
    </row>
    <row r="82" spans="1:8" ht="14.25" x14ac:dyDescent="0.2">
      <c r="A82" s="2556"/>
      <c r="B82" s="2557"/>
      <c r="C82" s="2521" t="s">
        <v>1372</v>
      </c>
      <c r="D82" s="1654" t="s">
        <v>830</v>
      </c>
      <c r="E82" s="1022">
        <v>35</v>
      </c>
      <c r="F82" s="1023">
        <v>31</v>
      </c>
      <c r="G82" s="1022">
        <v>11</v>
      </c>
      <c r="H82" s="2560">
        <f t="shared" si="7"/>
        <v>35.483870967741936</v>
      </c>
    </row>
    <row r="83" spans="1:8" ht="15" x14ac:dyDescent="0.25">
      <c r="A83" s="2556">
        <v>6113</v>
      </c>
      <c r="B83" s="2557">
        <v>5179</v>
      </c>
      <c r="C83" s="2521"/>
      <c r="D83" s="1071" t="s">
        <v>1130</v>
      </c>
      <c r="E83" s="1030">
        <f>E84</f>
        <v>800</v>
      </c>
      <c r="F83" s="1030">
        <f t="shared" ref="F83:G83" si="8">F84</f>
        <v>800</v>
      </c>
      <c r="G83" s="1030">
        <f t="shared" si="8"/>
        <v>800</v>
      </c>
      <c r="H83" s="1886">
        <f t="shared" ref="H83:H84" si="9">(G83/F83)*100</f>
        <v>100</v>
      </c>
    </row>
    <row r="84" spans="1:8" ht="14.25" x14ac:dyDescent="0.2">
      <c r="A84" s="2556"/>
      <c r="B84" s="2557"/>
      <c r="C84" s="2521" t="s">
        <v>1085</v>
      </c>
      <c r="D84" s="1654" t="s">
        <v>1089</v>
      </c>
      <c r="E84" s="1022">
        <v>800</v>
      </c>
      <c r="F84" s="1022">
        <v>800</v>
      </c>
      <c r="G84" s="1022">
        <v>800</v>
      </c>
      <c r="H84" s="2064">
        <f t="shared" si="9"/>
        <v>100</v>
      </c>
    </row>
    <row r="85" spans="1:8" ht="15" x14ac:dyDescent="0.25">
      <c r="A85" s="2556">
        <v>6113</v>
      </c>
      <c r="B85" s="2557">
        <v>5189</v>
      </c>
      <c r="C85" s="2521"/>
      <c r="D85" s="1071" t="s">
        <v>440</v>
      </c>
      <c r="E85" s="1030">
        <v>70</v>
      </c>
      <c r="F85" s="1031">
        <v>70</v>
      </c>
      <c r="G85" s="1030">
        <v>0</v>
      </c>
      <c r="H85" s="2342">
        <f t="shared" si="7"/>
        <v>0</v>
      </c>
    </row>
    <row r="86" spans="1:8" ht="15" x14ac:dyDescent="0.25">
      <c r="A86" s="2556">
        <v>6113</v>
      </c>
      <c r="B86" s="2557">
        <v>5194</v>
      </c>
      <c r="C86" s="2521"/>
      <c r="D86" s="1071" t="s">
        <v>309</v>
      </c>
      <c r="E86" s="1030">
        <f>E87+E88</f>
        <v>140</v>
      </c>
      <c r="F86" s="1030">
        <f t="shared" ref="F86:G86" si="10">F87+F88</f>
        <v>140</v>
      </c>
      <c r="G86" s="1030">
        <f t="shared" si="10"/>
        <v>140</v>
      </c>
      <c r="H86" s="1886">
        <f t="shared" si="7"/>
        <v>100</v>
      </c>
    </row>
    <row r="87" spans="1:8" ht="14.25" hidden="1" x14ac:dyDescent="0.2">
      <c r="A87" s="2556"/>
      <c r="B87" s="2557"/>
      <c r="C87" s="2521" t="s">
        <v>1371</v>
      </c>
      <c r="D87" s="1654" t="s">
        <v>776</v>
      </c>
      <c r="E87" s="1022"/>
      <c r="F87" s="1023"/>
      <c r="G87" s="1022"/>
      <c r="H87" s="2560">
        <v>0</v>
      </c>
    </row>
    <row r="88" spans="1:8" ht="14.25" x14ac:dyDescent="0.2">
      <c r="A88" s="2556"/>
      <c r="B88" s="2557"/>
      <c r="C88" s="2521" t="s">
        <v>1086</v>
      </c>
      <c r="D88" s="1654" t="s">
        <v>1206</v>
      </c>
      <c r="E88" s="1022">
        <v>140</v>
      </c>
      <c r="F88" s="1023">
        <v>140</v>
      </c>
      <c r="G88" s="1022">
        <v>140</v>
      </c>
      <c r="H88" s="2560">
        <f t="shared" si="7"/>
        <v>100</v>
      </c>
    </row>
    <row r="89" spans="1:8" ht="15" hidden="1" x14ac:dyDescent="0.25">
      <c r="A89" s="2063">
        <v>6113</v>
      </c>
      <c r="B89" s="2062">
        <v>5229</v>
      </c>
      <c r="C89" s="2521"/>
      <c r="D89" s="2558" t="s">
        <v>1642</v>
      </c>
      <c r="E89" s="1030">
        <f>E90</f>
        <v>0</v>
      </c>
      <c r="F89" s="1030">
        <f>F90</f>
        <v>0</v>
      </c>
      <c r="G89" s="1030">
        <f>G90</f>
        <v>0</v>
      </c>
      <c r="H89" s="2342">
        <v>0</v>
      </c>
    </row>
    <row r="90" spans="1:8" ht="14.25" hidden="1" x14ac:dyDescent="0.2">
      <c r="A90" s="2063"/>
      <c r="B90" s="2062"/>
      <c r="C90" s="2521" t="s">
        <v>1085</v>
      </c>
      <c r="D90" s="1654" t="s">
        <v>1089</v>
      </c>
      <c r="E90" s="1022"/>
      <c r="F90" s="1022"/>
      <c r="G90" s="1022"/>
      <c r="H90" s="2560">
        <v>0</v>
      </c>
    </row>
    <row r="91" spans="1:8" ht="15" x14ac:dyDescent="0.25">
      <c r="A91" s="2063">
        <v>6172</v>
      </c>
      <c r="B91" s="2062">
        <v>5139</v>
      </c>
      <c r="C91" s="2521"/>
      <c r="D91" s="1071" t="s">
        <v>396</v>
      </c>
      <c r="E91" s="1030">
        <f>E92</f>
        <v>1050</v>
      </c>
      <c r="F91" s="1030">
        <f>F92</f>
        <v>1035</v>
      </c>
      <c r="G91" s="1030">
        <f>G92</f>
        <v>716</v>
      </c>
      <c r="H91" s="2342">
        <f t="shared" si="7"/>
        <v>69.178743961352666</v>
      </c>
    </row>
    <row r="92" spans="1:8" ht="14.25" x14ac:dyDescent="0.2">
      <c r="A92" s="2063"/>
      <c r="B92" s="2062"/>
      <c r="C92" s="2521" t="s">
        <v>1370</v>
      </c>
      <c r="D92" s="1654" t="s">
        <v>774</v>
      </c>
      <c r="E92" s="1022">
        <v>1050</v>
      </c>
      <c r="F92" s="1022">
        <v>1035</v>
      </c>
      <c r="G92" s="1022">
        <v>716</v>
      </c>
      <c r="H92" s="2560">
        <f t="shared" si="7"/>
        <v>69.178743961352666</v>
      </c>
    </row>
    <row r="93" spans="1:8" ht="15" x14ac:dyDescent="0.25">
      <c r="A93" s="2063">
        <v>6172</v>
      </c>
      <c r="B93" s="2062">
        <v>5168</v>
      </c>
      <c r="C93" s="2521"/>
      <c r="D93" s="3296" t="s">
        <v>838</v>
      </c>
      <c r="E93" s="1030">
        <f>E95</f>
        <v>0</v>
      </c>
      <c r="F93" s="1030">
        <f>F95</f>
        <v>15</v>
      </c>
      <c r="G93" s="1030">
        <f>G95</f>
        <v>15</v>
      </c>
      <c r="H93" s="2342">
        <f t="shared" si="7"/>
        <v>100</v>
      </c>
    </row>
    <row r="94" spans="1:8" ht="15" x14ac:dyDescent="0.25">
      <c r="A94" s="2063"/>
      <c r="B94" s="2062"/>
      <c r="C94" s="2521"/>
      <c r="D94" s="3297"/>
      <c r="E94" s="1030"/>
      <c r="F94" s="1030"/>
      <c r="G94" s="1030"/>
      <c r="H94" s="2342"/>
    </row>
    <row r="95" spans="1:8" ht="14.25" x14ac:dyDescent="0.2">
      <c r="A95" s="2063"/>
      <c r="B95" s="2062"/>
      <c r="C95" s="2521" t="s">
        <v>1370</v>
      </c>
      <c r="D95" s="1654" t="s">
        <v>774</v>
      </c>
      <c r="E95" s="1022">
        <v>0</v>
      </c>
      <c r="F95" s="1022">
        <v>15</v>
      </c>
      <c r="G95" s="1022">
        <v>15</v>
      </c>
      <c r="H95" s="2560">
        <f t="shared" si="7"/>
        <v>100</v>
      </c>
    </row>
    <row r="96" spans="1:8" ht="15" x14ac:dyDescent="0.25">
      <c r="A96" s="2063">
        <v>6172</v>
      </c>
      <c r="B96" s="2062">
        <v>5169</v>
      </c>
      <c r="C96" s="2521"/>
      <c r="D96" s="1869" t="s">
        <v>430</v>
      </c>
      <c r="E96" s="1030">
        <f>E97</f>
        <v>270</v>
      </c>
      <c r="F96" s="1030">
        <f>F97</f>
        <v>270</v>
      </c>
      <c r="G96" s="1030">
        <f>G97</f>
        <v>165</v>
      </c>
      <c r="H96" s="2342">
        <f t="shared" si="7"/>
        <v>61.111111111111114</v>
      </c>
    </row>
    <row r="97" spans="1:9" ht="14.25" x14ac:dyDescent="0.2">
      <c r="A97" s="2063"/>
      <c r="B97" s="2062"/>
      <c r="C97" s="2521" t="s">
        <v>1370</v>
      </c>
      <c r="D97" s="1654" t="s">
        <v>774</v>
      </c>
      <c r="E97" s="1022">
        <v>270</v>
      </c>
      <c r="F97" s="1022">
        <v>270</v>
      </c>
      <c r="G97" s="1022">
        <v>165</v>
      </c>
      <c r="H97" s="2560">
        <f t="shared" si="7"/>
        <v>61.111111111111114</v>
      </c>
    </row>
    <row r="98" spans="1:9" ht="15" x14ac:dyDescent="0.25">
      <c r="A98" s="2063">
        <v>6172</v>
      </c>
      <c r="B98" s="2062">
        <v>5175</v>
      </c>
      <c r="C98" s="2521"/>
      <c r="D98" s="1071" t="s">
        <v>352</v>
      </c>
      <c r="E98" s="1030">
        <f>E99</f>
        <v>50</v>
      </c>
      <c r="F98" s="1030">
        <f>F99</f>
        <v>50</v>
      </c>
      <c r="G98" s="1030">
        <f>G99</f>
        <v>1</v>
      </c>
      <c r="H98" s="2342">
        <f t="shared" si="7"/>
        <v>2</v>
      </c>
    </row>
    <row r="99" spans="1:9" ht="14.25" x14ac:dyDescent="0.2">
      <c r="A99" s="2063"/>
      <c r="B99" s="2062"/>
      <c r="C99" s="2521" t="s">
        <v>1370</v>
      </c>
      <c r="D99" s="1654" t="s">
        <v>774</v>
      </c>
      <c r="E99" s="1022">
        <v>50</v>
      </c>
      <c r="F99" s="1022">
        <v>50</v>
      </c>
      <c r="G99" s="1022">
        <v>1</v>
      </c>
      <c r="H99" s="2560">
        <f t="shared" si="7"/>
        <v>2</v>
      </c>
    </row>
    <row r="100" spans="1:9" ht="15.75" thickBot="1" x14ac:dyDescent="0.3">
      <c r="A100" s="2063">
        <v>6409</v>
      </c>
      <c r="B100" s="2062">
        <v>5169</v>
      </c>
      <c r="C100" s="2521"/>
      <c r="D100" s="1869" t="s">
        <v>430</v>
      </c>
      <c r="E100" s="1030">
        <v>5500</v>
      </c>
      <c r="F100" s="1030">
        <v>5500</v>
      </c>
      <c r="G100" s="1030">
        <v>5445</v>
      </c>
      <c r="H100" s="2342">
        <f t="shared" si="7"/>
        <v>99</v>
      </c>
    </row>
    <row r="101" spans="1:9" ht="32.25" customHeight="1" thickTop="1" thickBot="1" x14ac:dyDescent="0.35">
      <c r="A101" s="1805" t="s">
        <v>134</v>
      </c>
      <c r="B101" s="1987"/>
      <c r="C101" s="2003"/>
      <c r="D101" s="1985"/>
      <c r="E101" s="1016">
        <f>E10+E12+E14+E16+E18+E20+E22+E25+E28+E30+E32+E35+E37+E40+E43+E45+E47+E48+E49+E51+E53+E54+E56+E57+E58+E60+E64+E65+E72+E77+E79+E83+E85+E86+E89+E91+E93+E96+E98+E100</f>
        <v>38573</v>
      </c>
      <c r="F101" s="1016">
        <f>F10+F12+F14+F16+F18+F20+F22+F25+F28+F30+F32+F35+F37+F40+F43+F45+F47+F48+F49+F51+F53+F54+F56+F57+F58+F60+F64+F65+F72+F77+F79+F83+F85+F86+F89+F91+F93+F96+F98+F100</f>
        <v>39414</v>
      </c>
      <c r="G101" s="1016">
        <f>G10+G12+G14+G16+G18+G20+G22+G25+G28+G30+G32+G35+G37+G40+G43+G45+G47+G48+G49+G51+G53+G54+G56+G57+G58+G60+G64+G65+G72+G77+G79+G83+G85+G86+G89+G91+G93+G96+G98+G100</f>
        <v>35857</v>
      </c>
      <c r="H101" s="1871">
        <f>G101/F101*100</f>
        <v>90.975287968742066</v>
      </c>
    </row>
    <row r="102" spans="1:9" ht="13.5" thickTop="1" x14ac:dyDescent="0.2"/>
    <row r="104" spans="1:9" ht="18" x14ac:dyDescent="0.25">
      <c r="A104" s="1057" t="s">
        <v>594</v>
      </c>
      <c r="B104" s="1056"/>
      <c r="C104" s="1055"/>
      <c r="D104" s="1054"/>
      <c r="E104" s="1053"/>
      <c r="F104" s="1668"/>
      <c r="G104" s="1052"/>
      <c r="H104" s="1051"/>
    </row>
    <row r="105" spans="1:9" ht="13.5" thickBot="1" x14ac:dyDescent="0.25">
      <c r="A105" s="1050"/>
      <c r="B105" s="1050"/>
      <c r="C105" s="1049"/>
      <c r="E105" s="1002"/>
      <c r="F105" s="1048"/>
      <c r="G105" s="1002"/>
      <c r="H105" s="1001" t="s">
        <v>92</v>
      </c>
      <c r="I105" s="1043"/>
    </row>
    <row r="106" spans="1:9" s="1043" customFormat="1" ht="20.25" customHeight="1" thickTop="1" thickBot="1" x14ac:dyDescent="0.25">
      <c r="A106" s="1047" t="s">
        <v>93</v>
      </c>
      <c r="B106" s="1046" t="s">
        <v>94</v>
      </c>
      <c r="C106" s="1045" t="s">
        <v>364</v>
      </c>
      <c r="D106" s="1044" t="s">
        <v>95</v>
      </c>
      <c r="E106" s="1069" t="s">
        <v>328</v>
      </c>
      <c r="F106" s="1069" t="s">
        <v>329</v>
      </c>
      <c r="G106" s="1749" t="s">
        <v>448</v>
      </c>
      <c r="H106" s="1784" t="s">
        <v>449</v>
      </c>
      <c r="I106" s="997"/>
    </row>
    <row r="107" spans="1:9" s="1037" customFormat="1" ht="13.5" thickTop="1" thickBot="1" x14ac:dyDescent="0.25">
      <c r="A107" s="1042">
        <v>1</v>
      </c>
      <c r="B107" s="1041">
        <v>2</v>
      </c>
      <c r="C107" s="1041">
        <v>3</v>
      </c>
      <c r="D107" s="1041">
        <v>4</v>
      </c>
      <c r="E107" s="1041">
        <v>5</v>
      </c>
      <c r="F107" s="1040">
        <v>6</v>
      </c>
      <c r="G107" s="1040">
        <v>7</v>
      </c>
      <c r="H107" s="1039" t="s">
        <v>33</v>
      </c>
      <c r="I107" s="1038"/>
    </row>
    <row r="108" spans="1:9" s="1037" customFormat="1" ht="15.75" thickTop="1" x14ac:dyDescent="0.25">
      <c r="A108" s="3027">
        <v>2143</v>
      </c>
      <c r="B108" s="3030">
        <v>6111</v>
      </c>
      <c r="C108" s="3028"/>
      <c r="D108" s="3031" t="s">
        <v>457</v>
      </c>
      <c r="E108" s="1811">
        <f>E109</f>
        <v>0</v>
      </c>
      <c r="F108" s="1811">
        <f>F109</f>
        <v>800</v>
      </c>
      <c r="G108" s="1811">
        <f>G109</f>
        <v>0</v>
      </c>
      <c r="H108" s="3021">
        <f>(G108/F108)*100</f>
        <v>0</v>
      </c>
      <c r="I108" s="1038"/>
    </row>
    <row r="109" spans="1:9" s="1037" customFormat="1" ht="15" thickBot="1" x14ac:dyDescent="0.25">
      <c r="A109" s="3029"/>
      <c r="B109" s="1737"/>
      <c r="C109" s="1813" t="s">
        <v>1369</v>
      </c>
      <c r="D109" s="2559" t="s">
        <v>714</v>
      </c>
      <c r="E109" s="1812">
        <v>0</v>
      </c>
      <c r="F109" s="1812">
        <v>800</v>
      </c>
      <c r="G109" s="1812">
        <v>0</v>
      </c>
      <c r="H109" s="3025">
        <f>(G109/F109)*100</f>
        <v>0</v>
      </c>
      <c r="I109" s="1038"/>
    </row>
    <row r="110" spans="1:9" s="1037" customFormat="1" ht="15" hidden="1" x14ac:dyDescent="0.25">
      <c r="A110" s="2464">
        <v>2143</v>
      </c>
      <c r="B110" s="2465">
        <v>6123</v>
      </c>
      <c r="C110" s="1738"/>
      <c r="D110" s="1071" t="s">
        <v>586</v>
      </c>
      <c r="E110" s="1022"/>
      <c r="F110" s="1031">
        <f>F111</f>
        <v>0</v>
      </c>
      <c r="G110" s="1030">
        <f>G111</f>
        <v>0</v>
      </c>
      <c r="H110" s="1886" t="e">
        <f>(G110/F110)*100</f>
        <v>#DIV/0!</v>
      </c>
      <c r="I110" s="1038"/>
    </row>
    <row r="111" spans="1:9" s="1037" customFormat="1" ht="15" hidden="1" thickBot="1" x14ac:dyDescent="0.25">
      <c r="A111" s="2464"/>
      <c r="B111" s="2465"/>
      <c r="C111" s="1738" t="s">
        <v>1086</v>
      </c>
      <c r="D111" s="2559" t="s">
        <v>1206</v>
      </c>
      <c r="E111" s="1022"/>
      <c r="F111" s="1023"/>
      <c r="G111" s="1022"/>
      <c r="H111" s="2064" t="e">
        <f>(G111/F111)*100</f>
        <v>#DIV/0!</v>
      </c>
      <c r="I111" s="1038"/>
    </row>
    <row r="112" spans="1:9" s="1014" customFormat="1" ht="35.25" customHeight="1" thickTop="1" thickBot="1" x14ac:dyDescent="0.3">
      <c r="A112" s="1020" t="s">
        <v>133</v>
      </c>
      <c r="B112" s="1019"/>
      <c r="C112" s="1018"/>
      <c r="D112" s="1017"/>
      <c r="E112" s="1016">
        <f>E110+E108</f>
        <v>0</v>
      </c>
      <c r="F112" s="1016">
        <f t="shared" ref="F112:G112" si="11">F110+F108</f>
        <v>800</v>
      </c>
      <c r="G112" s="1016">
        <f t="shared" si="11"/>
        <v>0</v>
      </c>
      <c r="H112" s="1015">
        <f>(G112/F112)*100</f>
        <v>0</v>
      </c>
      <c r="I112" s="997"/>
    </row>
    <row r="113" spans="1:8" ht="13.5" thickTop="1" x14ac:dyDescent="0.2"/>
    <row r="115" spans="1:8" ht="15.75" x14ac:dyDescent="0.2">
      <c r="A115" s="3181" t="s">
        <v>1151</v>
      </c>
      <c r="B115" s="3181"/>
      <c r="C115" s="3181"/>
      <c r="D115" s="3181"/>
      <c r="E115" s="3181"/>
      <c r="F115" s="3181"/>
      <c r="G115" s="3181"/>
      <c r="H115" s="3181"/>
    </row>
    <row r="116" spans="1:8" x14ac:dyDescent="0.2">
      <c r="A116" s="3182" t="s">
        <v>1163</v>
      </c>
      <c r="B116" s="3182"/>
      <c r="C116" s="3182"/>
      <c r="D116" s="3182"/>
      <c r="E116" s="3182"/>
      <c r="F116" s="3182"/>
      <c r="G116" s="3182"/>
      <c r="H116" s="3182"/>
    </row>
    <row r="117" spans="1:8" ht="16.5" thickBot="1" x14ac:dyDescent="0.3">
      <c r="A117" s="33"/>
      <c r="B117" s="570"/>
      <c r="C117" s="571"/>
      <c r="D117" s="372"/>
      <c r="E117" s="373"/>
      <c r="F117" s="560"/>
      <c r="G117" s="373"/>
      <c r="H117" s="1568" t="s">
        <v>92</v>
      </c>
    </row>
    <row r="118" spans="1:8" ht="14.25" thickTop="1" thickBot="1" x14ac:dyDescent="0.25">
      <c r="A118" s="572" t="s">
        <v>93</v>
      </c>
      <c r="B118" s="573" t="s">
        <v>94</v>
      </c>
      <c r="C118" s="575" t="s">
        <v>364</v>
      </c>
      <c r="D118" s="639" t="s">
        <v>95</v>
      </c>
      <c r="E118" s="639" t="s">
        <v>328</v>
      </c>
      <c r="F118" s="639" t="s">
        <v>329</v>
      </c>
      <c r="G118" s="639" t="s">
        <v>448</v>
      </c>
      <c r="H118" s="576" t="s">
        <v>449</v>
      </c>
    </row>
    <row r="119" spans="1:8" ht="14.25" thickTop="1" thickBot="1" x14ac:dyDescent="0.25">
      <c r="A119" s="511">
        <v>1</v>
      </c>
      <c r="B119" s="512">
        <v>2</v>
      </c>
      <c r="C119" s="512">
        <v>3</v>
      </c>
      <c r="D119" s="512">
        <v>4</v>
      </c>
      <c r="E119" s="512">
        <v>5</v>
      </c>
      <c r="F119" s="499">
        <v>6</v>
      </c>
      <c r="G119" s="499">
        <v>7</v>
      </c>
      <c r="H119" s="577" t="s">
        <v>33</v>
      </c>
    </row>
    <row r="120" spans="1:8" ht="15.75" thickTop="1" x14ac:dyDescent="0.25">
      <c r="A120" s="2426">
        <v>2143</v>
      </c>
      <c r="B120" s="2492">
        <v>5212</v>
      </c>
      <c r="C120" s="2432" t="s">
        <v>1097</v>
      </c>
      <c r="D120" s="1032" t="s">
        <v>980</v>
      </c>
      <c r="E120" s="429">
        <v>0</v>
      </c>
      <c r="F120" s="1556">
        <v>402</v>
      </c>
      <c r="G120" s="429">
        <v>402</v>
      </c>
      <c r="H120" s="2533">
        <f>G120/F120*100</f>
        <v>100</v>
      </c>
    </row>
    <row r="121" spans="1:8" ht="15" x14ac:dyDescent="0.25">
      <c r="A121" s="2426">
        <v>2143</v>
      </c>
      <c r="B121" s="2492">
        <v>5213</v>
      </c>
      <c r="C121" s="2432" t="s">
        <v>1097</v>
      </c>
      <c r="D121" s="1032" t="s">
        <v>978</v>
      </c>
      <c r="E121" s="429">
        <v>0</v>
      </c>
      <c r="F121" s="1556">
        <v>675</v>
      </c>
      <c r="G121" s="429">
        <v>495</v>
      </c>
      <c r="H121" s="1887">
        <f t="shared" ref="H121:H124" si="12">G121/F121*100</f>
        <v>73.333333333333329</v>
      </c>
    </row>
    <row r="122" spans="1:8" ht="15" x14ac:dyDescent="0.25">
      <c r="A122" s="2426">
        <v>2143</v>
      </c>
      <c r="B122" s="2492">
        <v>5221</v>
      </c>
      <c r="C122" s="2432" t="s">
        <v>1097</v>
      </c>
      <c r="D122" s="1032" t="s">
        <v>1616</v>
      </c>
      <c r="E122" s="429">
        <v>0</v>
      </c>
      <c r="F122" s="1556">
        <v>50</v>
      </c>
      <c r="G122" s="429">
        <v>50</v>
      </c>
      <c r="H122" s="1887">
        <f t="shared" si="12"/>
        <v>100</v>
      </c>
    </row>
    <row r="123" spans="1:8" ht="15" x14ac:dyDescent="0.25">
      <c r="A123" s="2426">
        <v>2143</v>
      </c>
      <c r="B123" s="2492">
        <v>5222</v>
      </c>
      <c r="C123" s="2432" t="s">
        <v>1097</v>
      </c>
      <c r="D123" s="1032" t="s">
        <v>800</v>
      </c>
      <c r="E123" s="429">
        <v>0</v>
      </c>
      <c r="F123" s="1556">
        <v>1270</v>
      </c>
      <c r="G123" s="429">
        <v>1270</v>
      </c>
      <c r="H123" s="1887">
        <f t="shared" si="12"/>
        <v>100</v>
      </c>
    </row>
    <row r="124" spans="1:8" ht="30" x14ac:dyDescent="0.2">
      <c r="A124" s="2440">
        <v>2143</v>
      </c>
      <c r="B124" s="2537">
        <v>5229</v>
      </c>
      <c r="C124" s="2534" t="s">
        <v>1097</v>
      </c>
      <c r="D124" s="1130" t="s">
        <v>484</v>
      </c>
      <c r="E124" s="429">
        <v>0</v>
      </c>
      <c r="F124" s="1556">
        <v>1400</v>
      </c>
      <c r="G124" s="429">
        <v>1400</v>
      </c>
      <c r="H124" s="2533">
        <f t="shared" si="12"/>
        <v>100</v>
      </c>
    </row>
    <row r="125" spans="1:8" ht="15" x14ac:dyDescent="0.25">
      <c r="A125" s="2426">
        <v>2143</v>
      </c>
      <c r="B125" s="2492">
        <v>5321</v>
      </c>
      <c r="C125" s="2432" t="s">
        <v>1097</v>
      </c>
      <c r="D125" s="1032" t="s">
        <v>566</v>
      </c>
      <c r="E125" s="428">
        <v>0</v>
      </c>
      <c r="F125" s="165">
        <v>579</v>
      </c>
      <c r="G125" s="310">
        <v>579</v>
      </c>
      <c r="H125" s="1887">
        <f t="shared" ref="H125:H129" si="13">G125/F125*100</f>
        <v>100</v>
      </c>
    </row>
    <row r="126" spans="1:8" ht="15" x14ac:dyDescent="0.25">
      <c r="A126" s="2426">
        <v>2143</v>
      </c>
      <c r="B126" s="2492">
        <v>6312</v>
      </c>
      <c r="C126" s="2432" t="s">
        <v>1097</v>
      </c>
      <c r="D126" s="1032" t="s">
        <v>1877</v>
      </c>
      <c r="E126" s="428">
        <v>0</v>
      </c>
      <c r="F126" s="165">
        <v>100</v>
      </c>
      <c r="G126" s="310">
        <v>100</v>
      </c>
      <c r="H126" s="1887">
        <f t="shared" si="13"/>
        <v>100</v>
      </c>
    </row>
    <row r="127" spans="1:8" ht="15" x14ac:dyDescent="0.25">
      <c r="A127" s="2426">
        <v>2143</v>
      </c>
      <c r="B127" s="2492">
        <v>6313</v>
      </c>
      <c r="C127" s="2432" t="s">
        <v>1097</v>
      </c>
      <c r="D127" s="1032" t="s">
        <v>1878</v>
      </c>
      <c r="E127" s="428">
        <v>0</v>
      </c>
      <c r="F127" s="165">
        <v>350</v>
      </c>
      <c r="G127" s="310">
        <v>350</v>
      </c>
      <c r="H127" s="1887">
        <f t="shared" si="13"/>
        <v>100</v>
      </c>
    </row>
    <row r="128" spans="1:8" ht="15.75" thickBot="1" x14ac:dyDescent="0.3">
      <c r="A128" s="2426">
        <v>2143</v>
      </c>
      <c r="B128" s="2492">
        <v>6322</v>
      </c>
      <c r="C128" s="2432" t="s">
        <v>1097</v>
      </c>
      <c r="D128" s="1130" t="s">
        <v>1645</v>
      </c>
      <c r="E128" s="428">
        <v>0</v>
      </c>
      <c r="F128" s="165">
        <v>800</v>
      </c>
      <c r="G128" s="310">
        <v>800</v>
      </c>
      <c r="H128" s="1887">
        <f t="shared" si="13"/>
        <v>100</v>
      </c>
    </row>
    <row r="129" spans="1:8" ht="19.5" thickTop="1" thickBot="1" x14ac:dyDescent="0.3">
      <c r="A129" s="578" t="s">
        <v>1167</v>
      </c>
      <c r="B129" s="744"/>
      <c r="C129" s="580"/>
      <c r="D129" s="581"/>
      <c r="E129" s="582">
        <f>SUM(E120:E128)</f>
        <v>0</v>
      </c>
      <c r="F129" s="582">
        <f t="shared" ref="F129:G129" si="14">SUM(F120:F128)</f>
        <v>5626</v>
      </c>
      <c r="G129" s="582">
        <f t="shared" si="14"/>
        <v>5446</v>
      </c>
      <c r="H129" s="2509">
        <f t="shared" si="13"/>
        <v>96.800568787771056</v>
      </c>
    </row>
    <row r="130" spans="1:8" ht="13.5" thickTop="1" x14ac:dyDescent="0.2"/>
    <row r="131" spans="1:8" x14ac:dyDescent="0.2">
      <c r="A131" s="3182" t="s">
        <v>1374</v>
      </c>
      <c r="B131" s="3182"/>
      <c r="C131" s="3182"/>
      <c r="D131" s="3182"/>
      <c r="E131" s="3182"/>
      <c r="F131" s="3182"/>
      <c r="G131" s="3182"/>
      <c r="H131" s="3182"/>
    </row>
    <row r="132" spans="1:8" ht="16.5" thickBot="1" x14ac:dyDescent="0.3">
      <c r="A132" s="33"/>
      <c r="B132" s="570"/>
      <c r="C132" s="571"/>
      <c r="D132" s="372"/>
      <c r="E132" s="373"/>
      <c r="F132" s="560"/>
      <c r="G132" s="373"/>
      <c r="H132" s="1568" t="s">
        <v>92</v>
      </c>
    </row>
    <row r="133" spans="1:8" ht="14.25" thickTop="1" thickBot="1" x14ac:dyDescent="0.25">
      <c r="A133" s="572" t="s">
        <v>93</v>
      </c>
      <c r="B133" s="573" t="s">
        <v>94</v>
      </c>
      <c r="C133" s="575" t="s">
        <v>364</v>
      </c>
      <c r="D133" s="639" t="s">
        <v>95</v>
      </c>
      <c r="E133" s="639" t="s">
        <v>328</v>
      </c>
      <c r="F133" s="639" t="s">
        <v>329</v>
      </c>
      <c r="G133" s="639" t="s">
        <v>448</v>
      </c>
      <c r="H133" s="576" t="s">
        <v>449</v>
      </c>
    </row>
    <row r="134" spans="1:8" ht="14.25" thickTop="1" thickBot="1" x14ac:dyDescent="0.25">
      <c r="A134" s="511">
        <v>1</v>
      </c>
      <c r="B134" s="512">
        <v>2</v>
      </c>
      <c r="C134" s="512">
        <v>3</v>
      </c>
      <c r="D134" s="512">
        <v>4</v>
      </c>
      <c r="E134" s="512">
        <v>5</v>
      </c>
      <c r="F134" s="499">
        <v>6</v>
      </c>
      <c r="G134" s="499">
        <v>7</v>
      </c>
      <c r="H134" s="577" t="s">
        <v>33</v>
      </c>
    </row>
    <row r="135" spans="1:8" ht="15.75" thickTop="1" x14ac:dyDescent="0.25">
      <c r="A135" s="2426">
        <v>2143</v>
      </c>
      <c r="B135" s="2492">
        <v>5212</v>
      </c>
      <c r="C135" s="2432" t="s">
        <v>1375</v>
      </c>
      <c r="D135" s="1032" t="s">
        <v>980</v>
      </c>
      <c r="E135" s="429">
        <v>0</v>
      </c>
      <c r="F135" s="1556">
        <v>124</v>
      </c>
      <c r="G135" s="429">
        <v>124</v>
      </c>
      <c r="H135" s="2533">
        <f>G135/F135*100</f>
        <v>100</v>
      </c>
    </row>
    <row r="136" spans="1:8" ht="15" x14ac:dyDescent="0.25">
      <c r="A136" s="2426">
        <v>2143</v>
      </c>
      <c r="B136" s="2492">
        <v>5213</v>
      </c>
      <c r="C136" s="2432" t="s">
        <v>1375</v>
      </c>
      <c r="D136" s="1032" t="s">
        <v>978</v>
      </c>
      <c r="E136" s="429">
        <v>0</v>
      </c>
      <c r="F136" s="1556">
        <v>455</v>
      </c>
      <c r="G136" s="429">
        <v>455</v>
      </c>
      <c r="H136" s="1887">
        <f t="shared" ref="H136:H141" si="15">G136/F136*100</f>
        <v>100</v>
      </c>
    </row>
    <row r="137" spans="1:8" ht="15" hidden="1" x14ac:dyDescent="0.25">
      <c r="A137" s="2426">
        <v>2143</v>
      </c>
      <c r="B137" s="2492">
        <v>5221</v>
      </c>
      <c r="C137" s="2432" t="s">
        <v>1375</v>
      </c>
      <c r="D137" s="1032" t="s">
        <v>1616</v>
      </c>
      <c r="E137" s="429"/>
      <c r="F137" s="1556"/>
      <c r="G137" s="429"/>
      <c r="H137" s="1887" t="e">
        <f t="shared" si="15"/>
        <v>#DIV/0!</v>
      </c>
    </row>
    <row r="138" spans="1:8" ht="15" x14ac:dyDescent="0.25">
      <c r="A138" s="2426">
        <v>2143</v>
      </c>
      <c r="B138" s="2492">
        <v>5222</v>
      </c>
      <c r="C138" s="2432" t="s">
        <v>1375</v>
      </c>
      <c r="D138" s="1032" t="s">
        <v>800</v>
      </c>
      <c r="E138" s="429">
        <v>0</v>
      </c>
      <c r="F138" s="1556">
        <v>514</v>
      </c>
      <c r="G138" s="429">
        <v>514</v>
      </c>
      <c r="H138" s="1887">
        <f t="shared" si="15"/>
        <v>100</v>
      </c>
    </row>
    <row r="139" spans="1:8" ht="15" x14ac:dyDescent="0.25">
      <c r="A139" s="2426">
        <v>2143</v>
      </c>
      <c r="B139" s="2492">
        <v>5321</v>
      </c>
      <c r="C139" s="2432" t="s">
        <v>1375</v>
      </c>
      <c r="D139" s="1032" t="s">
        <v>566</v>
      </c>
      <c r="E139" s="428">
        <v>1500</v>
      </c>
      <c r="F139" s="165">
        <v>277</v>
      </c>
      <c r="G139" s="310">
        <v>267</v>
      </c>
      <c r="H139" s="1887">
        <f t="shared" si="15"/>
        <v>96.389891696750908</v>
      </c>
    </row>
    <row r="140" spans="1:8" ht="15.75" thickBot="1" x14ac:dyDescent="0.3">
      <c r="A140" s="2426">
        <v>2143</v>
      </c>
      <c r="B140" s="2492">
        <v>5331</v>
      </c>
      <c r="C140" s="2432" t="s">
        <v>1375</v>
      </c>
      <c r="D140" s="1172" t="s">
        <v>128</v>
      </c>
      <c r="E140" s="428">
        <v>0</v>
      </c>
      <c r="F140" s="165">
        <v>130</v>
      </c>
      <c r="G140" s="310">
        <v>130</v>
      </c>
      <c r="H140" s="1887">
        <f t="shared" si="15"/>
        <v>100</v>
      </c>
    </row>
    <row r="141" spans="1:8" ht="19.5" thickTop="1" thickBot="1" x14ac:dyDescent="0.3">
      <c r="A141" s="578" t="s">
        <v>1376</v>
      </c>
      <c r="B141" s="744"/>
      <c r="C141" s="580"/>
      <c r="D141" s="581"/>
      <c r="E141" s="582">
        <f>SUM(E135:E140)</f>
        <v>1500</v>
      </c>
      <c r="F141" s="582">
        <f t="shared" ref="F141:G141" si="16">SUM(F135:F140)</f>
        <v>1500</v>
      </c>
      <c r="G141" s="582">
        <f t="shared" si="16"/>
        <v>1490</v>
      </c>
      <c r="H141" s="2509">
        <f t="shared" si="15"/>
        <v>99.333333333333329</v>
      </c>
    </row>
    <row r="142" spans="1:8" ht="13.5" thickTop="1" x14ac:dyDescent="0.2"/>
    <row r="143" spans="1:8" x14ac:dyDescent="0.2">
      <c r="A143" s="3182" t="s">
        <v>1377</v>
      </c>
      <c r="B143" s="3182"/>
      <c r="C143" s="3182"/>
      <c r="D143" s="3182"/>
      <c r="E143" s="3182"/>
      <c r="F143" s="3182"/>
      <c r="G143" s="3182"/>
      <c r="H143" s="3182"/>
    </row>
    <row r="144" spans="1:8" ht="16.5" thickBot="1" x14ac:dyDescent="0.3">
      <c r="A144" s="33"/>
      <c r="B144" s="570"/>
      <c r="C144" s="571"/>
      <c r="D144" s="372"/>
      <c r="E144" s="373"/>
      <c r="F144" s="560"/>
      <c r="G144" s="373"/>
      <c r="H144" s="1568" t="s">
        <v>92</v>
      </c>
    </row>
    <row r="145" spans="1:8" ht="14.25" thickTop="1" thickBot="1" x14ac:dyDescent="0.25">
      <c r="A145" s="572" t="s">
        <v>93</v>
      </c>
      <c r="B145" s="573" t="s">
        <v>94</v>
      </c>
      <c r="C145" s="575" t="s">
        <v>364</v>
      </c>
      <c r="D145" s="639" t="s">
        <v>95</v>
      </c>
      <c r="E145" s="639" t="s">
        <v>328</v>
      </c>
      <c r="F145" s="639" t="s">
        <v>329</v>
      </c>
      <c r="G145" s="639" t="s">
        <v>448</v>
      </c>
      <c r="H145" s="576" t="s">
        <v>449</v>
      </c>
    </row>
    <row r="146" spans="1:8" ht="14.25" thickTop="1" thickBot="1" x14ac:dyDescent="0.25">
      <c r="A146" s="511">
        <v>1</v>
      </c>
      <c r="B146" s="512">
        <v>2</v>
      </c>
      <c r="C146" s="512">
        <v>3</v>
      </c>
      <c r="D146" s="512">
        <v>4</v>
      </c>
      <c r="E146" s="512">
        <v>5</v>
      </c>
      <c r="F146" s="499">
        <v>6</v>
      </c>
      <c r="G146" s="499">
        <v>7</v>
      </c>
      <c r="H146" s="577" t="s">
        <v>33</v>
      </c>
    </row>
    <row r="147" spans="1:8" ht="15.75" hidden="1" thickTop="1" x14ac:dyDescent="0.25">
      <c r="A147" s="2426">
        <v>2143</v>
      </c>
      <c r="B147" s="2492">
        <v>5212</v>
      </c>
      <c r="C147" s="2432" t="s">
        <v>1378</v>
      </c>
      <c r="D147" s="1032" t="s">
        <v>980</v>
      </c>
      <c r="E147" s="429"/>
      <c r="F147" s="1556"/>
      <c r="G147" s="429"/>
      <c r="H147" s="2533" t="e">
        <f>G147/F147*100</f>
        <v>#DIV/0!</v>
      </c>
    </row>
    <row r="148" spans="1:8" ht="15.75" thickTop="1" x14ac:dyDescent="0.25">
      <c r="A148" s="2426">
        <v>2143</v>
      </c>
      <c r="B148" s="2492">
        <v>5213</v>
      </c>
      <c r="C148" s="2432" t="s">
        <v>1378</v>
      </c>
      <c r="D148" s="1032" t="s">
        <v>978</v>
      </c>
      <c r="E148" s="429">
        <v>0</v>
      </c>
      <c r="F148" s="1556">
        <v>15</v>
      </c>
      <c r="G148" s="429">
        <v>15</v>
      </c>
      <c r="H148" s="1887">
        <f t="shared" ref="H148:H156" si="17">G148/F148*100</f>
        <v>100</v>
      </c>
    </row>
    <row r="149" spans="1:8" ht="15" hidden="1" x14ac:dyDescent="0.25">
      <c r="A149" s="2426">
        <v>2143</v>
      </c>
      <c r="B149" s="2492">
        <v>5221</v>
      </c>
      <c r="C149" s="2432" t="s">
        <v>1378</v>
      </c>
      <c r="D149" s="1032" t="s">
        <v>1616</v>
      </c>
      <c r="E149" s="429"/>
      <c r="F149" s="1556"/>
      <c r="G149" s="429"/>
      <c r="H149" s="1887" t="e">
        <f t="shared" si="17"/>
        <v>#DIV/0!</v>
      </c>
    </row>
    <row r="150" spans="1:8" ht="15" x14ac:dyDescent="0.25">
      <c r="A150" s="2426">
        <v>2143</v>
      </c>
      <c r="B150" s="2492">
        <v>5222</v>
      </c>
      <c r="C150" s="2432" t="s">
        <v>1378</v>
      </c>
      <c r="D150" s="1032" t="s">
        <v>800</v>
      </c>
      <c r="E150" s="429">
        <v>0</v>
      </c>
      <c r="F150" s="1556">
        <v>165</v>
      </c>
      <c r="G150" s="429">
        <v>165</v>
      </c>
      <c r="H150" s="1887">
        <f t="shared" si="17"/>
        <v>100</v>
      </c>
    </row>
    <row r="151" spans="1:8" ht="15" x14ac:dyDescent="0.25">
      <c r="A151" s="2426">
        <v>2143</v>
      </c>
      <c r="B151" s="2492">
        <v>5223</v>
      </c>
      <c r="C151" s="2432" t="s">
        <v>1378</v>
      </c>
      <c r="D151" s="1032" t="s">
        <v>1365</v>
      </c>
      <c r="E151" s="429">
        <v>0</v>
      </c>
      <c r="F151" s="1556">
        <v>40</v>
      </c>
      <c r="G151" s="429">
        <v>40</v>
      </c>
      <c r="H151" s="1887">
        <f t="shared" si="17"/>
        <v>100</v>
      </c>
    </row>
    <row r="152" spans="1:8" ht="15" x14ac:dyDescent="0.25">
      <c r="A152" s="2426">
        <v>2143</v>
      </c>
      <c r="B152" s="2492">
        <v>5321</v>
      </c>
      <c r="C152" s="2432" t="s">
        <v>1378</v>
      </c>
      <c r="D152" s="1032" t="s">
        <v>566</v>
      </c>
      <c r="E152" s="429">
        <v>400</v>
      </c>
      <c r="F152" s="1556">
        <v>45</v>
      </c>
      <c r="G152" s="429">
        <v>45</v>
      </c>
      <c r="H152" s="1887">
        <f t="shared" si="17"/>
        <v>100</v>
      </c>
    </row>
    <row r="153" spans="1:8" ht="15" x14ac:dyDescent="0.25">
      <c r="A153" s="2426">
        <v>2143</v>
      </c>
      <c r="B153" s="2492">
        <v>5331</v>
      </c>
      <c r="C153" s="2432" t="s">
        <v>1378</v>
      </c>
      <c r="D153" s="1172" t="s">
        <v>128</v>
      </c>
      <c r="E153" s="429">
        <v>0</v>
      </c>
      <c r="F153" s="1556">
        <v>75</v>
      </c>
      <c r="G153" s="429">
        <v>63</v>
      </c>
      <c r="H153" s="1887">
        <f t="shared" si="17"/>
        <v>84</v>
      </c>
    </row>
    <row r="154" spans="1:8" ht="15" x14ac:dyDescent="0.25">
      <c r="A154" s="2426">
        <v>2143</v>
      </c>
      <c r="B154" s="2492">
        <v>5332</v>
      </c>
      <c r="C154" s="2432" t="s">
        <v>1378</v>
      </c>
      <c r="D154" s="1032" t="s">
        <v>1124</v>
      </c>
      <c r="E154" s="429">
        <v>0</v>
      </c>
      <c r="F154" s="1556">
        <v>40</v>
      </c>
      <c r="G154" s="429">
        <v>40</v>
      </c>
      <c r="H154" s="1887">
        <f t="shared" si="17"/>
        <v>100</v>
      </c>
    </row>
    <row r="155" spans="1:8" ht="15.75" thickBot="1" x14ac:dyDescent="0.3">
      <c r="A155" s="2426">
        <v>2143</v>
      </c>
      <c r="B155" s="2492">
        <v>5493</v>
      </c>
      <c r="C155" s="2432" t="s">
        <v>1378</v>
      </c>
      <c r="D155" s="1088" t="s">
        <v>1629</v>
      </c>
      <c r="E155" s="428">
        <v>0</v>
      </c>
      <c r="F155" s="165">
        <v>20</v>
      </c>
      <c r="G155" s="310">
        <v>0</v>
      </c>
      <c r="H155" s="1887">
        <f t="shared" si="17"/>
        <v>0</v>
      </c>
    </row>
    <row r="156" spans="1:8" ht="19.5" thickTop="1" thickBot="1" x14ac:dyDescent="0.3">
      <c r="A156" s="578" t="s">
        <v>1379</v>
      </c>
      <c r="B156" s="744"/>
      <c r="C156" s="580"/>
      <c r="D156" s="581"/>
      <c r="E156" s="582">
        <f>SUM(E147:E155)</f>
        <v>400</v>
      </c>
      <c r="F156" s="582">
        <f t="shared" ref="F156:G156" si="18">SUM(F147:F155)</f>
        <v>400</v>
      </c>
      <c r="G156" s="582">
        <f t="shared" si="18"/>
        <v>368</v>
      </c>
      <c r="H156" s="2509">
        <f t="shared" si="17"/>
        <v>92</v>
      </c>
    </row>
    <row r="157" spans="1:8" ht="13.5" thickTop="1" x14ac:dyDescent="0.2"/>
    <row r="158" spans="1:8" x14ac:dyDescent="0.2">
      <c r="A158" s="3182" t="s">
        <v>1380</v>
      </c>
      <c r="B158" s="3182"/>
      <c r="C158" s="3182"/>
      <c r="D158" s="3182"/>
      <c r="E158" s="3182"/>
      <c r="F158" s="3182"/>
      <c r="G158" s="3182"/>
      <c r="H158" s="3182"/>
    </row>
    <row r="159" spans="1:8" ht="16.5" thickBot="1" x14ac:dyDescent="0.3">
      <c r="A159" s="33"/>
      <c r="B159" s="570"/>
      <c r="C159" s="571"/>
      <c r="D159" s="372"/>
      <c r="E159" s="373"/>
      <c r="F159" s="560"/>
      <c r="G159" s="373"/>
      <c r="H159" s="1568" t="s">
        <v>92</v>
      </c>
    </row>
    <row r="160" spans="1:8" ht="14.25" thickTop="1" thickBot="1" x14ac:dyDescent="0.25">
      <c r="A160" s="572" t="s">
        <v>93</v>
      </c>
      <c r="B160" s="573" t="s">
        <v>94</v>
      </c>
      <c r="C160" s="575" t="s">
        <v>364</v>
      </c>
      <c r="D160" s="639" t="s">
        <v>95</v>
      </c>
      <c r="E160" s="639" t="s">
        <v>328</v>
      </c>
      <c r="F160" s="639" t="s">
        <v>329</v>
      </c>
      <c r="G160" s="639" t="s">
        <v>448</v>
      </c>
      <c r="H160" s="576" t="s">
        <v>449</v>
      </c>
    </row>
    <row r="161" spans="1:8" ht="14.25" thickTop="1" thickBot="1" x14ac:dyDescent="0.25">
      <c r="A161" s="511">
        <v>1</v>
      </c>
      <c r="B161" s="512">
        <v>2</v>
      </c>
      <c r="C161" s="512">
        <v>3</v>
      </c>
      <c r="D161" s="512">
        <v>4</v>
      </c>
      <c r="E161" s="512">
        <v>5</v>
      </c>
      <c r="F161" s="499">
        <v>6</v>
      </c>
      <c r="G161" s="499">
        <v>7</v>
      </c>
      <c r="H161" s="577" t="s">
        <v>33</v>
      </c>
    </row>
    <row r="162" spans="1:8" ht="15.75" thickTop="1" x14ac:dyDescent="0.25">
      <c r="A162" s="2426">
        <v>2143</v>
      </c>
      <c r="B162" s="2492">
        <v>5213</v>
      </c>
      <c r="C162" s="2432" t="s">
        <v>1381</v>
      </c>
      <c r="D162" s="1032" t="s">
        <v>978</v>
      </c>
      <c r="E162" s="429">
        <v>0</v>
      </c>
      <c r="F162" s="1556">
        <v>96</v>
      </c>
      <c r="G162" s="429">
        <v>96</v>
      </c>
      <c r="H162" s="2533">
        <f>G162/F162*100</f>
        <v>100</v>
      </c>
    </row>
    <row r="163" spans="1:8" ht="15" x14ac:dyDescent="0.25">
      <c r="A163" s="2426">
        <v>2143</v>
      </c>
      <c r="B163" s="2492">
        <v>5221</v>
      </c>
      <c r="C163" s="2432" t="s">
        <v>1381</v>
      </c>
      <c r="D163" s="1032" t="s">
        <v>1616</v>
      </c>
      <c r="E163" s="429">
        <v>0</v>
      </c>
      <c r="F163" s="1556">
        <v>90</v>
      </c>
      <c r="G163" s="429">
        <v>90</v>
      </c>
      <c r="H163" s="1887">
        <f t="shared" ref="H163:H167" si="19">G163/F163*100</f>
        <v>100</v>
      </c>
    </row>
    <row r="164" spans="1:8" ht="15" x14ac:dyDescent="0.25">
      <c r="A164" s="2426">
        <v>2143</v>
      </c>
      <c r="B164" s="2492">
        <v>5222</v>
      </c>
      <c r="C164" s="2432" t="s">
        <v>1381</v>
      </c>
      <c r="D164" s="1032" t="s">
        <v>800</v>
      </c>
      <c r="E164" s="429">
        <v>0</v>
      </c>
      <c r="F164" s="1556">
        <v>30</v>
      </c>
      <c r="G164" s="429">
        <v>30</v>
      </c>
      <c r="H164" s="1887">
        <f t="shared" si="19"/>
        <v>100</v>
      </c>
    </row>
    <row r="165" spans="1:8" ht="15" x14ac:dyDescent="0.25">
      <c r="A165" s="2426">
        <v>2143</v>
      </c>
      <c r="B165" s="2492">
        <v>5321</v>
      </c>
      <c r="C165" s="2432" t="s">
        <v>1381</v>
      </c>
      <c r="D165" s="1032" t="s">
        <v>566</v>
      </c>
      <c r="E165" s="429">
        <v>800</v>
      </c>
      <c r="F165" s="1556">
        <v>584</v>
      </c>
      <c r="G165" s="429">
        <v>576</v>
      </c>
      <c r="H165" s="1887">
        <f t="shared" si="19"/>
        <v>98.630136986301366</v>
      </c>
    </row>
    <row r="166" spans="1:8" ht="15.75" thickBot="1" x14ac:dyDescent="0.3">
      <c r="A166" s="2426">
        <v>2143</v>
      </c>
      <c r="B166" s="2492">
        <v>5329</v>
      </c>
      <c r="C166" s="2432" t="s">
        <v>1381</v>
      </c>
      <c r="D166" s="2422" t="s">
        <v>1249</v>
      </c>
      <c r="E166" s="428">
        <v>0</v>
      </c>
      <c r="F166" s="165">
        <v>30</v>
      </c>
      <c r="G166" s="310">
        <v>30</v>
      </c>
      <c r="H166" s="1887">
        <f t="shared" si="19"/>
        <v>100</v>
      </c>
    </row>
    <row r="167" spans="1:8" ht="19.5" thickTop="1" thickBot="1" x14ac:dyDescent="0.3">
      <c r="A167" s="578" t="s">
        <v>1382</v>
      </c>
      <c r="B167" s="744"/>
      <c r="C167" s="580"/>
      <c r="D167" s="581"/>
      <c r="E167" s="582">
        <f>SUM(E162:E166)</f>
        <v>800</v>
      </c>
      <c r="F167" s="582">
        <f t="shared" ref="F167:G167" si="20">SUM(F162:F166)</f>
        <v>830</v>
      </c>
      <c r="G167" s="582">
        <f t="shared" si="20"/>
        <v>822</v>
      </c>
      <c r="H167" s="2509">
        <f t="shared" si="19"/>
        <v>99.036144578313255</v>
      </c>
    </row>
    <row r="168" spans="1:8" ht="13.5" thickTop="1" x14ac:dyDescent="0.2"/>
    <row r="169" spans="1:8" x14ac:dyDescent="0.2">
      <c r="A169" s="3182" t="s">
        <v>1383</v>
      </c>
      <c r="B169" s="3182"/>
      <c r="C169" s="3182"/>
      <c r="D169" s="3182"/>
      <c r="E169" s="3182"/>
      <c r="F169" s="3182"/>
      <c r="G169" s="3182"/>
      <c r="H169" s="3182"/>
    </row>
    <row r="170" spans="1:8" ht="16.5" thickBot="1" x14ac:dyDescent="0.3">
      <c r="A170" s="33"/>
      <c r="B170" s="570"/>
      <c r="C170" s="571"/>
      <c r="D170" s="372"/>
      <c r="E170" s="373"/>
      <c r="F170" s="560"/>
      <c r="G170" s="373"/>
      <c r="H170" s="1568" t="s">
        <v>92</v>
      </c>
    </row>
    <row r="171" spans="1:8" ht="14.25" thickTop="1" thickBot="1" x14ac:dyDescent="0.25">
      <c r="A171" s="572" t="s">
        <v>93</v>
      </c>
      <c r="B171" s="573" t="s">
        <v>94</v>
      </c>
      <c r="C171" s="575" t="s">
        <v>364</v>
      </c>
      <c r="D171" s="639" t="s">
        <v>95</v>
      </c>
      <c r="E171" s="639" t="s">
        <v>328</v>
      </c>
      <c r="F171" s="639" t="s">
        <v>329</v>
      </c>
      <c r="G171" s="639" t="s">
        <v>448</v>
      </c>
      <c r="H171" s="576" t="s">
        <v>449</v>
      </c>
    </row>
    <row r="172" spans="1:8" ht="14.25" thickTop="1" thickBot="1" x14ac:dyDescent="0.25">
      <c r="A172" s="511">
        <v>1</v>
      </c>
      <c r="B172" s="512">
        <v>2</v>
      </c>
      <c r="C172" s="512">
        <v>3</v>
      </c>
      <c r="D172" s="512">
        <v>4</v>
      </c>
      <c r="E172" s="512">
        <v>5</v>
      </c>
      <c r="F172" s="499">
        <v>6</v>
      </c>
      <c r="G172" s="499">
        <v>7</v>
      </c>
      <c r="H172" s="577" t="s">
        <v>33</v>
      </c>
    </row>
    <row r="173" spans="1:8" ht="15.75" thickTop="1" x14ac:dyDescent="0.25">
      <c r="A173" s="2426">
        <v>2143</v>
      </c>
      <c r="B173" s="2492">
        <v>5212</v>
      </c>
      <c r="C173" s="2432" t="s">
        <v>1384</v>
      </c>
      <c r="D173" s="1032" t="s">
        <v>980</v>
      </c>
      <c r="E173" s="429">
        <v>0</v>
      </c>
      <c r="F173" s="1556">
        <v>46</v>
      </c>
      <c r="G173" s="429">
        <v>46</v>
      </c>
      <c r="H173" s="2533">
        <f>G173/F173*100</f>
        <v>100</v>
      </c>
    </row>
    <row r="174" spans="1:8" ht="15" x14ac:dyDescent="0.25">
      <c r="A174" s="2426">
        <v>2143</v>
      </c>
      <c r="B174" s="2492">
        <v>5213</v>
      </c>
      <c r="C174" s="2432" t="s">
        <v>1384</v>
      </c>
      <c r="D174" s="1032" t="s">
        <v>978</v>
      </c>
      <c r="E174" s="429">
        <v>0</v>
      </c>
      <c r="F174" s="1556">
        <v>140</v>
      </c>
      <c r="G174" s="429">
        <v>140</v>
      </c>
      <c r="H174" s="1887">
        <f t="shared" ref="H174:H178" si="21">G174/F174*100</f>
        <v>100</v>
      </c>
    </row>
    <row r="175" spans="1:8" ht="15" x14ac:dyDescent="0.25">
      <c r="A175" s="2426">
        <v>2143</v>
      </c>
      <c r="B175" s="2492">
        <v>5222</v>
      </c>
      <c r="C175" s="2432" t="s">
        <v>1384</v>
      </c>
      <c r="D175" s="1032" t="s">
        <v>800</v>
      </c>
      <c r="E175" s="429">
        <v>0</v>
      </c>
      <c r="F175" s="1556">
        <v>500</v>
      </c>
      <c r="G175" s="429">
        <v>500</v>
      </c>
      <c r="H175" s="1887">
        <f t="shared" si="21"/>
        <v>100</v>
      </c>
    </row>
    <row r="176" spans="1:8" ht="15" x14ac:dyDescent="0.25">
      <c r="A176" s="2426">
        <v>2143</v>
      </c>
      <c r="B176" s="2492">
        <v>5321</v>
      </c>
      <c r="C176" s="2432" t="s">
        <v>1384</v>
      </c>
      <c r="D176" s="1032" t="s">
        <v>566</v>
      </c>
      <c r="E176" s="429">
        <v>7100</v>
      </c>
      <c r="F176" s="1556">
        <v>336</v>
      </c>
      <c r="G176" s="429">
        <v>151</v>
      </c>
      <c r="H176" s="1887">
        <f t="shared" si="21"/>
        <v>44.94047619047619</v>
      </c>
    </row>
    <row r="177" spans="1:8" ht="15" x14ac:dyDescent="0.25">
      <c r="A177" s="2426">
        <v>2143</v>
      </c>
      <c r="B177" s="2492">
        <v>5329</v>
      </c>
      <c r="C177" s="2432" t="s">
        <v>1384</v>
      </c>
      <c r="D177" s="2422" t="s">
        <v>1249</v>
      </c>
      <c r="E177" s="429">
        <v>0</v>
      </c>
      <c r="F177" s="1556">
        <v>50</v>
      </c>
      <c r="G177" s="429">
        <v>50</v>
      </c>
      <c r="H177" s="1887">
        <f t="shared" si="21"/>
        <v>100</v>
      </c>
    </row>
    <row r="178" spans="1:8" ht="15" x14ac:dyDescent="0.25">
      <c r="A178" s="2426">
        <v>2143</v>
      </c>
      <c r="B178" s="2492">
        <v>5493</v>
      </c>
      <c r="C178" s="2432" t="s">
        <v>1384</v>
      </c>
      <c r="D178" s="1088" t="s">
        <v>1629</v>
      </c>
      <c r="E178" s="428">
        <v>0</v>
      </c>
      <c r="F178" s="165">
        <v>180</v>
      </c>
      <c r="G178" s="310">
        <v>180</v>
      </c>
      <c r="H178" s="1887">
        <f t="shared" si="21"/>
        <v>100</v>
      </c>
    </row>
    <row r="179" spans="1:8" ht="30" x14ac:dyDescent="0.2">
      <c r="A179" s="2440">
        <v>2143</v>
      </c>
      <c r="B179" s="2537">
        <v>6312</v>
      </c>
      <c r="C179" s="2534" t="s">
        <v>1384</v>
      </c>
      <c r="D179" s="2555" t="s">
        <v>1386</v>
      </c>
      <c r="E179" s="429">
        <v>0</v>
      </c>
      <c r="F179" s="1556">
        <v>65</v>
      </c>
      <c r="G179" s="429">
        <v>65</v>
      </c>
      <c r="H179" s="2533">
        <f t="shared" ref="H179:H184" si="22">G179/F179*100</f>
        <v>100</v>
      </c>
    </row>
    <row r="180" spans="1:8" ht="30" x14ac:dyDescent="0.2">
      <c r="A180" s="2440">
        <v>2143</v>
      </c>
      <c r="B180" s="2537">
        <v>6313</v>
      </c>
      <c r="C180" s="2534" t="s">
        <v>1384</v>
      </c>
      <c r="D180" s="2555" t="s">
        <v>1646</v>
      </c>
      <c r="E180" s="429">
        <v>0</v>
      </c>
      <c r="F180" s="1556">
        <v>2850</v>
      </c>
      <c r="G180" s="429">
        <v>2850</v>
      </c>
      <c r="H180" s="2533">
        <f t="shared" si="22"/>
        <v>100</v>
      </c>
    </row>
    <row r="181" spans="1:8" ht="15" x14ac:dyDescent="0.25">
      <c r="A181" s="2426">
        <v>2143</v>
      </c>
      <c r="B181" s="2492">
        <v>6322</v>
      </c>
      <c r="C181" s="2432" t="s">
        <v>1384</v>
      </c>
      <c r="D181" s="1130" t="s">
        <v>1645</v>
      </c>
      <c r="E181" s="429">
        <v>0</v>
      </c>
      <c r="F181" s="1556">
        <v>1720</v>
      </c>
      <c r="G181" s="429">
        <v>1720</v>
      </c>
      <c r="H181" s="1887">
        <f t="shared" si="22"/>
        <v>100</v>
      </c>
    </row>
    <row r="182" spans="1:8" ht="15" x14ac:dyDescent="0.25">
      <c r="A182" s="2426">
        <v>2143</v>
      </c>
      <c r="B182" s="2492">
        <v>6341</v>
      </c>
      <c r="C182" s="2432" t="s">
        <v>1384</v>
      </c>
      <c r="D182" s="1032" t="s">
        <v>136</v>
      </c>
      <c r="E182" s="428">
        <v>0</v>
      </c>
      <c r="F182" s="165">
        <v>1163</v>
      </c>
      <c r="G182" s="310">
        <v>1163</v>
      </c>
      <c r="H182" s="1887">
        <f t="shared" si="22"/>
        <v>100</v>
      </c>
    </row>
    <row r="183" spans="1:8" ht="15.75" thickBot="1" x14ac:dyDescent="0.3">
      <c r="A183" s="2426">
        <v>2143</v>
      </c>
      <c r="B183" s="2492">
        <v>6349</v>
      </c>
      <c r="C183" s="2432" t="s">
        <v>1384</v>
      </c>
      <c r="D183" s="1032" t="s">
        <v>1879</v>
      </c>
      <c r="E183" s="428">
        <v>0</v>
      </c>
      <c r="F183" s="165">
        <v>50</v>
      </c>
      <c r="G183" s="310">
        <v>50</v>
      </c>
      <c r="H183" s="1887">
        <f t="shared" si="22"/>
        <v>100</v>
      </c>
    </row>
    <row r="184" spans="1:8" ht="19.5" thickTop="1" thickBot="1" x14ac:dyDescent="0.3">
      <c r="A184" s="578" t="s">
        <v>1385</v>
      </c>
      <c r="B184" s="744"/>
      <c r="C184" s="580"/>
      <c r="D184" s="581"/>
      <c r="E184" s="582">
        <f>SUM(E173:E183)</f>
        <v>7100</v>
      </c>
      <c r="F184" s="582">
        <f t="shared" ref="F184:G184" si="23">SUM(F173:F183)</f>
        <v>7100</v>
      </c>
      <c r="G184" s="582">
        <f t="shared" si="23"/>
        <v>6915</v>
      </c>
      <c r="H184" s="2509">
        <f t="shared" si="22"/>
        <v>97.394366197183103</v>
      </c>
    </row>
    <row r="185" spans="1:8" ht="18.75" thickTop="1" x14ac:dyDescent="0.25">
      <c r="A185" s="353"/>
      <c r="B185" s="2351"/>
      <c r="C185" s="57"/>
      <c r="D185" s="354"/>
      <c r="E185" s="17"/>
      <c r="F185" s="17"/>
      <c r="G185" s="17"/>
      <c r="H185" s="1972"/>
    </row>
    <row r="186" spans="1:8" x14ac:dyDescent="0.2">
      <c r="A186" s="3182" t="s">
        <v>1389</v>
      </c>
      <c r="B186" s="3182"/>
      <c r="C186" s="3182"/>
      <c r="D186" s="3182"/>
      <c r="E186" s="3182"/>
      <c r="F186" s="3182"/>
      <c r="G186" s="3182"/>
      <c r="H186" s="3182"/>
    </row>
    <row r="187" spans="1:8" ht="16.5" thickBot="1" x14ac:dyDescent="0.3">
      <c r="A187" s="33"/>
      <c r="B187" s="570"/>
      <c r="C187" s="571"/>
      <c r="D187" s="372"/>
      <c r="E187" s="373"/>
      <c r="F187" s="560"/>
      <c r="G187" s="373"/>
      <c r="H187" s="1568" t="s">
        <v>92</v>
      </c>
    </row>
    <row r="188" spans="1:8" ht="14.25" thickTop="1" thickBot="1" x14ac:dyDescent="0.25">
      <c r="A188" s="572" t="s">
        <v>93</v>
      </c>
      <c r="B188" s="573" t="s">
        <v>94</v>
      </c>
      <c r="C188" s="575" t="s">
        <v>364</v>
      </c>
      <c r="D188" s="639" t="s">
        <v>95</v>
      </c>
      <c r="E188" s="639" t="s">
        <v>328</v>
      </c>
      <c r="F188" s="639" t="s">
        <v>329</v>
      </c>
      <c r="G188" s="639" t="s">
        <v>448</v>
      </c>
      <c r="H188" s="576" t="s">
        <v>449</v>
      </c>
    </row>
    <row r="189" spans="1:8" ht="14.25" thickTop="1" thickBot="1" x14ac:dyDescent="0.25">
      <c r="A189" s="511">
        <v>1</v>
      </c>
      <c r="B189" s="512">
        <v>2</v>
      </c>
      <c r="C189" s="512">
        <v>3</v>
      </c>
      <c r="D189" s="512">
        <v>4</v>
      </c>
      <c r="E189" s="512">
        <v>5</v>
      </c>
      <c r="F189" s="499">
        <v>6</v>
      </c>
      <c r="G189" s="499">
        <v>7</v>
      </c>
      <c r="H189" s="577" t="s">
        <v>33</v>
      </c>
    </row>
    <row r="190" spans="1:8" ht="15.75" thickTop="1" x14ac:dyDescent="0.25">
      <c r="A190" s="2426">
        <v>2143</v>
      </c>
      <c r="B190" s="2492">
        <v>5212</v>
      </c>
      <c r="C190" s="2432" t="s">
        <v>1387</v>
      </c>
      <c r="D190" s="1032" t="s">
        <v>980</v>
      </c>
      <c r="E190" s="429">
        <v>0</v>
      </c>
      <c r="F190" s="1556">
        <v>110</v>
      </c>
      <c r="G190" s="429">
        <v>110</v>
      </c>
      <c r="H190" s="2533">
        <f>G190/F190*100</f>
        <v>100</v>
      </c>
    </row>
    <row r="191" spans="1:8" ht="15.75" thickBot="1" x14ac:dyDescent="0.3">
      <c r="A191" s="2426">
        <v>2143</v>
      </c>
      <c r="B191" s="2492">
        <v>5213</v>
      </c>
      <c r="C191" s="2432" t="s">
        <v>1387</v>
      </c>
      <c r="D191" s="1032" t="s">
        <v>978</v>
      </c>
      <c r="E191" s="429">
        <v>1000</v>
      </c>
      <c r="F191" s="1556">
        <v>890</v>
      </c>
      <c r="G191" s="429">
        <v>490</v>
      </c>
      <c r="H191" s="2533">
        <f>G191/F191*100</f>
        <v>55.056179775280903</v>
      </c>
    </row>
    <row r="192" spans="1:8" ht="19.5" thickTop="1" thickBot="1" x14ac:dyDescent="0.3">
      <c r="A192" s="578" t="s">
        <v>1388</v>
      </c>
      <c r="B192" s="744"/>
      <c r="C192" s="580"/>
      <c r="D192" s="581"/>
      <c r="E192" s="582">
        <f>SUM(E190:E191)</f>
        <v>1000</v>
      </c>
      <c r="F192" s="582">
        <f t="shared" ref="F192:G192" si="24">SUM(F190:F191)</f>
        <v>1000</v>
      </c>
      <c r="G192" s="582">
        <f t="shared" si="24"/>
        <v>600</v>
      </c>
      <c r="H192" s="2509">
        <f>G192/F192*100</f>
        <v>60</v>
      </c>
    </row>
    <row r="193" spans="1:13" ht="18.75" thickTop="1" x14ac:dyDescent="0.25">
      <c r="A193" s="353"/>
      <c r="B193" s="2351"/>
      <c r="C193" s="57"/>
      <c r="D193" s="354"/>
      <c r="E193" s="17"/>
      <c r="F193" s="17"/>
      <c r="G193" s="17"/>
      <c r="H193" s="1972"/>
      <c r="J193" s="372" t="s">
        <v>1512</v>
      </c>
      <c r="K193" s="373">
        <f>E120+E121+E122+E123+E124+E125+E135+E136+E137+E138+E139+E140+E147+E148+E149+E150+E151+E152+E153+E154+E155+E162+E163+E164+E165+E166+E173+E174+E175+E176+E177+E178+E190+E191</f>
        <v>10800</v>
      </c>
      <c r="L193" s="373">
        <f t="shared" ref="L193:M193" si="25">F120+F121+F122+F123+F124+F125+F135+F136+F137+F138+F139+F140+F147+F148+F149+F150+F151+F152+F153+F154+F155+F162+F163+F164+F165+F166+F173+F174+F175+F176+F177+F178+F190+F191</f>
        <v>9358</v>
      </c>
      <c r="M193" s="373">
        <f t="shared" si="25"/>
        <v>8543</v>
      </c>
    </row>
    <row r="194" spans="1:13" ht="13.5" thickBot="1" x14ac:dyDescent="0.25">
      <c r="J194" s="372" t="s">
        <v>1511</v>
      </c>
      <c r="K194" s="373">
        <f>E126+E127+E128+E179+E180+E181+E182+E183</f>
        <v>0</v>
      </c>
      <c r="L194" s="373">
        <f t="shared" ref="L194:M194" si="26">F126+F127+F128+F179+F180+F181+F182+F183</f>
        <v>7098</v>
      </c>
      <c r="M194" s="373">
        <f t="shared" si="26"/>
        <v>7098</v>
      </c>
    </row>
    <row r="195" spans="1:13" ht="19.5" thickTop="1" thickBot="1" x14ac:dyDescent="0.3">
      <c r="A195" s="578" t="s">
        <v>1152</v>
      </c>
      <c r="B195" s="744"/>
      <c r="C195" s="580"/>
      <c r="D195" s="581"/>
      <c r="E195" s="582">
        <f>E184+E167+E156+E141+E129+E192</f>
        <v>10800</v>
      </c>
      <c r="F195" s="582">
        <f t="shared" ref="F195:G195" si="27">F184+F167+F156+F141+F129+F192</f>
        <v>16456</v>
      </c>
      <c r="G195" s="582">
        <f t="shared" si="27"/>
        <v>15641</v>
      </c>
      <c r="H195" s="2509">
        <f t="shared" ref="H195" si="28">G195/F195*100</f>
        <v>95.047399124939233</v>
      </c>
      <c r="J195" s="372"/>
      <c r="K195" s="526">
        <f>SUM(K193:K194)</f>
        <v>10800</v>
      </c>
      <c r="L195" s="526">
        <f t="shared" ref="L195:M195" si="29">SUM(L193:L194)</f>
        <v>16456</v>
      </c>
      <c r="M195" s="526">
        <f t="shared" si="29"/>
        <v>15641</v>
      </c>
    </row>
    <row r="196" spans="1:13" ht="13.5" thickTop="1" x14ac:dyDescent="0.2"/>
    <row r="199" spans="1:13" ht="15" customHeight="1" x14ac:dyDescent="0.25">
      <c r="A199" s="1701" t="s">
        <v>1921</v>
      </c>
      <c r="B199" s="1700"/>
      <c r="C199" s="1699"/>
      <c r="D199" s="1698"/>
      <c r="E199" s="1884">
        <f>E200+E201+E202+E203</f>
        <v>38573</v>
      </c>
      <c r="F199" s="1884">
        <f>F200+F201+F202+F203</f>
        <v>40214</v>
      </c>
      <c r="G199" s="1884">
        <f>G200+G201+G202+G203</f>
        <v>35857</v>
      </c>
      <c r="H199" s="1907">
        <f>G199/F199*100</f>
        <v>89.165464763515189</v>
      </c>
      <c r="J199" s="1720">
        <f>J200+J201+J202+J203</f>
        <v>38573000</v>
      </c>
      <c r="K199" s="1720">
        <f t="shared" ref="K199:L199" si="30">K200+K201+K202+K203</f>
        <v>40214500</v>
      </c>
      <c r="L199" s="1720">
        <f t="shared" si="30"/>
        <v>35857311.370000005</v>
      </c>
    </row>
    <row r="200" spans="1:13" ht="15" x14ac:dyDescent="0.2">
      <c r="A200" s="1011" t="s">
        <v>147</v>
      </c>
      <c r="B200" s="1013"/>
      <c r="C200" s="1009"/>
      <c r="D200" s="1009"/>
      <c r="E200" s="1008">
        <f>E101</f>
        <v>38573</v>
      </c>
      <c r="F200" s="1008">
        <f t="shared" ref="F200:G200" si="31">F101</f>
        <v>39414</v>
      </c>
      <c r="G200" s="1008">
        <f t="shared" si="31"/>
        <v>35857</v>
      </c>
      <c r="H200" s="1976">
        <f>G200/F200*100</f>
        <v>90.975287968742066</v>
      </c>
      <c r="J200" s="1836">
        <v>38573000</v>
      </c>
      <c r="K200" s="1836">
        <f>33324500+5950000+140000</f>
        <v>39414500</v>
      </c>
      <c r="L200" s="1836">
        <f>29782211.37+5935100+140000</f>
        <v>35857311.370000005</v>
      </c>
    </row>
    <row r="201" spans="1:13" ht="15" x14ac:dyDescent="0.2">
      <c r="A201" s="1011" t="s">
        <v>148</v>
      </c>
      <c r="B201" s="1010"/>
      <c r="C201" s="1009"/>
      <c r="D201" s="1009"/>
      <c r="E201" s="1977">
        <f>E112</f>
        <v>0</v>
      </c>
      <c r="F201" s="1977">
        <f>F112</f>
        <v>800</v>
      </c>
      <c r="G201" s="1977">
        <f>G112</f>
        <v>0</v>
      </c>
      <c r="H201" s="1976">
        <f>G201/F201*100</f>
        <v>0</v>
      </c>
      <c r="J201" s="1836">
        <v>0</v>
      </c>
      <c r="K201" s="1836">
        <v>800000</v>
      </c>
      <c r="L201" s="1836">
        <v>0</v>
      </c>
    </row>
    <row r="202" spans="1:13" ht="15" x14ac:dyDescent="0.2">
      <c r="A202" s="1011" t="s">
        <v>119</v>
      </c>
      <c r="B202" s="1010"/>
      <c r="C202" s="1009"/>
      <c r="D202" s="1009"/>
      <c r="E202" s="1008">
        <v>0</v>
      </c>
      <c r="F202" s="1012">
        <v>0</v>
      </c>
      <c r="G202" s="1012">
        <v>0</v>
      </c>
      <c r="H202" s="1976">
        <v>0</v>
      </c>
      <c r="J202" s="1836">
        <v>0</v>
      </c>
      <c r="K202" s="1836">
        <v>0</v>
      </c>
      <c r="L202" s="1836">
        <v>0</v>
      </c>
    </row>
    <row r="203" spans="1:13" ht="15" x14ac:dyDescent="0.2">
      <c r="A203" s="1011" t="s">
        <v>537</v>
      </c>
      <c r="B203" s="1010"/>
      <c r="C203" s="1009"/>
      <c r="D203" s="1009"/>
      <c r="E203" s="1008">
        <v>0</v>
      </c>
      <c r="F203" s="1008">
        <v>0</v>
      </c>
      <c r="G203" s="1008">
        <v>0</v>
      </c>
      <c r="H203" s="1976">
        <v>0</v>
      </c>
      <c r="J203" s="1836">
        <v>0</v>
      </c>
      <c r="K203" s="1836">
        <v>0</v>
      </c>
      <c r="L203" s="1836">
        <v>0</v>
      </c>
    </row>
    <row r="204" spans="1:13" ht="15" x14ac:dyDescent="0.2">
      <c r="A204" s="1011"/>
      <c r="B204" s="1010"/>
      <c r="C204" s="1009"/>
      <c r="D204" s="1009"/>
      <c r="E204" s="1008"/>
      <c r="F204" s="1008"/>
      <c r="G204" s="1008"/>
      <c r="H204" s="1976"/>
      <c r="J204" s="1836"/>
      <c r="K204" s="1836"/>
      <c r="L204" s="1836"/>
    </row>
    <row r="205" spans="1:13" ht="16.5" x14ac:dyDescent="0.25">
      <c r="A205" s="1694" t="s">
        <v>1151</v>
      </c>
      <c r="B205" s="1677"/>
      <c r="C205" s="1676"/>
      <c r="E205" s="1151">
        <f>E195</f>
        <v>10800</v>
      </c>
      <c r="F205" s="1151">
        <f t="shared" ref="F205:G205" si="32">F195</f>
        <v>16456</v>
      </c>
      <c r="G205" s="1151">
        <f t="shared" si="32"/>
        <v>15641</v>
      </c>
      <c r="H205" s="1907">
        <f t="shared" ref="H205" si="33">G205/F205*100</f>
        <v>95.047399124939233</v>
      </c>
      <c r="I205" s="1002"/>
      <c r="J205" s="1720">
        <f>0+1500000+400000+800000+7100000+1000000</f>
        <v>10800000</v>
      </c>
      <c r="K205" s="1720">
        <f>5625800+1500000+400000+830000+7100000+1000000</f>
        <v>16455800</v>
      </c>
      <c r="L205" s="1720">
        <f>5445800+1490051+367930+822425+6915000+600000</f>
        <v>15641206</v>
      </c>
    </row>
    <row r="206" spans="1:13" ht="18" x14ac:dyDescent="0.25">
      <c r="A206" s="1971"/>
      <c r="B206" s="1971"/>
      <c r="C206" s="1970"/>
      <c r="D206" s="1969"/>
      <c r="E206" s="1968"/>
      <c r="F206" s="1967"/>
      <c r="G206" s="1966"/>
      <c r="H206" s="1965"/>
      <c r="I206" s="1002"/>
      <c r="J206" s="1836"/>
      <c r="K206" s="1836"/>
      <c r="L206" s="1836"/>
    </row>
    <row r="207" spans="1:13" s="1961" customFormat="1" ht="37.5" customHeight="1" thickBot="1" x14ac:dyDescent="0.4">
      <c r="A207" s="3290" t="s">
        <v>1922</v>
      </c>
      <c r="B207" s="3291"/>
      <c r="C207" s="3291"/>
      <c r="D207" s="3291"/>
      <c r="E207" s="1964">
        <f>E205+E199</f>
        <v>49373</v>
      </c>
      <c r="F207" s="1964">
        <f t="shared" ref="F207:G207" si="34">F205+F199</f>
        <v>56670</v>
      </c>
      <c r="G207" s="1964">
        <f t="shared" si="34"/>
        <v>51498</v>
      </c>
      <c r="H207" s="1963">
        <f>(G207/F207)*100</f>
        <v>90.873478030704078</v>
      </c>
      <c r="I207" s="1962"/>
      <c r="J207" s="1688">
        <f>J205+J199</f>
        <v>49373000</v>
      </c>
      <c r="K207" s="1688">
        <f t="shared" ref="K207:L207" si="35">K205+K199</f>
        <v>56670300</v>
      </c>
      <c r="L207" s="1688">
        <f t="shared" si="35"/>
        <v>51498517.370000005</v>
      </c>
    </row>
    <row r="208" spans="1:13" ht="13.5" thickTop="1" x14ac:dyDescent="0.2"/>
  </sheetData>
  <mergeCells count="12">
    <mergeCell ref="A207:D207"/>
    <mergeCell ref="D22:D23"/>
    <mergeCell ref="D65:D66"/>
    <mergeCell ref="D37:D38"/>
    <mergeCell ref="A115:H115"/>
    <mergeCell ref="A116:H116"/>
    <mergeCell ref="A131:H131"/>
    <mergeCell ref="A143:H143"/>
    <mergeCell ref="A158:H158"/>
    <mergeCell ref="A169:H169"/>
    <mergeCell ref="D93:D94"/>
    <mergeCell ref="A186:H186"/>
  </mergeCells>
  <pageMargins left="0.98425196850393704" right="0.98425196850393704" top="0.98425196850393704" bottom="0.98425196850393704" header="0.51181102362204722" footer="0.51181102362204722"/>
  <pageSetup paperSize="9" scale="70" firstPageNumber="97" orientation="portrait" useFirstPageNumber="1" r:id="rId1"/>
  <headerFooter>
    <oddFooter>&amp;L&amp;"Arial,Kurzíva"Zastupitelstvo Olomouckého kraje 25. 6. 2018
5. - Rozpočet Olomouckého kraje 2017 - závěrečný  účet 
Příloha č. 3: Plnění rozpočtu výdajů Olomouckého kraje k 31. 12. 2017&amp;R&amp;"Arial,Kurzíva"Strana &amp;P (celkem 478)</oddFooter>
  </headerFooter>
  <rowBreaks count="2" manualBreakCount="2">
    <brk id="68" max="7" man="1"/>
    <brk id="130" max="7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FF"/>
  </sheetPr>
  <dimension ref="A1:XFD180"/>
  <sheetViews>
    <sheetView showGridLines="0" view="pageBreakPreview" zoomScaleNormal="100" zoomScaleSheetLayoutView="100" workbookViewId="0">
      <selection activeCell="A180" sqref="A180"/>
    </sheetView>
  </sheetViews>
  <sheetFormatPr defaultColWidth="9.140625" defaultRowHeight="12.75" x14ac:dyDescent="0.2"/>
  <cols>
    <col min="1" max="2" width="5.28515625" style="997" customWidth="1"/>
    <col min="3" max="3" width="9.85546875" style="997" customWidth="1"/>
    <col min="4" max="4" width="59.42578125" style="997" customWidth="1"/>
    <col min="5" max="5" width="15.42578125" style="997" customWidth="1"/>
    <col min="6" max="6" width="15.140625" style="997" customWidth="1"/>
    <col min="7" max="7" width="15.5703125" style="997" customWidth="1"/>
    <col min="8" max="8" width="9.140625" style="1753" customWidth="1"/>
    <col min="9" max="9" width="9.140625" style="997"/>
    <col min="10" max="10" width="15.42578125" style="997" bestFit="1" customWidth="1"/>
    <col min="11" max="11" width="15.140625" style="997" customWidth="1"/>
    <col min="12" max="12" width="15.42578125" style="997" bestFit="1" customWidth="1"/>
    <col min="13" max="13" width="9.140625" style="997"/>
    <col min="14" max="14" width="17.28515625" style="997" customWidth="1"/>
    <col min="15" max="16384" width="9.140625" style="997"/>
  </cols>
  <sheetData>
    <row r="1" spans="1:9" ht="21.75" customHeight="1" thickBot="1" x14ac:dyDescent="0.3">
      <c r="A1" s="1082" t="s">
        <v>991</v>
      </c>
      <c r="B1" s="1081"/>
      <c r="C1" s="1081"/>
      <c r="D1" s="1080"/>
      <c r="E1" s="1079"/>
      <c r="F1" s="1078" t="s">
        <v>990</v>
      </c>
      <c r="G1" s="1002"/>
      <c r="I1" s="1052"/>
    </row>
    <row r="2" spans="1:9" ht="12.75" customHeight="1" x14ac:dyDescent="0.25">
      <c r="A2" s="1075"/>
      <c r="B2" s="1056"/>
      <c r="C2" s="1056"/>
      <c r="D2" s="1074"/>
      <c r="E2" s="1053"/>
      <c r="F2" s="1053"/>
      <c r="G2" s="1668"/>
      <c r="H2" s="1866"/>
      <c r="I2" s="1052"/>
    </row>
    <row r="3" spans="1:9" ht="12.75" customHeight="1" x14ac:dyDescent="0.25">
      <c r="A3" s="1077" t="s">
        <v>201</v>
      </c>
      <c r="B3" s="1056"/>
      <c r="C3" s="2005" t="s">
        <v>948</v>
      </c>
      <c r="D3" s="1076"/>
      <c r="E3" s="1053"/>
      <c r="F3" s="1668"/>
      <c r="G3" s="1052"/>
      <c r="H3" s="1866"/>
    </row>
    <row r="4" spans="1:9" ht="16.5" customHeight="1" x14ac:dyDescent="0.25">
      <c r="A4" s="1075"/>
      <c r="B4" s="1056"/>
      <c r="C4" s="1697" t="s">
        <v>989</v>
      </c>
      <c r="D4" s="1002"/>
      <c r="E4" s="1053"/>
      <c r="F4" s="1668"/>
      <c r="G4" s="1052"/>
      <c r="H4" s="1866"/>
    </row>
    <row r="5" spans="1:9" ht="12.75" customHeight="1" x14ac:dyDescent="0.25">
      <c r="A5" s="1075"/>
      <c r="B5" s="1056"/>
      <c r="C5" s="1056"/>
      <c r="D5" s="1074"/>
      <c r="E5" s="1053"/>
      <c r="F5" s="1053"/>
      <c r="G5" s="1668"/>
      <c r="H5" s="1866"/>
      <c r="I5" s="1052"/>
    </row>
    <row r="6" spans="1:9" ht="18" x14ac:dyDescent="0.25">
      <c r="A6" s="1057" t="s">
        <v>450</v>
      </c>
      <c r="B6" s="1056"/>
      <c r="C6" s="1056"/>
      <c r="D6" s="1074"/>
      <c r="E6" s="1053"/>
      <c r="F6" s="1053"/>
      <c r="G6" s="1668"/>
      <c r="H6" s="1866"/>
      <c r="I6" s="1052"/>
    </row>
    <row r="7" spans="1:9" ht="13.5" thickBot="1" x14ac:dyDescent="0.25">
      <c r="A7" s="1050"/>
      <c r="B7" s="1050"/>
      <c r="C7" s="1050"/>
      <c r="D7" s="1070"/>
      <c r="E7" s="1002"/>
      <c r="F7" s="1002"/>
      <c r="G7" s="1048"/>
      <c r="H7" s="1901" t="s">
        <v>92</v>
      </c>
    </row>
    <row r="8" spans="1:9" s="1043" customFormat="1" ht="20.25" customHeight="1" thickTop="1" thickBot="1" x14ac:dyDescent="0.25">
      <c r="A8" s="1047" t="s">
        <v>93</v>
      </c>
      <c r="B8" s="1046" t="s">
        <v>94</v>
      </c>
      <c r="C8" s="1957" t="s">
        <v>364</v>
      </c>
      <c r="D8" s="1069" t="s">
        <v>95</v>
      </c>
      <c r="E8" s="1069" t="s">
        <v>328</v>
      </c>
      <c r="F8" s="1069" t="s">
        <v>329</v>
      </c>
      <c r="G8" s="1749" t="s">
        <v>448</v>
      </c>
      <c r="H8" s="1784" t="s">
        <v>449</v>
      </c>
    </row>
    <row r="9" spans="1:9" s="1037" customFormat="1" ht="13.5" thickTop="1" thickBot="1" x14ac:dyDescent="0.25">
      <c r="A9" s="1042">
        <v>1</v>
      </c>
      <c r="B9" s="1041">
        <v>2</v>
      </c>
      <c r="C9" s="1041">
        <v>3</v>
      </c>
      <c r="D9" s="1041">
        <v>4</v>
      </c>
      <c r="E9" s="1041">
        <v>5</v>
      </c>
      <c r="F9" s="1040">
        <v>6</v>
      </c>
      <c r="G9" s="1040">
        <v>7</v>
      </c>
      <c r="H9" s="1039" t="s">
        <v>33</v>
      </c>
      <c r="I9" s="1043"/>
    </row>
    <row r="10" spans="1:9" s="1037" customFormat="1" ht="15.75" thickTop="1" x14ac:dyDescent="0.25">
      <c r="A10" s="2553">
        <v>3269</v>
      </c>
      <c r="B10" s="2554">
        <v>5169</v>
      </c>
      <c r="C10" s="1143"/>
      <c r="D10" s="2004" t="s">
        <v>430</v>
      </c>
      <c r="E10" s="1809">
        <v>11924</v>
      </c>
      <c r="F10" s="1030">
        <v>11924</v>
      </c>
      <c r="G10" s="1030">
        <v>11924</v>
      </c>
      <c r="H10" s="1029">
        <f>(G10/F10)*100</f>
        <v>100</v>
      </c>
      <c r="I10" s="1043"/>
    </row>
    <row r="11" spans="1:9" s="1037" customFormat="1" ht="15" x14ac:dyDescent="0.25">
      <c r="A11" s="2553">
        <v>3399</v>
      </c>
      <c r="B11" s="2554">
        <v>5169</v>
      </c>
      <c r="C11" s="1143"/>
      <c r="D11" s="2004" t="s">
        <v>430</v>
      </c>
      <c r="E11" s="1809">
        <v>1105</v>
      </c>
      <c r="F11" s="1030">
        <v>1105</v>
      </c>
      <c r="G11" s="1030">
        <v>1105</v>
      </c>
      <c r="H11" s="1029">
        <f t="shared" ref="H11:H13" si="0">(G11/F11)*100</f>
        <v>100</v>
      </c>
      <c r="I11" s="1043"/>
    </row>
    <row r="12" spans="1:9" s="1037" customFormat="1" ht="15" x14ac:dyDescent="0.25">
      <c r="A12" s="2553">
        <v>3569</v>
      </c>
      <c r="B12" s="2554">
        <v>5169</v>
      </c>
      <c r="C12" s="1143"/>
      <c r="D12" s="2004" t="s">
        <v>430</v>
      </c>
      <c r="E12" s="1809">
        <v>1506</v>
      </c>
      <c r="F12" s="1030">
        <v>1506</v>
      </c>
      <c r="G12" s="1030">
        <v>1506</v>
      </c>
      <c r="H12" s="1029">
        <f t="shared" si="0"/>
        <v>100</v>
      </c>
      <c r="I12" s="1043"/>
    </row>
    <row r="13" spans="1:9" s="1037" customFormat="1" ht="15" x14ac:dyDescent="0.25">
      <c r="A13" s="2553">
        <v>4399</v>
      </c>
      <c r="B13" s="2554">
        <v>5169</v>
      </c>
      <c r="C13" s="1028"/>
      <c r="D13" s="2004" t="s">
        <v>430</v>
      </c>
      <c r="E13" s="1809">
        <v>4346</v>
      </c>
      <c r="F13" s="1030">
        <v>4346</v>
      </c>
      <c r="G13" s="1030">
        <v>4345</v>
      </c>
      <c r="H13" s="1029">
        <f t="shared" si="0"/>
        <v>99.976990335941096</v>
      </c>
      <c r="I13" s="1043"/>
    </row>
    <row r="14" spans="1:9" s="1037" customFormat="1" ht="15" x14ac:dyDescent="0.25">
      <c r="A14" s="2553">
        <v>6172</v>
      </c>
      <c r="B14" s="2554">
        <v>5163</v>
      </c>
      <c r="C14" s="1028"/>
      <c r="D14" s="800" t="s">
        <v>452</v>
      </c>
      <c r="E14" s="1809">
        <v>35700</v>
      </c>
      <c r="F14" s="1030">
        <v>40611</v>
      </c>
      <c r="G14" s="1030">
        <v>40458</v>
      </c>
      <c r="H14" s="1029">
        <f>(G14/F14)*100</f>
        <v>99.623254783186823</v>
      </c>
      <c r="I14" s="1043"/>
    </row>
    <row r="15" spans="1:9" s="1037" customFormat="1" ht="15" x14ac:dyDescent="0.25">
      <c r="A15" s="2553">
        <v>6172</v>
      </c>
      <c r="B15" s="2554">
        <v>5164</v>
      </c>
      <c r="C15" s="1028"/>
      <c r="D15" s="2004" t="s">
        <v>101</v>
      </c>
      <c r="E15" s="1809">
        <v>60</v>
      </c>
      <c r="F15" s="1030">
        <v>24</v>
      </c>
      <c r="G15" s="1030">
        <v>24</v>
      </c>
      <c r="H15" s="1029">
        <f>(G15/F15)*100</f>
        <v>100</v>
      </c>
      <c r="I15" s="1043"/>
    </row>
    <row r="16" spans="1:9" s="1037" customFormat="1" ht="15" x14ac:dyDescent="0.25">
      <c r="A16" s="2553">
        <v>6172</v>
      </c>
      <c r="B16" s="2554">
        <v>5166</v>
      </c>
      <c r="C16" s="1028"/>
      <c r="D16" s="2004" t="s">
        <v>1409</v>
      </c>
      <c r="E16" s="1809">
        <v>271</v>
      </c>
      <c r="F16" s="1031">
        <v>1</v>
      </c>
      <c r="G16" s="1030">
        <v>0</v>
      </c>
      <c r="H16" s="1029">
        <f>(G16/F16)*100</f>
        <v>0</v>
      </c>
      <c r="I16" s="1043"/>
    </row>
    <row r="17" spans="1:12" s="1037" customFormat="1" ht="15" x14ac:dyDescent="0.25">
      <c r="A17" s="2553">
        <v>6172</v>
      </c>
      <c r="B17" s="2554">
        <v>5168</v>
      </c>
      <c r="C17" s="1028"/>
      <c r="D17" s="3296" t="s">
        <v>838</v>
      </c>
      <c r="E17" s="1809">
        <v>45</v>
      </c>
      <c r="F17" s="1031">
        <v>1</v>
      </c>
      <c r="G17" s="1030">
        <v>0</v>
      </c>
      <c r="H17" s="1029">
        <v>0</v>
      </c>
      <c r="I17" s="1043"/>
    </row>
    <row r="18" spans="1:12" s="1037" customFormat="1" ht="15" x14ac:dyDescent="0.25">
      <c r="A18" s="2553"/>
      <c r="B18" s="2554"/>
      <c r="C18" s="1028"/>
      <c r="D18" s="3297"/>
      <c r="E18" s="1809"/>
      <c r="F18" s="1031"/>
      <c r="G18" s="1030"/>
      <c r="H18" s="1029"/>
      <c r="I18" s="1043"/>
    </row>
    <row r="19" spans="1:12" s="1037" customFormat="1" ht="15" hidden="1" x14ac:dyDescent="0.25">
      <c r="A19" s="2553">
        <v>6172</v>
      </c>
      <c r="B19" s="2554">
        <v>5169</v>
      </c>
      <c r="C19" s="1028"/>
      <c r="D19" s="2004" t="s">
        <v>430</v>
      </c>
      <c r="E19" s="1809"/>
      <c r="F19" s="1031"/>
      <c r="G19" s="1030"/>
      <c r="H19" s="1029" t="e">
        <f>(G19/F19)*100</f>
        <v>#DIV/0!</v>
      </c>
      <c r="I19" s="1043"/>
    </row>
    <row r="20" spans="1:12" s="1037" customFormat="1" ht="15" x14ac:dyDescent="0.25">
      <c r="A20" s="2553">
        <v>6172</v>
      </c>
      <c r="B20" s="2554">
        <v>5175</v>
      </c>
      <c r="C20" s="1028"/>
      <c r="D20" s="1814" t="s">
        <v>352</v>
      </c>
      <c r="E20" s="1809">
        <v>80</v>
      </c>
      <c r="F20" s="1809">
        <v>30</v>
      </c>
      <c r="G20" s="1809">
        <v>30</v>
      </c>
      <c r="H20" s="1029">
        <f>(G20/F20)*100</f>
        <v>100</v>
      </c>
      <c r="I20" s="1043"/>
    </row>
    <row r="21" spans="1:12" s="1037" customFormat="1" ht="15.75" thickBot="1" x14ac:dyDescent="0.3">
      <c r="A21" s="2562">
        <v>6172</v>
      </c>
      <c r="B21" s="2563">
        <v>5179</v>
      </c>
      <c r="C21" s="2297"/>
      <c r="D21" s="845" t="s">
        <v>1130</v>
      </c>
      <c r="E21" s="2561">
        <v>641</v>
      </c>
      <c r="F21" s="2561">
        <v>572</v>
      </c>
      <c r="G21" s="2561">
        <v>572</v>
      </c>
      <c r="H21" s="1029">
        <f>(G21/F21)*100</f>
        <v>100</v>
      </c>
      <c r="I21" s="1043"/>
    </row>
    <row r="22" spans="1:12" ht="32.25" customHeight="1" thickTop="1" thickBot="1" x14ac:dyDescent="0.35">
      <c r="A22" s="1805" t="s">
        <v>134</v>
      </c>
      <c r="B22" s="1987"/>
      <c r="C22" s="2003"/>
      <c r="D22" s="1985"/>
      <c r="E22" s="1016">
        <f>SUM(E10:E21)</f>
        <v>55678</v>
      </c>
      <c r="F22" s="1016">
        <f t="shared" ref="F22:G22" si="1">SUM(F10:F21)</f>
        <v>60120</v>
      </c>
      <c r="G22" s="1016">
        <f t="shared" si="1"/>
        <v>59964</v>
      </c>
      <c r="H22" s="1871">
        <f>G22/F22*100</f>
        <v>99.740518962075853</v>
      </c>
      <c r="J22" s="1836">
        <f>19978000+35700000</f>
        <v>55678000</v>
      </c>
      <c r="K22" s="1836">
        <f>19508769.5+40611188</f>
        <v>60119957.5</v>
      </c>
      <c r="L22" s="1836">
        <f>19505708.28+40457830</f>
        <v>59963538.280000001</v>
      </c>
    </row>
    <row r="23" spans="1:12" ht="13.5" thickTop="1" x14ac:dyDescent="0.2"/>
    <row r="26" spans="1:12" ht="15.75" x14ac:dyDescent="0.25">
      <c r="A26" s="1855" t="s">
        <v>1405</v>
      </c>
      <c r="C26" s="2020"/>
      <c r="D26" s="1783"/>
      <c r="E26" s="1851"/>
      <c r="F26" s="1852"/>
      <c r="G26" s="1851"/>
      <c r="H26" s="1674"/>
    </row>
    <row r="27" spans="1:12" ht="16.5" thickBot="1" x14ac:dyDescent="0.3">
      <c r="A27" s="1855"/>
      <c r="C27" s="2020"/>
      <c r="D27" s="1783"/>
      <c r="E27" s="1851"/>
      <c r="F27" s="1852"/>
      <c r="G27" s="1851"/>
      <c r="H27" s="1753" t="s">
        <v>92</v>
      </c>
    </row>
    <row r="28" spans="1:12" ht="14.25" thickTop="1" thickBot="1" x14ac:dyDescent="0.25">
      <c r="A28" s="1047" t="s">
        <v>93</v>
      </c>
      <c r="B28" s="1046" t="s">
        <v>94</v>
      </c>
      <c r="C28" s="1798" t="s">
        <v>364</v>
      </c>
      <c r="D28" s="1044" t="s">
        <v>95</v>
      </c>
      <c r="E28" s="1069" t="s">
        <v>328</v>
      </c>
      <c r="F28" s="1069" t="s">
        <v>329</v>
      </c>
      <c r="G28" s="1749" t="s">
        <v>448</v>
      </c>
      <c r="H28" s="1784" t="s">
        <v>449</v>
      </c>
    </row>
    <row r="29" spans="1:12" ht="14.25" thickTop="1" thickBot="1" x14ac:dyDescent="0.25">
      <c r="A29" s="1042">
        <v>1</v>
      </c>
      <c r="B29" s="1041">
        <v>2</v>
      </c>
      <c r="C29" s="1041">
        <v>3</v>
      </c>
      <c r="D29" s="1041">
        <v>4</v>
      </c>
      <c r="E29" s="1041">
        <v>5</v>
      </c>
      <c r="F29" s="1040">
        <v>6</v>
      </c>
      <c r="G29" s="1040">
        <v>7</v>
      </c>
      <c r="H29" s="1039" t="s">
        <v>33</v>
      </c>
    </row>
    <row r="30" spans="1:12" ht="15.75" thickTop="1" x14ac:dyDescent="0.25">
      <c r="A30" s="1027"/>
      <c r="B30" s="2498">
        <v>5152</v>
      </c>
      <c r="C30" s="2802"/>
      <c r="D30" s="1863" t="s">
        <v>438</v>
      </c>
      <c r="E30" s="1066">
        <v>0</v>
      </c>
      <c r="F30" s="1066">
        <v>22</v>
      </c>
      <c r="G30" s="1066">
        <v>0</v>
      </c>
      <c r="H30" s="1058">
        <f t="shared" ref="H30:H35" si="2">(G30/F30)*100</f>
        <v>0</v>
      </c>
    </row>
    <row r="31" spans="1:12" ht="15" x14ac:dyDescent="0.25">
      <c r="A31" s="1027"/>
      <c r="B31" s="2498">
        <v>5154</v>
      </c>
      <c r="C31" s="2802"/>
      <c r="D31" s="1863" t="s">
        <v>159</v>
      </c>
      <c r="E31" s="1066">
        <v>0</v>
      </c>
      <c r="F31" s="1066">
        <v>14</v>
      </c>
      <c r="G31" s="1066">
        <v>14</v>
      </c>
      <c r="H31" s="1058">
        <f t="shared" si="2"/>
        <v>100</v>
      </c>
    </row>
    <row r="32" spans="1:12" ht="15" x14ac:dyDescent="0.25">
      <c r="A32" s="1027"/>
      <c r="B32" s="2498">
        <v>5157</v>
      </c>
      <c r="C32" s="2802"/>
      <c r="D32" s="1863" t="s">
        <v>211</v>
      </c>
      <c r="E32" s="1066">
        <v>0</v>
      </c>
      <c r="F32" s="1066">
        <v>9</v>
      </c>
      <c r="G32" s="1066">
        <v>0</v>
      </c>
      <c r="H32" s="1058">
        <f t="shared" si="2"/>
        <v>0</v>
      </c>
    </row>
    <row r="33" spans="1:12" ht="15" x14ac:dyDescent="0.25">
      <c r="A33" s="1027"/>
      <c r="B33" s="2498">
        <v>5162</v>
      </c>
      <c r="C33" s="2802"/>
      <c r="D33" s="1863" t="s">
        <v>439</v>
      </c>
      <c r="E33" s="1066">
        <v>0</v>
      </c>
      <c r="F33" s="1066">
        <v>1</v>
      </c>
      <c r="G33" s="1066">
        <v>1</v>
      </c>
      <c r="H33" s="1058">
        <f t="shared" si="2"/>
        <v>100</v>
      </c>
    </row>
    <row r="34" spans="1:12" ht="15" x14ac:dyDescent="0.25">
      <c r="A34" s="1027"/>
      <c r="B34" s="2498">
        <v>5168</v>
      </c>
      <c r="C34" s="2802"/>
      <c r="D34" s="3296" t="s">
        <v>838</v>
      </c>
      <c r="E34" s="1066">
        <v>0</v>
      </c>
      <c r="F34" s="1066">
        <v>3</v>
      </c>
      <c r="G34" s="1066">
        <v>3</v>
      </c>
      <c r="H34" s="1058">
        <f t="shared" si="2"/>
        <v>100</v>
      </c>
    </row>
    <row r="35" spans="1:12" ht="15" hidden="1" x14ac:dyDescent="0.25">
      <c r="A35" s="1027"/>
      <c r="B35" s="2498">
        <v>5169</v>
      </c>
      <c r="C35" s="2802"/>
      <c r="D35" s="3297"/>
      <c r="E35" s="1066"/>
      <c r="F35" s="1066">
        <v>0</v>
      </c>
      <c r="G35" s="1066">
        <v>0</v>
      </c>
      <c r="H35" s="1058" t="e">
        <f t="shared" si="2"/>
        <v>#DIV/0!</v>
      </c>
    </row>
    <row r="36" spans="1:12" ht="15" x14ac:dyDescent="0.25">
      <c r="A36" s="1027" t="s">
        <v>280</v>
      </c>
      <c r="B36" s="2498">
        <v>5331</v>
      </c>
      <c r="C36" s="2802"/>
      <c r="D36" s="1863" t="s">
        <v>465</v>
      </c>
      <c r="E36" s="1066">
        <f>SUM(E37:E44)</f>
        <v>358145</v>
      </c>
      <c r="F36" s="1066">
        <f t="shared" ref="F36:G36" si="3">SUM(F37:F44)</f>
        <v>384536</v>
      </c>
      <c r="G36" s="1066">
        <f t="shared" si="3"/>
        <v>384536</v>
      </c>
      <c r="H36" s="1058">
        <f t="shared" ref="H36:H46" si="4">(G36/F36)*100</f>
        <v>100</v>
      </c>
    </row>
    <row r="37" spans="1:12" ht="15" x14ac:dyDescent="0.2">
      <c r="A37" s="1027"/>
      <c r="B37" s="2803"/>
      <c r="C37" s="2802" t="s">
        <v>972</v>
      </c>
      <c r="D37" s="2565" t="s">
        <v>1367</v>
      </c>
      <c r="E37" s="2021">
        <v>0</v>
      </c>
      <c r="F37" s="1062">
        <v>16376</v>
      </c>
      <c r="G37" s="1062">
        <v>16376</v>
      </c>
      <c r="H37" s="1061">
        <f t="shared" si="4"/>
        <v>100</v>
      </c>
    </row>
    <row r="38" spans="1:12" ht="15" hidden="1" x14ac:dyDescent="0.2">
      <c r="A38" s="1027"/>
      <c r="B38" s="2803"/>
      <c r="C38" s="2802" t="s">
        <v>906</v>
      </c>
      <c r="D38" s="2564" t="s">
        <v>1398</v>
      </c>
      <c r="E38" s="2021"/>
      <c r="F38" s="1062"/>
      <c r="G38" s="1062"/>
      <c r="H38" s="1061" t="e">
        <f t="shared" si="4"/>
        <v>#DIV/0!</v>
      </c>
    </row>
    <row r="39" spans="1:12" ht="15" x14ac:dyDescent="0.2">
      <c r="A39" s="1027"/>
      <c r="B39" s="2803"/>
      <c r="C39" s="2802" t="s">
        <v>1394</v>
      </c>
      <c r="D39" s="2565" t="s">
        <v>1399</v>
      </c>
      <c r="E39" s="2021">
        <v>275241</v>
      </c>
      <c r="F39" s="1062">
        <v>278485</v>
      </c>
      <c r="G39" s="1022">
        <v>278485</v>
      </c>
      <c r="H39" s="1061">
        <f t="shared" si="4"/>
        <v>100</v>
      </c>
    </row>
    <row r="40" spans="1:12" ht="15" x14ac:dyDescent="0.2">
      <c r="A40" s="1027"/>
      <c r="B40" s="2803"/>
      <c r="C40" s="2802" t="s">
        <v>994</v>
      </c>
      <c r="D40" s="2565" t="s">
        <v>1400</v>
      </c>
      <c r="E40" s="2021">
        <v>1854</v>
      </c>
      <c r="F40" s="1062">
        <v>1886</v>
      </c>
      <c r="G40" s="1022">
        <v>1886</v>
      </c>
      <c r="H40" s="1061">
        <f t="shared" si="4"/>
        <v>100</v>
      </c>
    </row>
    <row r="41" spans="1:12" ht="15" x14ac:dyDescent="0.2">
      <c r="A41" s="1027"/>
      <c r="B41" s="2803"/>
      <c r="C41" s="2802" t="s">
        <v>993</v>
      </c>
      <c r="D41" s="2565" t="s">
        <v>1401</v>
      </c>
      <c r="E41" s="2021">
        <v>80041</v>
      </c>
      <c r="F41" s="1062">
        <v>80558</v>
      </c>
      <c r="G41" s="1022">
        <v>80558</v>
      </c>
      <c r="H41" s="1061">
        <f t="shared" si="4"/>
        <v>100</v>
      </c>
    </row>
    <row r="42" spans="1:12" ht="15" x14ac:dyDescent="0.2">
      <c r="A42" s="1027"/>
      <c r="B42" s="2803"/>
      <c r="C42" s="2802" t="s">
        <v>1395</v>
      </c>
      <c r="D42" s="2565" t="s">
        <v>1402</v>
      </c>
      <c r="E42" s="2021">
        <v>875</v>
      </c>
      <c r="F42" s="1062">
        <v>6036</v>
      </c>
      <c r="G42" s="1022">
        <v>6036</v>
      </c>
      <c r="H42" s="1061">
        <f t="shared" si="4"/>
        <v>100</v>
      </c>
    </row>
    <row r="43" spans="1:12" ht="15" x14ac:dyDescent="0.2">
      <c r="A43" s="1027"/>
      <c r="B43" s="2803"/>
      <c r="C43" s="2802" t="s">
        <v>1396</v>
      </c>
      <c r="D43" s="2565" t="s">
        <v>1403</v>
      </c>
      <c r="E43" s="2021">
        <v>134</v>
      </c>
      <c r="F43" s="1062">
        <v>145</v>
      </c>
      <c r="G43" s="1022">
        <v>145</v>
      </c>
      <c r="H43" s="1061">
        <f t="shared" si="4"/>
        <v>100</v>
      </c>
    </row>
    <row r="44" spans="1:12" ht="15" x14ac:dyDescent="0.2">
      <c r="A44" s="1027"/>
      <c r="B44" s="2803"/>
      <c r="C44" s="2802" t="s">
        <v>1397</v>
      </c>
      <c r="D44" s="2565" t="s">
        <v>1404</v>
      </c>
      <c r="E44" s="2021">
        <v>0</v>
      </c>
      <c r="F44" s="1062">
        <v>1050</v>
      </c>
      <c r="G44" s="1022">
        <v>1050</v>
      </c>
      <c r="H44" s="1061">
        <f t="shared" si="4"/>
        <v>100</v>
      </c>
    </row>
    <row r="45" spans="1:12" ht="15.75" thickBot="1" x14ac:dyDescent="0.3">
      <c r="A45" s="1027"/>
      <c r="B45" s="2498">
        <v>5362</v>
      </c>
      <c r="C45" s="2802"/>
      <c r="D45" s="1863" t="s">
        <v>712</v>
      </c>
      <c r="E45" s="1066">
        <v>0</v>
      </c>
      <c r="F45" s="1066">
        <v>105</v>
      </c>
      <c r="G45" s="1066">
        <v>105</v>
      </c>
      <c r="H45" s="1058">
        <f t="shared" si="4"/>
        <v>100</v>
      </c>
    </row>
    <row r="46" spans="1:12" ht="19.5" thickTop="1" thickBot="1" x14ac:dyDescent="0.3">
      <c r="A46" s="1020" t="s">
        <v>108</v>
      </c>
      <c r="B46" s="1945"/>
      <c r="C46" s="1793"/>
      <c r="D46" s="1019"/>
      <c r="E46" s="1016">
        <f>E36+E30+E31+E32+E33+E34+E35+E45</f>
        <v>358145</v>
      </c>
      <c r="F46" s="1016">
        <f t="shared" ref="F46:G46" si="5">F36+F30+F31+F32+F33+F34+F35+F45</f>
        <v>384690</v>
      </c>
      <c r="G46" s="1016">
        <f t="shared" si="5"/>
        <v>384659</v>
      </c>
      <c r="H46" s="2019">
        <f t="shared" si="4"/>
        <v>99.991941563336724</v>
      </c>
      <c r="J46" s="1836"/>
      <c r="K46" s="1836"/>
      <c r="L46" s="1836"/>
    </row>
    <row r="47" spans="1:12" ht="17.25" thickTop="1" x14ac:dyDescent="0.25">
      <c r="A47" s="1726"/>
      <c r="B47" s="2503">
        <v>6351</v>
      </c>
      <c r="C47" s="2804"/>
      <c r="D47" s="1796" t="s">
        <v>320</v>
      </c>
      <c r="E47" s="2505">
        <f>E48</f>
        <v>0</v>
      </c>
      <c r="F47" s="2505">
        <f t="shared" ref="F47:G47" si="6">F48</f>
        <v>24113</v>
      </c>
      <c r="G47" s="2505">
        <f t="shared" si="6"/>
        <v>24010</v>
      </c>
      <c r="H47" s="1919">
        <f t="shared" ref="H47:H49" si="7">G47/F47*100</f>
        <v>99.572844523700908</v>
      </c>
      <c r="J47" s="1836"/>
      <c r="K47" s="1836"/>
      <c r="L47" s="1836"/>
    </row>
    <row r="48" spans="1:12" ht="17.25" thickBot="1" x14ac:dyDescent="0.3">
      <c r="A48" s="2452"/>
      <c r="B48" s="2805"/>
      <c r="C48" s="2504" t="s">
        <v>972</v>
      </c>
      <c r="D48" s="2565" t="s">
        <v>1367</v>
      </c>
      <c r="E48" s="2530">
        <v>0</v>
      </c>
      <c r="F48" s="2530">
        <v>24113</v>
      </c>
      <c r="G48" s="2530">
        <v>24010</v>
      </c>
      <c r="H48" s="2531">
        <f t="shared" si="7"/>
        <v>99.572844523700908</v>
      </c>
      <c r="J48" s="1836"/>
      <c r="K48" s="1836"/>
      <c r="L48" s="1836"/>
    </row>
    <row r="49" spans="1:12" ht="18" thickTop="1" thickBot="1" x14ac:dyDescent="0.3">
      <c r="A49" s="1020" t="s">
        <v>987</v>
      </c>
      <c r="B49" s="1717"/>
      <c r="C49" s="1716"/>
      <c r="D49" s="1715"/>
      <c r="E49" s="1714">
        <f>E47</f>
        <v>0</v>
      </c>
      <c r="F49" s="1714">
        <f>F47</f>
        <v>24113</v>
      </c>
      <c r="G49" s="1714">
        <f>G47</f>
        <v>24010</v>
      </c>
      <c r="H49" s="2507">
        <f t="shared" si="7"/>
        <v>99.572844523700908</v>
      </c>
      <c r="J49" s="1836"/>
      <c r="K49" s="1836"/>
      <c r="L49" s="1836"/>
    </row>
    <row r="50" spans="1:12" ht="17.25" thickTop="1" x14ac:dyDescent="0.25">
      <c r="A50" s="1924"/>
      <c r="B50" s="1700"/>
      <c r="C50" s="1699"/>
      <c r="D50" s="1698"/>
      <c r="E50" s="1884"/>
      <c r="F50" s="1884"/>
      <c r="G50" s="1884"/>
      <c r="H50" s="1923"/>
      <c r="J50" s="1836"/>
      <c r="K50" s="1836"/>
      <c r="L50" s="1836"/>
    </row>
    <row r="51" spans="1:12" ht="17.25" thickBot="1" x14ac:dyDescent="0.3">
      <c r="A51" s="1776" t="s">
        <v>1406</v>
      </c>
      <c r="B51" s="1766"/>
      <c r="C51" s="1765"/>
      <c r="D51" s="1764"/>
      <c r="E51" s="1880">
        <f>E46+E49</f>
        <v>358145</v>
      </c>
      <c r="F51" s="1880">
        <f>F46+F49</f>
        <v>408803</v>
      </c>
      <c r="G51" s="1880">
        <f>G46+G49</f>
        <v>408669</v>
      </c>
      <c r="H51" s="1917">
        <f>(G51/F51)*100</f>
        <v>99.967221375576983</v>
      </c>
      <c r="J51" s="1836"/>
      <c r="K51" s="1836"/>
      <c r="L51" s="1836"/>
    </row>
    <row r="52" spans="1:12" ht="17.25" thickTop="1" x14ac:dyDescent="0.25">
      <c r="A52" s="1701"/>
      <c r="B52" s="1700"/>
      <c r="C52" s="1699"/>
      <c r="D52" s="1698"/>
      <c r="E52" s="1884"/>
      <c r="F52" s="1884"/>
      <c r="G52" s="1884"/>
      <c r="H52" s="1916"/>
      <c r="J52" s="1836"/>
      <c r="K52" s="1836"/>
      <c r="L52" s="1836"/>
    </row>
    <row r="53" spans="1:12" ht="16.5" x14ac:dyDescent="0.25">
      <c r="A53" s="1701"/>
      <c r="B53" s="1700"/>
      <c r="C53" s="1699"/>
      <c r="D53" s="1698"/>
      <c r="E53" s="1884"/>
      <c r="F53" s="1884"/>
      <c r="G53" s="1884"/>
      <c r="H53" s="1916"/>
      <c r="J53" s="1836"/>
      <c r="K53" s="1836"/>
      <c r="L53" s="1836"/>
    </row>
    <row r="54" spans="1:12" ht="15.75" x14ac:dyDescent="0.25">
      <c r="A54" s="1855" t="s">
        <v>1407</v>
      </c>
      <c r="C54" s="2020"/>
      <c r="D54" s="1783"/>
      <c r="E54" s="1851"/>
      <c r="F54" s="1852"/>
      <c r="G54" s="1851"/>
      <c r="H54" s="1674"/>
      <c r="J54" s="1836"/>
      <c r="K54" s="1836"/>
      <c r="L54" s="1836"/>
    </row>
    <row r="55" spans="1:12" ht="16.5" thickBot="1" x14ac:dyDescent="0.3">
      <c r="A55" s="1855"/>
      <c r="C55" s="2020"/>
      <c r="D55" s="1783"/>
      <c r="E55" s="1851"/>
      <c r="F55" s="1852"/>
      <c r="G55" s="1851"/>
      <c r="H55" s="1753" t="s">
        <v>92</v>
      </c>
      <c r="J55" s="1836"/>
      <c r="K55" s="1836"/>
      <c r="L55" s="1836"/>
    </row>
    <row r="56" spans="1:12" ht="14.25" thickTop="1" thickBot="1" x14ac:dyDescent="0.25">
      <c r="A56" s="1047" t="s">
        <v>93</v>
      </c>
      <c r="B56" s="1046" t="s">
        <v>94</v>
      </c>
      <c r="C56" s="1798" t="s">
        <v>364</v>
      </c>
      <c r="D56" s="1044" t="s">
        <v>95</v>
      </c>
      <c r="E56" s="1069" t="s">
        <v>328</v>
      </c>
      <c r="F56" s="1069" t="s">
        <v>329</v>
      </c>
      <c r="G56" s="1749" t="s">
        <v>448</v>
      </c>
      <c r="H56" s="1784" t="s">
        <v>449</v>
      </c>
      <c r="J56" s="1836"/>
      <c r="K56" s="1836"/>
      <c r="L56" s="1836"/>
    </row>
    <row r="57" spans="1:12" ht="14.25" thickTop="1" thickBot="1" x14ac:dyDescent="0.25">
      <c r="A57" s="1042">
        <v>1</v>
      </c>
      <c r="B57" s="1041">
        <v>2</v>
      </c>
      <c r="C57" s="1041">
        <v>3</v>
      </c>
      <c r="D57" s="1041">
        <v>4</v>
      </c>
      <c r="E57" s="1041">
        <v>5</v>
      </c>
      <c r="F57" s="1040">
        <v>6</v>
      </c>
      <c r="G57" s="1040">
        <v>7</v>
      </c>
      <c r="H57" s="1039" t="s">
        <v>33</v>
      </c>
      <c r="J57" s="1836"/>
      <c r="K57" s="1836"/>
      <c r="L57" s="1836"/>
    </row>
    <row r="58" spans="1:12" ht="15.75" thickTop="1" x14ac:dyDescent="0.25">
      <c r="A58" s="1027" t="s">
        <v>280</v>
      </c>
      <c r="B58" s="2498">
        <v>5331</v>
      </c>
      <c r="C58" s="2802"/>
      <c r="D58" s="1863" t="s">
        <v>465</v>
      </c>
      <c r="E58" s="1066">
        <f>SUM(E59:E63)</f>
        <v>228869</v>
      </c>
      <c r="F58" s="1066">
        <f t="shared" ref="F58:G58" si="8">SUM(F59:F63)</f>
        <v>236141</v>
      </c>
      <c r="G58" s="1066">
        <f t="shared" si="8"/>
        <v>236141</v>
      </c>
      <c r="H58" s="1058">
        <f t="shared" ref="H58:H64" si="9">(G58/F58)*100</f>
        <v>100</v>
      </c>
      <c r="J58" s="1836"/>
      <c r="K58" s="1836"/>
      <c r="L58" s="1836"/>
    </row>
    <row r="59" spans="1:12" ht="25.5" x14ac:dyDescent="0.2">
      <c r="A59" s="1027"/>
      <c r="B59" s="2803"/>
      <c r="C59" s="2806" t="s">
        <v>971</v>
      </c>
      <c r="D59" s="2703" t="s">
        <v>1606</v>
      </c>
      <c r="E59" s="2711">
        <v>0</v>
      </c>
      <c r="F59" s="2702">
        <v>7608</v>
      </c>
      <c r="G59" s="2702">
        <v>7608</v>
      </c>
      <c r="H59" s="2700">
        <f t="shared" si="9"/>
        <v>100</v>
      </c>
      <c r="J59" s="1836"/>
      <c r="K59" s="1836"/>
      <c r="L59" s="1836"/>
    </row>
    <row r="60" spans="1:12" ht="15" x14ac:dyDescent="0.2">
      <c r="A60" s="1027"/>
      <c r="B60" s="2803"/>
      <c r="C60" s="2802" t="s">
        <v>1394</v>
      </c>
      <c r="D60" s="2565" t="s">
        <v>1399</v>
      </c>
      <c r="E60" s="2021">
        <v>175322</v>
      </c>
      <c r="F60" s="1062">
        <v>171491</v>
      </c>
      <c r="G60" s="1022">
        <v>171491</v>
      </c>
      <c r="H60" s="1061">
        <f t="shared" si="9"/>
        <v>100</v>
      </c>
      <c r="J60" s="1836"/>
      <c r="K60" s="1836"/>
      <c r="L60" s="1836"/>
    </row>
    <row r="61" spans="1:12" ht="15" x14ac:dyDescent="0.2">
      <c r="A61" s="1027"/>
      <c r="B61" s="2803"/>
      <c r="C61" s="2802" t="s">
        <v>993</v>
      </c>
      <c r="D61" s="2565" t="s">
        <v>1401</v>
      </c>
      <c r="E61" s="2021">
        <v>53547</v>
      </c>
      <c r="F61" s="1062">
        <v>54494</v>
      </c>
      <c r="G61" s="1022">
        <v>54494</v>
      </c>
      <c r="H61" s="1061">
        <f t="shared" si="9"/>
        <v>100</v>
      </c>
      <c r="J61" s="1836"/>
      <c r="K61" s="1836"/>
      <c r="L61" s="1836"/>
    </row>
    <row r="62" spans="1:12" ht="15" x14ac:dyDescent="0.2">
      <c r="A62" s="1027"/>
      <c r="B62" s="2803"/>
      <c r="C62" s="2802" t="s">
        <v>1395</v>
      </c>
      <c r="D62" s="2565" t="s">
        <v>1402</v>
      </c>
      <c r="E62" s="2021">
        <v>0</v>
      </c>
      <c r="F62" s="1062">
        <v>2000</v>
      </c>
      <c r="G62" s="1022">
        <v>2000</v>
      </c>
      <c r="H62" s="1061">
        <f t="shared" si="9"/>
        <v>100</v>
      </c>
      <c r="J62" s="1836"/>
      <c r="K62" s="1836"/>
      <c r="L62" s="1836"/>
    </row>
    <row r="63" spans="1:12" ht="15.75" thickBot="1" x14ac:dyDescent="0.25">
      <c r="A63" s="1027"/>
      <c r="B63" s="2803"/>
      <c r="C63" s="2802" t="s">
        <v>1397</v>
      </c>
      <c r="D63" s="2565" t="s">
        <v>1880</v>
      </c>
      <c r="E63" s="2021">
        <v>0</v>
      </c>
      <c r="F63" s="1062">
        <v>548</v>
      </c>
      <c r="G63" s="1022">
        <v>548</v>
      </c>
      <c r="H63" s="1061">
        <f t="shared" si="9"/>
        <v>100</v>
      </c>
      <c r="J63" s="1836"/>
      <c r="K63" s="1836"/>
      <c r="L63" s="1836"/>
    </row>
    <row r="64" spans="1:12" ht="19.5" thickTop="1" thickBot="1" x14ac:dyDescent="0.3">
      <c r="A64" s="1020" t="s">
        <v>108</v>
      </c>
      <c r="B64" s="1945"/>
      <c r="C64" s="1793"/>
      <c r="D64" s="1019"/>
      <c r="E64" s="1016">
        <f>E58</f>
        <v>228869</v>
      </c>
      <c r="F64" s="1016">
        <f>F58</f>
        <v>236141</v>
      </c>
      <c r="G64" s="1016">
        <f>G58</f>
        <v>236141</v>
      </c>
      <c r="H64" s="2019">
        <f t="shared" si="9"/>
        <v>100</v>
      </c>
      <c r="J64" s="1836"/>
      <c r="K64" s="1836"/>
      <c r="L64" s="1836"/>
    </row>
    <row r="65" spans="1:12" ht="17.25" thickTop="1" x14ac:dyDescent="0.25">
      <c r="A65" s="1726"/>
      <c r="B65" s="2503">
        <v>6351</v>
      </c>
      <c r="C65" s="2451"/>
      <c r="D65" s="1796" t="s">
        <v>320</v>
      </c>
      <c r="E65" s="2505">
        <f>E66</f>
        <v>0</v>
      </c>
      <c r="F65" s="2505">
        <f t="shared" ref="F65:G65" si="10">F66</f>
        <v>16536</v>
      </c>
      <c r="G65" s="2505">
        <f t="shared" si="10"/>
        <v>16536</v>
      </c>
      <c r="H65" s="1919">
        <f t="shared" ref="H65:H67" si="11">G65/F65*100</f>
        <v>100</v>
      </c>
      <c r="J65" s="1836"/>
      <c r="K65" s="1836"/>
      <c r="L65" s="1836"/>
    </row>
    <row r="66" spans="1:12" s="1879" customFormat="1" ht="26.25" thickBot="1" x14ac:dyDescent="0.25">
      <c r="A66" s="2712"/>
      <c r="B66" s="2805"/>
      <c r="C66" s="2807" t="s">
        <v>971</v>
      </c>
      <c r="D66" s="2714" t="s">
        <v>1606</v>
      </c>
      <c r="E66" s="2530">
        <v>0</v>
      </c>
      <c r="F66" s="2530">
        <v>16536</v>
      </c>
      <c r="G66" s="2530">
        <v>16536</v>
      </c>
      <c r="H66" s="2531">
        <f t="shared" si="11"/>
        <v>100</v>
      </c>
      <c r="J66" s="2715"/>
      <c r="K66" s="2715"/>
      <c r="L66" s="2715"/>
    </row>
    <row r="67" spans="1:12" ht="18" thickTop="1" thickBot="1" x14ac:dyDescent="0.3">
      <c r="A67" s="1020" t="s">
        <v>987</v>
      </c>
      <c r="B67" s="1717"/>
      <c r="C67" s="1716"/>
      <c r="D67" s="1715"/>
      <c r="E67" s="1714">
        <f>E65</f>
        <v>0</v>
      </c>
      <c r="F67" s="1714">
        <f t="shared" ref="F67:G67" si="12">F65</f>
        <v>16536</v>
      </c>
      <c r="G67" s="1714">
        <f t="shared" si="12"/>
        <v>16536</v>
      </c>
      <c r="H67" s="2507">
        <f t="shared" si="11"/>
        <v>100</v>
      </c>
      <c r="J67" s="1836"/>
      <c r="K67" s="1836"/>
      <c r="L67" s="1836"/>
    </row>
    <row r="68" spans="1:12" ht="17.25" thickTop="1" x14ac:dyDescent="0.25">
      <c r="A68" s="1924"/>
      <c r="B68" s="1700"/>
      <c r="C68" s="1699"/>
      <c r="D68" s="1698"/>
      <c r="E68" s="1884"/>
      <c r="F68" s="1884"/>
      <c r="G68" s="1884"/>
      <c r="H68" s="1923"/>
      <c r="J68" s="1836"/>
      <c r="K68" s="1836"/>
      <c r="L68" s="1836"/>
    </row>
    <row r="69" spans="1:12" ht="17.25" thickBot="1" x14ac:dyDescent="0.3">
      <c r="A69" s="1776" t="s">
        <v>1408</v>
      </c>
      <c r="B69" s="1766"/>
      <c r="C69" s="1765"/>
      <c r="D69" s="1764"/>
      <c r="E69" s="1880">
        <f>E64+E67</f>
        <v>228869</v>
      </c>
      <c r="F69" s="1880">
        <f>F64+F67</f>
        <v>252677</v>
      </c>
      <c r="G69" s="1880">
        <f>G64+G67</f>
        <v>252677</v>
      </c>
      <c r="H69" s="1917">
        <f>(G69/F69)*100</f>
        <v>100</v>
      </c>
      <c r="J69" s="1836"/>
      <c r="K69" s="1836"/>
      <c r="L69" s="1836"/>
    </row>
    <row r="70" spans="1:12" ht="17.25" thickTop="1" x14ac:dyDescent="0.25">
      <c r="A70" s="1701"/>
      <c r="B70" s="1700"/>
      <c r="C70" s="1699"/>
      <c r="D70" s="1698"/>
      <c r="E70" s="1884"/>
      <c r="F70" s="1884"/>
      <c r="G70" s="1884"/>
      <c r="H70" s="1916"/>
      <c r="J70" s="1836"/>
      <c r="K70" s="1836"/>
      <c r="L70" s="1836"/>
    </row>
    <row r="71" spans="1:12" ht="16.5" x14ac:dyDescent="0.25">
      <c r="A71" s="1701"/>
      <c r="B71" s="1700"/>
      <c r="C71" s="1699"/>
      <c r="D71" s="1698"/>
      <c r="E71" s="1884"/>
      <c r="F71" s="1884"/>
      <c r="G71" s="1884"/>
      <c r="H71" s="1916"/>
      <c r="J71" s="1836"/>
      <c r="K71" s="1836"/>
      <c r="L71" s="1836"/>
    </row>
    <row r="72" spans="1:12" ht="15.75" x14ac:dyDescent="0.25">
      <c r="A72" s="1855" t="s">
        <v>1410</v>
      </c>
      <c r="C72" s="2020"/>
      <c r="D72" s="1783"/>
      <c r="E72" s="1851"/>
      <c r="F72" s="1852"/>
      <c r="G72" s="1851"/>
      <c r="H72" s="1674"/>
      <c r="J72" s="1836"/>
      <c r="K72" s="1836"/>
      <c r="L72" s="1836"/>
    </row>
    <row r="73" spans="1:12" ht="16.5" thickBot="1" x14ac:dyDescent="0.3">
      <c r="A73" s="1855"/>
      <c r="C73" s="2020"/>
      <c r="D73" s="1783"/>
      <c r="E73" s="1851"/>
      <c r="F73" s="1852"/>
      <c r="G73" s="1851"/>
      <c r="H73" s="1753" t="s">
        <v>92</v>
      </c>
      <c r="J73" s="1836"/>
      <c r="K73" s="1836"/>
      <c r="L73" s="1836"/>
    </row>
    <row r="74" spans="1:12" ht="14.25" thickTop="1" thickBot="1" x14ac:dyDescent="0.25">
      <c r="A74" s="1047" t="s">
        <v>93</v>
      </c>
      <c r="B74" s="1046" t="s">
        <v>94</v>
      </c>
      <c r="C74" s="1798" t="s">
        <v>364</v>
      </c>
      <c r="D74" s="1044" t="s">
        <v>95</v>
      </c>
      <c r="E74" s="1069" t="s">
        <v>328</v>
      </c>
      <c r="F74" s="1069" t="s">
        <v>329</v>
      </c>
      <c r="G74" s="1749" t="s">
        <v>448</v>
      </c>
      <c r="H74" s="1784" t="s">
        <v>449</v>
      </c>
      <c r="J74" s="1836"/>
      <c r="K74" s="1836"/>
      <c r="L74" s="1836"/>
    </row>
    <row r="75" spans="1:12" ht="14.25" thickTop="1" thickBot="1" x14ac:dyDescent="0.25">
      <c r="A75" s="1042">
        <v>1</v>
      </c>
      <c r="B75" s="1041">
        <v>2</v>
      </c>
      <c r="C75" s="1041">
        <v>3</v>
      </c>
      <c r="D75" s="1041">
        <v>4</v>
      </c>
      <c r="E75" s="1041">
        <v>5</v>
      </c>
      <c r="F75" s="1040">
        <v>6</v>
      </c>
      <c r="G75" s="1040">
        <v>7</v>
      </c>
      <c r="H75" s="1039" t="s">
        <v>33</v>
      </c>
      <c r="J75" s="1836"/>
      <c r="K75" s="1836"/>
      <c r="L75" s="1836"/>
    </row>
    <row r="76" spans="1:12" ht="15.75" thickTop="1" x14ac:dyDescent="0.25">
      <c r="A76" s="1027" t="s">
        <v>280</v>
      </c>
      <c r="B76" s="2498">
        <v>5331</v>
      </c>
      <c r="C76" s="2802"/>
      <c r="D76" s="1863" t="s">
        <v>465</v>
      </c>
      <c r="E76" s="1066">
        <f>SUM(E77:E85)</f>
        <v>1486756</v>
      </c>
      <c r="F76" s="1066">
        <f t="shared" ref="F76:G76" si="13">SUM(F77:F85)</f>
        <v>1566992</v>
      </c>
      <c r="G76" s="1066">
        <f t="shared" si="13"/>
        <v>1566992</v>
      </c>
      <c r="H76" s="1058">
        <f t="shared" ref="H76:H86" si="14">(G76/F76)*100</f>
        <v>100</v>
      </c>
      <c r="J76" s="1836"/>
      <c r="K76" s="1836"/>
      <c r="L76" s="1836"/>
    </row>
    <row r="77" spans="1:12" s="1879" customFormat="1" ht="25.5" x14ac:dyDescent="0.2">
      <c r="A77" s="2716"/>
      <c r="B77" s="2803"/>
      <c r="C77" s="2806" t="s">
        <v>1390</v>
      </c>
      <c r="D77" s="2714" t="s">
        <v>1617</v>
      </c>
      <c r="E77" s="2711">
        <v>421570</v>
      </c>
      <c r="F77" s="2702">
        <v>478193</v>
      </c>
      <c r="G77" s="2702">
        <v>478193</v>
      </c>
      <c r="H77" s="2700">
        <f t="shared" si="14"/>
        <v>100</v>
      </c>
      <c r="J77" s="2715"/>
      <c r="K77" s="2715"/>
      <c r="L77" s="2715"/>
    </row>
    <row r="78" spans="1:12" ht="15" x14ac:dyDescent="0.2">
      <c r="A78" s="1027"/>
      <c r="B78" s="2803"/>
      <c r="C78" s="2802" t="s">
        <v>1391</v>
      </c>
      <c r="D78" s="2565" t="s">
        <v>1618</v>
      </c>
      <c r="E78" s="2021">
        <v>453000</v>
      </c>
      <c r="F78" s="1062">
        <v>462248</v>
      </c>
      <c r="G78" s="1062">
        <v>462248</v>
      </c>
      <c r="H78" s="1061">
        <f t="shared" si="14"/>
        <v>100</v>
      </c>
      <c r="J78" s="1836"/>
      <c r="K78" s="1836"/>
      <c r="L78" s="1836"/>
    </row>
    <row r="79" spans="1:12" ht="15" x14ac:dyDescent="0.2">
      <c r="A79" s="1027"/>
      <c r="B79" s="2803"/>
      <c r="C79" s="2802" t="s">
        <v>1392</v>
      </c>
      <c r="D79" s="2565" t="s">
        <v>1619</v>
      </c>
      <c r="E79" s="2021">
        <v>25000</v>
      </c>
      <c r="F79" s="1062">
        <v>17164</v>
      </c>
      <c r="G79" s="1062">
        <v>17164</v>
      </c>
      <c r="H79" s="1061">
        <f t="shared" si="14"/>
        <v>100</v>
      </c>
      <c r="J79" s="1836"/>
      <c r="K79" s="1836"/>
      <c r="L79" s="1836"/>
    </row>
    <row r="80" spans="1:12" ht="15" x14ac:dyDescent="0.2">
      <c r="A80" s="1027"/>
      <c r="B80" s="2803"/>
      <c r="C80" s="2802" t="s">
        <v>1393</v>
      </c>
      <c r="D80" s="2565" t="s">
        <v>1620</v>
      </c>
      <c r="E80" s="2021">
        <v>37742</v>
      </c>
      <c r="F80" s="1062">
        <v>37742</v>
      </c>
      <c r="G80" s="1062">
        <v>37742</v>
      </c>
      <c r="H80" s="1061">
        <f t="shared" si="14"/>
        <v>100</v>
      </c>
      <c r="J80" s="1836"/>
      <c r="K80" s="1836"/>
      <c r="L80" s="1836"/>
    </row>
    <row r="81" spans="1:12" ht="15" x14ac:dyDescent="0.2">
      <c r="A81" s="1027"/>
      <c r="B81" s="2803"/>
      <c r="C81" s="2802" t="s">
        <v>1394</v>
      </c>
      <c r="D81" s="2565" t="s">
        <v>1399</v>
      </c>
      <c r="E81" s="2021">
        <v>387446</v>
      </c>
      <c r="F81" s="1062">
        <v>403992</v>
      </c>
      <c r="G81" s="1022">
        <v>403992</v>
      </c>
      <c r="H81" s="1061">
        <f t="shared" si="14"/>
        <v>100</v>
      </c>
      <c r="J81" s="1836"/>
      <c r="K81" s="1836"/>
      <c r="L81" s="1836"/>
    </row>
    <row r="82" spans="1:12" ht="15" x14ac:dyDescent="0.2">
      <c r="A82" s="1027"/>
      <c r="B82" s="2803"/>
      <c r="C82" s="2802" t="s">
        <v>994</v>
      </c>
      <c r="D82" s="2565" t="s">
        <v>1400</v>
      </c>
      <c r="E82" s="2021">
        <v>6948</v>
      </c>
      <c r="F82" s="1062">
        <v>8208</v>
      </c>
      <c r="G82" s="1022">
        <v>8208</v>
      </c>
      <c r="H82" s="1061">
        <f t="shared" si="14"/>
        <v>100</v>
      </c>
      <c r="J82" s="1836"/>
      <c r="K82" s="1836"/>
      <c r="L82" s="1836"/>
    </row>
    <row r="83" spans="1:12" ht="15" x14ac:dyDescent="0.2">
      <c r="A83" s="1027"/>
      <c r="B83" s="2803"/>
      <c r="C83" s="2802" t="s">
        <v>993</v>
      </c>
      <c r="D83" s="2565" t="s">
        <v>1401</v>
      </c>
      <c r="E83" s="2021">
        <v>150385</v>
      </c>
      <c r="F83" s="1062">
        <v>151452</v>
      </c>
      <c r="G83" s="1022">
        <v>151452</v>
      </c>
      <c r="H83" s="1061">
        <f t="shared" si="14"/>
        <v>100</v>
      </c>
      <c r="J83" s="1836"/>
      <c r="K83" s="1836"/>
      <c r="L83" s="1836"/>
    </row>
    <row r="84" spans="1:12" ht="15.75" thickBot="1" x14ac:dyDescent="0.25">
      <c r="A84" s="1027"/>
      <c r="B84" s="2803"/>
      <c r="C84" s="2802" t="s">
        <v>1395</v>
      </c>
      <c r="D84" s="2565" t="s">
        <v>1402</v>
      </c>
      <c r="E84" s="2021">
        <v>4665</v>
      </c>
      <c r="F84" s="1062">
        <v>7993</v>
      </c>
      <c r="G84" s="1022">
        <v>7993</v>
      </c>
      <c r="H84" s="1061">
        <f t="shared" si="14"/>
        <v>100</v>
      </c>
      <c r="J84" s="1836"/>
      <c r="K84" s="1836"/>
      <c r="L84" s="1836"/>
    </row>
    <row r="85" spans="1:12" ht="15.75" hidden="1" thickBot="1" x14ac:dyDescent="0.25">
      <c r="A85" s="1027"/>
      <c r="B85" s="2803"/>
      <c r="C85" s="2802" t="s">
        <v>1397</v>
      </c>
      <c r="D85" s="2565" t="s">
        <v>1404</v>
      </c>
      <c r="E85" s="2021"/>
      <c r="F85" s="1062"/>
      <c r="G85" s="1022"/>
      <c r="H85" s="1061" t="e">
        <f t="shared" si="14"/>
        <v>#DIV/0!</v>
      </c>
      <c r="J85" s="1836"/>
      <c r="K85" s="1836"/>
      <c r="L85" s="1836"/>
    </row>
    <row r="86" spans="1:12" ht="19.5" thickTop="1" thickBot="1" x14ac:dyDescent="0.3">
      <c r="A86" s="1020" t="s">
        <v>108</v>
      </c>
      <c r="B86" s="1945"/>
      <c r="C86" s="1793"/>
      <c r="D86" s="1019"/>
      <c r="E86" s="1016">
        <f>E76</f>
        <v>1486756</v>
      </c>
      <c r="F86" s="1016">
        <f>F76</f>
        <v>1566992</v>
      </c>
      <c r="G86" s="1016">
        <f>G76</f>
        <v>1566992</v>
      </c>
      <c r="H86" s="2019">
        <f t="shared" si="14"/>
        <v>100</v>
      </c>
      <c r="J86" s="1836"/>
      <c r="K86" s="1836"/>
      <c r="L86" s="1836"/>
    </row>
    <row r="87" spans="1:12" ht="17.25" hidden="1" thickTop="1" x14ac:dyDescent="0.25">
      <c r="A87" s="1726"/>
      <c r="B87" s="2503">
        <v>6351</v>
      </c>
      <c r="C87" s="2451"/>
      <c r="D87" s="1796" t="s">
        <v>320</v>
      </c>
      <c r="E87" s="2505">
        <f>E88</f>
        <v>0</v>
      </c>
      <c r="F87" s="2505">
        <f t="shared" ref="F87:G87" si="15">F88</f>
        <v>0</v>
      </c>
      <c r="G87" s="2505">
        <f t="shared" si="15"/>
        <v>0</v>
      </c>
      <c r="H87" s="1919" t="e">
        <f t="shared" ref="H87:H89" si="16">G87/F87*100</f>
        <v>#DIV/0!</v>
      </c>
      <c r="J87" s="1836"/>
      <c r="K87" s="1836"/>
      <c r="L87" s="1836"/>
    </row>
    <row r="88" spans="1:12" ht="26.25" hidden="1" thickBot="1" x14ac:dyDescent="0.3">
      <c r="A88" s="2452"/>
      <c r="B88" s="2453"/>
      <c r="C88" s="2807" t="s">
        <v>952</v>
      </c>
      <c r="D88" s="2703" t="s">
        <v>1366</v>
      </c>
      <c r="E88" s="2530"/>
      <c r="F88" s="2530"/>
      <c r="G88" s="2530"/>
      <c r="H88" s="2531" t="e">
        <f t="shared" si="16"/>
        <v>#DIV/0!</v>
      </c>
      <c r="J88" s="1836"/>
      <c r="K88" s="1836"/>
      <c r="L88" s="1836"/>
    </row>
    <row r="89" spans="1:12" ht="18" hidden="1" thickTop="1" thickBot="1" x14ac:dyDescent="0.3">
      <c r="A89" s="1020" t="s">
        <v>987</v>
      </c>
      <c r="B89" s="1717"/>
      <c r="C89" s="1716"/>
      <c r="D89" s="1715"/>
      <c r="E89" s="1714">
        <f>E87</f>
        <v>0</v>
      </c>
      <c r="F89" s="1714">
        <f t="shared" ref="F89:G89" si="17">F87</f>
        <v>0</v>
      </c>
      <c r="G89" s="1714">
        <f t="shared" si="17"/>
        <v>0</v>
      </c>
      <c r="H89" s="2507" t="e">
        <f t="shared" si="16"/>
        <v>#DIV/0!</v>
      </c>
      <c r="J89" s="1836"/>
      <c r="K89" s="1836"/>
      <c r="L89" s="1836"/>
    </row>
    <row r="90" spans="1:12" ht="17.25" thickTop="1" x14ac:dyDescent="0.25">
      <c r="A90" s="1868"/>
      <c r="B90" s="1700"/>
      <c r="C90" s="1699"/>
      <c r="D90" s="1698"/>
      <c r="E90" s="1770"/>
      <c r="F90" s="1770"/>
      <c r="G90" s="1770"/>
      <c r="H90" s="3032"/>
      <c r="J90" s="1836"/>
      <c r="K90" s="1836"/>
      <c r="L90" s="1836"/>
    </row>
    <row r="91" spans="1:12" ht="17.25" thickBot="1" x14ac:dyDescent="0.3">
      <c r="A91" s="1711" t="s">
        <v>1411</v>
      </c>
      <c r="B91" s="1766"/>
      <c r="C91" s="1765"/>
      <c r="D91" s="1764"/>
      <c r="E91" s="1880">
        <f>E86+E89</f>
        <v>1486756</v>
      </c>
      <c r="F91" s="1880">
        <f t="shared" ref="F91:G91" si="18">F86+F89</f>
        <v>1566992</v>
      </c>
      <c r="G91" s="1880">
        <f t="shared" si="18"/>
        <v>1566992</v>
      </c>
      <c r="H91" s="1917">
        <f>(G91/F91)*100</f>
        <v>100</v>
      </c>
      <c r="J91" s="1836"/>
      <c r="K91" s="1836"/>
      <c r="L91" s="1836"/>
    </row>
    <row r="92" spans="1:12" ht="17.25" thickTop="1" x14ac:dyDescent="0.25">
      <c r="A92" s="1701"/>
      <c r="B92" s="1700"/>
      <c r="C92" s="1699"/>
      <c r="D92" s="1698"/>
      <c r="E92" s="1884"/>
      <c r="F92" s="1884"/>
      <c r="G92" s="1884"/>
      <c r="H92" s="1916"/>
      <c r="J92" s="1836"/>
      <c r="K92" s="1836"/>
      <c r="L92" s="1836"/>
    </row>
    <row r="93" spans="1:12" ht="16.5" x14ac:dyDescent="0.25">
      <c r="A93" s="1701"/>
      <c r="B93" s="1700"/>
      <c r="C93" s="1699"/>
      <c r="D93" s="1698"/>
      <c r="E93" s="1884"/>
      <c r="F93" s="1884"/>
      <c r="G93" s="1884"/>
      <c r="H93" s="1916"/>
      <c r="J93" s="1836"/>
      <c r="K93" s="1836"/>
      <c r="L93" s="1836"/>
    </row>
    <row r="94" spans="1:12" ht="15.75" x14ac:dyDescent="0.25">
      <c r="A94" s="1855" t="s">
        <v>1412</v>
      </c>
      <c r="C94" s="2020"/>
      <c r="D94" s="1783"/>
      <c r="E94" s="1851"/>
      <c r="F94" s="1852"/>
      <c r="G94" s="1851"/>
      <c r="H94" s="1674"/>
      <c r="J94" s="1836"/>
      <c r="K94" s="1836"/>
      <c r="L94" s="1836"/>
    </row>
    <row r="95" spans="1:12" ht="16.5" thickBot="1" x14ac:dyDescent="0.3">
      <c r="A95" s="1855"/>
      <c r="C95" s="2020"/>
      <c r="D95" s="1783"/>
      <c r="E95" s="1851"/>
      <c r="F95" s="1852"/>
      <c r="G95" s="1851"/>
      <c r="H95" s="1753" t="s">
        <v>92</v>
      </c>
      <c r="J95" s="1836"/>
      <c r="K95" s="1836"/>
      <c r="L95" s="1836"/>
    </row>
    <row r="96" spans="1:12" ht="14.25" thickTop="1" thickBot="1" x14ac:dyDescent="0.25">
      <c r="A96" s="1047" t="s">
        <v>93</v>
      </c>
      <c r="B96" s="1046" t="s">
        <v>94</v>
      </c>
      <c r="C96" s="1798" t="s">
        <v>364</v>
      </c>
      <c r="D96" s="1044" t="s">
        <v>95</v>
      </c>
      <c r="E96" s="1069" t="s">
        <v>328</v>
      </c>
      <c r="F96" s="1069" t="s">
        <v>329</v>
      </c>
      <c r="G96" s="1749" t="s">
        <v>448</v>
      </c>
      <c r="H96" s="1784" t="s">
        <v>449</v>
      </c>
      <c r="J96" s="1836"/>
      <c r="K96" s="1836"/>
      <c r="L96" s="1836"/>
    </row>
    <row r="97" spans="1:16384" ht="14.25" thickTop="1" thickBot="1" x14ac:dyDescent="0.25">
      <c r="A97" s="1042">
        <v>1</v>
      </c>
      <c r="B97" s="1041">
        <v>2</v>
      </c>
      <c r="C97" s="1041">
        <v>3</v>
      </c>
      <c r="D97" s="1041">
        <v>4</v>
      </c>
      <c r="E97" s="1041">
        <v>5</v>
      </c>
      <c r="F97" s="1040">
        <v>6</v>
      </c>
      <c r="G97" s="1040">
        <v>7</v>
      </c>
      <c r="H97" s="1039" t="s">
        <v>33</v>
      </c>
      <c r="J97" s="1836"/>
      <c r="K97" s="1836"/>
      <c r="L97" s="1836"/>
    </row>
    <row r="98" spans="1:16384" ht="15.75" thickTop="1" x14ac:dyDescent="0.25">
      <c r="A98" s="1027" t="s">
        <v>280</v>
      </c>
      <c r="B98" s="2498">
        <v>5331</v>
      </c>
      <c r="C98" s="2802"/>
      <c r="D98" s="1863" t="s">
        <v>465</v>
      </c>
      <c r="E98" s="1066">
        <f>SUM(E99:E106)</f>
        <v>134913</v>
      </c>
      <c r="F98" s="1066">
        <f t="shared" ref="F98:G98" si="19">SUM(F99:F106)</f>
        <v>150375</v>
      </c>
      <c r="G98" s="1066">
        <f t="shared" si="19"/>
        <v>150355</v>
      </c>
      <c r="H98" s="1058">
        <f t="shared" ref="H98:H107" si="20">(G98/F98)*100</f>
        <v>99.986699916874471</v>
      </c>
      <c r="J98" s="1836"/>
      <c r="K98" s="1836"/>
      <c r="L98" s="1836"/>
    </row>
    <row r="99" spans="1:16384" s="1879" customFormat="1" ht="15" x14ac:dyDescent="0.2">
      <c r="A99" s="1027"/>
      <c r="B99" s="2803"/>
      <c r="C99" s="2802" t="s">
        <v>956</v>
      </c>
      <c r="D99" s="2565" t="s">
        <v>1368</v>
      </c>
      <c r="E99" s="2021">
        <v>0</v>
      </c>
      <c r="F99" s="1062">
        <v>1911</v>
      </c>
      <c r="G99" s="1062">
        <v>1911</v>
      </c>
      <c r="H99" s="1061">
        <f t="shared" si="20"/>
        <v>100</v>
      </c>
      <c r="I99" s="1027"/>
      <c r="J99" s="2803"/>
      <c r="K99" s="2802"/>
      <c r="L99" s="2565"/>
      <c r="M99" s="2021"/>
      <c r="N99" s="1062"/>
      <c r="O99" s="1062"/>
      <c r="P99" s="1061"/>
      <c r="Q99" s="1027"/>
      <c r="R99" s="2803"/>
      <c r="S99" s="2802"/>
      <c r="T99" s="2565"/>
      <c r="U99" s="2021"/>
      <c r="V99" s="1062"/>
      <c r="W99" s="1062"/>
      <c r="X99" s="1061"/>
      <c r="Y99" s="1027"/>
      <c r="Z99" s="2803"/>
      <c r="AA99" s="2802"/>
      <c r="AB99" s="2565"/>
      <c r="AC99" s="2021"/>
      <c r="AD99" s="1062"/>
      <c r="AE99" s="1062"/>
      <c r="AF99" s="1061"/>
      <c r="AG99" s="1027"/>
      <c r="AH99" s="2803"/>
      <c r="AI99" s="2802"/>
      <c r="AJ99" s="2565"/>
      <c r="AK99" s="2021"/>
      <c r="AL99" s="1062"/>
      <c r="AM99" s="1062"/>
      <c r="AN99" s="1061"/>
      <c r="AO99" s="1027"/>
      <c r="AP99" s="2803"/>
      <c r="AQ99" s="2802"/>
      <c r="AR99" s="2565"/>
      <c r="AS99" s="2021"/>
      <c r="AT99" s="1062"/>
      <c r="AU99" s="1062"/>
      <c r="AV99" s="1061"/>
      <c r="AW99" s="1027"/>
      <c r="AX99" s="2803"/>
      <c r="AY99" s="2802"/>
      <c r="AZ99" s="2565"/>
      <c r="BA99" s="2021"/>
      <c r="BB99" s="1062"/>
      <c r="BC99" s="1062"/>
      <c r="BD99" s="1061"/>
      <c r="BE99" s="1027"/>
      <c r="BF99" s="2803"/>
      <c r="BG99" s="2802"/>
      <c r="BH99" s="2565"/>
      <c r="BI99" s="2021"/>
      <c r="BJ99" s="1062"/>
      <c r="BK99" s="1062"/>
      <c r="BL99" s="1061"/>
      <c r="BM99" s="1027"/>
      <c r="BN99" s="2803"/>
      <c r="BO99" s="2802"/>
      <c r="BP99" s="2565"/>
      <c r="BQ99" s="2021"/>
      <c r="BR99" s="1062"/>
      <c r="BS99" s="1062"/>
      <c r="BT99" s="1061"/>
      <c r="BU99" s="1027"/>
      <c r="BV99" s="2803"/>
      <c r="BW99" s="2802"/>
      <c r="BX99" s="2565"/>
      <c r="BY99" s="2021"/>
      <c r="BZ99" s="1062"/>
      <c r="CA99" s="1062"/>
      <c r="CB99" s="1061"/>
      <c r="CC99" s="1027"/>
      <c r="CD99" s="2803"/>
      <c r="CE99" s="2802"/>
      <c r="CF99" s="2565"/>
      <c r="CG99" s="2021"/>
      <c r="CH99" s="1062"/>
      <c r="CI99" s="1062"/>
      <c r="CJ99" s="1061"/>
      <c r="CK99" s="1027"/>
      <c r="CL99" s="2803"/>
      <c r="CM99" s="2802"/>
      <c r="CN99" s="2565"/>
      <c r="CO99" s="2021"/>
      <c r="CP99" s="1062"/>
      <c r="CQ99" s="1062"/>
      <c r="CR99" s="1061"/>
      <c r="CS99" s="1027"/>
      <c r="CT99" s="2803"/>
      <c r="CU99" s="2802"/>
      <c r="CV99" s="2565"/>
      <c r="CW99" s="2021"/>
      <c r="CX99" s="1062"/>
      <c r="CY99" s="1062"/>
      <c r="CZ99" s="1061"/>
      <c r="DA99" s="1027"/>
      <c r="DB99" s="2803"/>
      <c r="DC99" s="2802"/>
      <c r="DD99" s="2565"/>
      <c r="DE99" s="2021"/>
      <c r="DF99" s="1062"/>
      <c r="DG99" s="1062"/>
      <c r="DH99" s="1061"/>
      <c r="DI99" s="1027"/>
      <c r="DJ99" s="2803"/>
      <c r="DK99" s="2802"/>
      <c r="DL99" s="2565"/>
      <c r="DM99" s="2021"/>
      <c r="DN99" s="1062"/>
      <c r="DO99" s="1062"/>
      <c r="DP99" s="1061"/>
      <c r="DQ99" s="1027"/>
      <c r="DR99" s="2803"/>
      <c r="DS99" s="2802"/>
      <c r="DT99" s="2565"/>
      <c r="DU99" s="2021"/>
      <c r="DV99" s="1062"/>
      <c r="DW99" s="1062"/>
      <c r="DX99" s="1061"/>
      <c r="DY99" s="1027"/>
      <c r="DZ99" s="2803"/>
      <c r="EA99" s="2802"/>
      <c r="EB99" s="2565"/>
      <c r="EC99" s="2021"/>
      <c r="ED99" s="1062"/>
      <c r="EE99" s="1062"/>
      <c r="EF99" s="1061"/>
      <c r="EG99" s="1027"/>
      <c r="EH99" s="2803"/>
      <c r="EI99" s="2802"/>
      <c r="EJ99" s="2565"/>
      <c r="EK99" s="2021"/>
      <c r="EL99" s="1062"/>
      <c r="EM99" s="1062"/>
      <c r="EN99" s="1061"/>
      <c r="EO99" s="1027"/>
      <c r="EP99" s="2803"/>
      <c r="EQ99" s="2802"/>
      <c r="ER99" s="2565"/>
      <c r="ES99" s="2021"/>
      <c r="ET99" s="1062"/>
      <c r="EU99" s="1062"/>
      <c r="EV99" s="1061"/>
      <c r="EW99" s="1027"/>
      <c r="EX99" s="2803"/>
      <c r="EY99" s="2802"/>
      <c r="EZ99" s="2565"/>
      <c r="FA99" s="2021"/>
      <c r="FB99" s="1062"/>
      <c r="FC99" s="1062"/>
      <c r="FD99" s="1061"/>
      <c r="FE99" s="1027"/>
      <c r="FF99" s="2803"/>
      <c r="FG99" s="2802"/>
      <c r="FH99" s="2565"/>
      <c r="FI99" s="2021"/>
      <c r="FJ99" s="1062"/>
      <c r="FK99" s="1062"/>
      <c r="FL99" s="1061"/>
      <c r="FM99" s="1027"/>
      <c r="FN99" s="2803"/>
      <c r="FO99" s="2802"/>
      <c r="FP99" s="2565"/>
      <c r="FQ99" s="2021"/>
      <c r="FR99" s="1062"/>
      <c r="FS99" s="1062"/>
      <c r="FT99" s="1061"/>
      <c r="FU99" s="1027"/>
      <c r="FV99" s="2803"/>
      <c r="FW99" s="2802"/>
      <c r="FX99" s="2565"/>
      <c r="FY99" s="2021"/>
      <c r="FZ99" s="1062"/>
      <c r="GA99" s="1062"/>
      <c r="GB99" s="1061"/>
      <c r="GC99" s="1027"/>
      <c r="GD99" s="2803"/>
      <c r="GE99" s="2802"/>
      <c r="GF99" s="2565"/>
      <c r="GG99" s="2021"/>
      <c r="GH99" s="1062"/>
      <c r="GI99" s="1062"/>
      <c r="GJ99" s="1061"/>
      <c r="GK99" s="1027"/>
      <c r="GL99" s="2803"/>
      <c r="GM99" s="2802"/>
      <c r="GN99" s="2565"/>
      <c r="GO99" s="2021"/>
      <c r="GP99" s="1062"/>
      <c r="GQ99" s="1062"/>
      <c r="GR99" s="1061"/>
      <c r="GS99" s="1027"/>
      <c r="GT99" s="2803"/>
      <c r="GU99" s="2802"/>
      <c r="GV99" s="2565"/>
      <c r="GW99" s="2021"/>
      <c r="GX99" s="1062"/>
      <c r="GY99" s="1062"/>
      <c r="GZ99" s="1061"/>
      <c r="HA99" s="1027"/>
      <c r="HB99" s="2803"/>
      <c r="HC99" s="2802"/>
      <c r="HD99" s="2565"/>
      <c r="HE99" s="2021"/>
      <c r="HF99" s="1062"/>
      <c r="HG99" s="1062"/>
      <c r="HH99" s="1061"/>
      <c r="HI99" s="1027"/>
      <c r="HJ99" s="2803"/>
      <c r="HK99" s="2802"/>
      <c r="HL99" s="2565"/>
      <c r="HM99" s="2021"/>
      <c r="HN99" s="1062"/>
      <c r="HO99" s="1062"/>
      <c r="HP99" s="1061"/>
      <c r="HQ99" s="1027"/>
      <c r="HR99" s="2803"/>
      <c r="HS99" s="2802"/>
      <c r="HT99" s="2565"/>
      <c r="HU99" s="2021"/>
      <c r="HV99" s="1062"/>
      <c r="HW99" s="1062"/>
      <c r="HX99" s="1061"/>
      <c r="HY99" s="1027"/>
      <c r="HZ99" s="2803"/>
      <c r="IA99" s="2802"/>
      <c r="IB99" s="2565"/>
      <c r="IC99" s="2021"/>
      <c r="ID99" s="1062"/>
      <c r="IE99" s="1062"/>
      <c r="IF99" s="1061"/>
      <c r="IG99" s="1027"/>
      <c r="IH99" s="2803"/>
      <c r="II99" s="2802"/>
      <c r="IJ99" s="2565"/>
      <c r="IK99" s="2021"/>
      <c r="IL99" s="1062"/>
      <c r="IM99" s="1062"/>
      <c r="IN99" s="1061"/>
      <c r="IO99" s="1027"/>
      <c r="IP99" s="2803"/>
      <c r="IQ99" s="2802"/>
      <c r="IR99" s="2565"/>
      <c r="IS99" s="2021"/>
      <c r="IT99" s="1062"/>
      <c r="IU99" s="1062"/>
      <c r="IV99" s="1061"/>
      <c r="IW99" s="1027"/>
      <c r="IX99" s="2803"/>
      <c r="IY99" s="2802"/>
      <c r="IZ99" s="2565"/>
      <c r="JA99" s="2021"/>
      <c r="JB99" s="1062"/>
      <c r="JC99" s="1062"/>
      <c r="JD99" s="1061"/>
      <c r="JE99" s="1027"/>
      <c r="JF99" s="2803"/>
      <c r="JG99" s="2802"/>
      <c r="JH99" s="2565"/>
      <c r="JI99" s="2021"/>
      <c r="JJ99" s="1062"/>
      <c r="JK99" s="1062"/>
      <c r="JL99" s="1061"/>
      <c r="JM99" s="1027"/>
      <c r="JN99" s="2803"/>
      <c r="JO99" s="2802"/>
      <c r="JP99" s="2565"/>
      <c r="JQ99" s="2021"/>
      <c r="JR99" s="1062"/>
      <c r="JS99" s="1062"/>
      <c r="JT99" s="1061"/>
      <c r="JU99" s="1027"/>
      <c r="JV99" s="2803"/>
      <c r="JW99" s="2802"/>
      <c r="JX99" s="2565"/>
      <c r="JY99" s="2021"/>
      <c r="JZ99" s="1062"/>
      <c r="KA99" s="1062"/>
      <c r="KB99" s="1061"/>
      <c r="KC99" s="1027"/>
      <c r="KD99" s="2803"/>
      <c r="KE99" s="2802"/>
      <c r="KF99" s="2565"/>
      <c r="KG99" s="2021"/>
      <c r="KH99" s="1062"/>
      <c r="KI99" s="1062"/>
      <c r="KJ99" s="1061"/>
      <c r="KK99" s="1027"/>
      <c r="KL99" s="2803"/>
      <c r="KM99" s="2802"/>
      <c r="KN99" s="2565"/>
      <c r="KO99" s="2021"/>
      <c r="KP99" s="1062"/>
      <c r="KQ99" s="1062"/>
      <c r="KR99" s="1061"/>
      <c r="KS99" s="1027"/>
      <c r="KT99" s="2803"/>
      <c r="KU99" s="2802"/>
      <c r="KV99" s="2565"/>
      <c r="KW99" s="2021"/>
      <c r="KX99" s="1062"/>
      <c r="KY99" s="1062"/>
      <c r="KZ99" s="1061"/>
      <c r="LA99" s="1027"/>
      <c r="LB99" s="2803"/>
      <c r="LC99" s="2802"/>
      <c r="LD99" s="2565"/>
      <c r="LE99" s="2021"/>
      <c r="LF99" s="1062"/>
      <c r="LG99" s="1062"/>
      <c r="LH99" s="1061"/>
      <c r="LI99" s="1027"/>
      <c r="LJ99" s="2803"/>
      <c r="LK99" s="2802"/>
      <c r="LL99" s="2565"/>
      <c r="LM99" s="2021"/>
      <c r="LN99" s="1062"/>
      <c r="LO99" s="1062"/>
      <c r="LP99" s="1061"/>
      <c r="LQ99" s="1027"/>
      <c r="LR99" s="2803"/>
      <c r="LS99" s="2802"/>
      <c r="LT99" s="2565"/>
      <c r="LU99" s="2021"/>
      <c r="LV99" s="1062"/>
      <c r="LW99" s="1062"/>
      <c r="LX99" s="1061"/>
      <c r="LY99" s="1027"/>
      <c r="LZ99" s="2803"/>
      <c r="MA99" s="2802"/>
      <c r="MB99" s="2565"/>
      <c r="MC99" s="2021"/>
      <c r="MD99" s="1062"/>
      <c r="ME99" s="1062"/>
      <c r="MF99" s="1061"/>
      <c r="MG99" s="1027"/>
      <c r="MH99" s="2803"/>
      <c r="MI99" s="2802"/>
      <c r="MJ99" s="2565"/>
      <c r="MK99" s="2021"/>
      <c r="ML99" s="1062"/>
      <c r="MM99" s="1062"/>
      <c r="MN99" s="1061"/>
      <c r="MO99" s="1027"/>
      <c r="MP99" s="2803"/>
      <c r="MQ99" s="2802"/>
      <c r="MR99" s="2565"/>
      <c r="MS99" s="2021"/>
      <c r="MT99" s="1062"/>
      <c r="MU99" s="1062"/>
      <c r="MV99" s="1061"/>
      <c r="MW99" s="1027"/>
      <c r="MX99" s="2803"/>
      <c r="MY99" s="2802"/>
      <c r="MZ99" s="2565"/>
      <c r="NA99" s="2021"/>
      <c r="NB99" s="1062"/>
      <c r="NC99" s="1062"/>
      <c r="ND99" s="1061"/>
      <c r="NE99" s="1027"/>
      <c r="NF99" s="2803"/>
      <c r="NG99" s="2802"/>
      <c r="NH99" s="2565"/>
      <c r="NI99" s="2021"/>
      <c r="NJ99" s="1062"/>
      <c r="NK99" s="1062"/>
      <c r="NL99" s="1061"/>
      <c r="NM99" s="1027"/>
      <c r="NN99" s="2803"/>
      <c r="NO99" s="2802"/>
      <c r="NP99" s="2565"/>
      <c r="NQ99" s="2021"/>
      <c r="NR99" s="1062"/>
      <c r="NS99" s="1062"/>
      <c r="NT99" s="1061"/>
      <c r="NU99" s="1027"/>
      <c r="NV99" s="2803"/>
      <c r="NW99" s="2802"/>
      <c r="NX99" s="2565"/>
      <c r="NY99" s="2021"/>
      <c r="NZ99" s="1062"/>
      <c r="OA99" s="1062"/>
      <c r="OB99" s="1061"/>
      <c r="OC99" s="1027"/>
      <c r="OD99" s="2803"/>
      <c r="OE99" s="2802"/>
      <c r="OF99" s="2565"/>
      <c r="OG99" s="2021"/>
      <c r="OH99" s="1062"/>
      <c r="OI99" s="1062"/>
      <c r="OJ99" s="1061"/>
      <c r="OK99" s="1027"/>
      <c r="OL99" s="2803"/>
      <c r="OM99" s="2802"/>
      <c r="ON99" s="2565"/>
      <c r="OO99" s="2021"/>
      <c r="OP99" s="1062"/>
      <c r="OQ99" s="1062"/>
      <c r="OR99" s="1061"/>
      <c r="OS99" s="1027"/>
      <c r="OT99" s="2803"/>
      <c r="OU99" s="2802"/>
      <c r="OV99" s="2565"/>
      <c r="OW99" s="2021"/>
      <c r="OX99" s="1062"/>
      <c r="OY99" s="1062"/>
      <c r="OZ99" s="1061"/>
      <c r="PA99" s="1027"/>
      <c r="PB99" s="2803"/>
      <c r="PC99" s="2802"/>
      <c r="PD99" s="2565"/>
      <c r="PE99" s="2021"/>
      <c r="PF99" s="1062"/>
      <c r="PG99" s="1062"/>
      <c r="PH99" s="1061"/>
      <c r="PI99" s="1027"/>
      <c r="PJ99" s="2803"/>
      <c r="PK99" s="2802"/>
      <c r="PL99" s="2565"/>
      <c r="PM99" s="2021"/>
      <c r="PN99" s="1062"/>
      <c r="PO99" s="1062"/>
      <c r="PP99" s="1061"/>
      <c r="PQ99" s="1027"/>
      <c r="PR99" s="2803"/>
      <c r="PS99" s="2802"/>
      <c r="PT99" s="2565"/>
      <c r="PU99" s="2021"/>
      <c r="PV99" s="1062"/>
      <c r="PW99" s="1062"/>
      <c r="PX99" s="1061"/>
      <c r="PY99" s="1027"/>
      <c r="PZ99" s="2803"/>
      <c r="QA99" s="2802"/>
      <c r="QB99" s="2565"/>
      <c r="QC99" s="2021"/>
      <c r="QD99" s="1062"/>
      <c r="QE99" s="1062"/>
      <c r="QF99" s="1061"/>
      <c r="QG99" s="1027"/>
      <c r="QH99" s="2803"/>
      <c r="QI99" s="2802"/>
      <c r="QJ99" s="2565"/>
      <c r="QK99" s="2021"/>
      <c r="QL99" s="1062"/>
      <c r="QM99" s="1062"/>
      <c r="QN99" s="1061"/>
      <c r="QO99" s="1027"/>
      <c r="QP99" s="2803"/>
      <c r="QQ99" s="2802"/>
      <c r="QR99" s="2565"/>
      <c r="QS99" s="2021"/>
      <c r="QT99" s="1062"/>
      <c r="QU99" s="1062"/>
      <c r="QV99" s="1061"/>
      <c r="QW99" s="1027"/>
      <c r="QX99" s="2803"/>
      <c r="QY99" s="2802"/>
      <c r="QZ99" s="2565"/>
      <c r="RA99" s="2021"/>
      <c r="RB99" s="1062"/>
      <c r="RC99" s="1062"/>
      <c r="RD99" s="1061"/>
      <c r="RE99" s="1027"/>
      <c r="RF99" s="2803"/>
      <c r="RG99" s="2802"/>
      <c r="RH99" s="2565"/>
      <c r="RI99" s="2021"/>
      <c r="RJ99" s="1062"/>
      <c r="RK99" s="1062"/>
      <c r="RL99" s="1061"/>
      <c r="RM99" s="1027"/>
      <c r="RN99" s="2803"/>
      <c r="RO99" s="2802"/>
      <c r="RP99" s="2565"/>
      <c r="RQ99" s="2021"/>
      <c r="RR99" s="1062"/>
      <c r="RS99" s="1062"/>
      <c r="RT99" s="1061"/>
      <c r="RU99" s="1027"/>
      <c r="RV99" s="2803"/>
      <c r="RW99" s="2802"/>
      <c r="RX99" s="2565"/>
      <c r="RY99" s="2021"/>
      <c r="RZ99" s="1062"/>
      <c r="SA99" s="1062"/>
      <c r="SB99" s="1061"/>
      <c r="SC99" s="1027"/>
      <c r="SD99" s="2803"/>
      <c r="SE99" s="2802"/>
      <c r="SF99" s="2565"/>
      <c r="SG99" s="2021"/>
      <c r="SH99" s="1062"/>
      <c r="SI99" s="1062"/>
      <c r="SJ99" s="1061"/>
      <c r="SK99" s="1027"/>
      <c r="SL99" s="2803"/>
      <c r="SM99" s="2802"/>
      <c r="SN99" s="2565"/>
      <c r="SO99" s="2021"/>
      <c r="SP99" s="1062"/>
      <c r="SQ99" s="1062"/>
      <c r="SR99" s="1061"/>
      <c r="SS99" s="1027"/>
      <c r="ST99" s="2803"/>
      <c r="SU99" s="2802"/>
      <c r="SV99" s="2565"/>
      <c r="SW99" s="2021"/>
      <c r="SX99" s="1062"/>
      <c r="SY99" s="1062"/>
      <c r="SZ99" s="1061"/>
      <c r="TA99" s="1027"/>
      <c r="TB99" s="2803"/>
      <c r="TC99" s="2802"/>
      <c r="TD99" s="2565"/>
      <c r="TE99" s="2021"/>
      <c r="TF99" s="1062"/>
      <c r="TG99" s="1062"/>
      <c r="TH99" s="1061"/>
      <c r="TI99" s="1027"/>
      <c r="TJ99" s="2803"/>
      <c r="TK99" s="2802"/>
      <c r="TL99" s="2565"/>
      <c r="TM99" s="2021"/>
      <c r="TN99" s="1062"/>
      <c r="TO99" s="1062"/>
      <c r="TP99" s="1061"/>
      <c r="TQ99" s="1027"/>
      <c r="TR99" s="2803"/>
      <c r="TS99" s="2802"/>
      <c r="TT99" s="2565"/>
      <c r="TU99" s="2021"/>
      <c r="TV99" s="1062"/>
      <c r="TW99" s="1062"/>
      <c r="TX99" s="1061"/>
      <c r="TY99" s="1027"/>
      <c r="TZ99" s="2803"/>
      <c r="UA99" s="2802"/>
      <c r="UB99" s="2565"/>
      <c r="UC99" s="2021"/>
      <c r="UD99" s="1062"/>
      <c r="UE99" s="1062"/>
      <c r="UF99" s="1061"/>
      <c r="UG99" s="1027"/>
      <c r="UH99" s="2803"/>
      <c r="UI99" s="2802"/>
      <c r="UJ99" s="2565"/>
      <c r="UK99" s="2021"/>
      <c r="UL99" s="1062"/>
      <c r="UM99" s="1062"/>
      <c r="UN99" s="1061"/>
      <c r="UO99" s="1027"/>
      <c r="UP99" s="2803"/>
      <c r="UQ99" s="2802"/>
      <c r="UR99" s="2565"/>
      <c r="US99" s="2021"/>
      <c r="UT99" s="1062"/>
      <c r="UU99" s="1062"/>
      <c r="UV99" s="1061"/>
      <c r="UW99" s="1027"/>
      <c r="UX99" s="2803"/>
      <c r="UY99" s="2802"/>
      <c r="UZ99" s="2565"/>
      <c r="VA99" s="2021"/>
      <c r="VB99" s="1062"/>
      <c r="VC99" s="1062"/>
      <c r="VD99" s="1061"/>
      <c r="VE99" s="1027"/>
      <c r="VF99" s="2803"/>
      <c r="VG99" s="2802"/>
      <c r="VH99" s="2565"/>
      <c r="VI99" s="2021"/>
      <c r="VJ99" s="1062"/>
      <c r="VK99" s="1062"/>
      <c r="VL99" s="1061"/>
      <c r="VM99" s="1027"/>
      <c r="VN99" s="2803"/>
      <c r="VO99" s="2802"/>
      <c r="VP99" s="2565"/>
      <c r="VQ99" s="2021"/>
      <c r="VR99" s="1062"/>
      <c r="VS99" s="1062"/>
      <c r="VT99" s="1061"/>
      <c r="VU99" s="1027"/>
      <c r="VV99" s="2803"/>
      <c r="VW99" s="2802"/>
      <c r="VX99" s="2565"/>
      <c r="VY99" s="2021"/>
      <c r="VZ99" s="1062"/>
      <c r="WA99" s="1062"/>
      <c r="WB99" s="1061"/>
      <c r="WC99" s="1027"/>
      <c r="WD99" s="2803"/>
      <c r="WE99" s="2802"/>
      <c r="WF99" s="2565"/>
      <c r="WG99" s="2021"/>
      <c r="WH99" s="1062"/>
      <c r="WI99" s="1062"/>
      <c r="WJ99" s="1061"/>
      <c r="WK99" s="1027"/>
      <c r="WL99" s="2803"/>
      <c r="WM99" s="2802"/>
      <c r="WN99" s="2565"/>
      <c r="WO99" s="2021"/>
      <c r="WP99" s="1062"/>
      <c r="WQ99" s="1062"/>
      <c r="WR99" s="1061"/>
      <c r="WS99" s="1027"/>
      <c r="WT99" s="2803"/>
      <c r="WU99" s="2802"/>
      <c r="WV99" s="2565"/>
      <c r="WW99" s="2021"/>
      <c r="WX99" s="1062"/>
      <c r="WY99" s="1062"/>
      <c r="WZ99" s="1061"/>
      <c r="XA99" s="1027"/>
      <c r="XB99" s="2803"/>
      <c r="XC99" s="2802"/>
      <c r="XD99" s="2565"/>
      <c r="XE99" s="2021"/>
      <c r="XF99" s="1062"/>
      <c r="XG99" s="1062"/>
      <c r="XH99" s="1061"/>
      <c r="XI99" s="1027"/>
      <c r="XJ99" s="2803"/>
      <c r="XK99" s="2802"/>
      <c r="XL99" s="2565"/>
      <c r="XM99" s="2021"/>
      <c r="XN99" s="1062"/>
      <c r="XO99" s="1062"/>
      <c r="XP99" s="1061"/>
      <c r="XQ99" s="1027"/>
      <c r="XR99" s="2803"/>
      <c r="XS99" s="2802"/>
      <c r="XT99" s="2565"/>
      <c r="XU99" s="2021"/>
      <c r="XV99" s="1062"/>
      <c r="XW99" s="1062"/>
      <c r="XX99" s="1061"/>
      <c r="XY99" s="1027"/>
      <c r="XZ99" s="2803"/>
      <c r="YA99" s="2802"/>
      <c r="YB99" s="2565"/>
      <c r="YC99" s="2021"/>
      <c r="YD99" s="1062"/>
      <c r="YE99" s="1062"/>
      <c r="YF99" s="1061"/>
      <c r="YG99" s="1027"/>
      <c r="YH99" s="2803"/>
      <c r="YI99" s="2802"/>
      <c r="YJ99" s="2565"/>
      <c r="YK99" s="2021"/>
      <c r="YL99" s="1062"/>
      <c r="YM99" s="1062"/>
      <c r="YN99" s="1061"/>
      <c r="YO99" s="1027"/>
      <c r="YP99" s="2803"/>
      <c r="YQ99" s="2802"/>
      <c r="YR99" s="2565"/>
      <c r="YS99" s="2021"/>
      <c r="YT99" s="1062"/>
      <c r="YU99" s="1062"/>
      <c r="YV99" s="1061"/>
      <c r="YW99" s="1027"/>
      <c r="YX99" s="2803"/>
      <c r="YY99" s="2802"/>
      <c r="YZ99" s="2565"/>
      <c r="ZA99" s="2021"/>
      <c r="ZB99" s="1062"/>
      <c r="ZC99" s="1062"/>
      <c r="ZD99" s="1061"/>
      <c r="ZE99" s="1027"/>
      <c r="ZF99" s="2803"/>
      <c r="ZG99" s="2802"/>
      <c r="ZH99" s="2565"/>
      <c r="ZI99" s="2021"/>
      <c r="ZJ99" s="1062"/>
      <c r="ZK99" s="1062"/>
      <c r="ZL99" s="1061"/>
      <c r="ZM99" s="1027"/>
      <c r="ZN99" s="2803"/>
      <c r="ZO99" s="2802"/>
      <c r="ZP99" s="2565"/>
      <c r="ZQ99" s="2021"/>
      <c r="ZR99" s="1062"/>
      <c r="ZS99" s="1062"/>
      <c r="ZT99" s="1061"/>
      <c r="ZU99" s="1027"/>
      <c r="ZV99" s="2803"/>
      <c r="ZW99" s="2802"/>
      <c r="ZX99" s="2565"/>
      <c r="ZY99" s="2021"/>
      <c r="ZZ99" s="1062"/>
      <c r="AAA99" s="1062"/>
      <c r="AAB99" s="1061"/>
      <c r="AAC99" s="1027"/>
      <c r="AAD99" s="2803"/>
      <c r="AAE99" s="2802"/>
      <c r="AAF99" s="2565"/>
      <c r="AAG99" s="2021"/>
      <c r="AAH99" s="1062"/>
      <c r="AAI99" s="1062"/>
      <c r="AAJ99" s="1061"/>
      <c r="AAK99" s="1027"/>
      <c r="AAL99" s="2803"/>
      <c r="AAM99" s="2802"/>
      <c r="AAN99" s="2565"/>
      <c r="AAO99" s="2021"/>
      <c r="AAP99" s="1062"/>
      <c r="AAQ99" s="1062"/>
      <c r="AAR99" s="1061"/>
      <c r="AAS99" s="1027"/>
      <c r="AAT99" s="2803"/>
      <c r="AAU99" s="2802"/>
      <c r="AAV99" s="2565"/>
      <c r="AAW99" s="2021"/>
      <c r="AAX99" s="1062"/>
      <c r="AAY99" s="1062"/>
      <c r="AAZ99" s="1061"/>
      <c r="ABA99" s="1027"/>
      <c r="ABB99" s="2803"/>
      <c r="ABC99" s="2802"/>
      <c r="ABD99" s="2565"/>
      <c r="ABE99" s="2021"/>
      <c r="ABF99" s="1062"/>
      <c r="ABG99" s="1062"/>
      <c r="ABH99" s="1061"/>
      <c r="ABI99" s="1027"/>
      <c r="ABJ99" s="2803"/>
      <c r="ABK99" s="2802"/>
      <c r="ABL99" s="2565"/>
      <c r="ABM99" s="2021"/>
      <c r="ABN99" s="1062"/>
      <c r="ABO99" s="1062"/>
      <c r="ABP99" s="1061"/>
      <c r="ABQ99" s="1027"/>
      <c r="ABR99" s="2803"/>
      <c r="ABS99" s="2802"/>
      <c r="ABT99" s="2565"/>
      <c r="ABU99" s="2021"/>
      <c r="ABV99" s="1062"/>
      <c r="ABW99" s="1062"/>
      <c r="ABX99" s="1061"/>
      <c r="ABY99" s="1027"/>
      <c r="ABZ99" s="2803"/>
      <c r="ACA99" s="2802"/>
      <c r="ACB99" s="2565"/>
      <c r="ACC99" s="2021"/>
      <c r="ACD99" s="1062"/>
      <c r="ACE99" s="1062"/>
      <c r="ACF99" s="1061"/>
      <c r="ACG99" s="1027"/>
      <c r="ACH99" s="2803"/>
      <c r="ACI99" s="2802"/>
      <c r="ACJ99" s="2565"/>
      <c r="ACK99" s="2021"/>
      <c r="ACL99" s="1062"/>
      <c r="ACM99" s="1062"/>
      <c r="ACN99" s="1061"/>
      <c r="ACO99" s="1027"/>
      <c r="ACP99" s="2803"/>
      <c r="ACQ99" s="2802"/>
      <c r="ACR99" s="2565"/>
      <c r="ACS99" s="2021"/>
      <c r="ACT99" s="1062"/>
      <c r="ACU99" s="1062"/>
      <c r="ACV99" s="1061"/>
      <c r="ACW99" s="1027"/>
      <c r="ACX99" s="2803"/>
      <c r="ACY99" s="2802"/>
      <c r="ACZ99" s="2565"/>
      <c r="ADA99" s="2021"/>
      <c r="ADB99" s="1062"/>
      <c r="ADC99" s="1062"/>
      <c r="ADD99" s="1061"/>
      <c r="ADE99" s="1027"/>
      <c r="ADF99" s="2803"/>
      <c r="ADG99" s="2802"/>
      <c r="ADH99" s="2565"/>
      <c r="ADI99" s="2021"/>
      <c r="ADJ99" s="1062"/>
      <c r="ADK99" s="1062"/>
      <c r="ADL99" s="1061"/>
      <c r="ADM99" s="1027"/>
      <c r="ADN99" s="2803"/>
      <c r="ADO99" s="2802"/>
      <c r="ADP99" s="2565"/>
      <c r="ADQ99" s="2021"/>
      <c r="ADR99" s="1062"/>
      <c r="ADS99" s="1062"/>
      <c r="ADT99" s="1061"/>
      <c r="ADU99" s="1027"/>
      <c r="ADV99" s="2803"/>
      <c r="ADW99" s="2802"/>
      <c r="ADX99" s="2565"/>
      <c r="ADY99" s="2021"/>
      <c r="ADZ99" s="1062"/>
      <c r="AEA99" s="1062"/>
      <c r="AEB99" s="1061"/>
      <c r="AEC99" s="1027"/>
      <c r="AED99" s="2803"/>
      <c r="AEE99" s="2802"/>
      <c r="AEF99" s="2565"/>
      <c r="AEG99" s="2021"/>
      <c r="AEH99" s="1062"/>
      <c r="AEI99" s="1062"/>
      <c r="AEJ99" s="1061"/>
      <c r="AEK99" s="1027"/>
      <c r="AEL99" s="2803"/>
      <c r="AEM99" s="2802"/>
      <c r="AEN99" s="2565"/>
      <c r="AEO99" s="2021"/>
      <c r="AEP99" s="1062"/>
      <c r="AEQ99" s="1062"/>
      <c r="AER99" s="1061"/>
      <c r="AES99" s="1027"/>
      <c r="AET99" s="2803"/>
      <c r="AEU99" s="2802"/>
      <c r="AEV99" s="2565"/>
      <c r="AEW99" s="2021"/>
      <c r="AEX99" s="1062"/>
      <c r="AEY99" s="1062"/>
      <c r="AEZ99" s="1061"/>
      <c r="AFA99" s="1027"/>
      <c r="AFB99" s="2803"/>
      <c r="AFC99" s="2802"/>
      <c r="AFD99" s="2565"/>
      <c r="AFE99" s="2021"/>
      <c r="AFF99" s="1062"/>
      <c r="AFG99" s="1062"/>
      <c r="AFH99" s="1061"/>
      <c r="AFI99" s="1027"/>
      <c r="AFJ99" s="2803"/>
      <c r="AFK99" s="2802"/>
      <c r="AFL99" s="2565"/>
      <c r="AFM99" s="2021"/>
      <c r="AFN99" s="1062"/>
      <c r="AFO99" s="1062"/>
      <c r="AFP99" s="1061"/>
      <c r="AFQ99" s="1027"/>
      <c r="AFR99" s="2803"/>
      <c r="AFS99" s="2802"/>
      <c r="AFT99" s="2565"/>
      <c r="AFU99" s="2021"/>
      <c r="AFV99" s="1062"/>
      <c r="AFW99" s="1062"/>
      <c r="AFX99" s="1061"/>
      <c r="AFY99" s="1027"/>
      <c r="AFZ99" s="2803"/>
      <c r="AGA99" s="2802"/>
      <c r="AGB99" s="2565"/>
      <c r="AGC99" s="2021"/>
      <c r="AGD99" s="1062"/>
      <c r="AGE99" s="1062"/>
      <c r="AGF99" s="1061"/>
      <c r="AGG99" s="1027"/>
      <c r="AGH99" s="2803"/>
      <c r="AGI99" s="2802"/>
      <c r="AGJ99" s="2565"/>
      <c r="AGK99" s="2021"/>
      <c r="AGL99" s="1062"/>
      <c r="AGM99" s="1062"/>
      <c r="AGN99" s="1061"/>
      <c r="AGO99" s="1027"/>
      <c r="AGP99" s="2803"/>
      <c r="AGQ99" s="2802"/>
      <c r="AGR99" s="2565"/>
      <c r="AGS99" s="2021"/>
      <c r="AGT99" s="1062"/>
      <c r="AGU99" s="1062"/>
      <c r="AGV99" s="1061"/>
      <c r="AGW99" s="1027"/>
      <c r="AGX99" s="2803"/>
      <c r="AGY99" s="2802"/>
      <c r="AGZ99" s="2565"/>
      <c r="AHA99" s="2021"/>
      <c r="AHB99" s="1062"/>
      <c r="AHC99" s="1062"/>
      <c r="AHD99" s="1061"/>
      <c r="AHE99" s="1027"/>
      <c r="AHF99" s="2803"/>
      <c r="AHG99" s="2802"/>
      <c r="AHH99" s="2565"/>
      <c r="AHI99" s="2021"/>
      <c r="AHJ99" s="1062"/>
      <c r="AHK99" s="1062"/>
      <c r="AHL99" s="1061"/>
      <c r="AHM99" s="1027"/>
      <c r="AHN99" s="2803"/>
      <c r="AHO99" s="2802"/>
      <c r="AHP99" s="2565"/>
      <c r="AHQ99" s="2021"/>
      <c r="AHR99" s="1062"/>
      <c r="AHS99" s="1062"/>
      <c r="AHT99" s="1061"/>
      <c r="AHU99" s="1027"/>
      <c r="AHV99" s="2803"/>
      <c r="AHW99" s="2802"/>
      <c r="AHX99" s="2565"/>
      <c r="AHY99" s="2021"/>
      <c r="AHZ99" s="1062"/>
      <c r="AIA99" s="1062"/>
      <c r="AIB99" s="1061"/>
      <c r="AIC99" s="1027"/>
      <c r="AID99" s="2803"/>
      <c r="AIE99" s="2802"/>
      <c r="AIF99" s="2565"/>
      <c r="AIG99" s="2021"/>
      <c r="AIH99" s="1062"/>
      <c r="AII99" s="1062"/>
      <c r="AIJ99" s="1061"/>
      <c r="AIK99" s="1027"/>
      <c r="AIL99" s="2803"/>
      <c r="AIM99" s="2802"/>
      <c r="AIN99" s="2565"/>
      <c r="AIO99" s="2021"/>
      <c r="AIP99" s="1062"/>
      <c r="AIQ99" s="1062"/>
      <c r="AIR99" s="1061"/>
      <c r="AIS99" s="1027"/>
      <c r="AIT99" s="2803"/>
      <c r="AIU99" s="2802"/>
      <c r="AIV99" s="2565"/>
      <c r="AIW99" s="2021"/>
      <c r="AIX99" s="1062"/>
      <c r="AIY99" s="1062"/>
      <c r="AIZ99" s="1061"/>
      <c r="AJA99" s="1027"/>
      <c r="AJB99" s="2803"/>
      <c r="AJC99" s="2802"/>
      <c r="AJD99" s="2565"/>
      <c r="AJE99" s="2021"/>
      <c r="AJF99" s="1062"/>
      <c r="AJG99" s="1062"/>
      <c r="AJH99" s="1061"/>
      <c r="AJI99" s="1027"/>
      <c r="AJJ99" s="2803"/>
      <c r="AJK99" s="2802"/>
      <c r="AJL99" s="2565"/>
      <c r="AJM99" s="2021"/>
      <c r="AJN99" s="1062"/>
      <c r="AJO99" s="1062"/>
      <c r="AJP99" s="1061"/>
      <c r="AJQ99" s="1027"/>
      <c r="AJR99" s="2803"/>
      <c r="AJS99" s="2802"/>
      <c r="AJT99" s="2565"/>
      <c r="AJU99" s="2021"/>
      <c r="AJV99" s="1062"/>
      <c r="AJW99" s="1062"/>
      <c r="AJX99" s="1061"/>
      <c r="AJY99" s="1027"/>
      <c r="AJZ99" s="2803"/>
      <c r="AKA99" s="2802"/>
      <c r="AKB99" s="2565"/>
      <c r="AKC99" s="2021"/>
      <c r="AKD99" s="1062"/>
      <c r="AKE99" s="1062"/>
      <c r="AKF99" s="1061"/>
      <c r="AKG99" s="1027"/>
      <c r="AKH99" s="2803"/>
      <c r="AKI99" s="2802"/>
      <c r="AKJ99" s="2565"/>
      <c r="AKK99" s="2021"/>
      <c r="AKL99" s="1062"/>
      <c r="AKM99" s="1062"/>
      <c r="AKN99" s="1061"/>
      <c r="AKO99" s="1027"/>
      <c r="AKP99" s="2803"/>
      <c r="AKQ99" s="2802"/>
      <c r="AKR99" s="2565"/>
      <c r="AKS99" s="2021"/>
      <c r="AKT99" s="1062"/>
      <c r="AKU99" s="1062"/>
      <c r="AKV99" s="1061"/>
      <c r="AKW99" s="1027"/>
      <c r="AKX99" s="2803"/>
      <c r="AKY99" s="2802"/>
      <c r="AKZ99" s="2565"/>
      <c r="ALA99" s="2021"/>
      <c r="ALB99" s="1062"/>
      <c r="ALC99" s="1062"/>
      <c r="ALD99" s="1061"/>
      <c r="ALE99" s="1027"/>
      <c r="ALF99" s="2803"/>
      <c r="ALG99" s="2802"/>
      <c r="ALH99" s="2565"/>
      <c r="ALI99" s="2021"/>
      <c r="ALJ99" s="1062"/>
      <c r="ALK99" s="1062"/>
      <c r="ALL99" s="1061"/>
      <c r="ALM99" s="1027"/>
      <c r="ALN99" s="2803"/>
      <c r="ALO99" s="2802"/>
      <c r="ALP99" s="2565"/>
      <c r="ALQ99" s="2021"/>
      <c r="ALR99" s="1062"/>
      <c r="ALS99" s="1062"/>
      <c r="ALT99" s="1061"/>
      <c r="ALU99" s="1027"/>
      <c r="ALV99" s="2803"/>
      <c r="ALW99" s="2802"/>
      <c r="ALX99" s="2565"/>
      <c r="ALY99" s="2021"/>
      <c r="ALZ99" s="1062"/>
      <c r="AMA99" s="1062"/>
      <c r="AMB99" s="1061"/>
      <c r="AMC99" s="1027"/>
      <c r="AMD99" s="2803"/>
      <c r="AME99" s="2802"/>
      <c r="AMF99" s="2565"/>
      <c r="AMG99" s="2021"/>
      <c r="AMH99" s="1062"/>
      <c r="AMI99" s="1062"/>
      <c r="AMJ99" s="1061"/>
      <c r="AMK99" s="1027"/>
      <c r="AML99" s="2803"/>
      <c r="AMM99" s="2802"/>
      <c r="AMN99" s="2565"/>
      <c r="AMO99" s="2021"/>
      <c r="AMP99" s="1062"/>
      <c r="AMQ99" s="1062"/>
      <c r="AMR99" s="1061"/>
      <c r="AMS99" s="1027"/>
      <c r="AMT99" s="2803"/>
      <c r="AMU99" s="2802"/>
      <c r="AMV99" s="2565"/>
      <c r="AMW99" s="2021"/>
      <c r="AMX99" s="1062"/>
      <c r="AMY99" s="1062"/>
      <c r="AMZ99" s="1061"/>
      <c r="ANA99" s="1027"/>
      <c r="ANB99" s="2803"/>
      <c r="ANC99" s="2802"/>
      <c r="AND99" s="2565"/>
      <c r="ANE99" s="2021"/>
      <c r="ANF99" s="1062"/>
      <c r="ANG99" s="1062"/>
      <c r="ANH99" s="1061"/>
      <c r="ANI99" s="1027"/>
      <c r="ANJ99" s="2803"/>
      <c r="ANK99" s="2802"/>
      <c r="ANL99" s="2565"/>
      <c r="ANM99" s="2021"/>
      <c r="ANN99" s="1062"/>
      <c r="ANO99" s="1062"/>
      <c r="ANP99" s="1061"/>
      <c r="ANQ99" s="1027"/>
      <c r="ANR99" s="2803"/>
      <c r="ANS99" s="2802"/>
      <c r="ANT99" s="2565"/>
      <c r="ANU99" s="2021"/>
      <c r="ANV99" s="1062"/>
      <c r="ANW99" s="1062"/>
      <c r="ANX99" s="1061"/>
      <c r="ANY99" s="1027"/>
      <c r="ANZ99" s="2803"/>
      <c r="AOA99" s="2802"/>
      <c r="AOB99" s="2565"/>
      <c r="AOC99" s="2021"/>
      <c r="AOD99" s="1062"/>
      <c r="AOE99" s="1062"/>
      <c r="AOF99" s="1061"/>
      <c r="AOG99" s="1027"/>
      <c r="AOH99" s="2803"/>
      <c r="AOI99" s="2802"/>
      <c r="AOJ99" s="2565"/>
      <c r="AOK99" s="2021"/>
      <c r="AOL99" s="1062"/>
      <c r="AOM99" s="1062"/>
      <c r="AON99" s="1061"/>
      <c r="AOO99" s="1027"/>
      <c r="AOP99" s="2803"/>
      <c r="AOQ99" s="2802"/>
      <c r="AOR99" s="2565"/>
      <c r="AOS99" s="2021"/>
      <c r="AOT99" s="1062"/>
      <c r="AOU99" s="1062"/>
      <c r="AOV99" s="1061"/>
      <c r="AOW99" s="1027"/>
      <c r="AOX99" s="2803"/>
      <c r="AOY99" s="2802"/>
      <c r="AOZ99" s="2565"/>
      <c r="APA99" s="2021"/>
      <c r="APB99" s="1062"/>
      <c r="APC99" s="1062"/>
      <c r="APD99" s="1061"/>
      <c r="APE99" s="1027"/>
      <c r="APF99" s="2803"/>
      <c r="APG99" s="2802"/>
      <c r="APH99" s="2565"/>
      <c r="API99" s="2021"/>
      <c r="APJ99" s="1062"/>
      <c r="APK99" s="1062"/>
      <c r="APL99" s="1061"/>
      <c r="APM99" s="1027"/>
      <c r="APN99" s="2803"/>
      <c r="APO99" s="2802"/>
      <c r="APP99" s="2565"/>
      <c r="APQ99" s="2021"/>
      <c r="APR99" s="1062"/>
      <c r="APS99" s="1062"/>
      <c r="APT99" s="1061"/>
      <c r="APU99" s="1027"/>
      <c r="APV99" s="2803"/>
      <c r="APW99" s="2802"/>
      <c r="APX99" s="2565"/>
      <c r="APY99" s="2021"/>
      <c r="APZ99" s="1062"/>
      <c r="AQA99" s="1062"/>
      <c r="AQB99" s="1061"/>
      <c r="AQC99" s="1027"/>
      <c r="AQD99" s="2803"/>
      <c r="AQE99" s="2802"/>
      <c r="AQF99" s="2565"/>
      <c r="AQG99" s="2021"/>
      <c r="AQH99" s="1062"/>
      <c r="AQI99" s="1062"/>
      <c r="AQJ99" s="1061"/>
      <c r="AQK99" s="1027"/>
      <c r="AQL99" s="2803"/>
      <c r="AQM99" s="2802"/>
      <c r="AQN99" s="2565"/>
      <c r="AQO99" s="2021"/>
      <c r="AQP99" s="1062"/>
      <c r="AQQ99" s="1062"/>
      <c r="AQR99" s="1061"/>
      <c r="AQS99" s="1027"/>
      <c r="AQT99" s="2803"/>
      <c r="AQU99" s="2802"/>
      <c r="AQV99" s="2565"/>
      <c r="AQW99" s="2021"/>
      <c r="AQX99" s="1062"/>
      <c r="AQY99" s="1062"/>
      <c r="AQZ99" s="1061"/>
      <c r="ARA99" s="1027"/>
      <c r="ARB99" s="2803"/>
      <c r="ARC99" s="2802"/>
      <c r="ARD99" s="2565"/>
      <c r="ARE99" s="2021"/>
      <c r="ARF99" s="1062"/>
      <c r="ARG99" s="1062"/>
      <c r="ARH99" s="1061"/>
      <c r="ARI99" s="1027"/>
      <c r="ARJ99" s="2803"/>
      <c r="ARK99" s="2802"/>
      <c r="ARL99" s="2565"/>
      <c r="ARM99" s="2021"/>
      <c r="ARN99" s="1062"/>
      <c r="ARO99" s="1062"/>
      <c r="ARP99" s="1061"/>
      <c r="ARQ99" s="1027"/>
      <c r="ARR99" s="2803"/>
      <c r="ARS99" s="2802"/>
      <c r="ART99" s="2565"/>
      <c r="ARU99" s="2021"/>
      <c r="ARV99" s="1062"/>
      <c r="ARW99" s="1062"/>
      <c r="ARX99" s="1061"/>
      <c r="ARY99" s="1027"/>
      <c r="ARZ99" s="2803"/>
      <c r="ASA99" s="2802"/>
      <c r="ASB99" s="2565"/>
      <c r="ASC99" s="2021"/>
      <c r="ASD99" s="1062"/>
      <c r="ASE99" s="1062"/>
      <c r="ASF99" s="1061"/>
      <c r="ASG99" s="1027"/>
      <c r="ASH99" s="2803"/>
      <c r="ASI99" s="2802"/>
      <c r="ASJ99" s="2565"/>
      <c r="ASK99" s="2021"/>
      <c r="ASL99" s="1062"/>
      <c r="ASM99" s="1062"/>
      <c r="ASN99" s="1061"/>
      <c r="ASO99" s="1027"/>
      <c r="ASP99" s="2803"/>
      <c r="ASQ99" s="2802"/>
      <c r="ASR99" s="2565"/>
      <c r="ASS99" s="2021"/>
      <c r="AST99" s="1062"/>
      <c r="ASU99" s="1062"/>
      <c r="ASV99" s="1061"/>
      <c r="ASW99" s="1027"/>
      <c r="ASX99" s="2803"/>
      <c r="ASY99" s="2802"/>
      <c r="ASZ99" s="2565"/>
      <c r="ATA99" s="2021"/>
      <c r="ATB99" s="1062"/>
      <c r="ATC99" s="1062"/>
      <c r="ATD99" s="1061"/>
      <c r="ATE99" s="1027"/>
      <c r="ATF99" s="2803"/>
      <c r="ATG99" s="2802"/>
      <c r="ATH99" s="2565"/>
      <c r="ATI99" s="2021"/>
      <c r="ATJ99" s="1062"/>
      <c r="ATK99" s="1062"/>
      <c r="ATL99" s="1061"/>
      <c r="ATM99" s="1027"/>
      <c r="ATN99" s="2803"/>
      <c r="ATO99" s="2802"/>
      <c r="ATP99" s="2565"/>
      <c r="ATQ99" s="2021"/>
      <c r="ATR99" s="1062"/>
      <c r="ATS99" s="1062"/>
      <c r="ATT99" s="1061"/>
      <c r="ATU99" s="1027"/>
      <c r="ATV99" s="2803"/>
      <c r="ATW99" s="2802"/>
      <c r="ATX99" s="2565"/>
      <c r="ATY99" s="2021"/>
      <c r="ATZ99" s="1062"/>
      <c r="AUA99" s="1062"/>
      <c r="AUB99" s="1061"/>
      <c r="AUC99" s="1027"/>
      <c r="AUD99" s="2803"/>
      <c r="AUE99" s="2802"/>
      <c r="AUF99" s="2565"/>
      <c r="AUG99" s="2021"/>
      <c r="AUH99" s="1062"/>
      <c r="AUI99" s="1062"/>
      <c r="AUJ99" s="1061"/>
      <c r="AUK99" s="1027"/>
      <c r="AUL99" s="2803"/>
      <c r="AUM99" s="2802"/>
      <c r="AUN99" s="2565"/>
      <c r="AUO99" s="2021"/>
      <c r="AUP99" s="1062"/>
      <c r="AUQ99" s="1062"/>
      <c r="AUR99" s="1061"/>
      <c r="AUS99" s="1027"/>
      <c r="AUT99" s="2803"/>
      <c r="AUU99" s="2802"/>
      <c r="AUV99" s="2565"/>
      <c r="AUW99" s="2021"/>
      <c r="AUX99" s="1062"/>
      <c r="AUY99" s="1062"/>
      <c r="AUZ99" s="1061"/>
      <c r="AVA99" s="1027"/>
      <c r="AVB99" s="2803"/>
      <c r="AVC99" s="2802"/>
      <c r="AVD99" s="2565"/>
      <c r="AVE99" s="2021"/>
      <c r="AVF99" s="1062"/>
      <c r="AVG99" s="1062"/>
      <c r="AVH99" s="1061"/>
      <c r="AVI99" s="1027"/>
      <c r="AVJ99" s="2803"/>
      <c r="AVK99" s="2802"/>
      <c r="AVL99" s="2565"/>
      <c r="AVM99" s="2021"/>
      <c r="AVN99" s="1062"/>
      <c r="AVO99" s="1062"/>
      <c r="AVP99" s="1061"/>
      <c r="AVQ99" s="1027"/>
      <c r="AVR99" s="2803"/>
      <c r="AVS99" s="2802"/>
      <c r="AVT99" s="2565"/>
      <c r="AVU99" s="2021"/>
      <c r="AVV99" s="1062"/>
      <c r="AVW99" s="1062"/>
      <c r="AVX99" s="1061"/>
      <c r="AVY99" s="1027"/>
      <c r="AVZ99" s="2803"/>
      <c r="AWA99" s="2802"/>
      <c r="AWB99" s="2565"/>
      <c r="AWC99" s="2021"/>
      <c r="AWD99" s="1062"/>
      <c r="AWE99" s="1062"/>
      <c r="AWF99" s="1061"/>
      <c r="AWG99" s="1027"/>
      <c r="AWH99" s="2803"/>
      <c r="AWI99" s="2802"/>
      <c r="AWJ99" s="2565"/>
      <c r="AWK99" s="2021"/>
      <c r="AWL99" s="1062"/>
      <c r="AWM99" s="1062"/>
      <c r="AWN99" s="1061"/>
      <c r="AWO99" s="1027"/>
      <c r="AWP99" s="2803"/>
      <c r="AWQ99" s="2802"/>
      <c r="AWR99" s="2565"/>
      <c r="AWS99" s="2021"/>
      <c r="AWT99" s="1062"/>
      <c r="AWU99" s="1062"/>
      <c r="AWV99" s="1061"/>
      <c r="AWW99" s="1027"/>
      <c r="AWX99" s="2803"/>
      <c r="AWY99" s="2802"/>
      <c r="AWZ99" s="2565"/>
      <c r="AXA99" s="2021"/>
      <c r="AXB99" s="1062"/>
      <c r="AXC99" s="1062"/>
      <c r="AXD99" s="1061"/>
      <c r="AXE99" s="1027"/>
      <c r="AXF99" s="2803"/>
      <c r="AXG99" s="2802"/>
      <c r="AXH99" s="2565"/>
      <c r="AXI99" s="2021"/>
      <c r="AXJ99" s="1062"/>
      <c r="AXK99" s="1062"/>
      <c r="AXL99" s="1061"/>
      <c r="AXM99" s="1027"/>
      <c r="AXN99" s="2803"/>
      <c r="AXO99" s="2802"/>
      <c r="AXP99" s="2565"/>
      <c r="AXQ99" s="2021"/>
      <c r="AXR99" s="1062"/>
      <c r="AXS99" s="1062"/>
      <c r="AXT99" s="1061"/>
      <c r="AXU99" s="1027"/>
      <c r="AXV99" s="2803"/>
      <c r="AXW99" s="2802"/>
      <c r="AXX99" s="2565"/>
      <c r="AXY99" s="2021"/>
      <c r="AXZ99" s="1062"/>
      <c r="AYA99" s="1062"/>
      <c r="AYB99" s="1061"/>
      <c r="AYC99" s="1027"/>
      <c r="AYD99" s="2803"/>
      <c r="AYE99" s="2802"/>
      <c r="AYF99" s="2565"/>
      <c r="AYG99" s="2021"/>
      <c r="AYH99" s="1062"/>
      <c r="AYI99" s="1062"/>
      <c r="AYJ99" s="1061"/>
      <c r="AYK99" s="1027"/>
      <c r="AYL99" s="2803"/>
      <c r="AYM99" s="2802"/>
      <c r="AYN99" s="2565"/>
      <c r="AYO99" s="2021"/>
      <c r="AYP99" s="1062"/>
      <c r="AYQ99" s="1062"/>
      <c r="AYR99" s="1061"/>
      <c r="AYS99" s="1027"/>
      <c r="AYT99" s="2803"/>
      <c r="AYU99" s="2802"/>
      <c r="AYV99" s="2565"/>
      <c r="AYW99" s="2021"/>
      <c r="AYX99" s="1062"/>
      <c r="AYY99" s="1062"/>
      <c r="AYZ99" s="1061"/>
      <c r="AZA99" s="1027"/>
      <c r="AZB99" s="2803"/>
      <c r="AZC99" s="2802"/>
      <c r="AZD99" s="2565"/>
      <c r="AZE99" s="2021"/>
      <c r="AZF99" s="1062"/>
      <c r="AZG99" s="1062"/>
      <c r="AZH99" s="1061"/>
      <c r="AZI99" s="1027"/>
      <c r="AZJ99" s="2803"/>
      <c r="AZK99" s="2802"/>
      <c r="AZL99" s="2565"/>
      <c r="AZM99" s="2021"/>
      <c r="AZN99" s="1062"/>
      <c r="AZO99" s="1062"/>
      <c r="AZP99" s="1061"/>
      <c r="AZQ99" s="1027"/>
      <c r="AZR99" s="2803"/>
      <c r="AZS99" s="2802"/>
      <c r="AZT99" s="2565"/>
      <c r="AZU99" s="2021"/>
      <c r="AZV99" s="1062"/>
      <c r="AZW99" s="1062"/>
      <c r="AZX99" s="1061"/>
      <c r="AZY99" s="1027"/>
      <c r="AZZ99" s="2803"/>
      <c r="BAA99" s="2802"/>
      <c r="BAB99" s="2565"/>
      <c r="BAC99" s="2021"/>
      <c r="BAD99" s="1062"/>
      <c r="BAE99" s="1062"/>
      <c r="BAF99" s="1061"/>
      <c r="BAG99" s="1027"/>
      <c r="BAH99" s="2803"/>
      <c r="BAI99" s="2802"/>
      <c r="BAJ99" s="2565"/>
      <c r="BAK99" s="2021"/>
      <c r="BAL99" s="1062"/>
      <c r="BAM99" s="1062"/>
      <c r="BAN99" s="1061"/>
      <c r="BAO99" s="1027"/>
      <c r="BAP99" s="2803"/>
      <c r="BAQ99" s="2802"/>
      <c r="BAR99" s="2565"/>
      <c r="BAS99" s="2021"/>
      <c r="BAT99" s="1062"/>
      <c r="BAU99" s="1062"/>
      <c r="BAV99" s="1061"/>
      <c r="BAW99" s="1027"/>
      <c r="BAX99" s="2803"/>
      <c r="BAY99" s="2802"/>
      <c r="BAZ99" s="2565"/>
      <c r="BBA99" s="2021"/>
      <c r="BBB99" s="1062"/>
      <c r="BBC99" s="1062"/>
      <c r="BBD99" s="1061"/>
      <c r="BBE99" s="1027"/>
      <c r="BBF99" s="2803"/>
      <c r="BBG99" s="2802"/>
      <c r="BBH99" s="2565"/>
      <c r="BBI99" s="2021"/>
      <c r="BBJ99" s="1062"/>
      <c r="BBK99" s="1062"/>
      <c r="BBL99" s="1061"/>
      <c r="BBM99" s="1027"/>
      <c r="BBN99" s="2803"/>
      <c r="BBO99" s="2802"/>
      <c r="BBP99" s="2565"/>
      <c r="BBQ99" s="2021"/>
      <c r="BBR99" s="1062"/>
      <c r="BBS99" s="1062"/>
      <c r="BBT99" s="1061"/>
      <c r="BBU99" s="1027"/>
      <c r="BBV99" s="2803"/>
      <c r="BBW99" s="2802"/>
      <c r="BBX99" s="2565"/>
      <c r="BBY99" s="2021"/>
      <c r="BBZ99" s="1062"/>
      <c r="BCA99" s="1062"/>
      <c r="BCB99" s="1061"/>
      <c r="BCC99" s="1027"/>
      <c r="BCD99" s="2803"/>
      <c r="BCE99" s="2802"/>
      <c r="BCF99" s="2565"/>
      <c r="BCG99" s="2021"/>
      <c r="BCH99" s="1062"/>
      <c r="BCI99" s="1062"/>
      <c r="BCJ99" s="1061"/>
      <c r="BCK99" s="1027"/>
      <c r="BCL99" s="2803"/>
      <c r="BCM99" s="2802"/>
      <c r="BCN99" s="2565"/>
      <c r="BCO99" s="2021"/>
      <c r="BCP99" s="1062"/>
      <c r="BCQ99" s="1062"/>
      <c r="BCR99" s="1061"/>
      <c r="BCS99" s="1027"/>
      <c r="BCT99" s="2803"/>
      <c r="BCU99" s="2802"/>
      <c r="BCV99" s="2565"/>
      <c r="BCW99" s="2021"/>
      <c r="BCX99" s="1062"/>
      <c r="BCY99" s="1062"/>
      <c r="BCZ99" s="1061"/>
      <c r="BDA99" s="1027"/>
      <c r="BDB99" s="2803"/>
      <c r="BDC99" s="2802"/>
      <c r="BDD99" s="2565"/>
      <c r="BDE99" s="2021"/>
      <c r="BDF99" s="1062"/>
      <c r="BDG99" s="1062"/>
      <c r="BDH99" s="1061"/>
      <c r="BDI99" s="1027"/>
      <c r="BDJ99" s="2803"/>
      <c r="BDK99" s="2802"/>
      <c r="BDL99" s="2565"/>
      <c r="BDM99" s="2021"/>
      <c r="BDN99" s="1062"/>
      <c r="BDO99" s="1062"/>
      <c r="BDP99" s="1061"/>
      <c r="BDQ99" s="1027"/>
      <c r="BDR99" s="2803"/>
      <c r="BDS99" s="2802"/>
      <c r="BDT99" s="2565"/>
      <c r="BDU99" s="2021"/>
      <c r="BDV99" s="1062"/>
      <c r="BDW99" s="1062"/>
      <c r="BDX99" s="1061"/>
      <c r="BDY99" s="1027"/>
      <c r="BDZ99" s="2803"/>
      <c r="BEA99" s="2802"/>
      <c r="BEB99" s="2565"/>
      <c r="BEC99" s="2021"/>
      <c r="BED99" s="1062"/>
      <c r="BEE99" s="1062"/>
      <c r="BEF99" s="1061"/>
      <c r="BEG99" s="1027"/>
      <c r="BEH99" s="2803"/>
      <c r="BEI99" s="2802"/>
      <c r="BEJ99" s="2565"/>
      <c r="BEK99" s="2021"/>
      <c r="BEL99" s="1062"/>
      <c r="BEM99" s="1062"/>
      <c r="BEN99" s="1061"/>
      <c r="BEO99" s="1027"/>
      <c r="BEP99" s="2803"/>
      <c r="BEQ99" s="2802"/>
      <c r="BER99" s="2565"/>
      <c r="BES99" s="2021"/>
      <c r="BET99" s="1062"/>
      <c r="BEU99" s="1062"/>
      <c r="BEV99" s="1061"/>
      <c r="BEW99" s="1027"/>
      <c r="BEX99" s="2803"/>
      <c r="BEY99" s="2802"/>
      <c r="BEZ99" s="2565"/>
      <c r="BFA99" s="2021"/>
      <c r="BFB99" s="1062"/>
      <c r="BFC99" s="1062"/>
      <c r="BFD99" s="1061"/>
      <c r="BFE99" s="1027"/>
      <c r="BFF99" s="2803"/>
      <c r="BFG99" s="2802"/>
      <c r="BFH99" s="2565"/>
      <c r="BFI99" s="2021"/>
      <c r="BFJ99" s="1062"/>
      <c r="BFK99" s="1062"/>
      <c r="BFL99" s="1061"/>
      <c r="BFM99" s="1027"/>
      <c r="BFN99" s="2803"/>
      <c r="BFO99" s="2802"/>
      <c r="BFP99" s="2565"/>
      <c r="BFQ99" s="2021"/>
      <c r="BFR99" s="1062"/>
      <c r="BFS99" s="1062"/>
      <c r="BFT99" s="1061"/>
      <c r="BFU99" s="1027"/>
      <c r="BFV99" s="2803"/>
      <c r="BFW99" s="2802"/>
      <c r="BFX99" s="2565"/>
      <c r="BFY99" s="2021"/>
      <c r="BFZ99" s="1062"/>
      <c r="BGA99" s="1062"/>
      <c r="BGB99" s="1061"/>
      <c r="BGC99" s="1027"/>
      <c r="BGD99" s="2803"/>
      <c r="BGE99" s="2802"/>
      <c r="BGF99" s="2565"/>
      <c r="BGG99" s="2021"/>
      <c r="BGH99" s="1062"/>
      <c r="BGI99" s="1062"/>
      <c r="BGJ99" s="1061"/>
      <c r="BGK99" s="1027"/>
      <c r="BGL99" s="2803"/>
      <c r="BGM99" s="2802"/>
      <c r="BGN99" s="2565"/>
      <c r="BGO99" s="2021"/>
      <c r="BGP99" s="1062"/>
      <c r="BGQ99" s="1062"/>
      <c r="BGR99" s="1061"/>
      <c r="BGS99" s="1027"/>
      <c r="BGT99" s="2803"/>
      <c r="BGU99" s="2802"/>
      <c r="BGV99" s="2565"/>
      <c r="BGW99" s="2021"/>
      <c r="BGX99" s="1062"/>
      <c r="BGY99" s="1062"/>
      <c r="BGZ99" s="1061"/>
      <c r="BHA99" s="1027"/>
      <c r="BHB99" s="2803"/>
      <c r="BHC99" s="2802"/>
      <c r="BHD99" s="2565"/>
      <c r="BHE99" s="2021"/>
      <c r="BHF99" s="1062"/>
      <c r="BHG99" s="1062"/>
      <c r="BHH99" s="1061"/>
      <c r="BHI99" s="1027"/>
      <c r="BHJ99" s="2803"/>
      <c r="BHK99" s="2802"/>
      <c r="BHL99" s="2565"/>
      <c r="BHM99" s="2021"/>
      <c r="BHN99" s="1062"/>
      <c r="BHO99" s="1062"/>
      <c r="BHP99" s="1061"/>
      <c r="BHQ99" s="1027"/>
      <c r="BHR99" s="2803"/>
      <c r="BHS99" s="2802"/>
      <c r="BHT99" s="2565"/>
      <c r="BHU99" s="2021"/>
      <c r="BHV99" s="1062"/>
      <c r="BHW99" s="1062"/>
      <c r="BHX99" s="1061"/>
      <c r="BHY99" s="1027"/>
      <c r="BHZ99" s="2803"/>
      <c r="BIA99" s="2802"/>
      <c r="BIB99" s="2565"/>
      <c r="BIC99" s="2021"/>
      <c r="BID99" s="1062"/>
      <c r="BIE99" s="1062"/>
      <c r="BIF99" s="1061"/>
      <c r="BIG99" s="1027"/>
      <c r="BIH99" s="2803"/>
      <c r="BII99" s="2802"/>
      <c r="BIJ99" s="2565"/>
      <c r="BIK99" s="2021"/>
      <c r="BIL99" s="1062"/>
      <c r="BIM99" s="1062"/>
      <c r="BIN99" s="1061"/>
      <c r="BIO99" s="1027"/>
      <c r="BIP99" s="2803"/>
      <c r="BIQ99" s="2802"/>
      <c r="BIR99" s="2565"/>
      <c r="BIS99" s="2021"/>
      <c r="BIT99" s="1062"/>
      <c r="BIU99" s="1062"/>
      <c r="BIV99" s="1061"/>
      <c r="BIW99" s="1027"/>
      <c r="BIX99" s="2803"/>
      <c r="BIY99" s="2802"/>
      <c r="BIZ99" s="2565"/>
      <c r="BJA99" s="2021"/>
      <c r="BJB99" s="1062"/>
      <c r="BJC99" s="1062"/>
      <c r="BJD99" s="1061"/>
      <c r="BJE99" s="1027"/>
      <c r="BJF99" s="2803"/>
      <c r="BJG99" s="2802"/>
      <c r="BJH99" s="2565"/>
      <c r="BJI99" s="2021"/>
      <c r="BJJ99" s="1062"/>
      <c r="BJK99" s="1062"/>
      <c r="BJL99" s="1061"/>
      <c r="BJM99" s="1027"/>
      <c r="BJN99" s="2803"/>
      <c r="BJO99" s="2802"/>
      <c r="BJP99" s="2565"/>
      <c r="BJQ99" s="2021"/>
      <c r="BJR99" s="1062"/>
      <c r="BJS99" s="1062"/>
      <c r="BJT99" s="1061"/>
      <c r="BJU99" s="1027"/>
      <c r="BJV99" s="2803"/>
      <c r="BJW99" s="2802"/>
      <c r="BJX99" s="2565"/>
      <c r="BJY99" s="2021"/>
      <c r="BJZ99" s="1062"/>
      <c r="BKA99" s="1062"/>
      <c r="BKB99" s="1061"/>
      <c r="BKC99" s="1027"/>
      <c r="BKD99" s="2803"/>
      <c r="BKE99" s="2802"/>
      <c r="BKF99" s="2565"/>
      <c r="BKG99" s="2021"/>
      <c r="BKH99" s="1062"/>
      <c r="BKI99" s="1062"/>
      <c r="BKJ99" s="1061"/>
      <c r="BKK99" s="1027"/>
      <c r="BKL99" s="2803"/>
      <c r="BKM99" s="2802"/>
      <c r="BKN99" s="2565"/>
      <c r="BKO99" s="2021"/>
      <c r="BKP99" s="1062"/>
      <c r="BKQ99" s="1062"/>
      <c r="BKR99" s="1061"/>
      <c r="BKS99" s="1027"/>
      <c r="BKT99" s="2803"/>
      <c r="BKU99" s="2802"/>
      <c r="BKV99" s="2565"/>
      <c r="BKW99" s="2021"/>
      <c r="BKX99" s="1062"/>
      <c r="BKY99" s="1062"/>
      <c r="BKZ99" s="1061"/>
      <c r="BLA99" s="1027"/>
      <c r="BLB99" s="2803"/>
      <c r="BLC99" s="2802"/>
      <c r="BLD99" s="2565"/>
      <c r="BLE99" s="2021"/>
      <c r="BLF99" s="1062"/>
      <c r="BLG99" s="1062"/>
      <c r="BLH99" s="1061"/>
      <c r="BLI99" s="1027"/>
      <c r="BLJ99" s="2803"/>
      <c r="BLK99" s="2802"/>
      <c r="BLL99" s="2565"/>
      <c r="BLM99" s="2021"/>
      <c r="BLN99" s="1062"/>
      <c r="BLO99" s="1062"/>
      <c r="BLP99" s="1061"/>
      <c r="BLQ99" s="1027"/>
      <c r="BLR99" s="2803"/>
      <c r="BLS99" s="2802"/>
      <c r="BLT99" s="2565"/>
      <c r="BLU99" s="2021"/>
      <c r="BLV99" s="1062"/>
      <c r="BLW99" s="1062"/>
      <c r="BLX99" s="1061"/>
      <c r="BLY99" s="1027"/>
      <c r="BLZ99" s="2803"/>
      <c r="BMA99" s="2802"/>
      <c r="BMB99" s="2565"/>
      <c r="BMC99" s="2021"/>
      <c r="BMD99" s="1062"/>
      <c r="BME99" s="1062"/>
      <c r="BMF99" s="1061"/>
      <c r="BMG99" s="1027"/>
      <c r="BMH99" s="2803"/>
      <c r="BMI99" s="2802"/>
      <c r="BMJ99" s="2565"/>
      <c r="BMK99" s="2021"/>
      <c r="BML99" s="1062"/>
      <c r="BMM99" s="1062"/>
      <c r="BMN99" s="1061"/>
      <c r="BMO99" s="1027"/>
      <c r="BMP99" s="2803"/>
      <c r="BMQ99" s="2802"/>
      <c r="BMR99" s="2565"/>
      <c r="BMS99" s="2021"/>
      <c r="BMT99" s="1062"/>
      <c r="BMU99" s="1062"/>
      <c r="BMV99" s="1061"/>
      <c r="BMW99" s="1027"/>
      <c r="BMX99" s="2803"/>
      <c r="BMY99" s="2802"/>
      <c r="BMZ99" s="2565"/>
      <c r="BNA99" s="2021"/>
      <c r="BNB99" s="1062"/>
      <c r="BNC99" s="1062"/>
      <c r="BND99" s="1061"/>
      <c r="BNE99" s="1027"/>
      <c r="BNF99" s="2803"/>
      <c r="BNG99" s="2802"/>
      <c r="BNH99" s="2565"/>
      <c r="BNI99" s="2021"/>
      <c r="BNJ99" s="1062"/>
      <c r="BNK99" s="1062"/>
      <c r="BNL99" s="1061"/>
      <c r="BNM99" s="1027"/>
      <c r="BNN99" s="2803"/>
      <c r="BNO99" s="2802"/>
      <c r="BNP99" s="2565"/>
      <c r="BNQ99" s="2021"/>
      <c r="BNR99" s="1062"/>
      <c r="BNS99" s="1062"/>
      <c r="BNT99" s="1061"/>
      <c r="BNU99" s="1027"/>
      <c r="BNV99" s="2803"/>
      <c r="BNW99" s="2802"/>
      <c r="BNX99" s="2565"/>
      <c r="BNY99" s="2021"/>
      <c r="BNZ99" s="1062"/>
      <c r="BOA99" s="1062"/>
      <c r="BOB99" s="1061"/>
      <c r="BOC99" s="1027"/>
      <c r="BOD99" s="2803"/>
      <c r="BOE99" s="2802"/>
      <c r="BOF99" s="2565"/>
      <c r="BOG99" s="2021"/>
      <c r="BOH99" s="1062"/>
      <c r="BOI99" s="1062"/>
      <c r="BOJ99" s="1061"/>
      <c r="BOK99" s="1027"/>
      <c r="BOL99" s="2803"/>
      <c r="BOM99" s="2802"/>
      <c r="BON99" s="2565"/>
      <c r="BOO99" s="2021"/>
      <c r="BOP99" s="1062"/>
      <c r="BOQ99" s="1062"/>
      <c r="BOR99" s="1061"/>
      <c r="BOS99" s="1027"/>
      <c r="BOT99" s="2803"/>
      <c r="BOU99" s="2802"/>
      <c r="BOV99" s="2565"/>
      <c r="BOW99" s="2021"/>
      <c r="BOX99" s="1062"/>
      <c r="BOY99" s="1062"/>
      <c r="BOZ99" s="1061"/>
      <c r="BPA99" s="1027"/>
      <c r="BPB99" s="2803"/>
      <c r="BPC99" s="2802"/>
      <c r="BPD99" s="2565"/>
      <c r="BPE99" s="2021"/>
      <c r="BPF99" s="1062"/>
      <c r="BPG99" s="1062"/>
      <c r="BPH99" s="1061"/>
      <c r="BPI99" s="1027"/>
      <c r="BPJ99" s="2803"/>
      <c r="BPK99" s="2802"/>
      <c r="BPL99" s="2565"/>
      <c r="BPM99" s="2021"/>
      <c r="BPN99" s="1062"/>
      <c r="BPO99" s="1062"/>
      <c r="BPP99" s="1061"/>
      <c r="BPQ99" s="1027"/>
      <c r="BPR99" s="2803"/>
      <c r="BPS99" s="2802"/>
      <c r="BPT99" s="2565"/>
      <c r="BPU99" s="2021"/>
      <c r="BPV99" s="1062"/>
      <c r="BPW99" s="1062"/>
      <c r="BPX99" s="1061"/>
      <c r="BPY99" s="1027"/>
      <c r="BPZ99" s="2803"/>
      <c r="BQA99" s="2802"/>
      <c r="BQB99" s="2565"/>
      <c r="BQC99" s="2021"/>
      <c r="BQD99" s="1062"/>
      <c r="BQE99" s="1062"/>
      <c r="BQF99" s="1061"/>
      <c r="BQG99" s="1027"/>
      <c r="BQH99" s="2803"/>
      <c r="BQI99" s="2802"/>
      <c r="BQJ99" s="2565"/>
      <c r="BQK99" s="2021"/>
      <c r="BQL99" s="1062"/>
      <c r="BQM99" s="1062"/>
      <c r="BQN99" s="1061"/>
      <c r="BQO99" s="1027"/>
      <c r="BQP99" s="2803"/>
      <c r="BQQ99" s="2802"/>
      <c r="BQR99" s="2565"/>
      <c r="BQS99" s="2021"/>
      <c r="BQT99" s="1062"/>
      <c r="BQU99" s="1062"/>
      <c r="BQV99" s="1061"/>
      <c r="BQW99" s="1027"/>
      <c r="BQX99" s="2803"/>
      <c r="BQY99" s="2802"/>
      <c r="BQZ99" s="2565"/>
      <c r="BRA99" s="2021"/>
      <c r="BRB99" s="1062"/>
      <c r="BRC99" s="1062"/>
      <c r="BRD99" s="1061"/>
      <c r="BRE99" s="1027"/>
      <c r="BRF99" s="2803"/>
      <c r="BRG99" s="2802"/>
      <c r="BRH99" s="2565"/>
      <c r="BRI99" s="2021"/>
      <c r="BRJ99" s="1062"/>
      <c r="BRK99" s="1062"/>
      <c r="BRL99" s="1061"/>
      <c r="BRM99" s="1027"/>
      <c r="BRN99" s="2803"/>
      <c r="BRO99" s="2802"/>
      <c r="BRP99" s="2565"/>
      <c r="BRQ99" s="2021"/>
      <c r="BRR99" s="1062"/>
      <c r="BRS99" s="1062"/>
      <c r="BRT99" s="1061"/>
      <c r="BRU99" s="1027"/>
      <c r="BRV99" s="2803"/>
      <c r="BRW99" s="2802"/>
      <c r="BRX99" s="2565"/>
      <c r="BRY99" s="2021"/>
      <c r="BRZ99" s="1062"/>
      <c r="BSA99" s="1062"/>
      <c r="BSB99" s="1061"/>
      <c r="BSC99" s="1027"/>
      <c r="BSD99" s="2803"/>
      <c r="BSE99" s="2802"/>
      <c r="BSF99" s="2565"/>
      <c r="BSG99" s="2021"/>
      <c r="BSH99" s="1062"/>
      <c r="BSI99" s="1062"/>
      <c r="BSJ99" s="1061"/>
      <c r="BSK99" s="1027"/>
      <c r="BSL99" s="2803"/>
      <c r="BSM99" s="2802"/>
      <c r="BSN99" s="2565"/>
      <c r="BSO99" s="2021"/>
      <c r="BSP99" s="1062"/>
      <c r="BSQ99" s="1062"/>
      <c r="BSR99" s="1061"/>
      <c r="BSS99" s="1027"/>
      <c r="BST99" s="2803"/>
      <c r="BSU99" s="2802"/>
      <c r="BSV99" s="2565"/>
      <c r="BSW99" s="2021"/>
      <c r="BSX99" s="1062"/>
      <c r="BSY99" s="1062"/>
      <c r="BSZ99" s="1061"/>
      <c r="BTA99" s="1027"/>
      <c r="BTB99" s="2803"/>
      <c r="BTC99" s="2802"/>
      <c r="BTD99" s="2565"/>
      <c r="BTE99" s="2021"/>
      <c r="BTF99" s="1062"/>
      <c r="BTG99" s="1062"/>
      <c r="BTH99" s="1061"/>
      <c r="BTI99" s="1027"/>
      <c r="BTJ99" s="2803"/>
      <c r="BTK99" s="2802"/>
      <c r="BTL99" s="2565"/>
      <c r="BTM99" s="2021"/>
      <c r="BTN99" s="1062"/>
      <c r="BTO99" s="1062"/>
      <c r="BTP99" s="1061"/>
      <c r="BTQ99" s="1027"/>
      <c r="BTR99" s="2803"/>
      <c r="BTS99" s="2802"/>
      <c r="BTT99" s="2565"/>
      <c r="BTU99" s="2021"/>
      <c r="BTV99" s="1062"/>
      <c r="BTW99" s="1062"/>
      <c r="BTX99" s="1061"/>
      <c r="BTY99" s="1027"/>
      <c r="BTZ99" s="2803"/>
      <c r="BUA99" s="2802"/>
      <c r="BUB99" s="2565"/>
      <c r="BUC99" s="2021"/>
      <c r="BUD99" s="1062"/>
      <c r="BUE99" s="1062"/>
      <c r="BUF99" s="1061"/>
      <c r="BUG99" s="1027"/>
      <c r="BUH99" s="2803"/>
      <c r="BUI99" s="2802"/>
      <c r="BUJ99" s="2565"/>
      <c r="BUK99" s="2021"/>
      <c r="BUL99" s="1062"/>
      <c r="BUM99" s="1062"/>
      <c r="BUN99" s="1061"/>
      <c r="BUO99" s="1027"/>
      <c r="BUP99" s="2803"/>
      <c r="BUQ99" s="2802"/>
      <c r="BUR99" s="2565"/>
      <c r="BUS99" s="2021"/>
      <c r="BUT99" s="1062"/>
      <c r="BUU99" s="1062"/>
      <c r="BUV99" s="1061"/>
      <c r="BUW99" s="1027"/>
      <c r="BUX99" s="2803"/>
      <c r="BUY99" s="2802"/>
      <c r="BUZ99" s="2565"/>
      <c r="BVA99" s="2021"/>
      <c r="BVB99" s="1062"/>
      <c r="BVC99" s="1062"/>
      <c r="BVD99" s="1061"/>
      <c r="BVE99" s="1027"/>
      <c r="BVF99" s="2803"/>
      <c r="BVG99" s="2802"/>
      <c r="BVH99" s="2565"/>
      <c r="BVI99" s="2021"/>
      <c r="BVJ99" s="1062"/>
      <c r="BVK99" s="1062"/>
      <c r="BVL99" s="1061"/>
      <c r="BVM99" s="1027"/>
      <c r="BVN99" s="2803"/>
      <c r="BVO99" s="2802"/>
      <c r="BVP99" s="2565"/>
      <c r="BVQ99" s="2021"/>
      <c r="BVR99" s="1062"/>
      <c r="BVS99" s="1062"/>
      <c r="BVT99" s="1061"/>
      <c r="BVU99" s="1027"/>
      <c r="BVV99" s="2803"/>
      <c r="BVW99" s="2802"/>
      <c r="BVX99" s="2565"/>
      <c r="BVY99" s="2021"/>
      <c r="BVZ99" s="1062"/>
      <c r="BWA99" s="1062"/>
      <c r="BWB99" s="1061"/>
      <c r="BWC99" s="1027"/>
      <c r="BWD99" s="2803"/>
      <c r="BWE99" s="2802"/>
      <c r="BWF99" s="2565"/>
      <c r="BWG99" s="2021"/>
      <c r="BWH99" s="1062"/>
      <c r="BWI99" s="1062"/>
      <c r="BWJ99" s="1061"/>
      <c r="BWK99" s="1027"/>
      <c r="BWL99" s="2803"/>
      <c r="BWM99" s="2802"/>
      <c r="BWN99" s="2565"/>
      <c r="BWO99" s="2021"/>
      <c r="BWP99" s="1062"/>
      <c r="BWQ99" s="1062"/>
      <c r="BWR99" s="1061"/>
      <c r="BWS99" s="1027"/>
      <c r="BWT99" s="2803"/>
      <c r="BWU99" s="2802"/>
      <c r="BWV99" s="2565"/>
      <c r="BWW99" s="2021"/>
      <c r="BWX99" s="1062"/>
      <c r="BWY99" s="1062"/>
      <c r="BWZ99" s="1061"/>
      <c r="BXA99" s="1027"/>
      <c r="BXB99" s="2803"/>
      <c r="BXC99" s="2802"/>
      <c r="BXD99" s="2565"/>
      <c r="BXE99" s="2021"/>
      <c r="BXF99" s="1062"/>
      <c r="BXG99" s="1062"/>
      <c r="BXH99" s="1061"/>
      <c r="BXI99" s="1027"/>
      <c r="BXJ99" s="2803"/>
      <c r="BXK99" s="2802"/>
      <c r="BXL99" s="2565"/>
      <c r="BXM99" s="2021"/>
      <c r="BXN99" s="1062"/>
      <c r="BXO99" s="1062"/>
      <c r="BXP99" s="1061"/>
      <c r="BXQ99" s="1027"/>
      <c r="BXR99" s="2803"/>
      <c r="BXS99" s="2802"/>
      <c r="BXT99" s="2565"/>
      <c r="BXU99" s="2021"/>
      <c r="BXV99" s="1062"/>
      <c r="BXW99" s="1062"/>
      <c r="BXX99" s="1061"/>
      <c r="BXY99" s="1027"/>
      <c r="BXZ99" s="2803"/>
      <c r="BYA99" s="2802"/>
      <c r="BYB99" s="2565"/>
      <c r="BYC99" s="2021"/>
      <c r="BYD99" s="1062"/>
      <c r="BYE99" s="1062"/>
      <c r="BYF99" s="1061"/>
      <c r="BYG99" s="1027"/>
      <c r="BYH99" s="2803"/>
      <c r="BYI99" s="2802"/>
      <c r="BYJ99" s="2565"/>
      <c r="BYK99" s="2021"/>
      <c r="BYL99" s="1062"/>
      <c r="BYM99" s="1062"/>
      <c r="BYN99" s="1061"/>
      <c r="BYO99" s="1027"/>
      <c r="BYP99" s="2803"/>
      <c r="BYQ99" s="2802"/>
      <c r="BYR99" s="2565"/>
      <c r="BYS99" s="2021"/>
      <c r="BYT99" s="1062"/>
      <c r="BYU99" s="1062"/>
      <c r="BYV99" s="1061"/>
      <c r="BYW99" s="1027"/>
      <c r="BYX99" s="2803"/>
      <c r="BYY99" s="2802"/>
      <c r="BYZ99" s="2565"/>
      <c r="BZA99" s="2021"/>
      <c r="BZB99" s="1062"/>
      <c r="BZC99" s="1062"/>
      <c r="BZD99" s="1061"/>
      <c r="BZE99" s="1027"/>
      <c r="BZF99" s="2803"/>
      <c r="BZG99" s="2802"/>
      <c r="BZH99" s="2565"/>
      <c r="BZI99" s="2021"/>
      <c r="BZJ99" s="1062"/>
      <c r="BZK99" s="1062"/>
      <c r="BZL99" s="1061"/>
      <c r="BZM99" s="1027"/>
      <c r="BZN99" s="2803"/>
      <c r="BZO99" s="2802"/>
      <c r="BZP99" s="2565"/>
      <c r="BZQ99" s="2021"/>
      <c r="BZR99" s="1062"/>
      <c r="BZS99" s="1062"/>
      <c r="BZT99" s="1061"/>
      <c r="BZU99" s="1027"/>
      <c r="BZV99" s="2803"/>
      <c r="BZW99" s="2802"/>
      <c r="BZX99" s="2565"/>
      <c r="BZY99" s="2021"/>
      <c r="BZZ99" s="1062"/>
      <c r="CAA99" s="1062"/>
      <c r="CAB99" s="1061"/>
      <c r="CAC99" s="1027"/>
      <c r="CAD99" s="2803"/>
      <c r="CAE99" s="2802"/>
      <c r="CAF99" s="2565"/>
      <c r="CAG99" s="2021"/>
      <c r="CAH99" s="1062"/>
      <c r="CAI99" s="1062"/>
      <c r="CAJ99" s="1061"/>
      <c r="CAK99" s="1027"/>
      <c r="CAL99" s="2803"/>
      <c r="CAM99" s="2802"/>
      <c r="CAN99" s="2565"/>
      <c r="CAO99" s="2021"/>
      <c r="CAP99" s="1062"/>
      <c r="CAQ99" s="1062"/>
      <c r="CAR99" s="1061"/>
      <c r="CAS99" s="1027"/>
      <c r="CAT99" s="2803"/>
      <c r="CAU99" s="2802"/>
      <c r="CAV99" s="2565"/>
      <c r="CAW99" s="2021"/>
      <c r="CAX99" s="1062"/>
      <c r="CAY99" s="1062"/>
      <c r="CAZ99" s="1061"/>
      <c r="CBA99" s="1027"/>
      <c r="CBB99" s="2803"/>
      <c r="CBC99" s="2802"/>
      <c r="CBD99" s="2565"/>
      <c r="CBE99" s="2021"/>
      <c r="CBF99" s="1062"/>
      <c r="CBG99" s="1062"/>
      <c r="CBH99" s="1061"/>
      <c r="CBI99" s="1027"/>
      <c r="CBJ99" s="2803"/>
      <c r="CBK99" s="2802"/>
      <c r="CBL99" s="2565"/>
      <c r="CBM99" s="2021"/>
      <c r="CBN99" s="1062"/>
      <c r="CBO99" s="1062"/>
      <c r="CBP99" s="1061"/>
      <c r="CBQ99" s="1027"/>
      <c r="CBR99" s="2803"/>
      <c r="CBS99" s="2802"/>
      <c r="CBT99" s="2565"/>
      <c r="CBU99" s="2021"/>
      <c r="CBV99" s="1062"/>
      <c r="CBW99" s="1062"/>
      <c r="CBX99" s="1061"/>
      <c r="CBY99" s="1027"/>
      <c r="CBZ99" s="2803"/>
      <c r="CCA99" s="2802"/>
      <c r="CCB99" s="2565"/>
      <c r="CCC99" s="2021"/>
      <c r="CCD99" s="1062"/>
      <c r="CCE99" s="1062"/>
      <c r="CCF99" s="1061"/>
      <c r="CCG99" s="1027"/>
      <c r="CCH99" s="2803"/>
      <c r="CCI99" s="2802"/>
      <c r="CCJ99" s="2565"/>
      <c r="CCK99" s="2021"/>
      <c r="CCL99" s="1062"/>
      <c r="CCM99" s="1062"/>
      <c r="CCN99" s="1061"/>
      <c r="CCO99" s="1027"/>
      <c r="CCP99" s="2803"/>
      <c r="CCQ99" s="2802"/>
      <c r="CCR99" s="2565"/>
      <c r="CCS99" s="2021"/>
      <c r="CCT99" s="1062"/>
      <c r="CCU99" s="1062"/>
      <c r="CCV99" s="1061"/>
      <c r="CCW99" s="1027"/>
      <c r="CCX99" s="2803"/>
      <c r="CCY99" s="2802"/>
      <c r="CCZ99" s="2565"/>
      <c r="CDA99" s="2021"/>
      <c r="CDB99" s="1062"/>
      <c r="CDC99" s="1062"/>
      <c r="CDD99" s="1061"/>
      <c r="CDE99" s="1027"/>
      <c r="CDF99" s="2803"/>
      <c r="CDG99" s="2802"/>
      <c r="CDH99" s="2565"/>
      <c r="CDI99" s="2021"/>
      <c r="CDJ99" s="1062"/>
      <c r="CDK99" s="1062"/>
      <c r="CDL99" s="1061"/>
      <c r="CDM99" s="1027"/>
      <c r="CDN99" s="2803"/>
      <c r="CDO99" s="2802"/>
      <c r="CDP99" s="2565"/>
      <c r="CDQ99" s="2021"/>
      <c r="CDR99" s="1062"/>
      <c r="CDS99" s="1062"/>
      <c r="CDT99" s="1061"/>
      <c r="CDU99" s="1027"/>
      <c r="CDV99" s="2803"/>
      <c r="CDW99" s="2802"/>
      <c r="CDX99" s="2565"/>
      <c r="CDY99" s="2021"/>
      <c r="CDZ99" s="1062"/>
      <c r="CEA99" s="1062"/>
      <c r="CEB99" s="1061"/>
      <c r="CEC99" s="1027"/>
      <c r="CED99" s="2803"/>
      <c r="CEE99" s="2802"/>
      <c r="CEF99" s="2565"/>
      <c r="CEG99" s="2021"/>
      <c r="CEH99" s="1062"/>
      <c r="CEI99" s="1062"/>
      <c r="CEJ99" s="1061"/>
      <c r="CEK99" s="1027"/>
      <c r="CEL99" s="2803"/>
      <c r="CEM99" s="2802"/>
      <c r="CEN99" s="2565"/>
      <c r="CEO99" s="2021"/>
      <c r="CEP99" s="1062"/>
      <c r="CEQ99" s="1062"/>
      <c r="CER99" s="1061"/>
      <c r="CES99" s="1027"/>
      <c r="CET99" s="2803"/>
      <c r="CEU99" s="2802"/>
      <c r="CEV99" s="2565"/>
      <c r="CEW99" s="2021"/>
      <c r="CEX99" s="1062"/>
      <c r="CEY99" s="1062"/>
      <c r="CEZ99" s="1061"/>
      <c r="CFA99" s="1027"/>
      <c r="CFB99" s="2803"/>
      <c r="CFC99" s="2802"/>
      <c r="CFD99" s="2565"/>
      <c r="CFE99" s="2021"/>
      <c r="CFF99" s="1062"/>
      <c r="CFG99" s="1062"/>
      <c r="CFH99" s="1061"/>
      <c r="CFI99" s="1027"/>
      <c r="CFJ99" s="2803"/>
      <c r="CFK99" s="2802"/>
      <c r="CFL99" s="2565"/>
      <c r="CFM99" s="2021"/>
      <c r="CFN99" s="1062"/>
      <c r="CFO99" s="1062"/>
      <c r="CFP99" s="1061"/>
      <c r="CFQ99" s="1027"/>
      <c r="CFR99" s="2803"/>
      <c r="CFS99" s="2802"/>
      <c r="CFT99" s="2565"/>
      <c r="CFU99" s="2021"/>
      <c r="CFV99" s="1062"/>
      <c r="CFW99" s="1062"/>
      <c r="CFX99" s="1061"/>
      <c r="CFY99" s="1027"/>
      <c r="CFZ99" s="2803"/>
      <c r="CGA99" s="2802"/>
      <c r="CGB99" s="2565"/>
      <c r="CGC99" s="2021"/>
      <c r="CGD99" s="1062"/>
      <c r="CGE99" s="1062"/>
      <c r="CGF99" s="1061"/>
      <c r="CGG99" s="1027"/>
      <c r="CGH99" s="2803"/>
      <c r="CGI99" s="2802"/>
      <c r="CGJ99" s="2565"/>
      <c r="CGK99" s="2021"/>
      <c r="CGL99" s="1062"/>
      <c r="CGM99" s="1062"/>
      <c r="CGN99" s="1061"/>
      <c r="CGO99" s="1027"/>
      <c r="CGP99" s="2803"/>
      <c r="CGQ99" s="2802"/>
      <c r="CGR99" s="2565"/>
      <c r="CGS99" s="2021"/>
      <c r="CGT99" s="1062"/>
      <c r="CGU99" s="1062"/>
      <c r="CGV99" s="1061"/>
      <c r="CGW99" s="1027"/>
      <c r="CGX99" s="2803"/>
      <c r="CGY99" s="2802"/>
      <c r="CGZ99" s="2565"/>
      <c r="CHA99" s="2021"/>
      <c r="CHB99" s="1062"/>
      <c r="CHC99" s="1062"/>
      <c r="CHD99" s="1061"/>
      <c r="CHE99" s="1027"/>
      <c r="CHF99" s="2803"/>
      <c r="CHG99" s="2802"/>
      <c r="CHH99" s="2565"/>
      <c r="CHI99" s="2021"/>
      <c r="CHJ99" s="1062"/>
      <c r="CHK99" s="1062"/>
      <c r="CHL99" s="1061"/>
      <c r="CHM99" s="1027"/>
      <c r="CHN99" s="2803"/>
      <c r="CHO99" s="2802"/>
      <c r="CHP99" s="2565"/>
      <c r="CHQ99" s="2021"/>
      <c r="CHR99" s="1062"/>
      <c r="CHS99" s="1062"/>
      <c r="CHT99" s="1061"/>
      <c r="CHU99" s="1027"/>
      <c r="CHV99" s="2803"/>
      <c r="CHW99" s="2802"/>
      <c r="CHX99" s="2565"/>
      <c r="CHY99" s="2021"/>
      <c r="CHZ99" s="1062"/>
      <c r="CIA99" s="1062"/>
      <c r="CIB99" s="1061"/>
      <c r="CIC99" s="1027"/>
      <c r="CID99" s="2803"/>
      <c r="CIE99" s="2802"/>
      <c r="CIF99" s="2565"/>
      <c r="CIG99" s="2021"/>
      <c r="CIH99" s="1062"/>
      <c r="CII99" s="1062"/>
      <c r="CIJ99" s="1061"/>
      <c r="CIK99" s="1027"/>
      <c r="CIL99" s="2803"/>
      <c r="CIM99" s="2802"/>
      <c r="CIN99" s="2565"/>
      <c r="CIO99" s="2021"/>
      <c r="CIP99" s="1062"/>
      <c r="CIQ99" s="1062"/>
      <c r="CIR99" s="1061"/>
      <c r="CIS99" s="1027"/>
      <c r="CIT99" s="2803"/>
      <c r="CIU99" s="2802"/>
      <c r="CIV99" s="2565"/>
      <c r="CIW99" s="2021"/>
      <c r="CIX99" s="1062"/>
      <c r="CIY99" s="1062"/>
      <c r="CIZ99" s="1061"/>
      <c r="CJA99" s="1027"/>
      <c r="CJB99" s="2803"/>
      <c r="CJC99" s="2802"/>
      <c r="CJD99" s="2565"/>
      <c r="CJE99" s="2021"/>
      <c r="CJF99" s="1062"/>
      <c r="CJG99" s="1062"/>
      <c r="CJH99" s="1061"/>
      <c r="CJI99" s="1027"/>
      <c r="CJJ99" s="2803"/>
      <c r="CJK99" s="2802"/>
      <c r="CJL99" s="2565"/>
      <c r="CJM99" s="2021"/>
      <c r="CJN99" s="1062"/>
      <c r="CJO99" s="1062"/>
      <c r="CJP99" s="1061"/>
      <c r="CJQ99" s="1027"/>
      <c r="CJR99" s="2803"/>
      <c r="CJS99" s="2802"/>
      <c r="CJT99" s="2565"/>
      <c r="CJU99" s="2021"/>
      <c r="CJV99" s="1062"/>
      <c r="CJW99" s="1062"/>
      <c r="CJX99" s="1061"/>
      <c r="CJY99" s="1027"/>
      <c r="CJZ99" s="2803"/>
      <c r="CKA99" s="2802"/>
      <c r="CKB99" s="2565"/>
      <c r="CKC99" s="2021"/>
      <c r="CKD99" s="1062"/>
      <c r="CKE99" s="1062"/>
      <c r="CKF99" s="1061"/>
      <c r="CKG99" s="1027"/>
      <c r="CKH99" s="2803"/>
      <c r="CKI99" s="2802"/>
      <c r="CKJ99" s="2565"/>
      <c r="CKK99" s="2021"/>
      <c r="CKL99" s="1062"/>
      <c r="CKM99" s="1062"/>
      <c r="CKN99" s="1061"/>
      <c r="CKO99" s="1027"/>
      <c r="CKP99" s="2803"/>
      <c r="CKQ99" s="2802"/>
      <c r="CKR99" s="2565"/>
      <c r="CKS99" s="2021"/>
      <c r="CKT99" s="1062"/>
      <c r="CKU99" s="1062"/>
      <c r="CKV99" s="1061"/>
      <c r="CKW99" s="1027"/>
      <c r="CKX99" s="2803"/>
      <c r="CKY99" s="2802"/>
      <c r="CKZ99" s="2565"/>
      <c r="CLA99" s="2021"/>
      <c r="CLB99" s="1062"/>
      <c r="CLC99" s="1062"/>
      <c r="CLD99" s="1061"/>
      <c r="CLE99" s="1027"/>
      <c r="CLF99" s="2803"/>
      <c r="CLG99" s="2802"/>
      <c r="CLH99" s="2565"/>
      <c r="CLI99" s="2021"/>
      <c r="CLJ99" s="1062"/>
      <c r="CLK99" s="1062"/>
      <c r="CLL99" s="1061"/>
      <c r="CLM99" s="1027"/>
      <c r="CLN99" s="2803"/>
      <c r="CLO99" s="2802"/>
      <c r="CLP99" s="2565"/>
      <c r="CLQ99" s="2021"/>
      <c r="CLR99" s="1062"/>
      <c r="CLS99" s="1062"/>
      <c r="CLT99" s="1061"/>
      <c r="CLU99" s="1027"/>
      <c r="CLV99" s="2803"/>
      <c r="CLW99" s="2802"/>
      <c r="CLX99" s="2565"/>
      <c r="CLY99" s="2021"/>
      <c r="CLZ99" s="1062"/>
      <c r="CMA99" s="1062"/>
      <c r="CMB99" s="1061"/>
      <c r="CMC99" s="1027"/>
      <c r="CMD99" s="2803"/>
      <c r="CME99" s="2802"/>
      <c r="CMF99" s="2565"/>
      <c r="CMG99" s="2021"/>
      <c r="CMH99" s="1062"/>
      <c r="CMI99" s="1062"/>
      <c r="CMJ99" s="1061"/>
      <c r="CMK99" s="1027"/>
      <c r="CML99" s="2803"/>
      <c r="CMM99" s="2802"/>
      <c r="CMN99" s="2565"/>
      <c r="CMO99" s="2021"/>
      <c r="CMP99" s="1062"/>
      <c r="CMQ99" s="1062"/>
      <c r="CMR99" s="1061"/>
      <c r="CMS99" s="1027"/>
      <c r="CMT99" s="2803"/>
      <c r="CMU99" s="2802"/>
      <c r="CMV99" s="2565"/>
      <c r="CMW99" s="2021"/>
      <c r="CMX99" s="1062"/>
      <c r="CMY99" s="1062"/>
      <c r="CMZ99" s="1061"/>
      <c r="CNA99" s="1027"/>
      <c r="CNB99" s="2803"/>
      <c r="CNC99" s="2802"/>
      <c r="CND99" s="2565"/>
      <c r="CNE99" s="2021"/>
      <c r="CNF99" s="1062"/>
      <c r="CNG99" s="1062"/>
      <c r="CNH99" s="1061"/>
      <c r="CNI99" s="1027"/>
      <c r="CNJ99" s="2803"/>
      <c r="CNK99" s="2802"/>
      <c r="CNL99" s="2565"/>
      <c r="CNM99" s="2021"/>
      <c r="CNN99" s="1062"/>
      <c r="CNO99" s="1062"/>
      <c r="CNP99" s="1061"/>
      <c r="CNQ99" s="1027"/>
      <c r="CNR99" s="2803"/>
      <c r="CNS99" s="2802"/>
      <c r="CNT99" s="2565"/>
      <c r="CNU99" s="2021"/>
      <c r="CNV99" s="1062"/>
      <c r="CNW99" s="1062"/>
      <c r="CNX99" s="1061"/>
      <c r="CNY99" s="1027"/>
      <c r="CNZ99" s="2803"/>
      <c r="COA99" s="2802"/>
      <c r="COB99" s="2565"/>
      <c r="COC99" s="2021"/>
      <c r="COD99" s="1062"/>
      <c r="COE99" s="1062"/>
      <c r="COF99" s="1061"/>
      <c r="COG99" s="1027"/>
      <c r="COH99" s="2803"/>
      <c r="COI99" s="2802"/>
      <c r="COJ99" s="2565"/>
      <c r="COK99" s="2021"/>
      <c r="COL99" s="1062"/>
      <c r="COM99" s="1062"/>
      <c r="CON99" s="1061"/>
      <c r="COO99" s="1027"/>
      <c r="COP99" s="2803"/>
      <c r="COQ99" s="2802"/>
      <c r="COR99" s="2565"/>
      <c r="COS99" s="2021"/>
      <c r="COT99" s="1062"/>
      <c r="COU99" s="1062"/>
      <c r="COV99" s="1061"/>
      <c r="COW99" s="1027"/>
      <c r="COX99" s="2803"/>
      <c r="COY99" s="2802"/>
      <c r="COZ99" s="2565"/>
      <c r="CPA99" s="2021"/>
      <c r="CPB99" s="1062"/>
      <c r="CPC99" s="1062"/>
      <c r="CPD99" s="1061"/>
      <c r="CPE99" s="1027"/>
      <c r="CPF99" s="2803"/>
      <c r="CPG99" s="2802"/>
      <c r="CPH99" s="2565"/>
      <c r="CPI99" s="2021"/>
      <c r="CPJ99" s="1062"/>
      <c r="CPK99" s="1062"/>
      <c r="CPL99" s="1061"/>
      <c r="CPM99" s="1027"/>
      <c r="CPN99" s="2803"/>
      <c r="CPO99" s="2802"/>
      <c r="CPP99" s="2565"/>
      <c r="CPQ99" s="2021"/>
      <c r="CPR99" s="1062"/>
      <c r="CPS99" s="1062"/>
      <c r="CPT99" s="1061"/>
      <c r="CPU99" s="1027"/>
      <c r="CPV99" s="2803"/>
      <c r="CPW99" s="2802"/>
      <c r="CPX99" s="2565"/>
      <c r="CPY99" s="2021"/>
      <c r="CPZ99" s="1062"/>
      <c r="CQA99" s="1062"/>
      <c r="CQB99" s="1061"/>
      <c r="CQC99" s="1027"/>
      <c r="CQD99" s="2803"/>
      <c r="CQE99" s="2802"/>
      <c r="CQF99" s="2565"/>
      <c r="CQG99" s="2021"/>
      <c r="CQH99" s="1062"/>
      <c r="CQI99" s="1062"/>
      <c r="CQJ99" s="1061"/>
      <c r="CQK99" s="1027"/>
      <c r="CQL99" s="2803"/>
      <c r="CQM99" s="2802"/>
      <c r="CQN99" s="2565"/>
      <c r="CQO99" s="2021"/>
      <c r="CQP99" s="1062"/>
      <c r="CQQ99" s="1062"/>
      <c r="CQR99" s="1061"/>
      <c r="CQS99" s="1027"/>
      <c r="CQT99" s="2803"/>
      <c r="CQU99" s="2802"/>
      <c r="CQV99" s="2565"/>
      <c r="CQW99" s="2021"/>
      <c r="CQX99" s="1062"/>
      <c r="CQY99" s="1062"/>
      <c r="CQZ99" s="1061"/>
      <c r="CRA99" s="1027"/>
      <c r="CRB99" s="2803"/>
      <c r="CRC99" s="2802"/>
      <c r="CRD99" s="2565"/>
      <c r="CRE99" s="2021"/>
      <c r="CRF99" s="1062"/>
      <c r="CRG99" s="1062"/>
      <c r="CRH99" s="1061"/>
      <c r="CRI99" s="1027"/>
      <c r="CRJ99" s="2803"/>
      <c r="CRK99" s="2802"/>
      <c r="CRL99" s="2565"/>
      <c r="CRM99" s="2021"/>
      <c r="CRN99" s="1062"/>
      <c r="CRO99" s="1062"/>
      <c r="CRP99" s="1061"/>
      <c r="CRQ99" s="1027"/>
      <c r="CRR99" s="2803"/>
      <c r="CRS99" s="2802"/>
      <c r="CRT99" s="2565"/>
      <c r="CRU99" s="2021"/>
      <c r="CRV99" s="1062"/>
      <c r="CRW99" s="1062"/>
      <c r="CRX99" s="1061"/>
      <c r="CRY99" s="1027"/>
      <c r="CRZ99" s="2803"/>
      <c r="CSA99" s="2802"/>
      <c r="CSB99" s="2565"/>
      <c r="CSC99" s="2021"/>
      <c r="CSD99" s="1062"/>
      <c r="CSE99" s="1062"/>
      <c r="CSF99" s="1061"/>
      <c r="CSG99" s="1027"/>
      <c r="CSH99" s="2803"/>
      <c r="CSI99" s="2802"/>
      <c r="CSJ99" s="2565"/>
      <c r="CSK99" s="2021"/>
      <c r="CSL99" s="1062"/>
      <c r="CSM99" s="1062"/>
      <c r="CSN99" s="1061"/>
      <c r="CSO99" s="1027"/>
      <c r="CSP99" s="2803"/>
      <c r="CSQ99" s="2802"/>
      <c r="CSR99" s="2565"/>
      <c r="CSS99" s="2021"/>
      <c r="CST99" s="1062"/>
      <c r="CSU99" s="1062"/>
      <c r="CSV99" s="1061"/>
      <c r="CSW99" s="1027"/>
      <c r="CSX99" s="2803"/>
      <c r="CSY99" s="2802"/>
      <c r="CSZ99" s="2565"/>
      <c r="CTA99" s="2021"/>
      <c r="CTB99" s="1062"/>
      <c r="CTC99" s="1062"/>
      <c r="CTD99" s="1061"/>
      <c r="CTE99" s="1027"/>
      <c r="CTF99" s="2803"/>
      <c r="CTG99" s="2802"/>
      <c r="CTH99" s="2565"/>
      <c r="CTI99" s="2021"/>
      <c r="CTJ99" s="1062"/>
      <c r="CTK99" s="1062"/>
      <c r="CTL99" s="1061"/>
      <c r="CTM99" s="1027"/>
      <c r="CTN99" s="2803"/>
      <c r="CTO99" s="2802"/>
      <c r="CTP99" s="2565"/>
      <c r="CTQ99" s="2021"/>
      <c r="CTR99" s="1062"/>
      <c r="CTS99" s="1062"/>
      <c r="CTT99" s="1061"/>
      <c r="CTU99" s="1027"/>
      <c r="CTV99" s="2803"/>
      <c r="CTW99" s="2802"/>
      <c r="CTX99" s="2565"/>
      <c r="CTY99" s="2021"/>
      <c r="CTZ99" s="1062"/>
      <c r="CUA99" s="1062"/>
      <c r="CUB99" s="1061"/>
      <c r="CUC99" s="1027"/>
      <c r="CUD99" s="2803"/>
      <c r="CUE99" s="2802"/>
      <c r="CUF99" s="2565"/>
      <c r="CUG99" s="2021"/>
      <c r="CUH99" s="1062"/>
      <c r="CUI99" s="1062"/>
      <c r="CUJ99" s="1061"/>
      <c r="CUK99" s="1027"/>
      <c r="CUL99" s="2803"/>
      <c r="CUM99" s="2802"/>
      <c r="CUN99" s="2565"/>
      <c r="CUO99" s="2021"/>
      <c r="CUP99" s="1062"/>
      <c r="CUQ99" s="1062"/>
      <c r="CUR99" s="1061"/>
      <c r="CUS99" s="1027"/>
      <c r="CUT99" s="2803"/>
      <c r="CUU99" s="2802"/>
      <c r="CUV99" s="2565"/>
      <c r="CUW99" s="2021"/>
      <c r="CUX99" s="1062"/>
      <c r="CUY99" s="1062"/>
      <c r="CUZ99" s="1061"/>
      <c r="CVA99" s="1027"/>
      <c r="CVB99" s="2803"/>
      <c r="CVC99" s="2802"/>
      <c r="CVD99" s="2565"/>
      <c r="CVE99" s="2021"/>
      <c r="CVF99" s="1062"/>
      <c r="CVG99" s="1062"/>
      <c r="CVH99" s="1061"/>
      <c r="CVI99" s="1027"/>
      <c r="CVJ99" s="2803"/>
      <c r="CVK99" s="2802"/>
      <c r="CVL99" s="2565"/>
      <c r="CVM99" s="2021"/>
      <c r="CVN99" s="1062"/>
      <c r="CVO99" s="1062"/>
      <c r="CVP99" s="1061"/>
      <c r="CVQ99" s="1027"/>
      <c r="CVR99" s="2803"/>
      <c r="CVS99" s="2802"/>
      <c r="CVT99" s="2565"/>
      <c r="CVU99" s="2021"/>
      <c r="CVV99" s="1062"/>
      <c r="CVW99" s="1062"/>
      <c r="CVX99" s="1061"/>
      <c r="CVY99" s="1027"/>
      <c r="CVZ99" s="2803"/>
      <c r="CWA99" s="2802"/>
      <c r="CWB99" s="2565"/>
      <c r="CWC99" s="2021"/>
      <c r="CWD99" s="1062"/>
      <c r="CWE99" s="1062"/>
      <c r="CWF99" s="1061"/>
      <c r="CWG99" s="1027"/>
      <c r="CWH99" s="2803"/>
      <c r="CWI99" s="2802"/>
      <c r="CWJ99" s="2565"/>
      <c r="CWK99" s="2021"/>
      <c r="CWL99" s="1062"/>
      <c r="CWM99" s="1062"/>
      <c r="CWN99" s="1061"/>
      <c r="CWO99" s="1027"/>
      <c r="CWP99" s="2803"/>
      <c r="CWQ99" s="2802"/>
      <c r="CWR99" s="2565"/>
      <c r="CWS99" s="2021"/>
      <c r="CWT99" s="1062"/>
      <c r="CWU99" s="1062"/>
      <c r="CWV99" s="1061"/>
      <c r="CWW99" s="1027"/>
      <c r="CWX99" s="2803"/>
      <c r="CWY99" s="2802"/>
      <c r="CWZ99" s="2565"/>
      <c r="CXA99" s="2021"/>
      <c r="CXB99" s="1062"/>
      <c r="CXC99" s="1062"/>
      <c r="CXD99" s="1061"/>
      <c r="CXE99" s="1027"/>
      <c r="CXF99" s="2803"/>
      <c r="CXG99" s="2802"/>
      <c r="CXH99" s="2565"/>
      <c r="CXI99" s="2021"/>
      <c r="CXJ99" s="1062"/>
      <c r="CXK99" s="1062"/>
      <c r="CXL99" s="1061"/>
      <c r="CXM99" s="1027"/>
      <c r="CXN99" s="2803"/>
      <c r="CXO99" s="2802"/>
      <c r="CXP99" s="2565"/>
      <c r="CXQ99" s="2021"/>
      <c r="CXR99" s="1062"/>
      <c r="CXS99" s="1062"/>
      <c r="CXT99" s="1061"/>
      <c r="CXU99" s="1027"/>
      <c r="CXV99" s="2803"/>
      <c r="CXW99" s="2802"/>
      <c r="CXX99" s="2565"/>
      <c r="CXY99" s="2021"/>
      <c r="CXZ99" s="1062"/>
      <c r="CYA99" s="1062"/>
      <c r="CYB99" s="1061"/>
      <c r="CYC99" s="1027"/>
      <c r="CYD99" s="2803"/>
      <c r="CYE99" s="2802"/>
      <c r="CYF99" s="2565"/>
      <c r="CYG99" s="2021"/>
      <c r="CYH99" s="1062"/>
      <c r="CYI99" s="1062"/>
      <c r="CYJ99" s="1061"/>
      <c r="CYK99" s="1027"/>
      <c r="CYL99" s="2803"/>
      <c r="CYM99" s="2802"/>
      <c r="CYN99" s="2565"/>
      <c r="CYO99" s="2021"/>
      <c r="CYP99" s="1062"/>
      <c r="CYQ99" s="1062"/>
      <c r="CYR99" s="1061"/>
      <c r="CYS99" s="1027"/>
      <c r="CYT99" s="2803"/>
      <c r="CYU99" s="2802"/>
      <c r="CYV99" s="2565"/>
      <c r="CYW99" s="2021"/>
      <c r="CYX99" s="1062"/>
      <c r="CYY99" s="1062"/>
      <c r="CYZ99" s="1061"/>
      <c r="CZA99" s="1027"/>
      <c r="CZB99" s="2803"/>
      <c r="CZC99" s="2802"/>
      <c r="CZD99" s="2565"/>
      <c r="CZE99" s="2021"/>
      <c r="CZF99" s="1062"/>
      <c r="CZG99" s="1062"/>
      <c r="CZH99" s="1061"/>
      <c r="CZI99" s="1027"/>
      <c r="CZJ99" s="2803"/>
      <c r="CZK99" s="2802"/>
      <c r="CZL99" s="2565"/>
      <c r="CZM99" s="2021"/>
      <c r="CZN99" s="1062"/>
      <c r="CZO99" s="1062"/>
      <c r="CZP99" s="1061"/>
      <c r="CZQ99" s="1027"/>
      <c r="CZR99" s="2803"/>
      <c r="CZS99" s="2802"/>
      <c r="CZT99" s="2565"/>
      <c r="CZU99" s="2021"/>
      <c r="CZV99" s="1062"/>
      <c r="CZW99" s="1062"/>
      <c r="CZX99" s="1061"/>
      <c r="CZY99" s="1027"/>
      <c r="CZZ99" s="2803"/>
      <c r="DAA99" s="2802"/>
      <c r="DAB99" s="2565"/>
      <c r="DAC99" s="2021"/>
      <c r="DAD99" s="1062"/>
      <c r="DAE99" s="1062"/>
      <c r="DAF99" s="1061"/>
      <c r="DAG99" s="1027"/>
      <c r="DAH99" s="2803"/>
      <c r="DAI99" s="2802"/>
      <c r="DAJ99" s="2565"/>
      <c r="DAK99" s="2021"/>
      <c r="DAL99" s="1062"/>
      <c r="DAM99" s="1062"/>
      <c r="DAN99" s="1061"/>
      <c r="DAO99" s="1027"/>
      <c r="DAP99" s="2803"/>
      <c r="DAQ99" s="2802"/>
      <c r="DAR99" s="2565"/>
      <c r="DAS99" s="2021"/>
      <c r="DAT99" s="1062"/>
      <c r="DAU99" s="1062"/>
      <c r="DAV99" s="1061"/>
      <c r="DAW99" s="1027"/>
      <c r="DAX99" s="2803"/>
      <c r="DAY99" s="2802"/>
      <c r="DAZ99" s="2565"/>
      <c r="DBA99" s="2021"/>
      <c r="DBB99" s="1062"/>
      <c r="DBC99" s="1062"/>
      <c r="DBD99" s="1061"/>
      <c r="DBE99" s="1027"/>
      <c r="DBF99" s="2803"/>
      <c r="DBG99" s="2802"/>
      <c r="DBH99" s="2565"/>
      <c r="DBI99" s="2021"/>
      <c r="DBJ99" s="1062"/>
      <c r="DBK99" s="1062"/>
      <c r="DBL99" s="1061"/>
      <c r="DBM99" s="1027"/>
      <c r="DBN99" s="2803"/>
      <c r="DBO99" s="2802"/>
      <c r="DBP99" s="2565"/>
      <c r="DBQ99" s="2021"/>
      <c r="DBR99" s="1062"/>
      <c r="DBS99" s="1062"/>
      <c r="DBT99" s="1061"/>
      <c r="DBU99" s="1027"/>
      <c r="DBV99" s="2803"/>
      <c r="DBW99" s="2802"/>
      <c r="DBX99" s="2565"/>
      <c r="DBY99" s="2021"/>
      <c r="DBZ99" s="1062"/>
      <c r="DCA99" s="1062"/>
      <c r="DCB99" s="1061"/>
      <c r="DCC99" s="1027"/>
      <c r="DCD99" s="2803"/>
      <c r="DCE99" s="2802"/>
      <c r="DCF99" s="2565"/>
      <c r="DCG99" s="2021"/>
      <c r="DCH99" s="1062"/>
      <c r="DCI99" s="1062"/>
      <c r="DCJ99" s="1061"/>
      <c r="DCK99" s="1027"/>
      <c r="DCL99" s="2803"/>
      <c r="DCM99" s="2802"/>
      <c r="DCN99" s="2565"/>
      <c r="DCO99" s="2021"/>
      <c r="DCP99" s="1062"/>
      <c r="DCQ99" s="1062"/>
      <c r="DCR99" s="1061"/>
      <c r="DCS99" s="1027"/>
      <c r="DCT99" s="2803"/>
      <c r="DCU99" s="2802"/>
      <c r="DCV99" s="2565"/>
      <c r="DCW99" s="2021"/>
      <c r="DCX99" s="1062"/>
      <c r="DCY99" s="1062"/>
      <c r="DCZ99" s="1061"/>
      <c r="DDA99" s="1027"/>
      <c r="DDB99" s="2803"/>
      <c r="DDC99" s="2802"/>
      <c r="DDD99" s="2565"/>
      <c r="DDE99" s="2021"/>
      <c r="DDF99" s="1062"/>
      <c r="DDG99" s="1062"/>
      <c r="DDH99" s="1061"/>
      <c r="DDI99" s="1027"/>
      <c r="DDJ99" s="2803"/>
      <c r="DDK99" s="2802"/>
      <c r="DDL99" s="2565"/>
      <c r="DDM99" s="2021"/>
      <c r="DDN99" s="1062"/>
      <c r="DDO99" s="1062"/>
      <c r="DDP99" s="1061"/>
      <c r="DDQ99" s="1027"/>
      <c r="DDR99" s="2803"/>
      <c r="DDS99" s="2802"/>
      <c r="DDT99" s="2565"/>
      <c r="DDU99" s="2021"/>
      <c r="DDV99" s="1062"/>
      <c r="DDW99" s="1062"/>
      <c r="DDX99" s="1061"/>
      <c r="DDY99" s="1027"/>
      <c r="DDZ99" s="2803"/>
      <c r="DEA99" s="2802"/>
      <c r="DEB99" s="2565"/>
      <c r="DEC99" s="2021"/>
      <c r="DED99" s="1062"/>
      <c r="DEE99" s="1062"/>
      <c r="DEF99" s="1061"/>
      <c r="DEG99" s="1027"/>
      <c r="DEH99" s="2803"/>
      <c r="DEI99" s="2802"/>
      <c r="DEJ99" s="2565"/>
      <c r="DEK99" s="2021"/>
      <c r="DEL99" s="1062"/>
      <c r="DEM99" s="1062"/>
      <c r="DEN99" s="1061"/>
      <c r="DEO99" s="1027"/>
      <c r="DEP99" s="2803"/>
      <c r="DEQ99" s="2802"/>
      <c r="DER99" s="2565"/>
      <c r="DES99" s="2021"/>
      <c r="DET99" s="1062"/>
      <c r="DEU99" s="1062"/>
      <c r="DEV99" s="1061"/>
      <c r="DEW99" s="1027"/>
      <c r="DEX99" s="2803"/>
      <c r="DEY99" s="2802"/>
      <c r="DEZ99" s="2565"/>
      <c r="DFA99" s="2021"/>
      <c r="DFB99" s="1062"/>
      <c r="DFC99" s="1062"/>
      <c r="DFD99" s="1061"/>
      <c r="DFE99" s="1027"/>
      <c r="DFF99" s="2803"/>
      <c r="DFG99" s="2802"/>
      <c r="DFH99" s="2565"/>
      <c r="DFI99" s="2021"/>
      <c r="DFJ99" s="1062"/>
      <c r="DFK99" s="1062"/>
      <c r="DFL99" s="1061"/>
      <c r="DFM99" s="1027"/>
      <c r="DFN99" s="2803"/>
      <c r="DFO99" s="2802"/>
      <c r="DFP99" s="2565"/>
      <c r="DFQ99" s="2021"/>
      <c r="DFR99" s="1062"/>
      <c r="DFS99" s="1062"/>
      <c r="DFT99" s="1061"/>
      <c r="DFU99" s="1027"/>
      <c r="DFV99" s="2803"/>
      <c r="DFW99" s="2802"/>
      <c r="DFX99" s="2565"/>
      <c r="DFY99" s="2021"/>
      <c r="DFZ99" s="1062"/>
      <c r="DGA99" s="1062"/>
      <c r="DGB99" s="1061"/>
      <c r="DGC99" s="1027"/>
      <c r="DGD99" s="2803"/>
      <c r="DGE99" s="2802"/>
      <c r="DGF99" s="2565"/>
      <c r="DGG99" s="2021"/>
      <c r="DGH99" s="1062"/>
      <c r="DGI99" s="1062"/>
      <c r="DGJ99" s="1061"/>
      <c r="DGK99" s="1027"/>
      <c r="DGL99" s="2803"/>
      <c r="DGM99" s="2802"/>
      <c r="DGN99" s="2565"/>
      <c r="DGO99" s="2021"/>
      <c r="DGP99" s="1062"/>
      <c r="DGQ99" s="1062"/>
      <c r="DGR99" s="1061"/>
      <c r="DGS99" s="1027"/>
      <c r="DGT99" s="2803"/>
      <c r="DGU99" s="2802"/>
      <c r="DGV99" s="2565"/>
      <c r="DGW99" s="2021"/>
      <c r="DGX99" s="1062"/>
      <c r="DGY99" s="1062"/>
      <c r="DGZ99" s="1061"/>
      <c r="DHA99" s="1027"/>
      <c r="DHB99" s="2803"/>
      <c r="DHC99" s="2802"/>
      <c r="DHD99" s="2565"/>
      <c r="DHE99" s="2021"/>
      <c r="DHF99" s="1062"/>
      <c r="DHG99" s="1062"/>
      <c r="DHH99" s="1061"/>
      <c r="DHI99" s="1027"/>
      <c r="DHJ99" s="2803"/>
      <c r="DHK99" s="2802"/>
      <c r="DHL99" s="2565"/>
      <c r="DHM99" s="2021"/>
      <c r="DHN99" s="1062"/>
      <c r="DHO99" s="1062"/>
      <c r="DHP99" s="1061"/>
      <c r="DHQ99" s="1027"/>
      <c r="DHR99" s="2803"/>
      <c r="DHS99" s="2802"/>
      <c r="DHT99" s="2565"/>
      <c r="DHU99" s="2021"/>
      <c r="DHV99" s="1062"/>
      <c r="DHW99" s="1062"/>
      <c r="DHX99" s="1061"/>
      <c r="DHY99" s="1027"/>
      <c r="DHZ99" s="2803"/>
      <c r="DIA99" s="2802"/>
      <c r="DIB99" s="2565"/>
      <c r="DIC99" s="2021"/>
      <c r="DID99" s="1062"/>
      <c r="DIE99" s="1062"/>
      <c r="DIF99" s="1061"/>
      <c r="DIG99" s="1027"/>
      <c r="DIH99" s="2803"/>
      <c r="DII99" s="2802"/>
      <c r="DIJ99" s="2565"/>
      <c r="DIK99" s="2021"/>
      <c r="DIL99" s="1062"/>
      <c r="DIM99" s="1062"/>
      <c r="DIN99" s="1061"/>
      <c r="DIO99" s="1027"/>
      <c r="DIP99" s="2803"/>
      <c r="DIQ99" s="2802"/>
      <c r="DIR99" s="2565"/>
      <c r="DIS99" s="2021"/>
      <c r="DIT99" s="1062"/>
      <c r="DIU99" s="1062"/>
      <c r="DIV99" s="1061"/>
      <c r="DIW99" s="1027"/>
      <c r="DIX99" s="2803"/>
      <c r="DIY99" s="2802"/>
      <c r="DIZ99" s="2565"/>
      <c r="DJA99" s="2021"/>
      <c r="DJB99" s="1062"/>
      <c r="DJC99" s="1062"/>
      <c r="DJD99" s="1061"/>
      <c r="DJE99" s="1027"/>
      <c r="DJF99" s="2803"/>
      <c r="DJG99" s="2802"/>
      <c r="DJH99" s="2565"/>
      <c r="DJI99" s="2021"/>
      <c r="DJJ99" s="1062"/>
      <c r="DJK99" s="1062"/>
      <c r="DJL99" s="1061"/>
      <c r="DJM99" s="1027"/>
      <c r="DJN99" s="2803"/>
      <c r="DJO99" s="2802"/>
      <c r="DJP99" s="2565"/>
      <c r="DJQ99" s="2021"/>
      <c r="DJR99" s="1062"/>
      <c r="DJS99" s="1062"/>
      <c r="DJT99" s="1061"/>
      <c r="DJU99" s="1027"/>
      <c r="DJV99" s="2803"/>
      <c r="DJW99" s="2802"/>
      <c r="DJX99" s="2565"/>
      <c r="DJY99" s="2021"/>
      <c r="DJZ99" s="1062"/>
      <c r="DKA99" s="1062"/>
      <c r="DKB99" s="1061"/>
      <c r="DKC99" s="1027"/>
      <c r="DKD99" s="2803"/>
      <c r="DKE99" s="2802"/>
      <c r="DKF99" s="2565"/>
      <c r="DKG99" s="2021"/>
      <c r="DKH99" s="1062"/>
      <c r="DKI99" s="1062"/>
      <c r="DKJ99" s="1061"/>
      <c r="DKK99" s="1027"/>
      <c r="DKL99" s="2803"/>
      <c r="DKM99" s="2802"/>
      <c r="DKN99" s="2565"/>
      <c r="DKO99" s="2021"/>
      <c r="DKP99" s="1062"/>
      <c r="DKQ99" s="1062"/>
      <c r="DKR99" s="1061"/>
      <c r="DKS99" s="1027"/>
      <c r="DKT99" s="2803"/>
      <c r="DKU99" s="2802"/>
      <c r="DKV99" s="2565"/>
      <c r="DKW99" s="2021"/>
      <c r="DKX99" s="1062"/>
      <c r="DKY99" s="1062"/>
      <c r="DKZ99" s="1061"/>
      <c r="DLA99" s="1027"/>
      <c r="DLB99" s="2803"/>
      <c r="DLC99" s="2802"/>
      <c r="DLD99" s="2565"/>
      <c r="DLE99" s="2021"/>
      <c r="DLF99" s="1062"/>
      <c r="DLG99" s="1062"/>
      <c r="DLH99" s="1061"/>
      <c r="DLI99" s="1027"/>
      <c r="DLJ99" s="2803"/>
      <c r="DLK99" s="2802"/>
      <c r="DLL99" s="2565"/>
      <c r="DLM99" s="2021"/>
      <c r="DLN99" s="1062"/>
      <c r="DLO99" s="1062"/>
      <c r="DLP99" s="1061"/>
      <c r="DLQ99" s="1027"/>
      <c r="DLR99" s="2803"/>
      <c r="DLS99" s="2802"/>
      <c r="DLT99" s="2565"/>
      <c r="DLU99" s="2021"/>
      <c r="DLV99" s="1062"/>
      <c r="DLW99" s="1062"/>
      <c r="DLX99" s="1061"/>
      <c r="DLY99" s="1027"/>
      <c r="DLZ99" s="2803"/>
      <c r="DMA99" s="2802"/>
      <c r="DMB99" s="2565"/>
      <c r="DMC99" s="2021"/>
      <c r="DMD99" s="1062"/>
      <c r="DME99" s="1062"/>
      <c r="DMF99" s="1061"/>
      <c r="DMG99" s="1027"/>
      <c r="DMH99" s="2803"/>
      <c r="DMI99" s="2802"/>
      <c r="DMJ99" s="2565"/>
      <c r="DMK99" s="2021"/>
      <c r="DML99" s="1062"/>
      <c r="DMM99" s="1062"/>
      <c r="DMN99" s="1061"/>
      <c r="DMO99" s="1027"/>
      <c r="DMP99" s="2803"/>
      <c r="DMQ99" s="2802"/>
      <c r="DMR99" s="2565"/>
      <c r="DMS99" s="2021"/>
      <c r="DMT99" s="1062"/>
      <c r="DMU99" s="1062"/>
      <c r="DMV99" s="1061"/>
      <c r="DMW99" s="1027"/>
      <c r="DMX99" s="2803"/>
      <c r="DMY99" s="2802"/>
      <c r="DMZ99" s="2565"/>
      <c r="DNA99" s="2021"/>
      <c r="DNB99" s="1062"/>
      <c r="DNC99" s="1062"/>
      <c r="DND99" s="1061"/>
      <c r="DNE99" s="1027"/>
      <c r="DNF99" s="2803"/>
      <c r="DNG99" s="2802"/>
      <c r="DNH99" s="2565"/>
      <c r="DNI99" s="2021"/>
      <c r="DNJ99" s="1062"/>
      <c r="DNK99" s="1062"/>
      <c r="DNL99" s="1061"/>
      <c r="DNM99" s="1027"/>
      <c r="DNN99" s="2803"/>
      <c r="DNO99" s="2802"/>
      <c r="DNP99" s="2565"/>
      <c r="DNQ99" s="2021"/>
      <c r="DNR99" s="1062"/>
      <c r="DNS99" s="1062"/>
      <c r="DNT99" s="1061"/>
      <c r="DNU99" s="1027"/>
      <c r="DNV99" s="2803"/>
      <c r="DNW99" s="2802"/>
      <c r="DNX99" s="2565"/>
      <c r="DNY99" s="2021"/>
      <c r="DNZ99" s="1062"/>
      <c r="DOA99" s="1062"/>
      <c r="DOB99" s="1061"/>
      <c r="DOC99" s="1027"/>
      <c r="DOD99" s="2803"/>
      <c r="DOE99" s="2802"/>
      <c r="DOF99" s="2565"/>
      <c r="DOG99" s="2021"/>
      <c r="DOH99" s="1062"/>
      <c r="DOI99" s="1062"/>
      <c r="DOJ99" s="1061"/>
      <c r="DOK99" s="1027"/>
      <c r="DOL99" s="2803"/>
      <c r="DOM99" s="2802"/>
      <c r="DON99" s="2565"/>
      <c r="DOO99" s="2021"/>
      <c r="DOP99" s="1062"/>
      <c r="DOQ99" s="1062"/>
      <c r="DOR99" s="1061"/>
      <c r="DOS99" s="1027"/>
      <c r="DOT99" s="2803"/>
      <c r="DOU99" s="2802"/>
      <c r="DOV99" s="2565"/>
      <c r="DOW99" s="2021"/>
      <c r="DOX99" s="1062"/>
      <c r="DOY99" s="1062"/>
      <c r="DOZ99" s="1061"/>
      <c r="DPA99" s="1027"/>
      <c r="DPB99" s="2803"/>
      <c r="DPC99" s="2802"/>
      <c r="DPD99" s="2565"/>
      <c r="DPE99" s="2021"/>
      <c r="DPF99" s="1062"/>
      <c r="DPG99" s="1062"/>
      <c r="DPH99" s="1061"/>
      <c r="DPI99" s="1027"/>
      <c r="DPJ99" s="2803"/>
      <c r="DPK99" s="2802"/>
      <c r="DPL99" s="2565"/>
      <c r="DPM99" s="2021"/>
      <c r="DPN99" s="1062"/>
      <c r="DPO99" s="1062"/>
      <c r="DPP99" s="1061"/>
      <c r="DPQ99" s="1027"/>
      <c r="DPR99" s="2803"/>
      <c r="DPS99" s="2802"/>
      <c r="DPT99" s="2565"/>
      <c r="DPU99" s="2021"/>
      <c r="DPV99" s="1062"/>
      <c r="DPW99" s="1062"/>
      <c r="DPX99" s="1061"/>
      <c r="DPY99" s="1027"/>
      <c r="DPZ99" s="2803"/>
      <c r="DQA99" s="2802"/>
      <c r="DQB99" s="2565"/>
      <c r="DQC99" s="2021"/>
      <c r="DQD99" s="1062"/>
      <c r="DQE99" s="1062"/>
      <c r="DQF99" s="1061"/>
      <c r="DQG99" s="1027"/>
      <c r="DQH99" s="2803"/>
      <c r="DQI99" s="2802"/>
      <c r="DQJ99" s="2565"/>
      <c r="DQK99" s="2021"/>
      <c r="DQL99" s="1062"/>
      <c r="DQM99" s="1062"/>
      <c r="DQN99" s="1061"/>
      <c r="DQO99" s="1027"/>
      <c r="DQP99" s="2803"/>
      <c r="DQQ99" s="2802"/>
      <c r="DQR99" s="2565"/>
      <c r="DQS99" s="2021"/>
      <c r="DQT99" s="1062"/>
      <c r="DQU99" s="1062"/>
      <c r="DQV99" s="1061"/>
      <c r="DQW99" s="1027"/>
      <c r="DQX99" s="2803"/>
      <c r="DQY99" s="2802"/>
      <c r="DQZ99" s="2565"/>
      <c r="DRA99" s="2021"/>
      <c r="DRB99" s="1062"/>
      <c r="DRC99" s="1062"/>
      <c r="DRD99" s="1061"/>
      <c r="DRE99" s="1027"/>
      <c r="DRF99" s="2803"/>
      <c r="DRG99" s="2802"/>
      <c r="DRH99" s="2565"/>
      <c r="DRI99" s="2021"/>
      <c r="DRJ99" s="1062"/>
      <c r="DRK99" s="1062"/>
      <c r="DRL99" s="1061"/>
      <c r="DRM99" s="1027"/>
      <c r="DRN99" s="2803"/>
      <c r="DRO99" s="2802"/>
      <c r="DRP99" s="2565"/>
      <c r="DRQ99" s="2021"/>
      <c r="DRR99" s="1062"/>
      <c r="DRS99" s="1062"/>
      <c r="DRT99" s="1061"/>
      <c r="DRU99" s="1027"/>
      <c r="DRV99" s="2803"/>
      <c r="DRW99" s="2802"/>
      <c r="DRX99" s="2565"/>
      <c r="DRY99" s="2021"/>
      <c r="DRZ99" s="1062"/>
      <c r="DSA99" s="1062"/>
      <c r="DSB99" s="1061"/>
      <c r="DSC99" s="1027"/>
      <c r="DSD99" s="2803"/>
      <c r="DSE99" s="2802"/>
      <c r="DSF99" s="2565"/>
      <c r="DSG99" s="2021"/>
      <c r="DSH99" s="1062"/>
      <c r="DSI99" s="1062"/>
      <c r="DSJ99" s="1061"/>
      <c r="DSK99" s="1027"/>
      <c r="DSL99" s="2803"/>
      <c r="DSM99" s="2802"/>
      <c r="DSN99" s="2565"/>
      <c r="DSO99" s="2021"/>
      <c r="DSP99" s="1062"/>
      <c r="DSQ99" s="1062"/>
      <c r="DSR99" s="1061"/>
      <c r="DSS99" s="1027"/>
      <c r="DST99" s="2803"/>
      <c r="DSU99" s="2802"/>
      <c r="DSV99" s="2565"/>
      <c r="DSW99" s="2021"/>
      <c r="DSX99" s="1062"/>
      <c r="DSY99" s="1062"/>
      <c r="DSZ99" s="1061"/>
      <c r="DTA99" s="1027"/>
      <c r="DTB99" s="2803"/>
      <c r="DTC99" s="2802"/>
      <c r="DTD99" s="2565"/>
      <c r="DTE99" s="2021"/>
      <c r="DTF99" s="1062"/>
      <c r="DTG99" s="1062"/>
      <c r="DTH99" s="1061"/>
      <c r="DTI99" s="1027"/>
      <c r="DTJ99" s="2803"/>
      <c r="DTK99" s="2802"/>
      <c r="DTL99" s="2565"/>
      <c r="DTM99" s="2021"/>
      <c r="DTN99" s="1062"/>
      <c r="DTO99" s="1062"/>
      <c r="DTP99" s="1061"/>
      <c r="DTQ99" s="1027"/>
      <c r="DTR99" s="2803"/>
      <c r="DTS99" s="2802"/>
      <c r="DTT99" s="2565"/>
      <c r="DTU99" s="2021"/>
      <c r="DTV99" s="1062"/>
      <c r="DTW99" s="1062"/>
      <c r="DTX99" s="1061"/>
      <c r="DTY99" s="1027"/>
      <c r="DTZ99" s="2803"/>
      <c r="DUA99" s="2802"/>
      <c r="DUB99" s="2565"/>
      <c r="DUC99" s="2021"/>
      <c r="DUD99" s="1062"/>
      <c r="DUE99" s="1062"/>
      <c r="DUF99" s="1061"/>
      <c r="DUG99" s="1027"/>
      <c r="DUH99" s="2803"/>
      <c r="DUI99" s="2802"/>
      <c r="DUJ99" s="2565"/>
      <c r="DUK99" s="2021"/>
      <c r="DUL99" s="1062"/>
      <c r="DUM99" s="1062"/>
      <c r="DUN99" s="1061"/>
      <c r="DUO99" s="1027"/>
      <c r="DUP99" s="2803"/>
      <c r="DUQ99" s="2802"/>
      <c r="DUR99" s="2565"/>
      <c r="DUS99" s="2021"/>
      <c r="DUT99" s="1062"/>
      <c r="DUU99" s="1062"/>
      <c r="DUV99" s="1061"/>
      <c r="DUW99" s="1027"/>
      <c r="DUX99" s="2803"/>
      <c r="DUY99" s="2802"/>
      <c r="DUZ99" s="2565"/>
      <c r="DVA99" s="2021"/>
      <c r="DVB99" s="1062"/>
      <c r="DVC99" s="1062"/>
      <c r="DVD99" s="1061"/>
      <c r="DVE99" s="1027"/>
      <c r="DVF99" s="2803"/>
      <c r="DVG99" s="2802"/>
      <c r="DVH99" s="2565"/>
      <c r="DVI99" s="2021"/>
      <c r="DVJ99" s="1062"/>
      <c r="DVK99" s="1062"/>
      <c r="DVL99" s="1061"/>
      <c r="DVM99" s="1027"/>
      <c r="DVN99" s="2803"/>
      <c r="DVO99" s="2802"/>
      <c r="DVP99" s="2565"/>
      <c r="DVQ99" s="2021"/>
      <c r="DVR99" s="1062"/>
      <c r="DVS99" s="1062"/>
      <c r="DVT99" s="1061"/>
      <c r="DVU99" s="1027"/>
      <c r="DVV99" s="2803"/>
      <c r="DVW99" s="2802"/>
      <c r="DVX99" s="2565"/>
      <c r="DVY99" s="2021"/>
      <c r="DVZ99" s="1062"/>
      <c r="DWA99" s="1062"/>
      <c r="DWB99" s="1061"/>
      <c r="DWC99" s="1027"/>
      <c r="DWD99" s="2803"/>
      <c r="DWE99" s="2802"/>
      <c r="DWF99" s="2565"/>
      <c r="DWG99" s="2021"/>
      <c r="DWH99" s="1062"/>
      <c r="DWI99" s="1062"/>
      <c r="DWJ99" s="1061"/>
      <c r="DWK99" s="1027"/>
      <c r="DWL99" s="2803"/>
      <c r="DWM99" s="2802"/>
      <c r="DWN99" s="2565"/>
      <c r="DWO99" s="2021"/>
      <c r="DWP99" s="1062"/>
      <c r="DWQ99" s="1062"/>
      <c r="DWR99" s="1061"/>
      <c r="DWS99" s="1027"/>
      <c r="DWT99" s="2803"/>
      <c r="DWU99" s="2802"/>
      <c r="DWV99" s="2565"/>
      <c r="DWW99" s="2021"/>
      <c r="DWX99" s="1062"/>
      <c r="DWY99" s="1062"/>
      <c r="DWZ99" s="1061"/>
      <c r="DXA99" s="1027"/>
      <c r="DXB99" s="2803"/>
      <c r="DXC99" s="2802"/>
      <c r="DXD99" s="2565"/>
      <c r="DXE99" s="2021"/>
      <c r="DXF99" s="1062"/>
      <c r="DXG99" s="1062"/>
      <c r="DXH99" s="1061"/>
      <c r="DXI99" s="1027"/>
      <c r="DXJ99" s="2803"/>
      <c r="DXK99" s="2802"/>
      <c r="DXL99" s="2565"/>
      <c r="DXM99" s="2021"/>
      <c r="DXN99" s="1062"/>
      <c r="DXO99" s="1062"/>
      <c r="DXP99" s="1061"/>
      <c r="DXQ99" s="1027"/>
      <c r="DXR99" s="2803"/>
      <c r="DXS99" s="2802"/>
      <c r="DXT99" s="2565"/>
      <c r="DXU99" s="2021"/>
      <c r="DXV99" s="1062"/>
      <c r="DXW99" s="1062"/>
      <c r="DXX99" s="1061"/>
      <c r="DXY99" s="1027"/>
      <c r="DXZ99" s="2803"/>
      <c r="DYA99" s="2802"/>
      <c r="DYB99" s="2565"/>
      <c r="DYC99" s="2021"/>
      <c r="DYD99" s="1062"/>
      <c r="DYE99" s="1062"/>
      <c r="DYF99" s="1061"/>
      <c r="DYG99" s="1027"/>
      <c r="DYH99" s="2803"/>
      <c r="DYI99" s="2802"/>
      <c r="DYJ99" s="2565"/>
      <c r="DYK99" s="2021"/>
      <c r="DYL99" s="1062"/>
      <c r="DYM99" s="1062"/>
      <c r="DYN99" s="1061"/>
      <c r="DYO99" s="1027"/>
      <c r="DYP99" s="2803"/>
      <c r="DYQ99" s="2802"/>
      <c r="DYR99" s="2565"/>
      <c r="DYS99" s="2021"/>
      <c r="DYT99" s="1062"/>
      <c r="DYU99" s="1062"/>
      <c r="DYV99" s="1061"/>
      <c r="DYW99" s="1027"/>
      <c r="DYX99" s="2803"/>
      <c r="DYY99" s="2802"/>
      <c r="DYZ99" s="2565"/>
      <c r="DZA99" s="2021"/>
      <c r="DZB99" s="1062"/>
      <c r="DZC99" s="1062"/>
      <c r="DZD99" s="1061"/>
      <c r="DZE99" s="1027"/>
      <c r="DZF99" s="2803"/>
      <c r="DZG99" s="2802"/>
      <c r="DZH99" s="2565"/>
      <c r="DZI99" s="2021"/>
      <c r="DZJ99" s="1062"/>
      <c r="DZK99" s="1062"/>
      <c r="DZL99" s="1061"/>
      <c r="DZM99" s="1027"/>
      <c r="DZN99" s="2803"/>
      <c r="DZO99" s="2802"/>
      <c r="DZP99" s="2565"/>
      <c r="DZQ99" s="2021"/>
      <c r="DZR99" s="1062"/>
      <c r="DZS99" s="1062"/>
      <c r="DZT99" s="1061"/>
      <c r="DZU99" s="1027"/>
      <c r="DZV99" s="2803"/>
      <c r="DZW99" s="2802"/>
      <c r="DZX99" s="2565"/>
      <c r="DZY99" s="2021"/>
      <c r="DZZ99" s="1062"/>
      <c r="EAA99" s="1062"/>
      <c r="EAB99" s="1061"/>
      <c r="EAC99" s="1027"/>
      <c r="EAD99" s="2803"/>
      <c r="EAE99" s="2802"/>
      <c r="EAF99" s="2565"/>
      <c r="EAG99" s="2021"/>
      <c r="EAH99" s="1062"/>
      <c r="EAI99" s="1062"/>
      <c r="EAJ99" s="1061"/>
      <c r="EAK99" s="1027"/>
      <c r="EAL99" s="2803"/>
      <c r="EAM99" s="2802"/>
      <c r="EAN99" s="2565"/>
      <c r="EAO99" s="2021"/>
      <c r="EAP99" s="1062"/>
      <c r="EAQ99" s="1062"/>
      <c r="EAR99" s="1061"/>
      <c r="EAS99" s="1027"/>
      <c r="EAT99" s="2803"/>
      <c r="EAU99" s="2802"/>
      <c r="EAV99" s="2565"/>
      <c r="EAW99" s="2021"/>
      <c r="EAX99" s="1062"/>
      <c r="EAY99" s="1062"/>
      <c r="EAZ99" s="1061"/>
      <c r="EBA99" s="1027"/>
      <c r="EBB99" s="2803"/>
      <c r="EBC99" s="2802"/>
      <c r="EBD99" s="2565"/>
      <c r="EBE99" s="2021"/>
      <c r="EBF99" s="1062"/>
      <c r="EBG99" s="1062"/>
      <c r="EBH99" s="1061"/>
      <c r="EBI99" s="1027"/>
      <c r="EBJ99" s="2803"/>
      <c r="EBK99" s="2802"/>
      <c r="EBL99" s="2565"/>
      <c r="EBM99" s="2021"/>
      <c r="EBN99" s="1062"/>
      <c r="EBO99" s="1062"/>
      <c r="EBP99" s="1061"/>
      <c r="EBQ99" s="1027"/>
      <c r="EBR99" s="2803"/>
      <c r="EBS99" s="2802"/>
      <c r="EBT99" s="2565"/>
      <c r="EBU99" s="2021"/>
      <c r="EBV99" s="1062"/>
      <c r="EBW99" s="1062"/>
      <c r="EBX99" s="1061"/>
      <c r="EBY99" s="1027"/>
      <c r="EBZ99" s="2803"/>
      <c r="ECA99" s="2802"/>
      <c r="ECB99" s="2565"/>
      <c r="ECC99" s="2021"/>
      <c r="ECD99" s="1062"/>
      <c r="ECE99" s="1062"/>
      <c r="ECF99" s="1061"/>
      <c r="ECG99" s="1027"/>
      <c r="ECH99" s="2803"/>
      <c r="ECI99" s="2802"/>
      <c r="ECJ99" s="2565"/>
      <c r="ECK99" s="2021"/>
      <c r="ECL99" s="1062"/>
      <c r="ECM99" s="1062"/>
      <c r="ECN99" s="1061"/>
      <c r="ECO99" s="1027"/>
      <c r="ECP99" s="2803"/>
      <c r="ECQ99" s="2802"/>
      <c r="ECR99" s="2565"/>
      <c r="ECS99" s="2021"/>
      <c r="ECT99" s="1062"/>
      <c r="ECU99" s="1062"/>
      <c r="ECV99" s="1061"/>
      <c r="ECW99" s="1027"/>
      <c r="ECX99" s="2803"/>
      <c r="ECY99" s="2802"/>
      <c r="ECZ99" s="2565"/>
      <c r="EDA99" s="2021"/>
      <c r="EDB99" s="1062"/>
      <c r="EDC99" s="1062"/>
      <c r="EDD99" s="1061"/>
      <c r="EDE99" s="1027"/>
      <c r="EDF99" s="2803"/>
      <c r="EDG99" s="2802"/>
      <c r="EDH99" s="2565"/>
      <c r="EDI99" s="2021"/>
      <c r="EDJ99" s="1062"/>
      <c r="EDK99" s="1062"/>
      <c r="EDL99" s="1061"/>
      <c r="EDM99" s="1027"/>
      <c r="EDN99" s="2803"/>
      <c r="EDO99" s="2802"/>
      <c r="EDP99" s="2565"/>
      <c r="EDQ99" s="2021"/>
      <c r="EDR99" s="1062"/>
      <c r="EDS99" s="1062"/>
      <c r="EDT99" s="1061"/>
      <c r="EDU99" s="1027"/>
      <c r="EDV99" s="2803"/>
      <c r="EDW99" s="2802"/>
      <c r="EDX99" s="2565"/>
      <c r="EDY99" s="2021"/>
      <c r="EDZ99" s="1062"/>
      <c r="EEA99" s="1062"/>
      <c r="EEB99" s="1061"/>
      <c r="EEC99" s="1027"/>
      <c r="EED99" s="2803"/>
      <c r="EEE99" s="2802"/>
      <c r="EEF99" s="2565"/>
      <c r="EEG99" s="2021"/>
      <c r="EEH99" s="1062"/>
      <c r="EEI99" s="1062"/>
      <c r="EEJ99" s="1061"/>
      <c r="EEK99" s="1027"/>
      <c r="EEL99" s="2803"/>
      <c r="EEM99" s="2802"/>
      <c r="EEN99" s="2565"/>
      <c r="EEO99" s="2021"/>
      <c r="EEP99" s="1062"/>
      <c r="EEQ99" s="1062"/>
      <c r="EER99" s="1061"/>
      <c r="EES99" s="1027"/>
      <c r="EET99" s="2803"/>
      <c r="EEU99" s="2802"/>
      <c r="EEV99" s="2565"/>
      <c r="EEW99" s="2021"/>
      <c r="EEX99" s="1062"/>
      <c r="EEY99" s="1062"/>
      <c r="EEZ99" s="1061"/>
      <c r="EFA99" s="1027"/>
      <c r="EFB99" s="2803"/>
      <c r="EFC99" s="2802"/>
      <c r="EFD99" s="2565"/>
      <c r="EFE99" s="2021"/>
      <c r="EFF99" s="1062"/>
      <c r="EFG99" s="1062"/>
      <c r="EFH99" s="1061"/>
      <c r="EFI99" s="1027"/>
      <c r="EFJ99" s="2803"/>
      <c r="EFK99" s="2802"/>
      <c r="EFL99" s="2565"/>
      <c r="EFM99" s="2021"/>
      <c r="EFN99" s="1062"/>
      <c r="EFO99" s="1062"/>
      <c r="EFP99" s="1061"/>
      <c r="EFQ99" s="1027"/>
      <c r="EFR99" s="2803"/>
      <c r="EFS99" s="2802"/>
      <c r="EFT99" s="2565"/>
      <c r="EFU99" s="2021"/>
      <c r="EFV99" s="1062"/>
      <c r="EFW99" s="1062"/>
      <c r="EFX99" s="1061"/>
      <c r="EFY99" s="1027"/>
      <c r="EFZ99" s="2803"/>
      <c r="EGA99" s="2802"/>
      <c r="EGB99" s="2565"/>
      <c r="EGC99" s="2021"/>
      <c r="EGD99" s="1062"/>
      <c r="EGE99" s="1062"/>
      <c r="EGF99" s="1061"/>
      <c r="EGG99" s="1027"/>
      <c r="EGH99" s="2803"/>
      <c r="EGI99" s="2802"/>
      <c r="EGJ99" s="2565"/>
      <c r="EGK99" s="2021"/>
      <c r="EGL99" s="1062"/>
      <c r="EGM99" s="1062"/>
      <c r="EGN99" s="1061"/>
      <c r="EGO99" s="1027"/>
      <c r="EGP99" s="2803"/>
      <c r="EGQ99" s="2802"/>
      <c r="EGR99" s="2565"/>
      <c r="EGS99" s="2021"/>
      <c r="EGT99" s="1062"/>
      <c r="EGU99" s="1062"/>
      <c r="EGV99" s="1061"/>
      <c r="EGW99" s="1027"/>
      <c r="EGX99" s="2803"/>
      <c r="EGY99" s="2802"/>
      <c r="EGZ99" s="2565"/>
      <c r="EHA99" s="2021"/>
      <c r="EHB99" s="1062"/>
      <c r="EHC99" s="1062"/>
      <c r="EHD99" s="1061"/>
      <c r="EHE99" s="1027"/>
      <c r="EHF99" s="2803"/>
      <c r="EHG99" s="2802"/>
      <c r="EHH99" s="2565"/>
      <c r="EHI99" s="2021"/>
      <c r="EHJ99" s="1062"/>
      <c r="EHK99" s="1062"/>
      <c r="EHL99" s="1061"/>
      <c r="EHM99" s="1027"/>
      <c r="EHN99" s="2803"/>
      <c r="EHO99" s="2802"/>
      <c r="EHP99" s="2565"/>
      <c r="EHQ99" s="2021"/>
      <c r="EHR99" s="1062"/>
      <c r="EHS99" s="1062"/>
      <c r="EHT99" s="1061"/>
      <c r="EHU99" s="1027"/>
      <c r="EHV99" s="2803"/>
      <c r="EHW99" s="2802"/>
      <c r="EHX99" s="2565"/>
      <c r="EHY99" s="2021"/>
      <c r="EHZ99" s="1062"/>
      <c r="EIA99" s="1062"/>
      <c r="EIB99" s="1061"/>
      <c r="EIC99" s="1027"/>
      <c r="EID99" s="2803"/>
      <c r="EIE99" s="2802"/>
      <c r="EIF99" s="2565"/>
      <c r="EIG99" s="2021"/>
      <c r="EIH99" s="1062"/>
      <c r="EII99" s="1062"/>
      <c r="EIJ99" s="1061"/>
      <c r="EIK99" s="1027"/>
      <c r="EIL99" s="2803"/>
      <c r="EIM99" s="2802"/>
      <c r="EIN99" s="2565"/>
      <c r="EIO99" s="2021"/>
      <c r="EIP99" s="1062"/>
      <c r="EIQ99" s="1062"/>
      <c r="EIR99" s="1061"/>
      <c r="EIS99" s="1027"/>
      <c r="EIT99" s="2803"/>
      <c r="EIU99" s="2802"/>
      <c r="EIV99" s="2565"/>
      <c r="EIW99" s="2021"/>
      <c r="EIX99" s="1062"/>
      <c r="EIY99" s="1062"/>
      <c r="EIZ99" s="1061"/>
      <c r="EJA99" s="1027"/>
      <c r="EJB99" s="2803"/>
      <c r="EJC99" s="2802"/>
      <c r="EJD99" s="2565"/>
      <c r="EJE99" s="2021"/>
      <c r="EJF99" s="1062"/>
      <c r="EJG99" s="1062"/>
      <c r="EJH99" s="1061"/>
      <c r="EJI99" s="1027"/>
      <c r="EJJ99" s="2803"/>
      <c r="EJK99" s="2802"/>
      <c r="EJL99" s="2565"/>
      <c r="EJM99" s="2021"/>
      <c r="EJN99" s="1062"/>
      <c r="EJO99" s="1062"/>
      <c r="EJP99" s="1061"/>
      <c r="EJQ99" s="1027"/>
      <c r="EJR99" s="2803"/>
      <c r="EJS99" s="2802"/>
      <c r="EJT99" s="2565"/>
      <c r="EJU99" s="2021"/>
      <c r="EJV99" s="1062"/>
      <c r="EJW99" s="1062"/>
      <c r="EJX99" s="1061"/>
      <c r="EJY99" s="1027"/>
      <c r="EJZ99" s="2803"/>
      <c r="EKA99" s="2802"/>
      <c r="EKB99" s="2565"/>
      <c r="EKC99" s="2021"/>
      <c r="EKD99" s="1062"/>
      <c r="EKE99" s="1062"/>
      <c r="EKF99" s="1061"/>
      <c r="EKG99" s="1027"/>
      <c r="EKH99" s="2803"/>
      <c r="EKI99" s="2802"/>
      <c r="EKJ99" s="2565"/>
      <c r="EKK99" s="2021"/>
      <c r="EKL99" s="1062"/>
      <c r="EKM99" s="1062"/>
      <c r="EKN99" s="1061"/>
      <c r="EKO99" s="1027"/>
      <c r="EKP99" s="2803"/>
      <c r="EKQ99" s="2802"/>
      <c r="EKR99" s="2565"/>
      <c r="EKS99" s="2021"/>
      <c r="EKT99" s="1062"/>
      <c r="EKU99" s="1062"/>
      <c r="EKV99" s="1061"/>
      <c r="EKW99" s="1027"/>
      <c r="EKX99" s="2803"/>
      <c r="EKY99" s="2802"/>
      <c r="EKZ99" s="2565"/>
      <c r="ELA99" s="2021"/>
      <c r="ELB99" s="1062"/>
      <c r="ELC99" s="1062"/>
      <c r="ELD99" s="1061"/>
      <c r="ELE99" s="1027"/>
      <c r="ELF99" s="2803"/>
      <c r="ELG99" s="2802"/>
      <c r="ELH99" s="2565"/>
      <c r="ELI99" s="2021"/>
      <c r="ELJ99" s="1062"/>
      <c r="ELK99" s="1062"/>
      <c r="ELL99" s="1061"/>
      <c r="ELM99" s="1027"/>
      <c r="ELN99" s="2803"/>
      <c r="ELO99" s="2802"/>
      <c r="ELP99" s="2565"/>
      <c r="ELQ99" s="2021"/>
      <c r="ELR99" s="1062"/>
      <c r="ELS99" s="1062"/>
      <c r="ELT99" s="1061"/>
      <c r="ELU99" s="1027"/>
      <c r="ELV99" s="2803"/>
      <c r="ELW99" s="2802"/>
      <c r="ELX99" s="2565"/>
      <c r="ELY99" s="2021"/>
      <c r="ELZ99" s="1062"/>
      <c r="EMA99" s="1062"/>
      <c r="EMB99" s="1061"/>
      <c r="EMC99" s="1027"/>
      <c r="EMD99" s="2803"/>
      <c r="EME99" s="2802"/>
      <c r="EMF99" s="2565"/>
      <c r="EMG99" s="2021"/>
      <c r="EMH99" s="1062"/>
      <c r="EMI99" s="1062"/>
      <c r="EMJ99" s="1061"/>
      <c r="EMK99" s="1027"/>
      <c r="EML99" s="2803"/>
      <c r="EMM99" s="2802"/>
      <c r="EMN99" s="2565"/>
      <c r="EMO99" s="2021"/>
      <c r="EMP99" s="1062"/>
      <c r="EMQ99" s="1062"/>
      <c r="EMR99" s="1061"/>
      <c r="EMS99" s="1027"/>
      <c r="EMT99" s="2803"/>
      <c r="EMU99" s="2802"/>
      <c r="EMV99" s="2565"/>
      <c r="EMW99" s="2021"/>
      <c r="EMX99" s="1062"/>
      <c r="EMY99" s="1062"/>
      <c r="EMZ99" s="1061"/>
      <c r="ENA99" s="1027"/>
      <c r="ENB99" s="2803"/>
      <c r="ENC99" s="2802"/>
      <c r="END99" s="2565"/>
      <c r="ENE99" s="2021"/>
      <c r="ENF99" s="1062"/>
      <c r="ENG99" s="1062"/>
      <c r="ENH99" s="1061"/>
      <c r="ENI99" s="1027"/>
      <c r="ENJ99" s="2803"/>
      <c r="ENK99" s="2802"/>
      <c r="ENL99" s="2565"/>
      <c r="ENM99" s="2021"/>
      <c r="ENN99" s="1062"/>
      <c r="ENO99" s="1062"/>
      <c r="ENP99" s="1061"/>
      <c r="ENQ99" s="1027"/>
      <c r="ENR99" s="2803"/>
      <c r="ENS99" s="2802"/>
      <c r="ENT99" s="2565"/>
      <c r="ENU99" s="2021"/>
      <c r="ENV99" s="1062"/>
      <c r="ENW99" s="1062"/>
      <c r="ENX99" s="1061"/>
      <c r="ENY99" s="1027"/>
      <c r="ENZ99" s="2803"/>
      <c r="EOA99" s="2802"/>
      <c r="EOB99" s="2565"/>
      <c r="EOC99" s="2021"/>
      <c r="EOD99" s="1062"/>
      <c r="EOE99" s="1062"/>
      <c r="EOF99" s="1061"/>
      <c r="EOG99" s="1027"/>
      <c r="EOH99" s="2803"/>
      <c r="EOI99" s="2802"/>
      <c r="EOJ99" s="2565"/>
      <c r="EOK99" s="2021"/>
      <c r="EOL99" s="1062"/>
      <c r="EOM99" s="1062"/>
      <c r="EON99" s="1061"/>
      <c r="EOO99" s="1027"/>
      <c r="EOP99" s="2803"/>
      <c r="EOQ99" s="2802"/>
      <c r="EOR99" s="2565"/>
      <c r="EOS99" s="2021"/>
      <c r="EOT99" s="1062"/>
      <c r="EOU99" s="1062"/>
      <c r="EOV99" s="1061"/>
      <c r="EOW99" s="1027"/>
      <c r="EOX99" s="2803"/>
      <c r="EOY99" s="2802"/>
      <c r="EOZ99" s="2565"/>
      <c r="EPA99" s="2021"/>
      <c r="EPB99" s="1062"/>
      <c r="EPC99" s="1062"/>
      <c r="EPD99" s="1061"/>
      <c r="EPE99" s="1027"/>
      <c r="EPF99" s="2803"/>
      <c r="EPG99" s="2802"/>
      <c r="EPH99" s="2565"/>
      <c r="EPI99" s="2021"/>
      <c r="EPJ99" s="1062"/>
      <c r="EPK99" s="1062"/>
      <c r="EPL99" s="1061"/>
      <c r="EPM99" s="1027"/>
      <c r="EPN99" s="2803"/>
      <c r="EPO99" s="2802"/>
      <c r="EPP99" s="2565"/>
      <c r="EPQ99" s="2021"/>
      <c r="EPR99" s="1062"/>
      <c r="EPS99" s="1062"/>
      <c r="EPT99" s="1061"/>
      <c r="EPU99" s="1027"/>
      <c r="EPV99" s="2803"/>
      <c r="EPW99" s="2802"/>
      <c r="EPX99" s="2565"/>
      <c r="EPY99" s="2021"/>
      <c r="EPZ99" s="1062"/>
      <c r="EQA99" s="1062"/>
      <c r="EQB99" s="1061"/>
      <c r="EQC99" s="1027"/>
      <c r="EQD99" s="2803"/>
      <c r="EQE99" s="2802"/>
      <c r="EQF99" s="2565"/>
      <c r="EQG99" s="2021"/>
      <c r="EQH99" s="1062"/>
      <c r="EQI99" s="1062"/>
      <c r="EQJ99" s="1061"/>
      <c r="EQK99" s="1027"/>
      <c r="EQL99" s="2803"/>
      <c r="EQM99" s="2802"/>
      <c r="EQN99" s="2565"/>
      <c r="EQO99" s="2021"/>
      <c r="EQP99" s="1062"/>
      <c r="EQQ99" s="1062"/>
      <c r="EQR99" s="1061"/>
      <c r="EQS99" s="1027"/>
      <c r="EQT99" s="2803"/>
      <c r="EQU99" s="2802"/>
      <c r="EQV99" s="2565"/>
      <c r="EQW99" s="2021"/>
      <c r="EQX99" s="1062"/>
      <c r="EQY99" s="1062"/>
      <c r="EQZ99" s="1061"/>
      <c r="ERA99" s="1027"/>
      <c r="ERB99" s="2803"/>
      <c r="ERC99" s="2802"/>
      <c r="ERD99" s="2565"/>
      <c r="ERE99" s="2021"/>
      <c r="ERF99" s="1062"/>
      <c r="ERG99" s="1062"/>
      <c r="ERH99" s="1061"/>
      <c r="ERI99" s="1027"/>
      <c r="ERJ99" s="2803"/>
      <c r="ERK99" s="2802"/>
      <c r="ERL99" s="2565"/>
      <c r="ERM99" s="2021"/>
      <c r="ERN99" s="1062"/>
      <c r="ERO99" s="1062"/>
      <c r="ERP99" s="1061"/>
      <c r="ERQ99" s="1027"/>
      <c r="ERR99" s="2803"/>
      <c r="ERS99" s="2802"/>
      <c r="ERT99" s="2565"/>
      <c r="ERU99" s="2021"/>
      <c r="ERV99" s="1062"/>
      <c r="ERW99" s="1062"/>
      <c r="ERX99" s="1061"/>
      <c r="ERY99" s="1027"/>
      <c r="ERZ99" s="2803"/>
      <c r="ESA99" s="2802"/>
      <c r="ESB99" s="2565"/>
      <c r="ESC99" s="2021"/>
      <c r="ESD99" s="1062"/>
      <c r="ESE99" s="1062"/>
      <c r="ESF99" s="1061"/>
      <c r="ESG99" s="1027"/>
      <c r="ESH99" s="2803"/>
      <c r="ESI99" s="2802"/>
      <c r="ESJ99" s="2565"/>
      <c r="ESK99" s="2021"/>
      <c r="ESL99" s="1062"/>
      <c r="ESM99" s="1062"/>
      <c r="ESN99" s="1061"/>
      <c r="ESO99" s="1027"/>
      <c r="ESP99" s="2803"/>
      <c r="ESQ99" s="2802"/>
      <c r="ESR99" s="2565"/>
      <c r="ESS99" s="2021"/>
      <c r="EST99" s="1062"/>
      <c r="ESU99" s="1062"/>
      <c r="ESV99" s="1061"/>
      <c r="ESW99" s="1027"/>
      <c r="ESX99" s="2803"/>
      <c r="ESY99" s="2802"/>
      <c r="ESZ99" s="2565"/>
      <c r="ETA99" s="2021"/>
      <c r="ETB99" s="1062"/>
      <c r="ETC99" s="1062"/>
      <c r="ETD99" s="1061"/>
      <c r="ETE99" s="1027"/>
      <c r="ETF99" s="2803"/>
      <c r="ETG99" s="2802"/>
      <c r="ETH99" s="2565"/>
      <c r="ETI99" s="2021"/>
      <c r="ETJ99" s="1062"/>
      <c r="ETK99" s="1062"/>
      <c r="ETL99" s="1061"/>
      <c r="ETM99" s="1027"/>
      <c r="ETN99" s="2803"/>
      <c r="ETO99" s="2802"/>
      <c r="ETP99" s="2565"/>
      <c r="ETQ99" s="2021"/>
      <c r="ETR99" s="1062"/>
      <c r="ETS99" s="1062"/>
      <c r="ETT99" s="1061"/>
      <c r="ETU99" s="1027"/>
      <c r="ETV99" s="2803"/>
      <c r="ETW99" s="2802"/>
      <c r="ETX99" s="2565"/>
      <c r="ETY99" s="2021"/>
      <c r="ETZ99" s="1062"/>
      <c r="EUA99" s="1062"/>
      <c r="EUB99" s="1061"/>
      <c r="EUC99" s="1027"/>
      <c r="EUD99" s="2803"/>
      <c r="EUE99" s="2802"/>
      <c r="EUF99" s="2565"/>
      <c r="EUG99" s="2021"/>
      <c r="EUH99" s="1062"/>
      <c r="EUI99" s="1062"/>
      <c r="EUJ99" s="1061"/>
      <c r="EUK99" s="1027"/>
      <c r="EUL99" s="2803"/>
      <c r="EUM99" s="2802"/>
      <c r="EUN99" s="2565"/>
      <c r="EUO99" s="2021"/>
      <c r="EUP99" s="1062"/>
      <c r="EUQ99" s="1062"/>
      <c r="EUR99" s="1061"/>
      <c r="EUS99" s="1027"/>
      <c r="EUT99" s="2803"/>
      <c r="EUU99" s="2802"/>
      <c r="EUV99" s="2565"/>
      <c r="EUW99" s="2021"/>
      <c r="EUX99" s="1062"/>
      <c r="EUY99" s="1062"/>
      <c r="EUZ99" s="1061"/>
      <c r="EVA99" s="1027"/>
      <c r="EVB99" s="2803"/>
      <c r="EVC99" s="2802"/>
      <c r="EVD99" s="2565"/>
      <c r="EVE99" s="2021"/>
      <c r="EVF99" s="1062"/>
      <c r="EVG99" s="1062"/>
      <c r="EVH99" s="1061"/>
      <c r="EVI99" s="1027"/>
      <c r="EVJ99" s="2803"/>
      <c r="EVK99" s="2802"/>
      <c r="EVL99" s="2565"/>
      <c r="EVM99" s="2021"/>
      <c r="EVN99" s="1062"/>
      <c r="EVO99" s="1062"/>
      <c r="EVP99" s="1061"/>
      <c r="EVQ99" s="1027"/>
      <c r="EVR99" s="2803"/>
      <c r="EVS99" s="2802"/>
      <c r="EVT99" s="2565"/>
      <c r="EVU99" s="2021"/>
      <c r="EVV99" s="1062"/>
      <c r="EVW99" s="1062"/>
      <c r="EVX99" s="1061"/>
      <c r="EVY99" s="1027"/>
      <c r="EVZ99" s="2803"/>
      <c r="EWA99" s="2802"/>
      <c r="EWB99" s="2565"/>
      <c r="EWC99" s="2021"/>
      <c r="EWD99" s="1062"/>
      <c r="EWE99" s="1062"/>
      <c r="EWF99" s="1061"/>
      <c r="EWG99" s="1027"/>
      <c r="EWH99" s="2803"/>
      <c r="EWI99" s="2802"/>
      <c r="EWJ99" s="2565"/>
      <c r="EWK99" s="2021"/>
      <c r="EWL99" s="1062"/>
      <c r="EWM99" s="1062"/>
      <c r="EWN99" s="1061"/>
      <c r="EWO99" s="1027"/>
      <c r="EWP99" s="2803"/>
      <c r="EWQ99" s="2802"/>
      <c r="EWR99" s="2565"/>
      <c r="EWS99" s="2021"/>
      <c r="EWT99" s="1062"/>
      <c r="EWU99" s="1062"/>
      <c r="EWV99" s="1061"/>
      <c r="EWW99" s="1027"/>
      <c r="EWX99" s="2803"/>
      <c r="EWY99" s="2802"/>
      <c r="EWZ99" s="2565"/>
      <c r="EXA99" s="2021"/>
      <c r="EXB99" s="1062"/>
      <c r="EXC99" s="1062"/>
      <c r="EXD99" s="1061"/>
      <c r="EXE99" s="1027"/>
      <c r="EXF99" s="2803"/>
      <c r="EXG99" s="2802"/>
      <c r="EXH99" s="2565"/>
      <c r="EXI99" s="2021"/>
      <c r="EXJ99" s="1062"/>
      <c r="EXK99" s="1062"/>
      <c r="EXL99" s="1061"/>
      <c r="EXM99" s="1027"/>
      <c r="EXN99" s="2803"/>
      <c r="EXO99" s="2802"/>
      <c r="EXP99" s="2565"/>
      <c r="EXQ99" s="2021"/>
      <c r="EXR99" s="1062"/>
      <c r="EXS99" s="1062"/>
      <c r="EXT99" s="1061"/>
      <c r="EXU99" s="1027"/>
      <c r="EXV99" s="2803"/>
      <c r="EXW99" s="2802"/>
      <c r="EXX99" s="2565"/>
      <c r="EXY99" s="2021"/>
      <c r="EXZ99" s="1062"/>
      <c r="EYA99" s="1062"/>
      <c r="EYB99" s="1061"/>
      <c r="EYC99" s="1027"/>
      <c r="EYD99" s="2803"/>
      <c r="EYE99" s="2802"/>
      <c r="EYF99" s="2565"/>
      <c r="EYG99" s="2021"/>
      <c r="EYH99" s="1062"/>
      <c r="EYI99" s="1062"/>
      <c r="EYJ99" s="1061"/>
      <c r="EYK99" s="1027"/>
      <c r="EYL99" s="2803"/>
      <c r="EYM99" s="2802"/>
      <c r="EYN99" s="2565"/>
      <c r="EYO99" s="2021"/>
      <c r="EYP99" s="1062"/>
      <c r="EYQ99" s="1062"/>
      <c r="EYR99" s="1061"/>
      <c r="EYS99" s="1027"/>
      <c r="EYT99" s="2803"/>
      <c r="EYU99" s="2802"/>
      <c r="EYV99" s="2565"/>
      <c r="EYW99" s="2021"/>
      <c r="EYX99" s="1062"/>
      <c r="EYY99" s="1062"/>
      <c r="EYZ99" s="1061"/>
      <c r="EZA99" s="1027"/>
      <c r="EZB99" s="2803"/>
      <c r="EZC99" s="2802"/>
      <c r="EZD99" s="2565"/>
      <c r="EZE99" s="2021"/>
      <c r="EZF99" s="1062"/>
      <c r="EZG99" s="1062"/>
      <c r="EZH99" s="1061"/>
      <c r="EZI99" s="1027"/>
      <c r="EZJ99" s="2803"/>
      <c r="EZK99" s="2802"/>
      <c r="EZL99" s="2565"/>
      <c r="EZM99" s="2021"/>
      <c r="EZN99" s="1062"/>
      <c r="EZO99" s="1062"/>
      <c r="EZP99" s="1061"/>
      <c r="EZQ99" s="1027"/>
      <c r="EZR99" s="2803"/>
      <c r="EZS99" s="2802"/>
      <c r="EZT99" s="2565"/>
      <c r="EZU99" s="2021"/>
      <c r="EZV99" s="1062"/>
      <c r="EZW99" s="1062"/>
      <c r="EZX99" s="1061"/>
      <c r="EZY99" s="1027"/>
      <c r="EZZ99" s="2803"/>
      <c r="FAA99" s="2802"/>
      <c r="FAB99" s="2565"/>
      <c r="FAC99" s="2021"/>
      <c r="FAD99" s="1062"/>
      <c r="FAE99" s="1062"/>
      <c r="FAF99" s="1061"/>
      <c r="FAG99" s="1027"/>
      <c r="FAH99" s="2803"/>
      <c r="FAI99" s="2802"/>
      <c r="FAJ99" s="2565"/>
      <c r="FAK99" s="2021"/>
      <c r="FAL99" s="1062"/>
      <c r="FAM99" s="1062"/>
      <c r="FAN99" s="1061"/>
      <c r="FAO99" s="1027"/>
      <c r="FAP99" s="2803"/>
      <c r="FAQ99" s="2802"/>
      <c r="FAR99" s="2565"/>
      <c r="FAS99" s="2021"/>
      <c r="FAT99" s="1062"/>
      <c r="FAU99" s="1062"/>
      <c r="FAV99" s="1061"/>
      <c r="FAW99" s="1027"/>
      <c r="FAX99" s="2803"/>
      <c r="FAY99" s="2802"/>
      <c r="FAZ99" s="2565"/>
      <c r="FBA99" s="2021"/>
      <c r="FBB99" s="1062"/>
      <c r="FBC99" s="1062"/>
      <c r="FBD99" s="1061"/>
      <c r="FBE99" s="1027"/>
      <c r="FBF99" s="2803"/>
      <c r="FBG99" s="2802"/>
      <c r="FBH99" s="2565"/>
      <c r="FBI99" s="2021"/>
      <c r="FBJ99" s="1062"/>
      <c r="FBK99" s="1062"/>
      <c r="FBL99" s="1061"/>
      <c r="FBM99" s="1027"/>
      <c r="FBN99" s="2803"/>
      <c r="FBO99" s="2802"/>
      <c r="FBP99" s="2565"/>
      <c r="FBQ99" s="2021"/>
      <c r="FBR99" s="1062"/>
      <c r="FBS99" s="1062"/>
      <c r="FBT99" s="1061"/>
      <c r="FBU99" s="1027"/>
      <c r="FBV99" s="2803"/>
      <c r="FBW99" s="2802"/>
      <c r="FBX99" s="2565"/>
      <c r="FBY99" s="2021"/>
      <c r="FBZ99" s="1062"/>
      <c r="FCA99" s="1062"/>
      <c r="FCB99" s="1061"/>
      <c r="FCC99" s="1027"/>
      <c r="FCD99" s="2803"/>
      <c r="FCE99" s="2802"/>
      <c r="FCF99" s="2565"/>
      <c r="FCG99" s="2021"/>
      <c r="FCH99" s="1062"/>
      <c r="FCI99" s="1062"/>
      <c r="FCJ99" s="1061"/>
      <c r="FCK99" s="1027"/>
      <c r="FCL99" s="2803"/>
      <c r="FCM99" s="2802"/>
      <c r="FCN99" s="2565"/>
      <c r="FCO99" s="2021"/>
      <c r="FCP99" s="1062"/>
      <c r="FCQ99" s="1062"/>
      <c r="FCR99" s="1061"/>
      <c r="FCS99" s="1027"/>
      <c r="FCT99" s="2803"/>
      <c r="FCU99" s="2802"/>
      <c r="FCV99" s="2565"/>
      <c r="FCW99" s="2021"/>
      <c r="FCX99" s="1062"/>
      <c r="FCY99" s="1062"/>
      <c r="FCZ99" s="1061"/>
      <c r="FDA99" s="1027"/>
      <c r="FDB99" s="2803"/>
      <c r="FDC99" s="2802"/>
      <c r="FDD99" s="2565"/>
      <c r="FDE99" s="2021"/>
      <c r="FDF99" s="1062"/>
      <c r="FDG99" s="1062"/>
      <c r="FDH99" s="1061"/>
      <c r="FDI99" s="1027"/>
      <c r="FDJ99" s="2803"/>
      <c r="FDK99" s="2802"/>
      <c r="FDL99" s="2565"/>
      <c r="FDM99" s="2021"/>
      <c r="FDN99" s="1062"/>
      <c r="FDO99" s="1062"/>
      <c r="FDP99" s="1061"/>
      <c r="FDQ99" s="1027"/>
      <c r="FDR99" s="2803"/>
      <c r="FDS99" s="2802"/>
      <c r="FDT99" s="2565"/>
      <c r="FDU99" s="2021"/>
      <c r="FDV99" s="1062"/>
      <c r="FDW99" s="1062"/>
      <c r="FDX99" s="1061"/>
      <c r="FDY99" s="1027"/>
      <c r="FDZ99" s="2803"/>
      <c r="FEA99" s="2802"/>
      <c r="FEB99" s="2565"/>
      <c r="FEC99" s="2021"/>
      <c r="FED99" s="1062"/>
      <c r="FEE99" s="1062"/>
      <c r="FEF99" s="1061"/>
      <c r="FEG99" s="1027"/>
      <c r="FEH99" s="2803"/>
      <c r="FEI99" s="2802"/>
      <c r="FEJ99" s="2565"/>
      <c r="FEK99" s="2021"/>
      <c r="FEL99" s="1062"/>
      <c r="FEM99" s="1062"/>
      <c r="FEN99" s="1061"/>
      <c r="FEO99" s="1027"/>
      <c r="FEP99" s="2803"/>
      <c r="FEQ99" s="2802"/>
      <c r="FER99" s="2565"/>
      <c r="FES99" s="2021"/>
      <c r="FET99" s="1062"/>
      <c r="FEU99" s="1062"/>
      <c r="FEV99" s="1061"/>
      <c r="FEW99" s="1027"/>
      <c r="FEX99" s="2803"/>
      <c r="FEY99" s="2802"/>
      <c r="FEZ99" s="2565"/>
      <c r="FFA99" s="2021"/>
      <c r="FFB99" s="1062"/>
      <c r="FFC99" s="1062"/>
      <c r="FFD99" s="1061"/>
      <c r="FFE99" s="1027"/>
      <c r="FFF99" s="2803"/>
      <c r="FFG99" s="2802"/>
      <c r="FFH99" s="2565"/>
      <c r="FFI99" s="2021"/>
      <c r="FFJ99" s="1062"/>
      <c r="FFK99" s="1062"/>
      <c r="FFL99" s="1061"/>
      <c r="FFM99" s="1027"/>
      <c r="FFN99" s="2803"/>
      <c r="FFO99" s="2802"/>
      <c r="FFP99" s="2565"/>
      <c r="FFQ99" s="2021"/>
      <c r="FFR99" s="1062"/>
      <c r="FFS99" s="1062"/>
      <c r="FFT99" s="1061"/>
      <c r="FFU99" s="1027"/>
      <c r="FFV99" s="2803"/>
      <c r="FFW99" s="2802"/>
      <c r="FFX99" s="2565"/>
      <c r="FFY99" s="2021"/>
      <c r="FFZ99" s="1062"/>
      <c r="FGA99" s="1062"/>
      <c r="FGB99" s="1061"/>
      <c r="FGC99" s="1027"/>
      <c r="FGD99" s="2803"/>
      <c r="FGE99" s="2802"/>
      <c r="FGF99" s="2565"/>
      <c r="FGG99" s="2021"/>
      <c r="FGH99" s="1062"/>
      <c r="FGI99" s="1062"/>
      <c r="FGJ99" s="1061"/>
      <c r="FGK99" s="1027"/>
      <c r="FGL99" s="2803"/>
      <c r="FGM99" s="2802"/>
      <c r="FGN99" s="2565"/>
      <c r="FGO99" s="2021"/>
      <c r="FGP99" s="1062"/>
      <c r="FGQ99" s="1062"/>
      <c r="FGR99" s="1061"/>
      <c r="FGS99" s="1027"/>
      <c r="FGT99" s="2803"/>
      <c r="FGU99" s="2802"/>
      <c r="FGV99" s="2565"/>
      <c r="FGW99" s="2021"/>
      <c r="FGX99" s="1062"/>
      <c r="FGY99" s="1062"/>
      <c r="FGZ99" s="1061"/>
      <c r="FHA99" s="1027"/>
      <c r="FHB99" s="2803"/>
      <c r="FHC99" s="2802"/>
      <c r="FHD99" s="2565"/>
      <c r="FHE99" s="2021"/>
      <c r="FHF99" s="1062"/>
      <c r="FHG99" s="1062"/>
      <c r="FHH99" s="1061"/>
      <c r="FHI99" s="1027"/>
      <c r="FHJ99" s="2803"/>
      <c r="FHK99" s="2802"/>
      <c r="FHL99" s="2565"/>
      <c r="FHM99" s="2021"/>
      <c r="FHN99" s="1062"/>
      <c r="FHO99" s="1062"/>
      <c r="FHP99" s="1061"/>
      <c r="FHQ99" s="1027"/>
      <c r="FHR99" s="2803"/>
      <c r="FHS99" s="2802"/>
      <c r="FHT99" s="2565"/>
      <c r="FHU99" s="2021"/>
      <c r="FHV99" s="1062"/>
      <c r="FHW99" s="1062"/>
      <c r="FHX99" s="1061"/>
      <c r="FHY99" s="1027"/>
      <c r="FHZ99" s="2803"/>
      <c r="FIA99" s="2802"/>
      <c r="FIB99" s="2565"/>
      <c r="FIC99" s="2021"/>
      <c r="FID99" s="1062"/>
      <c r="FIE99" s="1062"/>
      <c r="FIF99" s="1061"/>
      <c r="FIG99" s="1027"/>
      <c r="FIH99" s="2803"/>
      <c r="FII99" s="2802"/>
      <c r="FIJ99" s="2565"/>
      <c r="FIK99" s="2021"/>
      <c r="FIL99" s="1062"/>
      <c r="FIM99" s="1062"/>
      <c r="FIN99" s="1061"/>
      <c r="FIO99" s="1027"/>
      <c r="FIP99" s="2803"/>
      <c r="FIQ99" s="2802"/>
      <c r="FIR99" s="2565"/>
      <c r="FIS99" s="2021"/>
      <c r="FIT99" s="1062"/>
      <c r="FIU99" s="1062"/>
      <c r="FIV99" s="1061"/>
      <c r="FIW99" s="1027"/>
      <c r="FIX99" s="2803"/>
      <c r="FIY99" s="2802"/>
      <c r="FIZ99" s="2565"/>
      <c r="FJA99" s="2021"/>
      <c r="FJB99" s="1062"/>
      <c r="FJC99" s="1062"/>
      <c r="FJD99" s="1061"/>
      <c r="FJE99" s="1027"/>
      <c r="FJF99" s="2803"/>
      <c r="FJG99" s="2802"/>
      <c r="FJH99" s="2565"/>
      <c r="FJI99" s="2021"/>
      <c r="FJJ99" s="1062"/>
      <c r="FJK99" s="1062"/>
      <c r="FJL99" s="1061"/>
      <c r="FJM99" s="1027"/>
      <c r="FJN99" s="2803"/>
      <c r="FJO99" s="2802"/>
      <c r="FJP99" s="2565"/>
      <c r="FJQ99" s="2021"/>
      <c r="FJR99" s="1062"/>
      <c r="FJS99" s="1062"/>
      <c r="FJT99" s="1061"/>
      <c r="FJU99" s="1027"/>
      <c r="FJV99" s="2803"/>
      <c r="FJW99" s="2802"/>
      <c r="FJX99" s="2565"/>
      <c r="FJY99" s="2021"/>
      <c r="FJZ99" s="1062"/>
      <c r="FKA99" s="1062"/>
      <c r="FKB99" s="1061"/>
      <c r="FKC99" s="1027"/>
      <c r="FKD99" s="2803"/>
      <c r="FKE99" s="2802"/>
      <c r="FKF99" s="2565"/>
      <c r="FKG99" s="2021"/>
      <c r="FKH99" s="1062"/>
      <c r="FKI99" s="1062"/>
      <c r="FKJ99" s="1061"/>
      <c r="FKK99" s="1027"/>
      <c r="FKL99" s="2803"/>
      <c r="FKM99" s="2802"/>
      <c r="FKN99" s="2565"/>
      <c r="FKO99" s="2021"/>
      <c r="FKP99" s="1062"/>
      <c r="FKQ99" s="1062"/>
      <c r="FKR99" s="1061"/>
      <c r="FKS99" s="1027"/>
      <c r="FKT99" s="2803"/>
      <c r="FKU99" s="2802"/>
      <c r="FKV99" s="2565"/>
      <c r="FKW99" s="2021"/>
      <c r="FKX99" s="1062"/>
      <c r="FKY99" s="1062"/>
      <c r="FKZ99" s="1061"/>
      <c r="FLA99" s="1027"/>
      <c r="FLB99" s="2803"/>
      <c r="FLC99" s="2802"/>
      <c r="FLD99" s="2565"/>
      <c r="FLE99" s="2021"/>
      <c r="FLF99" s="1062"/>
      <c r="FLG99" s="1062"/>
      <c r="FLH99" s="1061"/>
      <c r="FLI99" s="1027"/>
      <c r="FLJ99" s="2803"/>
      <c r="FLK99" s="2802"/>
      <c r="FLL99" s="2565"/>
      <c r="FLM99" s="2021"/>
      <c r="FLN99" s="1062"/>
      <c r="FLO99" s="1062"/>
      <c r="FLP99" s="1061"/>
      <c r="FLQ99" s="1027"/>
      <c r="FLR99" s="2803"/>
      <c r="FLS99" s="2802"/>
      <c r="FLT99" s="2565"/>
      <c r="FLU99" s="2021"/>
      <c r="FLV99" s="1062"/>
      <c r="FLW99" s="1062"/>
      <c r="FLX99" s="1061"/>
      <c r="FLY99" s="1027"/>
      <c r="FLZ99" s="2803"/>
      <c r="FMA99" s="2802"/>
      <c r="FMB99" s="2565"/>
      <c r="FMC99" s="2021"/>
      <c r="FMD99" s="1062"/>
      <c r="FME99" s="1062"/>
      <c r="FMF99" s="1061"/>
      <c r="FMG99" s="1027"/>
      <c r="FMH99" s="2803"/>
      <c r="FMI99" s="2802"/>
      <c r="FMJ99" s="2565"/>
      <c r="FMK99" s="2021"/>
      <c r="FML99" s="1062"/>
      <c r="FMM99" s="1062"/>
      <c r="FMN99" s="1061"/>
      <c r="FMO99" s="1027"/>
      <c r="FMP99" s="2803"/>
      <c r="FMQ99" s="2802"/>
      <c r="FMR99" s="2565"/>
      <c r="FMS99" s="2021"/>
      <c r="FMT99" s="1062"/>
      <c r="FMU99" s="1062"/>
      <c r="FMV99" s="1061"/>
      <c r="FMW99" s="1027"/>
      <c r="FMX99" s="2803"/>
      <c r="FMY99" s="2802"/>
      <c r="FMZ99" s="2565"/>
      <c r="FNA99" s="2021"/>
      <c r="FNB99" s="1062"/>
      <c r="FNC99" s="1062"/>
      <c r="FND99" s="1061"/>
      <c r="FNE99" s="1027"/>
      <c r="FNF99" s="2803"/>
      <c r="FNG99" s="2802"/>
      <c r="FNH99" s="2565"/>
      <c r="FNI99" s="2021"/>
      <c r="FNJ99" s="1062"/>
      <c r="FNK99" s="1062"/>
      <c r="FNL99" s="1061"/>
      <c r="FNM99" s="1027"/>
      <c r="FNN99" s="2803"/>
      <c r="FNO99" s="2802"/>
      <c r="FNP99" s="2565"/>
      <c r="FNQ99" s="2021"/>
      <c r="FNR99" s="1062"/>
      <c r="FNS99" s="1062"/>
      <c r="FNT99" s="1061"/>
      <c r="FNU99" s="1027"/>
      <c r="FNV99" s="2803"/>
      <c r="FNW99" s="2802"/>
      <c r="FNX99" s="2565"/>
      <c r="FNY99" s="2021"/>
      <c r="FNZ99" s="1062"/>
      <c r="FOA99" s="1062"/>
      <c r="FOB99" s="1061"/>
      <c r="FOC99" s="1027"/>
      <c r="FOD99" s="2803"/>
      <c r="FOE99" s="2802"/>
      <c r="FOF99" s="2565"/>
      <c r="FOG99" s="2021"/>
      <c r="FOH99" s="1062"/>
      <c r="FOI99" s="1062"/>
      <c r="FOJ99" s="1061"/>
      <c r="FOK99" s="1027"/>
      <c r="FOL99" s="2803"/>
      <c r="FOM99" s="2802"/>
      <c r="FON99" s="2565"/>
      <c r="FOO99" s="2021"/>
      <c r="FOP99" s="1062"/>
      <c r="FOQ99" s="1062"/>
      <c r="FOR99" s="1061"/>
      <c r="FOS99" s="1027"/>
      <c r="FOT99" s="2803"/>
      <c r="FOU99" s="2802"/>
      <c r="FOV99" s="2565"/>
      <c r="FOW99" s="2021"/>
      <c r="FOX99" s="1062"/>
      <c r="FOY99" s="1062"/>
      <c r="FOZ99" s="1061"/>
      <c r="FPA99" s="1027"/>
      <c r="FPB99" s="2803"/>
      <c r="FPC99" s="2802"/>
      <c r="FPD99" s="2565"/>
      <c r="FPE99" s="2021"/>
      <c r="FPF99" s="1062"/>
      <c r="FPG99" s="1062"/>
      <c r="FPH99" s="1061"/>
      <c r="FPI99" s="1027"/>
      <c r="FPJ99" s="2803"/>
      <c r="FPK99" s="2802"/>
      <c r="FPL99" s="2565"/>
      <c r="FPM99" s="2021"/>
      <c r="FPN99" s="1062"/>
      <c r="FPO99" s="1062"/>
      <c r="FPP99" s="1061"/>
      <c r="FPQ99" s="1027"/>
      <c r="FPR99" s="2803"/>
      <c r="FPS99" s="2802"/>
      <c r="FPT99" s="2565"/>
      <c r="FPU99" s="2021"/>
      <c r="FPV99" s="1062"/>
      <c r="FPW99" s="1062"/>
      <c r="FPX99" s="1061"/>
      <c r="FPY99" s="1027"/>
      <c r="FPZ99" s="2803"/>
      <c r="FQA99" s="2802"/>
      <c r="FQB99" s="2565"/>
      <c r="FQC99" s="2021"/>
      <c r="FQD99" s="1062"/>
      <c r="FQE99" s="1062"/>
      <c r="FQF99" s="1061"/>
      <c r="FQG99" s="1027"/>
      <c r="FQH99" s="2803"/>
      <c r="FQI99" s="2802"/>
      <c r="FQJ99" s="2565"/>
      <c r="FQK99" s="2021"/>
      <c r="FQL99" s="1062"/>
      <c r="FQM99" s="1062"/>
      <c r="FQN99" s="1061"/>
      <c r="FQO99" s="1027"/>
      <c r="FQP99" s="2803"/>
      <c r="FQQ99" s="2802"/>
      <c r="FQR99" s="2565"/>
      <c r="FQS99" s="2021"/>
      <c r="FQT99" s="1062"/>
      <c r="FQU99" s="1062"/>
      <c r="FQV99" s="1061"/>
      <c r="FQW99" s="1027"/>
      <c r="FQX99" s="2803"/>
      <c r="FQY99" s="2802"/>
      <c r="FQZ99" s="2565"/>
      <c r="FRA99" s="2021"/>
      <c r="FRB99" s="1062"/>
      <c r="FRC99" s="1062"/>
      <c r="FRD99" s="1061"/>
      <c r="FRE99" s="1027"/>
      <c r="FRF99" s="2803"/>
      <c r="FRG99" s="2802"/>
      <c r="FRH99" s="2565"/>
      <c r="FRI99" s="2021"/>
      <c r="FRJ99" s="1062"/>
      <c r="FRK99" s="1062"/>
      <c r="FRL99" s="1061"/>
      <c r="FRM99" s="1027"/>
      <c r="FRN99" s="2803"/>
      <c r="FRO99" s="2802"/>
      <c r="FRP99" s="2565"/>
      <c r="FRQ99" s="2021"/>
      <c r="FRR99" s="1062"/>
      <c r="FRS99" s="1062"/>
      <c r="FRT99" s="1061"/>
      <c r="FRU99" s="1027"/>
      <c r="FRV99" s="2803"/>
      <c r="FRW99" s="2802"/>
      <c r="FRX99" s="2565"/>
      <c r="FRY99" s="2021"/>
      <c r="FRZ99" s="1062"/>
      <c r="FSA99" s="1062"/>
      <c r="FSB99" s="1061"/>
      <c r="FSC99" s="1027"/>
      <c r="FSD99" s="2803"/>
      <c r="FSE99" s="2802"/>
      <c r="FSF99" s="2565"/>
      <c r="FSG99" s="2021"/>
      <c r="FSH99" s="1062"/>
      <c r="FSI99" s="1062"/>
      <c r="FSJ99" s="1061"/>
      <c r="FSK99" s="1027"/>
      <c r="FSL99" s="2803"/>
      <c r="FSM99" s="2802"/>
      <c r="FSN99" s="2565"/>
      <c r="FSO99" s="2021"/>
      <c r="FSP99" s="1062"/>
      <c r="FSQ99" s="1062"/>
      <c r="FSR99" s="1061"/>
      <c r="FSS99" s="1027"/>
      <c r="FST99" s="2803"/>
      <c r="FSU99" s="2802"/>
      <c r="FSV99" s="2565"/>
      <c r="FSW99" s="2021"/>
      <c r="FSX99" s="1062"/>
      <c r="FSY99" s="1062"/>
      <c r="FSZ99" s="1061"/>
      <c r="FTA99" s="1027"/>
      <c r="FTB99" s="2803"/>
      <c r="FTC99" s="2802"/>
      <c r="FTD99" s="2565"/>
      <c r="FTE99" s="2021"/>
      <c r="FTF99" s="1062"/>
      <c r="FTG99" s="1062"/>
      <c r="FTH99" s="1061"/>
      <c r="FTI99" s="1027"/>
      <c r="FTJ99" s="2803"/>
      <c r="FTK99" s="2802"/>
      <c r="FTL99" s="2565"/>
      <c r="FTM99" s="2021"/>
      <c r="FTN99" s="1062"/>
      <c r="FTO99" s="1062"/>
      <c r="FTP99" s="1061"/>
      <c r="FTQ99" s="1027"/>
      <c r="FTR99" s="2803"/>
      <c r="FTS99" s="2802"/>
      <c r="FTT99" s="2565"/>
      <c r="FTU99" s="2021"/>
      <c r="FTV99" s="1062"/>
      <c r="FTW99" s="1062"/>
      <c r="FTX99" s="1061"/>
      <c r="FTY99" s="1027"/>
      <c r="FTZ99" s="2803"/>
      <c r="FUA99" s="2802"/>
      <c r="FUB99" s="2565"/>
      <c r="FUC99" s="2021"/>
      <c r="FUD99" s="1062"/>
      <c r="FUE99" s="1062"/>
      <c r="FUF99" s="1061"/>
      <c r="FUG99" s="1027"/>
      <c r="FUH99" s="2803"/>
      <c r="FUI99" s="2802"/>
      <c r="FUJ99" s="2565"/>
      <c r="FUK99" s="2021"/>
      <c r="FUL99" s="1062"/>
      <c r="FUM99" s="1062"/>
      <c r="FUN99" s="1061"/>
      <c r="FUO99" s="1027"/>
      <c r="FUP99" s="2803"/>
      <c r="FUQ99" s="2802"/>
      <c r="FUR99" s="2565"/>
      <c r="FUS99" s="2021"/>
      <c r="FUT99" s="1062"/>
      <c r="FUU99" s="1062"/>
      <c r="FUV99" s="1061"/>
      <c r="FUW99" s="1027"/>
      <c r="FUX99" s="2803"/>
      <c r="FUY99" s="2802"/>
      <c r="FUZ99" s="2565"/>
      <c r="FVA99" s="2021"/>
      <c r="FVB99" s="1062"/>
      <c r="FVC99" s="1062"/>
      <c r="FVD99" s="1061"/>
      <c r="FVE99" s="1027"/>
      <c r="FVF99" s="2803"/>
      <c r="FVG99" s="2802"/>
      <c r="FVH99" s="2565"/>
      <c r="FVI99" s="2021"/>
      <c r="FVJ99" s="1062"/>
      <c r="FVK99" s="1062"/>
      <c r="FVL99" s="1061"/>
      <c r="FVM99" s="1027"/>
      <c r="FVN99" s="2803"/>
      <c r="FVO99" s="2802"/>
      <c r="FVP99" s="2565"/>
      <c r="FVQ99" s="2021"/>
      <c r="FVR99" s="1062"/>
      <c r="FVS99" s="1062"/>
      <c r="FVT99" s="1061"/>
      <c r="FVU99" s="1027"/>
      <c r="FVV99" s="2803"/>
      <c r="FVW99" s="2802"/>
      <c r="FVX99" s="2565"/>
      <c r="FVY99" s="2021"/>
      <c r="FVZ99" s="1062"/>
      <c r="FWA99" s="1062"/>
      <c r="FWB99" s="1061"/>
      <c r="FWC99" s="1027"/>
      <c r="FWD99" s="2803"/>
      <c r="FWE99" s="2802"/>
      <c r="FWF99" s="2565"/>
      <c r="FWG99" s="2021"/>
      <c r="FWH99" s="1062"/>
      <c r="FWI99" s="1062"/>
      <c r="FWJ99" s="1061"/>
      <c r="FWK99" s="1027"/>
      <c r="FWL99" s="2803"/>
      <c r="FWM99" s="2802"/>
      <c r="FWN99" s="2565"/>
      <c r="FWO99" s="2021"/>
      <c r="FWP99" s="1062"/>
      <c r="FWQ99" s="1062"/>
      <c r="FWR99" s="1061"/>
      <c r="FWS99" s="1027"/>
      <c r="FWT99" s="2803"/>
      <c r="FWU99" s="2802"/>
      <c r="FWV99" s="2565"/>
      <c r="FWW99" s="2021"/>
      <c r="FWX99" s="1062"/>
      <c r="FWY99" s="1062"/>
      <c r="FWZ99" s="1061"/>
      <c r="FXA99" s="1027"/>
      <c r="FXB99" s="2803"/>
      <c r="FXC99" s="2802"/>
      <c r="FXD99" s="2565"/>
      <c r="FXE99" s="2021"/>
      <c r="FXF99" s="1062"/>
      <c r="FXG99" s="1062"/>
      <c r="FXH99" s="1061"/>
      <c r="FXI99" s="1027"/>
      <c r="FXJ99" s="2803"/>
      <c r="FXK99" s="2802"/>
      <c r="FXL99" s="2565"/>
      <c r="FXM99" s="2021"/>
      <c r="FXN99" s="1062"/>
      <c r="FXO99" s="1062"/>
      <c r="FXP99" s="1061"/>
      <c r="FXQ99" s="1027"/>
      <c r="FXR99" s="2803"/>
      <c r="FXS99" s="2802"/>
      <c r="FXT99" s="2565"/>
      <c r="FXU99" s="2021"/>
      <c r="FXV99" s="1062"/>
      <c r="FXW99" s="1062"/>
      <c r="FXX99" s="1061"/>
      <c r="FXY99" s="1027"/>
      <c r="FXZ99" s="2803"/>
      <c r="FYA99" s="2802"/>
      <c r="FYB99" s="2565"/>
      <c r="FYC99" s="2021"/>
      <c r="FYD99" s="1062"/>
      <c r="FYE99" s="1062"/>
      <c r="FYF99" s="1061"/>
      <c r="FYG99" s="1027"/>
      <c r="FYH99" s="2803"/>
      <c r="FYI99" s="2802"/>
      <c r="FYJ99" s="2565"/>
      <c r="FYK99" s="2021"/>
      <c r="FYL99" s="1062"/>
      <c r="FYM99" s="1062"/>
      <c r="FYN99" s="1061"/>
      <c r="FYO99" s="1027"/>
      <c r="FYP99" s="2803"/>
      <c r="FYQ99" s="2802"/>
      <c r="FYR99" s="2565"/>
      <c r="FYS99" s="2021"/>
      <c r="FYT99" s="1062"/>
      <c r="FYU99" s="1062"/>
      <c r="FYV99" s="1061"/>
      <c r="FYW99" s="1027"/>
      <c r="FYX99" s="2803"/>
      <c r="FYY99" s="2802"/>
      <c r="FYZ99" s="2565"/>
      <c r="FZA99" s="2021"/>
      <c r="FZB99" s="1062"/>
      <c r="FZC99" s="1062"/>
      <c r="FZD99" s="1061"/>
      <c r="FZE99" s="1027"/>
      <c r="FZF99" s="2803"/>
      <c r="FZG99" s="2802"/>
      <c r="FZH99" s="2565"/>
      <c r="FZI99" s="2021"/>
      <c r="FZJ99" s="1062"/>
      <c r="FZK99" s="1062"/>
      <c r="FZL99" s="1061"/>
      <c r="FZM99" s="1027"/>
      <c r="FZN99" s="2803"/>
      <c r="FZO99" s="2802"/>
      <c r="FZP99" s="2565"/>
      <c r="FZQ99" s="2021"/>
      <c r="FZR99" s="1062"/>
      <c r="FZS99" s="1062"/>
      <c r="FZT99" s="1061"/>
      <c r="FZU99" s="1027"/>
      <c r="FZV99" s="2803"/>
      <c r="FZW99" s="2802"/>
      <c r="FZX99" s="2565"/>
      <c r="FZY99" s="2021"/>
      <c r="FZZ99" s="1062"/>
      <c r="GAA99" s="1062"/>
      <c r="GAB99" s="1061"/>
      <c r="GAC99" s="1027"/>
      <c r="GAD99" s="2803"/>
      <c r="GAE99" s="2802"/>
      <c r="GAF99" s="2565"/>
      <c r="GAG99" s="2021"/>
      <c r="GAH99" s="1062"/>
      <c r="GAI99" s="1062"/>
      <c r="GAJ99" s="1061"/>
      <c r="GAK99" s="1027"/>
      <c r="GAL99" s="2803"/>
      <c r="GAM99" s="2802"/>
      <c r="GAN99" s="2565"/>
      <c r="GAO99" s="2021"/>
      <c r="GAP99" s="1062"/>
      <c r="GAQ99" s="1062"/>
      <c r="GAR99" s="1061"/>
      <c r="GAS99" s="1027"/>
      <c r="GAT99" s="2803"/>
      <c r="GAU99" s="2802"/>
      <c r="GAV99" s="2565"/>
      <c r="GAW99" s="2021"/>
      <c r="GAX99" s="1062"/>
      <c r="GAY99" s="1062"/>
      <c r="GAZ99" s="1061"/>
      <c r="GBA99" s="1027"/>
      <c r="GBB99" s="2803"/>
      <c r="GBC99" s="2802"/>
      <c r="GBD99" s="2565"/>
      <c r="GBE99" s="2021"/>
      <c r="GBF99" s="1062"/>
      <c r="GBG99" s="1062"/>
      <c r="GBH99" s="1061"/>
      <c r="GBI99" s="1027"/>
      <c r="GBJ99" s="2803"/>
      <c r="GBK99" s="2802"/>
      <c r="GBL99" s="2565"/>
      <c r="GBM99" s="2021"/>
      <c r="GBN99" s="1062"/>
      <c r="GBO99" s="1062"/>
      <c r="GBP99" s="1061"/>
      <c r="GBQ99" s="1027"/>
      <c r="GBR99" s="2803"/>
      <c r="GBS99" s="2802"/>
      <c r="GBT99" s="2565"/>
      <c r="GBU99" s="2021"/>
      <c r="GBV99" s="1062"/>
      <c r="GBW99" s="1062"/>
      <c r="GBX99" s="1061"/>
      <c r="GBY99" s="1027"/>
      <c r="GBZ99" s="2803"/>
      <c r="GCA99" s="2802"/>
      <c r="GCB99" s="2565"/>
      <c r="GCC99" s="2021"/>
      <c r="GCD99" s="1062"/>
      <c r="GCE99" s="1062"/>
      <c r="GCF99" s="1061"/>
      <c r="GCG99" s="1027"/>
      <c r="GCH99" s="2803"/>
      <c r="GCI99" s="2802"/>
      <c r="GCJ99" s="2565"/>
      <c r="GCK99" s="2021"/>
      <c r="GCL99" s="1062"/>
      <c r="GCM99" s="1062"/>
      <c r="GCN99" s="1061"/>
      <c r="GCO99" s="1027"/>
      <c r="GCP99" s="2803"/>
      <c r="GCQ99" s="2802"/>
      <c r="GCR99" s="2565"/>
      <c r="GCS99" s="2021"/>
      <c r="GCT99" s="1062"/>
      <c r="GCU99" s="1062"/>
      <c r="GCV99" s="1061"/>
      <c r="GCW99" s="1027"/>
      <c r="GCX99" s="2803"/>
      <c r="GCY99" s="2802"/>
      <c r="GCZ99" s="2565"/>
      <c r="GDA99" s="2021"/>
      <c r="GDB99" s="1062"/>
      <c r="GDC99" s="1062"/>
      <c r="GDD99" s="1061"/>
      <c r="GDE99" s="1027"/>
      <c r="GDF99" s="2803"/>
      <c r="GDG99" s="2802"/>
      <c r="GDH99" s="2565"/>
      <c r="GDI99" s="2021"/>
      <c r="GDJ99" s="1062"/>
      <c r="GDK99" s="1062"/>
      <c r="GDL99" s="1061"/>
      <c r="GDM99" s="1027"/>
      <c r="GDN99" s="2803"/>
      <c r="GDO99" s="2802"/>
      <c r="GDP99" s="2565"/>
      <c r="GDQ99" s="2021"/>
      <c r="GDR99" s="1062"/>
      <c r="GDS99" s="1062"/>
      <c r="GDT99" s="1061"/>
      <c r="GDU99" s="1027"/>
      <c r="GDV99" s="2803"/>
      <c r="GDW99" s="2802"/>
      <c r="GDX99" s="2565"/>
      <c r="GDY99" s="2021"/>
      <c r="GDZ99" s="1062"/>
      <c r="GEA99" s="1062"/>
      <c r="GEB99" s="1061"/>
      <c r="GEC99" s="1027"/>
      <c r="GED99" s="2803"/>
      <c r="GEE99" s="2802"/>
      <c r="GEF99" s="2565"/>
      <c r="GEG99" s="2021"/>
      <c r="GEH99" s="1062"/>
      <c r="GEI99" s="1062"/>
      <c r="GEJ99" s="1061"/>
      <c r="GEK99" s="1027"/>
      <c r="GEL99" s="2803"/>
      <c r="GEM99" s="2802"/>
      <c r="GEN99" s="2565"/>
      <c r="GEO99" s="2021"/>
      <c r="GEP99" s="1062"/>
      <c r="GEQ99" s="1062"/>
      <c r="GER99" s="1061"/>
      <c r="GES99" s="1027"/>
      <c r="GET99" s="2803"/>
      <c r="GEU99" s="2802"/>
      <c r="GEV99" s="2565"/>
      <c r="GEW99" s="2021"/>
      <c r="GEX99" s="1062"/>
      <c r="GEY99" s="1062"/>
      <c r="GEZ99" s="1061"/>
      <c r="GFA99" s="1027"/>
      <c r="GFB99" s="2803"/>
      <c r="GFC99" s="2802"/>
      <c r="GFD99" s="2565"/>
      <c r="GFE99" s="2021"/>
      <c r="GFF99" s="1062"/>
      <c r="GFG99" s="1062"/>
      <c r="GFH99" s="1061"/>
      <c r="GFI99" s="1027"/>
      <c r="GFJ99" s="2803"/>
      <c r="GFK99" s="2802"/>
      <c r="GFL99" s="2565"/>
      <c r="GFM99" s="2021"/>
      <c r="GFN99" s="1062"/>
      <c r="GFO99" s="1062"/>
      <c r="GFP99" s="1061"/>
      <c r="GFQ99" s="1027"/>
      <c r="GFR99" s="2803"/>
      <c r="GFS99" s="2802"/>
      <c r="GFT99" s="2565"/>
      <c r="GFU99" s="2021"/>
      <c r="GFV99" s="1062"/>
      <c r="GFW99" s="1062"/>
      <c r="GFX99" s="1061"/>
      <c r="GFY99" s="1027"/>
      <c r="GFZ99" s="2803"/>
      <c r="GGA99" s="2802"/>
      <c r="GGB99" s="2565"/>
      <c r="GGC99" s="2021"/>
      <c r="GGD99" s="1062"/>
      <c r="GGE99" s="1062"/>
      <c r="GGF99" s="1061"/>
      <c r="GGG99" s="1027"/>
      <c r="GGH99" s="2803"/>
      <c r="GGI99" s="2802"/>
      <c r="GGJ99" s="2565"/>
      <c r="GGK99" s="2021"/>
      <c r="GGL99" s="1062"/>
      <c r="GGM99" s="1062"/>
      <c r="GGN99" s="1061"/>
      <c r="GGO99" s="1027"/>
      <c r="GGP99" s="2803"/>
      <c r="GGQ99" s="2802"/>
      <c r="GGR99" s="2565"/>
      <c r="GGS99" s="2021"/>
      <c r="GGT99" s="1062"/>
      <c r="GGU99" s="1062"/>
      <c r="GGV99" s="1061"/>
      <c r="GGW99" s="1027"/>
      <c r="GGX99" s="2803"/>
      <c r="GGY99" s="2802"/>
      <c r="GGZ99" s="2565"/>
      <c r="GHA99" s="2021"/>
      <c r="GHB99" s="1062"/>
      <c r="GHC99" s="1062"/>
      <c r="GHD99" s="1061"/>
      <c r="GHE99" s="1027"/>
      <c r="GHF99" s="2803"/>
      <c r="GHG99" s="2802"/>
      <c r="GHH99" s="2565"/>
      <c r="GHI99" s="2021"/>
      <c r="GHJ99" s="1062"/>
      <c r="GHK99" s="1062"/>
      <c r="GHL99" s="1061"/>
      <c r="GHM99" s="1027"/>
      <c r="GHN99" s="2803"/>
      <c r="GHO99" s="2802"/>
      <c r="GHP99" s="2565"/>
      <c r="GHQ99" s="2021"/>
      <c r="GHR99" s="1062"/>
      <c r="GHS99" s="1062"/>
      <c r="GHT99" s="1061"/>
      <c r="GHU99" s="1027"/>
      <c r="GHV99" s="2803"/>
      <c r="GHW99" s="2802"/>
      <c r="GHX99" s="2565"/>
      <c r="GHY99" s="2021"/>
      <c r="GHZ99" s="1062"/>
      <c r="GIA99" s="1062"/>
      <c r="GIB99" s="1061"/>
      <c r="GIC99" s="1027"/>
      <c r="GID99" s="2803"/>
      <c r="GIE99" s="2802"/>
      <c r="GIF99" s="2565"/>
      <c r="GIG99" s="2021"/>
      <c r="GIH99" s="1062"/>
      <c r="GII99" s="1062"/>
      <c r="GIJ99" s="1061"/>
      <c r="GIK99" s="1027"/>
      <c r="GIL99" s="2803"/>
      <c r="GIM99" s="2802"/>
      <c r="GIN99" s="2565"/>
      <c r="GIO99" s="2021"/>
      <c r="GIP99" s="1062"/>
      <c r="GIQ99" s="1062"/>
      <c r="GIR99" s="1061"/>
      <c r="GIS99" s="1027"/>
      <c r="GIT99" s="2803"/>
      <c r="GIU99" s="2802"/>
      <c r="GIV99" s="2565"/>
      <c r="GIW99" s="2021"/>
      <c r="GIX99" s="1062"/>
      <c r="GIY99" s="1062"/>
      <c r="GIZ99" s="1061"/>
      <c r="GJA99" s="1027"/>
      <c r="GJB99" s="2803"/>
      <c r="GJC99" s="2802"/>
      <c r="GJD99" s="2565"/>
      <c r="GJE99" s="2021"/>
      <c r="GJF99" s="1062"/>
      <c r="GJG99" s="1062"/>
      <c r="GJH99" s="1061"/>
      <c r="GJI99" s="1027"/>
      <c r="GJJ99" s="2803"/>
      <c r="GJK99" s="2802"/>
      <c r="GJL99" s="2565"/>
      <c r="GJM99" s="2021"/>
      <c r="GJN99" s="1062"/>
      <c r="GJO99" s="1062"/>
      <c r="GJP99" s="1061"/>
      <c r="GJQ99" s="1027"/>
      <c r="GJR99" s="2803"/>
      <c r="GJS99" s="2802"/>
      <c r="GJT99" s="2565"/>
      <c r="GJU99" s="2021"/>
      <c r="GJV99" s="1062"/>
      <c r="GJW99" s="1062"/>
      <c r="GJX99" s="1061"/>
      <c r="GJY99" s="1027"/>
      <c r="GJZ99" s="2803"/>
      <c r="GKA99" s="2802"/>
      <c r="GKB99" s="2565"/>
      <c r="GKC99" s="2021"/>
      <c r="GKD99" s="1062"/>
      <c r="GKE99" s="1062"/>
      <c r="GKF99" s="1061"/>
      <c r="GKG99" s="1027"/>
      <c r="GKH99" s="2803"/>
      <c r="GKI99" s="2802"/>
      <c r="GKJ99" s="2565"/>
      <c r="GKK99" s="2021"/>
      <c r="GKL99" s="1062"/>
      <c r="GKM99" s="1062"/>
      <c r="GKN99" s="1061"/>
      <c r="GKO99" s="1027"/>
      <c r="GKP99" s="2803"/>
      <c r="GKQ99" s="2802"/>
      <c r="GKR99" s="2565"/>
      <c r="GKS99" s="2021"/>
      <c r="GKT99" s="1062"/>
      <c r="GKU99" s="1062"/>
      <c r="GKV99" s="1061"/>
      <c r="GKW99" s="1027"/>
      <c r="GKX99" s="2803"/>
      <c r="GKY99" s="2802"/>
      <c r="GKZ99" s="2565"/>
      <c r="GLA99" s="2021"/>
      <c r="GLB99" s="1062"/>
      <c r="GLC99" s="1062"/>
      <c r="GLD99" s="1061"/>
      <c r="GLE99" s="1027"/>
      <c r="GLF99" s="2803"/>
      <c r="GLG99" s="2802"/>
      <c r="GLH99" s="2565"/>
      <c r="GLI99" s="2021"/>
      <c r="GLJ99" s="1062"/>
      <c r="GLK99" s="1062"/>
      <c r="GLL99" s="1061"/>
      <c r="GLM99" s="1027"/>
      <c r="GLN99" s="2803"/>
      <c r="GLO99" s="2802"/>
      <c r="GLP99" s="2565"/>
      <c r="GLQ99" s="2021"/>
      <c r="GLR99" s="1062"/>
      <c r="GLS99" s="1062"/>
      <c r="GLT99" s="1061"/>
      <c r="GLU99" s="1027"/>
      <c r="GLV99" s="2803"/>
      <c r="GLW99" s="2802"/>
      <c r="GLX99" s="2565"/>
      <c r="GLY99" s="2021"/>
      <c r="GLZ99" s="1062"/>
      <c r="GMA99" s="1062"/>
      <c r="GMB99" s="1061"/>
      <c r="GMC99" s="1027"/>
      <c r="GMD99" s="2803"/>
      <c r="GME99" s="2802"/>
      <c r="GMF99" s="2565"/>
      <c r="GMG99" s="2021"/>
      <c r="GMH99" s="1062"/>
      <c r="GMI99" s="1062"/>
      <c r="GMJ99" s="1061"/>
      <c r="GMK99" s="1027"/>
      <c r="GML99" s="2803"/>
      <c r="GMM99" s="2802"/>
      <c r="GMN99" s="2565"/>
      <c r="GMO99" s="2021"/>
      <c r="GMP99" s="1062"/>
      <c r="GMQ99" s="1062"/>
      <c r="GMR99" s="1061"/>
      <c r="GMS99" s="1027"/>
      <c r="GMT99" s="2803"/>
      <c r="GMU99" s="2802"/>
      <c r="GMV99" s="2565"/>
      <c r="GMW99" s="2021"/>
      <c r="GMX99" s="1062"/>
      <c r="GMY99" s="1062"/>
      <c r="GMZ99" s="1061"/>
      <c r="GNA99" s="1027"/>
      <c r="GNB99" s="2803"/>
      <c r="GNC99" s="2802"/>
      <c r="GND99" s="2565"/>
      <c r="GNE99" s="2021"/>
      <c r="GNF99" s="1062"/>
      <c r="GNG99" s="1062"/>
      <c r="GNH99" s="1061"/>
      <c r="GNI99" s="1027"/>
      <c r="GNJ99" s="2803"/>
      <c r="GNK99" s="2802"/>
      <c r="GNL99" s="2565"/>
      <c r="GNM99" s="2021"/>
      <c r="GNN99" s="1062"/>
      <c r="GNO99" s="1062"/>
      <c r="GNP99" s="1061"/>
      <c r="GNQ99" s="1027"/>
      <c r="GNR99" s="2803"/>
      <c r="GNS99" s="2802"/>
      <c r="GNT99" s="2565"/>
      <c r="GNU99" s="2021"/>
      <c r="GNV99" s="1062"/>
      <c r="GNW99" s="1062"/>
      <c r="GNX99" s="1061"/>
      <c r="GNY99" s="1027"/>
      <c r="GNZ99" s="2803"/>
      <c r="GOA99" s="2802"/>
      <c r="GOB99" s="2565"/>
      <c r="GOC99" s="2021"/>
      <c r="GOD99" s="1062"/>
      <c r="GOE99" s="1062"/>
      <c r="GOF99" s="1061"/>
      <c r="GOG99" s="1027"/>
      <c r="GOH99" s="2803"/>
      <c r="GOI99" s="2802"/>
      <c r="GOJ99" s="2565"/>
      <c r="GOK99" s="2021"/>
      <c r="GOL99" s="1062"/>
      <c r="GOM99" s="1062"/>
      <c r="GON99" s="1061"/>
      <c r="GOO99" s="1027"/>
      <c r="GOP99" s="2803"/>
      <c r="GOQ99" s="2802"/>
      <c r="GOR99" s="2565"/>
      <c r="GOS99" s="2021"/>
      <c r="GOT99" s="1062"/>
      <c r="GOU99" s="1062"/>
      <c r="GOV99" s="1061"/>
      <c r="GOW99" s="1027"/>
      <c r="GOX99" s="2803"/>
      <c r="GOY99" s="2802"/>
      <c r="GOZ99" s="2565"/>
      <c r="GPA99" s="2021"/>
      <c r="GPB99" s="1062"/>
      <c r="GPC99" s="1062"/>
      <c r="GPD99" s="1061"/>
      <c r="GPE99" s="1027"/>
      <c r="GPF99" s="2803"/>
      <c r="GPG99" s="2802"/>
      <c r="GPH99" s="2565"/>
      <c r="GPI99" s="2021"/>
      <c r="GPJ99" s="1062"/>
      <c r="GPK99" s="1062"/>
      <c r="GPL99" s="1061"/>
      <c r="GPM99" s="1027"/>
      <c r="GPN99" s="2803"/>
      <c r="GPO99" s="2802"/>
      <c r="GPP99" s="2565"/>
      <c r="GPQ99" s="2021"/>
      <c r="GPR99" s="1062"/>
      <c r="GPS99" s="1062"/>
      <c r="GPT99" s="1061"/>
      <c r="GPU99" s="1027"/>
      <c r="GPV99" s="2803"/>
      <c r="GPW99" s="2802"/>
      <c r="GPX99" s="2565"/>
      <c r="GPY99" s="2021"/>
      <c r="GPZ99" s="1062"/>
      <c r="GQA99" s="1062"/>
      <c r="GQB99" s="1061"/>
      <c r="GQC99" s="1027"/>
      <c r="GQD99" s="2803"/>
      <c r="GQE99" s="2802"/>
      <c r="GQF99" s="2565"/>
      <c r="GQG99" s="2021"/>
      <c r="GQH99" s="1062"/>
      <c r="GQI99" s="1062"/>
      <c r="GQJ99" s="1061"/>
      <c r="GQK99" s="1027"/>
      <c r="GQL99" s="2803"/>
      <c r="GQM99" s="2802"/>
      <c r="GQN99" s="2565"/>
      <c r="GQO99" s="2021"/>
      <c r="GQP99" s="1062"/>
      <c r="GQQ99" s="1062"/>
      <c r="GQR99" s="1061"/>
      <c r="GQS99" s="1027"/>
      <c r="GQT99" s="2803"/>
      <c r="GQU99" s="2802"/>
      <c r="GQV99" s="2565"/>
      <c r="GQW99" s="2021"/>
      <c r="GQX99" s="1062"/>
      <c r="GQY99" s="1062"/>
      <c r="GQZ99" s="1061"/>
      <c r="GRA99" s="1027"/>
      <c r="GRB99" s="2803"/>
      <c r="GRC99" s="2802"/>
      <c r="GRD99" s="2565"/>
      <c r="GRE99" s="2021"/>
      <c r="GRF99" s="1062"/>
      <c r="GRG99" s="1062"/>
      <c r="GRH99" s="1061"/>
      <c r="GRI99" s="1027"/>
      <c r="GRJ99" s="2803"/>
      <c r="GRK99" s="2802"/>
      <c r="GRL99" s="2565"/>
      <c r="GRM99" s="2021"/>
      <c r="GRN99" s="1062"/>
      <c r="GRO99" s="1062"/>
      <c r="GRP99" s="1061"/>
      <c r="GRQ99" s="1027"/>
      <c r="GRR99" s="2803"/>
      <c r="GRS99" s="2802"/>
      <c r="GRT99" s="2565"/>
      <c r="GRU99" s="2021"/>
      <c r="GRV99" s="1062"/>
      <c r="GRW99" s="1062"/>
      <c r="GRX99" s="1061"/>
      <c r="GRY99" s="1027"/>
      <c r="GRZ99" s="2803"/>
      <c r="GSA99" s="2802"/>
      <c r="GSB99" s="2565"/>
      <c r="GSC99" s="2021"/>
      <c r="GSD99" s="1062"/>
      <c r="GSE99" s="1062"/>
      <c r="GSF99" s="1061"/>
      <c r="GSG99" s="1027"/>
      <c r="GSH99" s="2803"/>
      <c r="GSI99" s="2802"/>
      <c r="GSJ99" s="2565"/>
      <c r="GSK99" s="2021"/>
      <c r="GSL99" s="1062"/>
      <c r="GSM99" s="1062"/>
      <c r="GSN99" s="1061"/>
      <c r="GSO99" s="1027"/>
      <c r="GSP99" s="2803"/>
      <c r="GSQ99" s="2802"/>
      <c r="GSR99" s="2565"/>
      <c r="GSS99" s="2021"/>
      <c r="GST99" s="1062"/>
      <c r="GSU99" s="1062"/>
      <c r="GSV99" s="1061"/>
      <c r="GSW99" s="1027"/>
      <c r="GSX99" s="2803"/>
      <c r="GSY99" s="2802"/>
      <c r="GSZ99" s="2565"/>
      <c r="GTA99" s="2021"/>
      <c r="GTB99" s="1062"/>
      <c r="GTC99" s="1062"/>
      <c r="GTD99" s="1061"/>
      <c r="GTE99" s="1027"/>
      <c r="GTF99" s="2803"/>
      <c r="GTG99" s="2802"/>
      <c r="GTH99" s="2565"/>
      <c r="GTI99" s="2021"/>
      <c r="GTJ99" s="1062"/>
      <c r="GTK99" s="1062"/>
      <c r="GTL99" s="1061"/>
      <c r="GTM99" s="1027"/>
      <c r="GTN99" s="2803"/>
      <c r="GTO99" s="2802"/>
      <c r="GTP99" s="2565"/>
      <c r="GTQ99" s="2021"/>
      <c r="GTR99" s="1062"/>
      <c r="GTS99" s="1062"/>
      <c r="GTT99" s="1061"/>
      <c r="GTU99" s="1027"/>
      <c r="GTV99" s="2803"/>
      <c r="GTW99" s="2802"/>
      <c r="GTX99" s="2565"/>
      <c r="GTY99" s="2021"/>
      <c r="GTZ99" s="1062"/>
      <c r="GUA99" s="1062"/>
      <c r="GUB99" s="1061"/>
      <c r="GUC99" s="1027"/>
      <c r="GUD99" s="2803"/>
      <c r="GUE99" s="2802"/>
      <c r="GUF99" s="2565"/>
      <c r="GUG99" s="2021"/>
      <c r="GUH99" s="1062"/>
      <c r="GUI99" s="1062"/>
      <c r="GUJ99" s="1061"/>
      <c r="GUK99" s="1027"/>
      <c r="GUL99" s="2803"/>
      <c r="GUM99" s="2802"/>
      <c r="GUN99" s="2565"/>
      <c r="GUO99" s="2021"/>
      <c r="GUP99" s="1062"/>
      <c r="GUQ99" s="1062"/>
      <c r="GUR99" s="1061"/>
      <c r="GUS99" s="1027"/>
      <c r="GUT99" s="2803"/>
      <c r="GUU99" s="2802"/>
      <c r="GUV99" s="2565"/>
      <c r="GUW99" s="2021"/>
      <c r="GUX99" s="1062"/>
      <c r="GUY99" s="1062"/>
      <c r="GUZ99" s="1061"/>
      <c r="GVA99" s="1027"/>
      <c r="GVB99" s="2803"/>
      <c r="GVC99" s="2802"/>
      <c r="GVD99" s="2565"/>
      <c r="GVE99" s="2021"/>
      <c r="GVF99" s="1062"/>
      <c r="GVG99" s="1062"/>
      <c r="GVH99" s="1061"/>
      <c r="GVI99" s="1027"/>
      <c r="GVJ99" s="2803"/>
      <c r="GVK99" s="2802"/>
      <c r="GVL99" s="2565"/>
      <c r="GVM99" s="2021"/>
      <c r="GVN99" s="1062"/>
      <c r="GVO99" s="1062"/>
      <c r="GVP99" s="1061"/>
      <c r="GVQ99" s="1027"/>
      <c r="GVR99" s="2803"/>
      <c r="GVS99" s="2802"/>
      <c r="GVT99" s="2565"/>
      <c r="GVU99" s="2021"/>
      <c r="GVV99" s="1062"/>
      <c r="GVW99" s="1062"/>
      <c r="GVX99" s="1061"/>
      <c r="GVY99" s="1027"/>
      <c r="GVZ99" s="2803"/>
      <c r="GWA99" s="2802"/>
      <c r="GWB99" s="2565"/>
      <c r="GWC99" s="2021"/>
      <c r="GWD99" s="1062"/>
      <c r="GWE99" s="1062"/>
      <c r="GWF99" s="1061"/>
      <c r="GWG99" s="1027"/>
      <c r="GWH99" s="2803"/>
      <c r="GWI99" s="2802"/>
      <c r="GWJ99" s="2565"/>
      <c r="GWK99" s="2021"/>
      <c r="GWL99" s="1062"/>
      <c r="GWM99" s="1062"/>
      <c r="GWN99" s="1061"/>
      <c r="GWO99" s="1027"/>
      <c r="GWP99" s="2803"/>
      <c r="GWQ99" s="2802"/>
      <c r="GWR99" s="2565"/>
      <c r="GWS99" s="2021"/>
      <c r="GWT99" s="1062"/>
      <c r="GWU99" s="1062"/>
      <c r="GWV99" s="1061"/>
      <c r="GWW99" s="1027"/>
      <c r="GWX99" s="2803"/>
      <c r="GWY99" s="2802"/>
      <c r="GWZ99" s="2565"/>
      <c r="GXA99" s="2021"/>
      <c r="GXB99" s="1062"/>
      <c r="GXC99" s="1062"/>
      <c r="GXD99" s="1061"/>
      <c r="GXE99" s="1027"/>
      <c r="GXF99" s="2803"/>
      <c r="GXG99" s="2802"/>
      <c r="GXH99" s="2565"/>
      <c r="GXI99" s="2021"/>
      <c r="GXJ99" s="1062"/>
      <c r="GXK99" s="1062"/>
      <c r="GXL99" s="1061"/>
      <c r="GXM99" s="1027"/>
      <c r="GXN99" s="2803"/>
      <c r="GXO99" s="2802"/>
      <c r="GXP99" s="2565"/>
      <c r="GXQ99" s="2021"/>
      <c r="GXR99" s="1062"/>
      <c r="GXS99" s="1062"/>
      <c r="GXT99" s="1061"/>
      <c r="GXU99" s="1027"/>
      <c r="GXV99" s="2803"/>
      <c r="GXW99" s="2802"/>
      <c r="GXX99" s="2565"/>
      <c r="GXY99" s="2021"/>
      <c r="GXZ99" s="1062"/>
      <c r="GYA99" s="1062"/>
      <c r="GYB99" s="1061"/>
      <c r="GYC99" s="1027"/>
      <c r="GYD99" s="2803"/>
      <c r="GYE99" s="2802"/>
      <c r="GYF99" s="2565"/>
      <c r="GYG99" s="2021"/>
      <c r="GYH99" s="1062"/>
      <c r="GYI99" s="1062"/>
      <c r="GYJ99" s="1061"/>
      <c r="GYK99" s="1027"/>
      <c r="GYL99" s="2803"/>
      <c r="GYM99" s="2802"/>
      <c r="GYN99" s="2565"/>
      <c r="GYO99" s="2021"/>
      <c r="GYP99" s="1062"/>
      <c r="GYQ99" s="1062"/>
      <c r="GYR99" s="1061"/>
      <c r="GYS99" s="1027"/>
      <c r="GYT99" s="2803"/>
      <c r="GYU99" s="2802"/>
      <c r="GYV99" s="2565"/>
      <c r="GYW99" s="2021"/>
      <c r="GYX99" s="1062"/>
      <c r="GYY99" s="1062"/>
      <c r="GYZ99" s="1061"/>
      <c r="GZA99" s="1027"/>
      <c r="GZB99" s="2803"/>
      <c r="GZC99" s="2802"/>
      <c r="GZD99" s="2565"/>
      <c r="GZE99" s="2021"/>
      <c r="GZF99" s="1062"/>
      <c r="GZG99" s="1062"/>
      <c r="GZH99" s="1061"/>
      <c r="GZI99" s="1027"/>
      <c r="GZJ99" s="2803"/>
      <c r="GZK99" s="2802"/>
      <c r="GZL99" s="2565"/>
      <c r="GZM99" s="2021"/>
      <c r="GZN99" s="1062"/>
      <c r="GZO99" s="1062"/>
      <c r="GZP99" s="1061"/>
      <c r="GZQ99" s="1027"/>
      <c r="GZR99" s="2803"/>
      <c r="GZS99" s="2802"/>
      <c r="GZT99" s="2565"/>
      <c r="GZU99" s="2021"/>
      <c r="GZV99" s="1062"/>
      <c r="GZW99" s="1062"/>
      <c r="GZX99" s="1061"/>
      <c r="GZY99" s="1027"/>
      <c r="GZZ99" s="2803"/>
      <c r="HAA99" s="2802"/>
      <c r="HAB99" s="2565"/>
      <c r="HAC99" s="2021"/>
      <c r="HAD99" s="1062"/>
      <c r="HAE99" s="1062"/>
      <c r="HAF99" s="1061"/>
      <c r="HAG99" s="1027"/>
      <c r="HAH99" s="2803"/>
      <c r="HAI99" s="2802"/>
      <c r="HAJ99" s="2565"/>
      <c r="HAK99" s="2021"/>
      <c r="HAL99" s="1062"/>
      <c r="HAM99" s="1062"/>
      <c r="HAN99" s="1061"/>
      <c r="HAO99" s="1027"/>
      <c r="HAP99" s="2803"/>
      <c r="HAQ99" s="2802"/>
      <c r="HAR99" s="2565"/>
      <c r="HAS99" s="2021"/>
      <c r="HAT99" s="1062"/>
      <c r="HAU99" s="1062"/>
      <c r="HAV99" s="1061"/>
      <c r="HAW99" s="1027"/>
      <c r="HAX99" s="2803"/>
      <c r="HAY99" s="2802"/>
      <c r="HAZ99" s="2565"/>
      <c r="HBA99" s="2021"/>
      <c r="HBB99" s="1062"/>
      <c r="HBC99" s="1062"/>
      <c r="HBD99" s="1061"/>
      <c r="HBE99" s="1027"/>
      <c r="HBF99" s="2803"/>
      <c r="HBG99" s="2802"/>
      <c r="HBH99" s="2565"/>
      <c r="HBI99" s="2021"/>
      <c r="HBJ99" s="1062"/>
      <c r="HBK99" s="1062"/>
      <c r="HBL99" s="1061"/>
      <c r="HBM99" s="1027"/>
      <c r="HBN99" s="2803"/>
      <c r="HBO99" s="2802"/>
      <c r="HBP99" s="2565"/>
      <c r="HBQ99" s="2021"/>
      <c r="HBR99" s="1062"/>
      <c r="HBS99" s="1062"/>
      <c r="HBT99" s="1061"/>
      <c r="HBU99" s="1027"/>
      <c r="HBV99" s="2803"/>
      <c r="HBW99" s="2802"/>
      <c r="HBX99" s="2565"/>
      <c r="HBY99" s="2021"/>
      <c r="HBZ99" s="1062"/>
      <c r="HCA99" s="1062"/>
      <c r="HCB99" s="1061"/>
      <c r="HCC99" s="1027"/>
      <c r="HCD99" s="2803"/>
      <c r="HCE99" s="2802"/>
      <c r="HCF99" s="2565"/>
      <c r="HCG99" s="2021"/>
      <c r="HCH99" s="1062"/>
      <c r="HCI99" s="1062"/>
      <c r="HCJ99" s="1061"/>
      <c r="HCK99" s="1027"/>
      <c r="HCL99" s="2803"/>
      <c r="HCM99" s="2802"/>
      <c r="HCN99" s="2565"/>
      <c r="HCO99" s="2021"/>
      <c r="HCP99" s="1062"/>
      <c r="HCQ99" s="1062"/>
      <c r="HCR99" s="1061"/>
      <c r="HCS99" s="1027"/>
      <c r="HCT99" s="2803"/>
      <c r="HCU99" s="2802"/>
      <c r="HCV99" s="2565"/>
      <c r="HCW99" s="2021"/>
      <c r="HCX99" s="1062"/>
      <c r="HCY99" s="1062"/>
      <c r="HCZ99" s="1061"/>
      <c r="HDA99" s="1027"/>
      <c r="HDB99" s="2803"/>
      <c r="HDC99" s="2802"/>
      <c r="HDD99" s="2565"/>
      <c r="HDE99" s="2021"/>
      <c r="HDF99" s="1062"/>
      <c r="HDG99" s="1062"/>
      <c r="HDH99" s="1061"/>
      <c r="HDI99" s="1027"/>
      <c r="HDJ99" s="2803"/>
      <c r="HDK99" s="2802"/>
      <c r="HDL99" s="2565"/>
      <c r="HDM99" s="2021"/>
      <c r="HDN99" s="1062"/>
      <c r="HDO99" s="1062"/>
      <c r="HDP99" s="1061"/>
      <c r="HDQ99" s="1027"/>
      <c r="HDR99" s="2803"/>
      <c r="HDS99" s="2802"/>
      <c r="HDT99" s="2565"/>
      <c r="HDU99" s="2021"/>
      <c r="HDV99" s="1062"/>
      <c r="HDW99" s="1062"/>
      <c r="HDX99" s="1061"/>
      <c r="HDY99" s="1027"/>
      <c r="HDZ99" s="2803"/>
      <c r="HEA99" s="2802"/>
      <c r="HEB99" s="2565"/>
      <c r="HEC99" s="2021"/>
      <c r="HED99" s="1062"/>
      <c r="HEE99" s="1062"/>
      <c r="HEF99" s="1061"/>
      <c r="HEG99" s="1027"/>
      <c r="HEH99" s="2803"/>
      <c r="HEI99" s="2802"/>
      <c r="HEJ99" s="2565"/>
      <c r="HEK99" s="2021"/>
      <c r="HEL99" s="1062"/>
      <c r="HEM99" s="1062"/>
      <c r="HEN99" s="1061"/>
      <c r="HEO99" s="1027"/>
      <c r="HEP99" s="2803"/>
      <c r="HEQ99" s="2802"/>
      <c r="HER99" s="2565"/>
      <c r="HES99" s="2021"/>
      <c r="HET99" s="1062"/>
      <c r="HEU99" s="1062"/>
      <c r="HEV99" s="1061"/>
      <c r="HEW99" s="1027"/>
      <c r="HEX99" s="2803"/>
      <c r="HEY99" s="2802"/>
      <c r="HEZ99" s="2565"/>
      <c r="HFA99" s="2021"/>
      <c r="HFB99" s="1062"/>
      <c r="HFC99" s="1062"/>
      <c r="HFD99" s="1061"/>
      <c r="HFE99" s="1027"/>
      <c r="HFF99" s="2803"/>
      <c r="HFG99" s="2802"/>
      <c r="HFH99" s="2565"/>
      <c r="HFI99" s="2021"/>
      <c r="HFJ99" s="1062"/>
      <c r="HFK99" s="1062"/>
      <c r="HFL99" s="1061"/>
      <c r="HFM99" s="1027"/>
      <c r="HFN99" s="2803"/>
      <c r="HFO99" s="2802"/>
      <c r="HFP99" s="2565"/>
      <c r="HFQ99" s="2021"/>
      <c r="HFR99" s="1062"/>
      <c r="HFS99" s="1062"/>
      <c r="HFT99" s="1061"/>
      <c r="HFU99" s="1027"/>
      <c r="HFV99" s="2803"/>
      <c r="HFW99" s="2802"/>
      <c r="HFX99" s="2565"/>
      <c r="HFY99" s="2021"/>
      <c r="HFZ99" s="1062"/>
      <c r="HGA99" s="1062"/>
      <c r="HGB99" s="1061"/>
      <c r="HGC99" s="1027"/>
      <c r="HGD99" s="2803"/>
      <c r="HGE99" s="2802"/>
      <c r="HGF99" s="2565"/>
      <c r="HGG99" s="2021"/>
      <c r="HGH99" s="1062"/>
      <c r="HGI99" s="1062"/>
      <c r="HGJ99" s="1061"/>
      <c r="HGK99" s="1027"/>
      <c r="HGL99" s="2803"/>
      <c r="HGM99" s="2802"/>
      <c r="HGN99" s="2565"/>
      <c r="HGO99" s="2021"/>
      <c r="HGP99" s="1062"/>
      <c r="HGQ99" s="1062"/>
      <c r="HGR99" s="1061"/>
      <c r="HGS99" s="1027"/>
      <c r="HGT99" s="2803"/>
      <c r="HGU99" s="2802"/>
      <c r="HGV99" s="2565"/>
      <c r="HGW99" s="2021"/>
      <c r="HGX99" s="1062"/>
      <c r="HGY99" s="1062"/>
      <c r="HGZ99" s="1061"/>
      <c r="HHA99" s="1027"/>
      <c r="HHB99" s="2803"/>
      <c r="HHC99" s="2802"/>
      <c r="HHD99" s="2565"/>
      <c r="HHE99" s="2021"/>
      <c r="HHF99" s="1062"/>
      <c r="HHG99" s="1062"/>
      <c r="HHH99" s="1061"/>
      <c r="HHI99" s="1027"/>
      <c r="HHJ99" s="2803"/>
      <c r="HHK99" s="2802"/>
      <c r="HHL99" s="2565"/>
      <c r="HHM99" s="2021"/>
      <c r="HHN99" s="1062"/>
      <c r="HHO99" s="1062"/>
      <c r="HHP99" s="1061"/>
      <c r="HHQ99" s="1027"/>
      <c r="HHR99" s="2803"/>
      <c r="HHS99" s="2802"/>
      <c r="HHT99" s="2565"/>
      <c r="HHU99" s="2021"/>
      <c r="HHV99" s="1062"/>
      <c r="HHW99" s="1062"/>
      <c r="HHX99" s="1061"/>
      <c r="HHY99" s="1027"/>
      <c r="HHZ99" s="2803"/>
      <c r="HIA99" s="2802"/>
      <c r="HIB99" s="2565"/>
      <c r="HIC99" s="2021"/>
      <c r="HID99" s="1062"/>
      <c r="HIE99" s="1062"/>
      <c r="HIF99" s="1061"/>
      <c r="HIG99" s="1027"/>
      <c r="HIH99" s="2803"/>
      <c r="HII99" s="2802"/>
      <c r="HIJ99" s="2565"/>
      <c r="HIK99" s="2021"/>
      <c r="HIL99" s="1062"/>
      <c r="HIM99" s="1062"/>
      <c r="HIN99" s="1061"/>
      <c r="HIO99" s="1027"/>
      <c r="HIP99" s="2803"/>
      <c r="HIQ99" s="2802"/>
      <c r="HIR99" s="2565"/>
      <c r="HIS99" s="2021"/>
      <c r="HIT99" s="1062"/>
      <c r="HIU99" s="1062"/>
      <c r="HIV99" s="1061"/>
      <c r="HIW99" s="1027"/>
      <c r="HIX99" s="2803"/>
      <c r="HIY99" s="2802"/>
      <c r="HIZ99" s="2565"/>
      <c r="HJA99" s="2021"/>
      <c r="HJB99" s="1062"/>
      <c r="HJC99" s="1062"/>
      <c r="HJD99" s="1061"/>
      <c r="HJE99" s="1027"/>
      <c r="HJF99" s="2803"/>
      <c r="HJG99" s="2802"/>
      <c r="HJH99" s="2565"/>
      <c r="HJI99" s="2021"/>
      <c r="HJJ99" s="1062"/>
      <c r="HJK99" s="1062"/>
      <c r="HJL99" s="1061"/>
      <c r="HJM99" s="1027"/>
      <c r="HJN99" s="2803"/>
      <c r="HJO99" s="2802"/>
      <c r="HJP99" s="2565"/>
      <c r="HJQ99" s="2021"/>
      <c r="HJR99" s="1062"/>
      <c r="HJS99" s="1062"/>
      <c r="HJT99" s="1061"/>
      <c r="HJU99" s="1027"/>
      <c r="HJV99" s="2803"/>
      <c r="HJW99" s="2802"/>
      <c r="HJX99" s="2565"/>
      <c r="HJY99" s="2021"/>
      <c r="HJZ99" s="1062"/>
      <c r="HKA99" s="1062"/>
      <c r="HKB99" s="1061"/>
      <c r="HKC99" s="1027"/>
      <c r="HKD99" s="2803"/>
      <c r="HKE99" s="2802"/>
      <c r="HKF99" s="2565"/>
      <c r="HKG99" s="2021"/>
      <c r="HKH99" s="1062"/>
      <c r="HKI99" s="1062"/>
      <c r="HKJ99" s="1061"/>
      <c r="HKK99" s="1027"/>
      <c r="HKL99" s="2803"/>
      <c r="HKM99" s="2802"/>
      <c r="HKN99" s="2565"/>
      <c r="HKO99" s="2021"/>
      <c r="HKP99" s="1062"/>
      <c r="HKQ99" s="1062"/>
      <c r="HKR99" s="1061"/>
      <c r="HKS99" s="1027"/>
      <c r="HKT99" s="2803"/>
      <c r="HKU99" s="2802"/>
      <c r="HKV99" s="2565"/>
      <c r="HKW99" s="2021"/>
      <c r="HKX99" s="1062"/>
      <c r="HKY99" s="1062"/>
      <c r="HKZ99" s="1061"/>
      <c r="HLA99" s="1027"/>
      <c r="HLB99" s="2803"/>
      <c r="HLC99" s="2802"/>
      <c r="HLD99" s="2565"/>
      <c r="HLE99" s="2021"/>
      <c r="HLF99" s="1062"/>
      <c r="HLG99" s="1062"/>
      <c r="HLH99" s="1061"/>
      <c r="HLI99" s="1027"/>
      <c r="HLJ99" s="2803"/>
      <c r="HLK99" s="2802"/>
      <c r="HLL99" s="2565"/>
      <c r="HLM99" s="2021"/>
      <c r="HLN99" s="1062"/>
      <c r="HLO99" s="1062"/>
      <c r="HLP99" s="1061"/>
      <c r="HLQ99" s="1027"/>
      <c r="HLR99" s="2803"/>
      <c r="HLS99" s="2802"/>
      <c r="HLT99" s="2565"/>
      <c r="HLU99" s="2021"/>
      <c r="HLV99" s="1062"/>
      <c r="HLW99" s="1062"/>
      <c r="HLX99" s="1061"/>
      <c r="HLY99" s="1027"/>
      <c r="HLZ99" s="2803"/>
      <c r="HMA99" s="2802"/>
      <c r="HMB99" s="2565"/>
      <c r="HMC99" s="2021"/>
      <c r="HMD99" s="1062"/>
      <c r="HME99" s="1062"/>
      <c r="HMF99" s="1061"/>
      <c r="HMG99" s="1027"/>
      <c r="HMH99" s="2803"/>
      <c r="HMI99" s="2802"/>
      <c r="HMJ99" s="2565"/>
      <c r="HMK99" s="2021"/>
      <c r="HML99" s="1062"/>
      <c r="HMM99" s="1062"/>
      <c r="HMN99" s="1061"/>
      <c r="HMO99" s="1027"/>
      <c r="HMP99" s="2803"/>
      <c r="HMQ99" s="2802"/>
      <c r="HMR99" s="2565"/>
      <c r="HMS99" s="2021"/>
      <c r="HMT99" s="1062"/>
      <c r="HMU99" s="1062"/>
      <c r="HMV99" s="1061"/>
      <c r="HMW99" s="1027"/>
      <c r="HMX99" s="2803"/>
      <c r="HMY99" s="2802"/>
      <c r="HMZ99" s="2565"/>
      <c r="HNA99" s="2021"/>
      <c r="HNB99" s="1062"/>
      <c r="HNC99" s="1062"/>
      <c r="HND99" s="1061"/>
      <c r="HNE99" s="1027"/>
      <c r="HNF99" s="2803"/>
      <c r="HNG99" s="2802"/>
      <c r="HNH99" s="2565"/>
      <c r="HNI99" s="2021"/>
      <c r="HNJ99" s="1062"/>
      <c r="HNK99" s="1062"/>
      <c r="HNL99" s="1061"/>
      <c r="HNM99" s="1027"/>
      <c r="HNN99" s="2803"/>
      <c r="HNO99" s="2802"/>
      <c r="HNP99" s="2565"/>
      <c r="HNQ99" s="2021"/>
      <c r="HNR99" s="1062"/>
      <c r="HNS99" s="1062"/>
      <c r="HNT99" s="1061"/>
      <c r="HNU99" s="1027"/>
      <c r="HNV99" s="2803"/>
      <c r="HNW99" s="2802"/>
      <c r="HNX99" s="2565"/>
      <c r="HNY99" s="2021"/>
      <c r="HNZ99" s="1062"/>
      <c r="HOA99" s="1062"/>
      <c r="HOB99" s="1061"/>
      <c r="HOC99" s="1027"/>
      <c r="HOD99" s="2803"/>
      <c r="HOE99" s="2802"/>
      <c r="HOF99" s="2565"/>
      <c r="HOG99" s="2021"/>
      <c r="HOH99" s="1062"/>
      <c r="HOI99" s="1062"/>
      <c r="HOJ99" s="1061"/>
      <c r="HOK99" s="1027"/>
      <c r="HOL99" s="2803"/>
      <c r="HOM99" s="2802"/>
      <c r="HON99" s="2565"/>
      <c r="HOO99" s="2021"/>
      <c r="HOP99" s="1062"/>
      <c r="HOQ99" s="1062"/>
      <c r="HOR99" s="1061"/>
      <c r="HOS99" s="1027"/>
      <c r="HOT99" s="2803"/>
      <c r="HOU99" s="2802"/>
      <c r="HOV99" s="2565"/>
      <c r="HOW99" s="2021"/>
      <c r="HOX99" s="1062"/>
      <c r="HOY99" s="1062"/>
      <c r="HOZ99" s="1061"/>
      <c r="HPA99" s="1027"/>
      <c r="HPB99" s="2803"/>
      <c r="HPC99" s="2802"/>
      <c r="HPD99" s="2565"/>
      <c r="HPE99" s="2021"/>
      <c r="HPF99" s="1062"/>
      <c r="HPG99" s="1062"/>
      <c r="HPH99" s="1061"/>
      <c r="HPI99" s="1027"/>
      <c r="HPJ99" s="2803"/>
      <c r="HPK99" s="2802"/>
      <c r="HPL99" s="2565"/>
      <c r="HPM99" s="2021"/>
      <c r="HPN99" s="1062"/>
      <c r="HPO99" s="1062"/>
      <c r="HPP99" s="1061"/>
      <c r="HPQ99" s="1027"/>
      <c r="HPR99" s="2803"/>
      <c r="HPS99" s="2802"/>
      <c r="HPT99" s="2565"/>
      <c r="HPU99" s="2021"/>
      <c r="HPV99" s="1062"/>
      <c r="HPW99" s="1062"/>
      <c r="HPX99" s="1061"/>
      <c r="HPY99" s="1027"/>
      <c r="HPZ99" s="2803"/>
      <c r="HQA99" s="2802"/>
      <c r="HQB99" s="2565"/>
      <c r="HQC99" s="2021"/>
      <c r="HQD99" s="1062"/>
      <c r="HQE99" s="1062"/>
      <c r="HQF99" s="1061"/>
      <c r="HQG99" s="1027"/>
      <c r="HQH99" s="2803"/>
      <c r="HQI99" s="2802"/>
      <c r="HQJ99" s="2565"/>
      <c r="HQK99" s="2021"/>
      <c r="HQL99" s="1062"/>
      <c r="HQM99" s="1062"/>
      <c r="HQN99" s="1061"/>
      <c r="HQO99" s="1027"/>
      <c r="HQP99" s="2803"/>
      <c r="HQQ99" s="2802"/>
      <c r="HQR99" s="2565"/>
      <c r="HQS99" s="2021"/>
      <c r="HQT99" s="1062"/>
      <c r="HQU99" s="1062"/>
      <c r="HQV99" s="1061"/>
      <c r="HQW99" s="1027"/>
      <c r="HQX99" s="2803"/>
      <c r="HQY99" s="2802"/>
      <c r="HQZ99" s="2565"/>
      <c r="HRA99" s="2021"/>
      <c r="HRB99" s="1062"/>
      <c r="HRC99" s="1062"/>
      <c r="HRD99" s="1061"/>
      <c r="HRE99" s="1027"/>
      <c r="HRF99" s="2803"/>
      <c r="HRG99" s="2802"/>
      <c r="HRH99" s="2565"/>
      <c r="HRI99" s="2021"/>
      <c r="HRJ99" s="1062"/>
      <c r="HRK99" s="1062"/>
      <c r="HRL99" s="1061"/>
      <c r="HRM99" s="1027"/>
      <c r="HRN99" s="2803"/>
      <c r="HRO99" s="2802"/>
      <c r="HRP99" s="2565"/>
      <c r="HRQ99" s="2021"/>
      <c r="HRR99" s="1062"/>
      <c r="HRS99" s="1062"/>
      <c r="HRT99" s="1061"/>
      <c r="HRU99" s="1027"/>
      <c r="HRV99" s="2803"/>
      <c r="HRW99" s="2802"/>
      <c r="HRX99" s="2565"/>
      <c r="HRY99" s="2021"/>
      <c r="HRZ99" s="1062"/>
      <c r="HSA99" s="1062"/>
      <c r="HSB99" s="1061"/>
      <c r="HSC99" s="1027"/>
      <c r="HSD99" s="2803"/>
      <c r="HSE99" s="2802"/>
      <c r="HSF99" s="2565"/>
      <c r="HSG99" s="2021"/>
      <c r="HSH99" s="1062"/>
      <c r="HSI99" s="1062"/>
      <c r="HSJ99" s="1061"/>
      <c r="HSK99" s="1027"/>
      <c r="HSL99" s="2803"/>
      <c r="HSM99" s="2802"/>
      <c r="HSN99" s="2565"/>
      <c r="HSO99" s="2021"/>
      <c r="HSP99" s="1062"/>
      <c r="HSQ99" s="1062"/>
      <c r="HSR99" s="1061"/>
      <c r="HSS99" s="1027"/>
      <c r="HST99" s="2803"/>
      <c r="HSU99" s="2802"/>
      <c r="HSV99" s="2565"/>
      <c r="HSW99" s="2021"/>
      <c r="HSX99" s="1062"/>
      <c r="HSY99" s="1062"/>
      <c r="HSZ99" s="1061"/>
      <c r="HTA99" s="1027"/>
      <c r="HTB99" s="2803"/>
      <c r="HTC99" s="2802"/>
      <c r="HTD99" s="2565"/>
      <c r="HTE99" s="2021"/>
      <c r="HTF99" s="1062"/>
      <c r="HTG99" s="1062"/>
      <c r="HTH99" s="1061"/>
      <c r="HTI99" s="1027"/>
      <c r="HTJ99" s="2803"/>
      <c r="HTK99" s="2802"/>
      <c r="HTL99" s="2565"/>
      <c r="HTM99" s="2021"/>
      <c r="HTN99" s="1062"/>
      <c r="HTO99" s="1062"/>
      <c r="HTP99" s="1061"/>
      <c r="HTQ99" s="1027"/>
      <c r="HTR99" s="2803"/>
      <c r="HTS99" s="2802"/>
      <c r="HTT99" s="2565"/>
      <c r="HTU99" s="2021"/>
      <c r="HTV99" s="1062"/>
      <c r="HTW99" s="1062"/>
      <c r="HTX99" s="1061"/>
      <c r="HTY99" s="1027"/>
      <c r="HTZ99" s="2803"/>
      <c r="HUA99" s="2802"/>
      <c r="HUB99" s="2565"/>
      <c r="HUC99" s="2021"/>
      <c r="HUD99" s="1062"/>
      <c r="HUE99" s="1062"/>
      <c r="HUF99" s="1061"/>
      <c r="HUG99" s="1027"/>
      <c r="HUH99" s="2803"/>
      <c r="HUI99" s="2802"/>
      <c r="HUJ99" s="2565"/>
      <c r="HUK99" s="2021"/>
      <c r="HUL99" s="1062"/>
      <c r="HUM99" s="1062"/>
      <c r="HUN99" s="1061"/>
      <c r="HUO99" s="1027"/>
      <c r="HUP99" s="2803"/>
      <c r="HUQ99" s="2802"/>
      <c r="HUR99" s="2565"/>
      <c r="HUS99" s="2021"/>
      <c r="HUT99" s="1062"/>
      <c r="HUU99" s="1062"/>
      <c r="HUV99" s="1061"/>
      <c r="HUW99" s="1027"/>
      <c r="HUX99" s="2803"/>
      <c r="HUY99" s="2802"/>
      <c r="HUZ99" s="2565"/>
      <c r="HVA99" s="2021"/>
      <c r="HVB99" s="1062"/>
      <c r="HVC99" s="1062"/>
      <c r="HVD99" s="1061"/>
      <c r="HVE99" s="1027"/>
      <c r="HVF99" s="2803"/>
      <c r="HVG99" s="2802"/>
      <c r="HVH99" s="2565"/>
      <c r="HVI99" s="2021"/>
      <c r="HVJ99" s="1062"/>
      <c r="HVK99" s="1062"/>
      <c r="HVL99" s="1061"/>
      <c r="HVM99" s="1027"/>
      <c r="HVN99" s="2803"/>
      <c r="HVO99" s="2802"/>
      <c r="HVP99" s="2565"/>
      <c r="HVQ99" s="2021"/>
      <c r="HVR99" s="1062"/>
      <c r="HVS99" s="1062"/>
      <c r="HVT99" s="1061"/>
      <c r="HVU99" s="1027"/>
      <c r="HVV99" s="2803"/>
      <c r="HVW99" s="2802"/>
      <c r="HVX99" s="2565"/>
      <c r="HVY99" s="2021"/>
      <c r="HVZ99" s="1062"/>
      <c r="HWA99" s="1062"/>
      <c r="HWB99" s="1061"/>
      <c r="HWC99" s="1027"/>
      <c r="HWD99" s="2803"/>
      <c r="HWE99" s="2802"/>
      <c r="HWF99" s="2565"/>
      <c r="HWG99" s="2021"/>
      <c r="HWH99" s="1062"/>
      <c r="HWI99" s="1062"/>
      <c r="HWJ99" s="1061"/>
      <c r="HWK99" s="1027"/>
      <c r="HWL99" s="2803"/>
      <c r="HWM99" s="2802"/>
      <c r="HWN99" s="2565"/>
      <c r="HWO99" s="2021"/>
      <c r="HWP99" s="1062"/>
      <c r="HWQ99" s="1062"/>
      <c r="HWR99" s="1061"/>
      <c r="HWS99" s="1027"/>
      <c r="HWT99" s="2803"/>
      <c r="HWU99" s="2802"/>
      <c r="HWV99" s="2565"/>
      <c r="HWW99" s="2021"/>
      <c r="HWX99" s="1062"/>
      <c r="HWY99" s="1062"/>
      <c r="HWZ99" s="1061"/>
      <c r="HXA99" s="1027"/>
      <c r="HXB99" s="2803"/>
      <c r="HXC99" s="2802"/>
      <c r="HXD99" s="2565"/>
      <c r="HXE99" s="2021"/>
      <c r="HXF99" s="1062"/>
      <c r="HXG99" s="1062"/>
      <c r="HXH99" s="1061"/>
      <c r="HXI99" s="1027"/>
      <c r="HXJ99" s="2803"/>
      <c r="HXK99" s="2802"/>
      <c r="HXL99" s="2565"/>
      <c r="HXM99" s="2021"/>
      <c r="HXN99" s="1062"/>
      <c r="HXO99" s="1062"/>
      <c r="HXP99" s="1061"/>
      <c r="HXQ99" s="1027"/>
      <c r="HXR99" s="2803"/>
      <c r="HXS99" s="2802"/>
      <c r="HXT99" s="2565"/>
      <c r="HXU99" s="2021"/>
      <c r="HXV99" s="1062"/>
      <c r="HXW99" s="1062"/>
      <c r="HXX99" s="1061"/>
      <c r="HXY99" s="1027"/>
      <c r="HXZ99" s="2803"/>
      <c r="HYA99" s="2802"/>
      <c r="HYB99" s="2565"/>
      <c r="HYC99" s="2021"/>
      <c r="HYD99" s="1062"/>
      <c r="HYE99" s="1062"/>
      <c r="HYF99" s="1061"/>
      <c r="HYG99" s="1027"/>
      <c r="HYH99" s="2803"/>
      <c r="HYI99" s="2802"/>
      <c r="HYJ99" s="2565"/>
      <c r="HYK99" s="2021"/>
      <c r="HYL99" s="1062"/>
      <c r="HYM99" s="1062"/>
      <c r="HYN99" s="1061"/>
      <c r="HYO99" s="1027"/>
      <c r="HYP99" s="2803"/>
      <c r="HYQ99" s="2802"/>
      <c r="HYR99" s="2565"/>
      <c r="HYS99" s="2021"/>
      <c r="HYT99" s="1062"/>
      <c r="HYU99" s="1062"/>
      <c r="HYV99" s="1061"/>
      <c r="HYW99" s="1027"/>
      <c r="HYX99" s="2803"/>
      <c r="HYY99" s="2802"/>
      <c r="HYZ99" s="2565"/>
      <c r="HZA99" s="2021"/>
      <c r="HZB99" s="1062"/>
      <c r="HZC99" s="1062"/>
      <c r="HZD99" s="1061"/>
      <c r="HZE99" s="1027"/>
      <c r="HZF99" s="2803"/>
      <c r="HZG99" s="2802"/>
      <c r="HZH99" s="2565"/>
      <c r="HZI99" s="2021"/>
      <c r="HZJ99" s="1062"/>
      <c r="HZK99" s="1062"/>
      <c r="HZL99" s="1061"/>
      <c r="HZM99" s="1027"/>
      <c r="HZN99" s="2803"/>
      <c r="HZO99" s="2802"/>
      <c r="HZP99" s="2565"/>
      <c r="HZQ99" s="2021"/>
      <c r="HZR99" s="1062"/>
      <c r="HZS99" s="1062"/>
      <c r="HZT99" s="1061"/>
      <c r="HZU99" s="1027"/>
      <c r="HZV99" s="2803"/>
      <c r="HZW99" s="2802"/>
      <c r="HZX99" s="2565"/>
      <c r="HZY99" s="2021"/>
      <c r="HZZ99" s="1062"/>
      <c r="IAA99" s="1062"/>
      <c r="IAB99" s="1061"/>
      <c r="IAC99" s="1027"/>
      <c r="IAD99" s="2803"/>
      <c r="IAE99" s="2802"/>
      <c r="IAF99" s="2565"/>
      <c r="IAG99" s="2021"/>
      <c r="IAH99" s="1062"/>
      <c r="IAI99" s="1062"/>
      <c r="IAJ99" s="1061"/>
      <c r="IAK99" s="1027"/>
      <c r="IAL99" s="2803"/>
      <c r="IAM99" s="2802"/>
      <c r="IAN99" s="2565"/>
      <c r="IAO99" s="2021"/>
      <c r="IAP99" s="1062"/>
      <c r="IAQ99" s="1062"/>
      <c r="IAR99" s="1061"/>
      <c r="IAS99" s="1027"/>
      <c r="IAT99" s="2803"/>
      <c r="IAU99" s="2802"/>
      <c r="IAV99" s="2565"/>
      <c r="IAW99" s="2021"/>
      <c r="IAX99" s="1062"/>
      <c r="IAY99" s="1062"/>
      <c r="IAZ99" s="1061"/>
      <c r="IBA99" s="1027"/>
      <c r="IBB99" s="2803"/>
      <c r="IBC99" s="2802"/>
      <c r="IBD99" s="2565"/>
      <c r="IBE99" s="2021"/>
      <c r="IBF99" s="1062"/>
      <c r="IBG99" s="1062"/>
      <c r="IBH99" s="1061"/>
      <c r="IBI99" s="1027"/>
      <c r="IBJ99" s="2803"/>
      <c r="IBK99" s="2802"/>
      <c r="IBL99" s="2565"/>
      <c r="IBM99" s="2021"/>
      <c r="IBN99" s="1062"/>
      <c r="IBO99" s="1062"/>
      <c r="IBP99" s="1061"/>
      <c r="IBQ99" s="1027"/>
      <c r="IBR99" s="2803"/>
      <c r="IBS99" s="2802"/>
      <c r="IBT99" s="2565"/>
      <c r="IBU99" s="2021"/>
      <c r="IBV99" s="1062"/>
      <c r="IBW99" s="1062"/>
      <c r="IBX99" s="1061"/>
      <c r="IBY99" s="1027"/>
      <c r="IBZ99" s="2803"/>
      <c r="ICA99" s="2802"/>
      <c r="ICB99" s="2565"/>
      <c r="ICC99" s="2021"/>
      <c r="ICD99" s="1062"/>
      <c r="ICE99" s="1062"/>
      <c r="ICF99" s="1061"/>
      <c r="ICG99" s="1027"/>
      <c r="ICH99" s="2803"/>
      <c r="ICI99" s="2802"/>
      <c r="ICJ99" s="2565"/>
      <c r="ICK99" s="2021"/>
      <c r="ICL99" s="1062"/>
      <c r="ICM99" s="1062"/>
      <c r="ICN99" s="1061"/>
      <c r="ICO99" s="1027"/>
      <c r="ICP99" s="2803"/>
      <c r="ICQ99" s="2802"/>
      <c r="ICR99" s="2565"/>
      <c r="ICS99" s="2021"/>
      <c r="ICT99" s="1062"/>
      <c r="ICU99" s="1062"/>
      <c r="ICV99" s="1061"/>
      <c r="ICW99" s="1027"/>
      <c r="ICX99" s="2803"/>
      <c r="ICY99" s="2802"/>
      <c r="ICZ99" s="2565"/>
      <c r="IDA99" s="2021"/>
      <c r="IDB99" s="1062"/>
      <c r="IDC99" s="1062"/>
      <c r="IDD99" s="1061"/>
      <c r="IDE99" s="1027"/>
      <c r="IDF99" s="2803"/>
      <c r="IDG99" s="2802"/>
      <c r="IDH99" s="2565"/>
      <c r="IDI99" s="2021"/>
      <c r="IDJ99" s="1062"/>
      <c r="IDK99" s="1062"/>
      <c r="IDL99" s="1061"/>
      <c r="IDM99" s="1027"/>
      <c r="IDN99" s="2803"/>
      <c r="IDO99" s="2802"/>
      <c r="IDP99" s="2565"/>
      <c r="IDQ99" s="2021"/>
      <c r="IDR99" s="1062"/>
      <c r="IDS99" s="1062"/>
      <c r="IDT99" s="1061"/>
      <c r="IDU99" s="1027"/>
      <c r="IDV99" s="2803"/>
      <c r="IDW99" s="2802"/>
      <c r="IDX99" s="2565"/>
      <c r="IDY99" s="2021"/>
      <c r="IDZ99" s="1062"/>
      <c r="IEA99" s="1062"/>
      <c r="IEB99" s="1061"/>
      <c r="IEC99" s="1027"/>
      <c r="IED99" s="2803"/>
      <c r="IEE99" s="2802"/>
      <c r="IEF99" s="2565"/>
      <c r="IEG99" s="2021"/>
      <c r="IEH99" s="1062"/>
      <c r="IEI99" s="1062"/>
      <c r="IEJ99" s="1061"/>
      <c r="IEK99" s="1027"/>
      <c r="IEL99" s="2803"/>
      <c r="IEM99" s="2802"/>
      <c r="IEN99" s="2565"/>
      <c r="IEO99" s="2021"/>
      <c r="IEP99" s="1062"/>
      <c r="IEQ99" s="1062"/>
      <c r="IER99" s="1061"/>
      <c r="IES99" s="1027"/>
      <c r="IET99" s="2803"/>
      <c r="IEU99" s="2802"/>
      <c r="IEV99" s="2565"/>
      <c r="IEW99" s="2021"/>
      <c r="IEX99" s="1062"/>
      <c r="IEY99" s="1062"/>
      <c r="IEZ99" s="1061"/>
      <c r="IFA99" s="1027"/>
      <c r="IFB99" s="2803"/>
      <c r="IFC99" s="2802"/>
      <c r="IFD99" s="2565"/>
      <c r="IFE99" s="2021"/>
      <c r="IFF99" s="1062"/>
      <c r="IFG99" s="1062"/>
      <c r="IFH99" s="1061"/>
      <c r="IFI99" s="1027"/>
      <c r="IFJ99" s="2803"/>
      <c r="IFK99" s="2802"/>
      <c r="IFL99" s="2565"/>
      <c r="IFM99" s="2021"/>
      <c r="IFN99" s="1062"/>
      <c r="IFO99" s="1062"/>
      <c r="IFP99" s="1061"/>
      <c r="IFQ99" s="1027"/>
      <c r="IFR99" s="2803"/>
      <c r="IFS99" s="2802"/>
      <c r="IFT99" s="2565"/>
      <c r="IFU99" s="2021"/>
      <c r="IFV99" s="1062"/>
      <c r="IFW99" s="1062"/>
      <c r="IFX99" s="1061"/>
      <c r="IFY99" s="1027"/>
      <c r="IFZ99" s="2803"/>
      <c r="IGA99" s="2802"/>
      <c r="IGB99" s="2565"/>
      <c r="IGC99" s="2021"/>
      <c r="IGD99" s="1062"/>
      <c r="IGE99" s="1062"/>
      <c r="IGF99" s="1061"/>
      <c r="IGG99" s="1027"/>
      <c r="IGH99" s="2803"/>
      <c r="IGI99" s="2802"/>
      <c r="IGJ99" s="2565"/>
      <c r="IGK99" s="2021"/>
      <c r="IGL99" s="1062"/>
      <c r="IGM99" s="1062"/>
      <c r="IGN99" s="1061"/>
      <c r="IGO99" s="1027"/>
      <c r="IGP99" s="2803"/>
      <c r="IGQ99" s="2802"/>
      <c r="IGR99" s="2565"/>
      <c r="IGS99" s="2021"/>
      <c r="IGT99" s="1062"/>
      <c r="IGU99" s="1062"/>
      <c r="IGV99" s="1061"/>
      <c r="IGW99" s="1027"/>
      <c r="IGX99" s="2803"/>
      <c r="IGY99" s="2802"/>
      <c r="IGZ99" s="2565"/>
      <c r="IHA99" s="2021"/>
      <c r="IHB99" s="1062"/>
      <c r="IHC99" s="1062"/>
      <c r="IHD99" s="1061"/>
      <c r="IHE99" s="1027"/>
      <c r="IHF99" s="2803"/>
      <c r="IHG99" s="2802"/>
      <c r="IHH99" s="2565"/>
      <c r="IHI99" s="2021"/>
      <c r="IHJ99" s="1062"/>
      <c r="IHK99" s="1062"/>
      <c r="IHL99" s="1061"/>
      <c r="IHM99" s="1027"/>
      <c r="IHN99" s="2803"/>
      <c r="IHO99" s="2802"/>
      <c r="IHP99" s="2565"/>
      <c r="IHQ99" s="2021"/>
      <c r="IHR99" s="1062"/>
      <c r="IHS99" s="1062"/>
      <c r="IHT99" s="1061"/>
      <c r="IHU99" s="1027"/>
      <c r="IHV99" s="2803"/>
      <c r="IHW99" s="2802"/>
      <c r="IHX99" s="2565"/>
      <c r="IHY99" s="2021"/>
      <c r="IHZ99" s="1062"/>
      <c r="IIA99" s="1062"/>
      <c r="IIB99" s="1061"/>
      <c r="IIC99" s="1027"/>
      <c r="IID99" s="2803"/>
      <c r="IIE99" s="2802"/>
      <c r="IIF99" s="2565"/>
      <c r="IIG99" s="2021"/>
      <c r="IIH99" s="1062"/>
      <c r="III99" s="1062"/>
      <c r="IIJ99" s="1061"/>
      <c r="IIK99" s="1027"/>
      <c r="IIL99" s="2803"/>
      <c r="IIM99" s="2802"/>
      <c r="IIN99" s="2565"/>
      <c r="IIO99" s="2021"/>
      <c r="IIP99" s="1062"/>
      <c r="IIQ99" s="1062"/>
      <c r="IIR99" s="1061"/>
      <c r="IIS99" s="1027"/>
      <c r="IIT99" s="2803"/>
      <c r="IIU99" s="2802"/>
      <c r="IIV99" s="2565"/>
      <c r="IIW99" s="2021"/>
      <c r="IIX99" s="1062"/>
      <c r="IIY99" s="1062"/>
      <c r="IIZ99" s="1061"/>
      <c r="IJA99" s="1027"/>
      <c r="IJB99" s="2803"/>
      <c r="IJC99" s="2802"/>
      <c r="IJD99" s="2565"/>
      <c r="IJE99" s="2021"/>
      <c r="IJF99" s="1062"/>
      <c r="IJG99" s="1062"/>
      <c r="IJH99" s="1061"/>
      <c r="IJI99" s="1027"/>
      <c r="IJJ99" s="2803"/>
      <c r="IJK99" s="2802"/>
      <c r="IJL99" s="2565"/>
      <c r="IJM99" s="2021"/>
      <c r="IJN99" s="1062"/>
      <c r="IJO99" s="1062"/>
      <c r="IJP99" s="1061"/>
      <c r="IJQ99" s="1027"/>
      <c r="IJR99" s="2803"/>
      <c r="IJS99" s="2802"/>
      <c r="IJT99" s="2565"/>
      <c r="IJU99" s="2021"/>
      <c r="IJV99" s="1062"/>
      <c r="IJW99" s="1062"/>
      <c r="IJX99" s="1061"/>
      <c r="IJY99" s="1027"/>
      <c r="IJZ99" s="2803"/>
      <c r="IKA99" s="2802"/>
      <c r="IKB99" s="2565"/>
      <c r="IKC99" s="2021"/>
      <c r="IKD99" s="1062"/>
      <c r="IKE99" s="1062"/>
      <c r="IKF99" s="1061"/>
      <c r="IKG99" s="1027"/>
      <c r="IKH99" s="2803"/>
      <c r="IKI99" s="2802"/>
      <c r="IKJ99" s="2565"/>
      <c r="IKK99" s="2021"/>
      <c r="IKL99" s="1062"/>
      <c r="IKM99" s="1062"/>
      <c r="IKN99" s="1061"/>
      <c r="IKO99" s="1027"/>
      <c r="IKP99" s="2803"/>
      <c r="IKQ99" s="2802"/>
      <c r="IKR99" s="2565"/>
      <c r="IKS99" s="2021"/>
      <c r="IKT99" s="1062"/>
      <c r="IKU99" s="1062"/>
      <c r="IKV99" s="1061"/>
      <c r="IKW99" s="1027"/>
      <c r="IKX99" s="2803"/>
      <c r="IKY99" s="2802"/>
      <c r="IKZ99" s="2565"/>
      <c r="ILA99" s="2021"/>
      <c r="ILB99" s="1062"/>
      <c r="ILC99" s="1062"/>
      <c r="ILD99" s="1061"/>
      <c r="ILE99" s="1027"/>
      <c r="ILF99" s="2803"/>
      <c r="ILG99" s="2802"/>
      <c r="ILH99" s="2565"/>
      <c r="ILI99" s="2021"/>
      <c r="ILJ99" s="1062"/>
      <c r="ILK99" s="1062"/>
      <c r="ILL99" s="1061"/>
      <c r="ILM99" s="1027"/>
      <c r="ILN99" s="2803"/>
      <c r="ILO99" s="2802"/>
      <c r="ILP99" s="2565"/>
      <c r="ILQ99" s="2021"/>
      <c r="ILR99" s="1062"/>
      <c r="ILS99" s="1062"/>
      <c r="ILT99" s="1061"/>
      <c r="ILU99" s="1027"/>
      <c r="ILV99" s="2803"/>
      <c r="ILW99" s="2802"/>
      <c r="ILX99" s="2565"/>
      <c r="ILY99" s="2021"/>
      <c r="ILZ99" s="1062"/>
      <c r="IMA99" s="1062"/>
      <c r="IMB99" s="1061"/>
      <c r="IMC99" s="1027"/>
      <c r="IMD99" s="2803"/>
      <c r="IME99" s="2802"/>
      <c r="IMF99" s="2565"/>
      <c r="IMG99" s="2021"/>
      <c r="IMH99" s="1062"/>
      <c r="IMI99" s="1062"/>
      <c r="IMJ99" s="1061"/>
      <c r="IMK99" s="1027"/>
      <c r="IML99" s="2803"/>
      <c r="IMM99" s="2802"/>
      <c r="IMN99" s="2565"/>
      <c r="IMO99" s="2021"/>
      <c r="IMP99" s="1062"/>
      <c r="IMQ99" s="1062"/>
      <c r="IMR99" s="1061"/>
      <c r="IMS99" s="1027"/>
      <c r="IMT99" s="2803"/>
      <c r="IMU99" s="2802"/>
      <c r="IMV99" s="2565"/>
      <c r="IMW99" s="2021"/>
      <c r="IMX99" s="1062"/>
      <c r="IMY99" s="1062"/>
      <c r="IMZ99" s="1061"/>
      <c r="INA99" s="1027"/>
      <c r="INB99" s="2803"/>
      <c r="INC99" s="2802"/>
      <c r="IND99" s="2565"/>
      <c r="INE99" s="2021"/>
      <c r="INF99" s="1062"/>
      <c r="ING99" s="1062"/>
      <c r="INH99" s="1061"/>
      <c r="INI99" s="1027"/>
      <c r="INJ99" s="2803"/>
      <c r="INK99" s="2802"/>
      <c r="INL99" s="2565"/>
      <c r="INM99" s="2021"/>
      <c r="INN99" s="1062"/>
      <c r="INO99" s="1062"/>
      <c r="INP99" s="1061"/>
      <c r="INQ99" s="1027"/>
      <c r="INR99" s="2803"/>
      <c r="INS99" s="2802"/>
      <c r="INT99" s="2565"/>
      <c r="INU99" s="2021"/>
      <c r="INV99" s="1062"/>
      <c r="INW99" s="1062"/>
      <c r="INX99" s="1061"/>
      <c r="INY99" s="1027"/>
      <c r="INZ99" s="2803"/>
      <c r="IOA99" s="2802"/>
      <c r="IOB99" s="2565"/>
      <c r="IOC99" s="2021"/>
      <c r="IOD99" s="1062"/>
      <c r="IOE99" s="1062"/>
      <c r="IOF99" s="1061"/>
      <c r="IOG99" s="1027"/>
      <c r="IOH99" s="2803"/>
      <c r="IOI99" s="2802"/>
      <c r="IOJ99" s="2565"/>
      <c r="IOK99" s="2021"/>
      <c r="IOL99" s="1062"/>
      <c r="IOM99" s="1062"/>
      <c r="ION99" s="1061"/>
      <c r="IOO99" s="1027"/>
      <c r="IOP99" s="2803"/>
      <c r="IOQ99" s="2802"/>
      <c r="IOR99" s="2565"/>
      <c r="IOS99" s="2021"/>
      <c r="IOT99" s="1062"/>
      <c r="IOU99" s="1062"/>
      <c r="IOV99" s="1061"/>
      <c r="IOW99" s="1027"/>
      <c r="IOX99" s="2803"/>
      <c r="IOY99" s="2802"/>
      <c r="IOZ99" s="2565"/>
      <c r="IPA99" s="2021"/>
      <c r="IPB99" s="1062"/>
      <c r="IPC99" s="1062"/>
      <c r="IPD99" s="1061"/>
      <c r="IPE99" s="1027"/>
      <c r="IPF99" s="2803"/>
      <c r="IPG99" s="2802"/>
      <c r="IPH99" s="2565"/>
      <c r="IPI99" s="2021"/>
      <c r="IPJ99" s="1062"/>
      <c r="IPK99" s="1062"/>
      <c r="IPL99" s="1061"/>
      <c r="IPM99" s="1027"/>
      <c r="IPN99" s="2803"/>
      <c r="IPO99" s="2802"/>
      <c r="IPP99" s="2565"/>
      <c r="IPQ99" s="2021"/>
      <c r="IPR99" s="1062"/>
      <c r="IPS99" s="1062"/>
      <c r="IPT99" s="1061"/>
      <c r="IPU99" s="1027"/>
      <c r="IPV99" s="2803"/>
      <c r="IPW99" s="2802"/>
      <c r="IPX99" s="2565"/>
      <c r="IPY99" s="2021"/>
      <c r="IPZ99" s="1062"/>
      <c r="IQA99" s="1062"/>
      <c r="IQB99" s="1061"/>
      <c r="IQC99" s="1027"/>
      <c r="IQD99" s="2803"/>
      <c r="IQE99" s="2802"/>
      <c r="IQF99" s="2565"/>
      <c r="IQG99" s="2021"/>
      <c r="IQH99" s="1062"/>
      <c r="IQI99" s="1062"/>
      <c r="IQJ99" s="1061"/>
      <c r="IQK99" s="1027"/>
      <c r="IQL99" s="2803"/>
      <c r="IQM99" s="2802"/>
      <c r="IQN99" s="2565"/>
      <c r="IQO99" s="2021"/>
      <c r="IQP99" s="1062"/>
      <c r="IQQ99" s="1062"/>
      <c r="IQR99" s="1061"/>
      <c r="IQS99" s="1027"/>
      <c r="IQT99" s="2803"/>
      <c r="IQU99" s="2802"/>
      <c r="IQV99" s="2565"/>
      <c r="IQW99" s="2021"/>
      <c r="IQX99" s="1062"/>
      <c r="IQY99" s="1062"/>
      <c r="IQZ99" s="1061"/>
      <c r="IRA99" s="1027"/>
      <c r="IRB99" s="2803"/>
      <c r="IRC99" s="2802"/>
      <c r="IRD99" s="2565"/>
      <c r="IRE99" s="2021"/>
      <c r="IRF99" s="1062"/>
      <c r="IRG99" s="1062"/>
      <c r="IRH99" s="1061"/>
      <c r="IRI99" s="1027"/>
      <c r="IRJ99" s="2803"/>
      <c r="IRK99" s="2802"/>
      <c r="IRL99" s="2565"/>
      <c r="IRM99" s="2021"/>
      <c r="IRN99" s="1062"/>
      <c r="IRO99" s="1062"/>
      <c r="IRP99" s="1061"/>
      <c r="IRQ99" s="1027"/>
      <c r="IRR99" s="2803"/>
      <c r="IRS99" s="2802"/>
      <c r="IRT99" s="2565"/>
      <c r="IRU99" s="2021"/>
      <c r="IRV99" s="1062"/>
      <c r="IRW99" s="1062"/>
      <c r="IRX99" s="1061"/>
      <c r="IRY99" s="1027"/>
      <c r="IRZ99" s="2803"/>
      <c r="ISA99" s="2802"/>
      <c r="ISB99" s="2565"/>
      <c r="ISC99" s="2021"/>
      <c r="ISD99" s="1062"/>
      <c r="ISE99" s="1062"/>
      <c r="ISF99" s="1061"/>
      <c r="ISG99" s="1027"/>
      <c r="ISH99" s="2803"/>
      <c r="ISI99" s="2802"/>
      <c r="ISJ99" s="2565"/>
      <c r="ISK99" s="2021"/>
      <c r="ISL99" s="1062"/>
      <c r="ISM99" s="1062"/>
      <c r="ISN99" s="1061"/>
      <c r="ISO99" s="1027"/>
      <c r="ISP99" s="2803"/>
      <c r="ISQ99" s="2802"/>
      <c r="ISR99" s="2565"/>
      <c r="ISS99" s="2021"/>
      <c r="IST99" s="1062"/>
      <c r="ISU99" s="1062"/>
      <c r="ISV99" s="1061"/>
      <c r="ISW99" s="1027"/>
      <c r="ISX99" s="2803"/>
      <c r="ISY99" s="2802"/>
      <c r="ISZ99" s="2565"/>
      <c r="ITA99" s="2021"/>
      <c r="ITB99" s="1062"/>
      <c r="ITC99" s="1062"/>
      <c r="ITD99" s="1061"/>
      <c r="ITE99" s="1027"/>
      <c r="ITF99" s="2803"/>
      <c r="ITG99" s="2802"/>
      <c r="ITH99" s="2565"/>
      <c r="ITI99" s="2021"/>
      <c r="ITJ99" s="1062"/>
      <c r="ITK99" s="1062"/>
      <c r="ITL99" s="1061"/>
      <c r="ITM99" s="1027"/>
      <c r="ITN99" s="2803"/>
      <c r="ITO99" s="2802"/>
      <c r="ITP99" s="2565"/>
      <c r="ITQ99" s="2021"/>
      <c r="ITR99" s="1062"/>
      <c r="ITS99" s="1062"/>
      <c r="ITT99" s="1061"/>
      <c r="ITU99" s="1027"/>
      <c r="ITV99" s="2803"/>
      <c r="ITW99" s="2802"/>
      <c r="ITX99" s="2565"/>
      <c r="ITY99" s="2021"/>
      <c r="ITZ99" s="1062"/>
      <c r="IUA99" s="1062"/>
      <c r="IUB99" s="1061"/>
      <c r="IUC99" s="1027"/>
      <c r="IUD99" s="2803"/>
      <c r="IUE99" s="2802"/>
      <c r="IUF99" s="2565"/>
      <c r="IUG99" s="2021"/>
      <c r="IUH99" s="1062"/>
      <c r="IUI99" s="1062"/>
      <c r="IUJ99" s="1061"/>
      <c r="IUK99" s="1027"/>
      <c r="IUL99" s="2803"/>
      <c r="IUM99" s="2802"/>
      <c r="IUN99" s="2565"/>
      <c r="IUO99" s="2021"/>
      <c r="IUP99" s="1062"/>
      <c r="IUQ99" s="1062"/>
      <c r="IUR99" s="1061"/>
      <c r="IUS99" s="1027"/>
      <c r="IUT99" s="2803"/>
      <c r="IUU99" s="2802"/>
      <c r="IUV99" s="2565"/>
      <c r="IUW99" s="2021"/>
      <c r="IUX99" s="1062"/>
      <c r="IUY99" s="1062"/>
      <c r="IUZ99" s="1061"/>
      <c r="IVA99" s="1027"/>
      <c r="IVB99" s="2803"/>
      <c r="IVC99" s="2802"/>
      <c r="IVD99" s="2565"/>
      <c r="IVE99" s="2021"/>
      <c r="IVF99" s="1062"/>
      <c r="IVG99" s="1062"/>
      <c r="IVH99" s="1061"/>
      <c r="IVI99" s="1027"/>
      <c r="IVJ99" s="2803"/>
      <c r="IVK99" s="2802"/>
      <c r="IVL99" s="2565"/>
      <c r="IVM99" s="2021"/>
      <c r="IVN99" s="1062"/>
      <c r="IVO99" s="1062"/>
      <c r="IVP99" s="1061"/>
      <c r="IVQ99" s="1027"/>
      <c r="IVR99" s="2803"/>
      <c r="IVS99" s="2802"/>
      <c r="IVT99" s="2565"/>
      <c r="IVU99" s="2021"/>
      <c r="IVV99" s="1062"/>
      <c r="IVW99" s="1062"/>
      <c r="IVX99" s="1061"/>
      <c r="IVY99" s="1027"/>
      <c r="IVZ99" s="2803"/>
      <c r="IWA99" s="2802"/>
      <c r="IWB99" s="2565"/>
      <c r="IWC99" s="2021"/>
      <c r="IWD99" s="1062"/>
      <c r="IWE99" s="1062"/>
      <c r="IWF99" s="1061"/>
      <c r="IWG99" s="1027"/>
      <c r="IWH99" s="2803"/>
      <c r="IWI99" s="2802"/>
      <c r="IWJ99" s="2565"/>
      <c r="IWK99" s="2021"/>
      <c r="IWL99" s="1062"/>
      <c r="IWM99" s="1062"/>
      <c r="IWN99" s="1061"/>
      <c r="IWO99" s="1027"/>
      <c r="IWP99" s="2803"/>
      <c r="IWQ99" s="2802"/>
      <c r="IWR99" s="2565"/>
      <c r="IWS99" s="2021"/>
      <c r="IWT99" s="1062"/>
      <c r="IWU99" s="1062"/>
      <c r="IWV99" s="1061"/>
      <c r="IWW99" s="1027"/>
      <c r="IWX99" s="2803"/>
      <c r="IWY99" s="2802"/>
      <c r="IWZ99" s="2565"/>
      <c r="IXA99" s="2021"/>
      <c r="IXB99" s="1062"/>
      <c r="IXC99" s="1062"/>
      <c r="IXD99" s="1061"/>
      <c r="IXE99" s="1027"/>
      <c r="IXF99" s="2803"/>
      <c r="IXG99" s="2802"/>
      <c r="IXH99" s="2565"/>
      <c r="IXI99" s="2021"/>
      <c r="IXJ99" s="1062"/>
      <c r="IXK99" s="1062"/>
      <c r="IXL99" s="1061"/>
      <c r="IXM99" s="1027"/>
      <c r="IXN99" s="2803"/>
      <c r="IXO99" s="2802"/>
      <c r="IXP99" s="2565"/>
      <c r="IXQ99" s="2021"/>
      <c r="IXR99" s="1062"/>
      <c r="IXS99" s="1062"/>
      <c r="IXT99" s="1061"/>
      <c r="IXU99" s="1027"/>
      <c r="IXV99" s="2803"/>
      <c r="IXW99" s="2802"/>
      <c r="IXX99" s="2565"/>
      <c r="IXY99" s="2021"/>
      <c r="IXZ99" s="1062"/>
      <c r="IYA99" s="1062"/>
      <c r="IYB99" s="1061"/>
      <c r="IYC99" s="1027"/>
      <c r="IYD99" s="2803"/>
      <c r="IYE99" s="2802"/>
      <c r="IYF99" s="2565"/>
      <c r="IYG99" s="2021"/>
      <c r="IYH99" s="1062"/>
      <c r="IYI99" s="1062"/>
      <c r="IYJ99" s="1061"/>
      <c r="IYK99" s="1027"/>
      <c r="IYL99" s="2803"/>
      <c r="IYM99" s="2802"/>
      <c r="IYN99" s="2565"/>
      <c r="IYO99" s="2021"/>
      <c r="IYP99" s="1062"/>
      <c r="IYQ99" s="1062"/>
      <c r="IYR99" s="1061"/>
      <c r="IYS99" s="1027"/>
      <c r="IYT99" s="2803"/>
      <c r="IYU99" s="2802"/>
      <c r="IYV99" s="2565"/>
      <c r="IYW99" s="2021"/>
      <c r="IYX99" s="1062"/>
      <c r="IYY99" s="1062"/>
      <c r="IYZ99" s="1061"/>
      <c r="IZA99" s="1027"/>
      <c r="IZB99" s="2803"/>
      <c r="IZC99" s="2802"/>
      <c r="IZD99" s="2565"/>
      <c r="IZE99" s="2021"/>
      <c r="IZF99" s="1062"/>
      <c r="IZG99" s="1062"/>
      <c r="IZH99" s="1061"/>
      <c r="IZI99" s="1027"/>
      <c r="IZJ99" s="2803"/>
      <c r="IZK99" s="2802"/>
      <c r="IZL99" s="2565"/>
      <c r="IZM99" s="2021"/>
      <c r="IZN99" s="1062"/>
      <c r="IZO99" s="1062"/>
      <c r="IZP99" s="1061"/>
      <c r="IZQ99" s="1027"/>
      <c r="IZR99" s="2803"/>
      <c r="IZS99" s="2802"/>
      <c r="IZT99" s="2565"/>
      <c r="IZU99" s="2021"/>
      <c r="IZV99" s="1062"/>
      <c r="IZW99" s="1062"/>
      <c r="IZX99" s="1061"/>
      <c r="IZY99" s="1027"/>
      <c r="IZZ99" s="2803"/>
      <c r="JAA99" s="2802"/>
      <c r="JAB99" s="2565"/>
      <c r="JAC99" s="2021"/>
      <c r="JAD99" s="1062"/>
      <c r="JAE99" s="1062"/>
      <c r="JAF99" s="1061"/>
      <c r="JAG99" s="1027"/>
      <c r="JAH99" s="2803"/>
      <c r="JAI99" s="2802"/>
      <c r="JAJ99" s="2565"/>
      <c r="JAK99" s="2021"/>
      <c r="JAL99" s="1062"/>
      <c r="JAM99" s="1062"/>
      <c r="JAN99" s="1061"/>
      <c r="JAO99" s="1027"/>
      <c r="JAP99" s="2803"/>
      <c r="JAQ99" s="2802"/>
      <c r="JAR99" s="2565"/>
      <c r="JAS99" s="2021"/>
      <c r="JAT99" s="1062"/>
      <c r="JAU99" s="1062"/>
      <c r="JAV99" s="1061"/>
      <c r="JAW99" s="1027"/>
      <c r="JAX99" s="2803"/>
      <c r="JAY99" s="2802"/>
      <c r="JAZ99" s="2565"/>
      <c r="JBA99" s="2021"/>
      <c r="JBB99" s="1062"/>
      <c r="JBC99" s="1062"/>
      <c r="JBD99" s="1061"/>
      <c r="JBE99" s="1027"/>
      <c r="JBF99" s="2803"/>
      <c r="JBG99" s="2802"/>
      <c r="JBH99" s="2565"/>
      <c r="JBI99" s="2021"/>
      <c r="JBJ99" s="1062"/>
      <c r="JBK99" s="1062"/>
      <c r="JBL99" s="1061"/>
      <c r="JBM99" s="1027"/>
      <c r="JBN99" s="2803"/>
      <c r="JBO99" s="2802"/>
      <c r="JBP99" s="2565"/>
      <c r="JBQ99" s="2021"/>
      <c r="JBR99" s="1062"/>
      <c r="JBS99" s="1062"/>
      <c r="JBT99" s="1061"/>
      <c r="JBU99" s="1027"/>
      <c r="JBV99" s="2803"/>
      <c r="JBW99" s="2802"/>
      <c r="JBX99" s="2565"/>
      <c r="JBY99" s="2021"/>
      <c r="JBZ99" s="1062"/>
      <c r="JCA99" s="1062"/>
      <c r="JCB99" s="1061"/>
      <c r="JCC99" s="1027"/>
      <c r="JCD99" s="2803"/>
      <c r="JCE99" s="2802"/>
      <c r="JCF99" s="2565"/>
      <c r="JCG99" s="2021"/>
      <c r="JCH99" s="1062"/>
      <c r="JCI99" s="1062"/>
      <c r="JCJ99" s="1061"/>
      <c r="JCK99" s="1027"/>
      <c r="JCL99" s="2803"/>
      <c r="JCM99" s="2802"/>
      <c r="JCN99" s="2565"/>
      <c r="JCO99" s="2021"/>
      <c r="JCP99" s="1062"/>
      <c r="JCQ99" s="1062"/>
      <c r="JCR99" s="1061"/>
      <c r="JCS99" s="1027"/>
      <c r="JCT99" s="2803"/>
      <c r="JCU99" s="2802"/>
      <c r="JCV99" s="2565"/>
      <c r="JCW99" s="2021"/>
      <c r="JCX99" s="1062"/>
      <c r="JCY99" s="1062"/>
      <c r="JCZ99" s="1061"/>
      <c r="JDA99" s="1027"/>
      <c r="JDB99" s="2803"/>
      <c r="JDC99" s="2802"/>
      <c r="JDD99" s="2565"/>
      <c r="JDE99" s="2021"/>
      <c r="JDF99" s="1062"/>
      <c r="JDG99" s="1062"/>
      <c r="JDH99" s="1061"/>
      <c r="JDI99" s="1027"/>
      <c r="JDJ99" s="2803"/>
      <c r="JDK99" s="2802"/>
      <c r="JDL99" s="2565"/>
      <c r="JDM99" s="2021"/>
      <c r="JDN99" s="1062"/>
      <c r="JDO99" s="1062"/>
      <c r="JDP99" s="1061"/>
      <c r="JDQ99" s="1027"/>
      <c r="JDR99" s="2803"/>
      <c r="JDS99" s="2802"/>
      <c r="JDT99" s="2565"/>
      <c r="JDU99" s="2021"/>
      <c r="JDV99" s="1062"/>
      <c r="JDW99" s="1062"/>
      <c r="JDX99" s="1061"/>
      <c r="JDY99" s="1027"/>
      <c r="JDZ99" s="2803"/>
      <c r="JEA99" s="2802"/>
      <c r="JEB99" s="2565"/>
      <c r="JEC99" s="2021"/>
      <c r="JED99" s="1062"/>
      <c r="JEE99" s="1062"/>
      <c r="JEF99" s="1061"/>
      <c r="JEG99" s="1027"/>
      <c r="JEH99" s="2803"/>
      <c r="JEI99" s="2802"/>
      <c r="JEJ99" s="2565"/>
      <c r="JEK99" s="2021"/>
      <c r="JEL99" s="1062"/>
      <c r="JEM99" s="1062"/>
      <c r="JEN99" s="1061"/>
      <c r="JEO99" s="1027"/>
      <c r="JEP99" s="2803"/>
      <c r="JEQ99" s="2802"/>
      <c r="JER99" s="2565"/>
      <c r="JES99" s="2021"/>
      <c r="JET99" s="1062"/>
      <c r="JEU99" s="1062"/>
      <c r="JEV99" s="1061"/>
      <c r="JEW99" s="1027"/>
      <c r="JEX99" s="2803"/>
      <c r="JEY99" s="2802"/>
      <c r="JEZ99" s="2565"/>
      <c r="JFA99" s="2021"/>
      <c r="JFB99" s="1062"/>
      <c r="JFC99" s="1062"/>
      <c r="JFD99" s="1061"/>
      <c r="JFE99" s="1027"/>
      <c r="JFF99" s="2803"/>
      <c r="JFG99" s="2802"/>
      <c r="JFH99" s="2565"/>
      <c r="JFI99" s="2021"/>
      <c r="JFJ99" s="1062"/>
      <c r="JFK99" s="1062"/>
      <c r="JFL99" s="1061"/>
      <c r="JFM99" s="1027"/>
      <c r="JFN99" s="2803"/>
      <c r="JFO99" s="2802"/>
      <c r="JFP99" s="2565"/>
      <c r="JFQ99" s="2021"/>
      <c r="JFR99" s="1062"/>
      <c r="JFS99" s="1062"/>
      <c r="JFT99" s="1061"/>
      <c r="JFU99" s="1027"/>
      <c r="JFV99" s="2803"/>
      <c r="JFW99" s="2802"/>
      <c r="JFX99" s="2565"/>
      <c r="JFY99" s="2021"/>
      <c r="JFZ99" s="1062"/>
      <c r="JGA99" s="1062"/>
      <c r="JGB99" s="1061"/>
      <c r="JGC99" s="1027"/>
      <c r="JGD99" s="2803"/>
      <c r="JGE99" s="2802"/>
      <c r="JGF99" s="2565"/>
      <c r="JGG99" s="2021"/>
      <c r="JGH99" s="1062"/>
      <c r="JGI99" s="1062"/>
      <c r="JGJ99" s="1061"/>
      <c r="JGK99" s="1027"/>
      <c r="JGL99" s="2803"/>
      <c r="JGM99" s="2802"/>
      <c r="JGN99" s="2565"/>
      <c r="JGO99" s="2021"/>
      <c r="JGP99" s="1062"/>
      <c r="JGQ99" s="1062"/>
      <c r="JGR99" s="1061"/>
      <c r="JGS99" s="1027"/>
      <c r="JGT99" s="2803"/>
      <c r="JGU99" s="2802"/>
      <c r="JGV99" s="2565"/>
      <c r="JGW99" s="2021"/>
      <c r="JGX99" s="1062"/>
      <c r="JGY99" s="1062"/>
      <c r="JGZ99" s="1061"/>
      <c r="JHA99" s="1027"/>
      <c r="JHB99" s="2803"/>
      <c r="JHC99" s="2802"/>
      <c r="JHD99" s="2565"/>
      <c r="JHE99" s="2021"/>
      <c r="JHF99" s="1062"/>
      <c r="JHG99" s="1062"/>
      <c r="JHH99" s="1061"/>
      <c r="JHI99" s="1027"/>
      <c r="JHJ99" s="2803"/>
      <c r="JHK99" s="2802"/>
      <c r="JHL99" s="2565"/>
      <c r="JHM99" s="2021"/>
      <c r="JHN99" s="1062"/>
      <c r="JHO99" s="1062"/>
      <c r="JHP99" s="1061"/>
      <c r="JHQ99" s="1027"/>
      <c r="JHR99" s="2803"/>
      <c r="JHS99" s="2802"/>
      <c r="JHT99" s="2565"/>
      <c r="JHU99" s="2021"/>
      <c r="JHV99" s="1062"/>
      <c r="JHW99" s="1062"/>
      <c r="JHX99" s="1061"/>
      <c r="JHY99" s="1027"/>
      <c r="JHZ99" s="2803"/>
      <c r="JIA99" s="2802"/>
      <c r="JIB99" s="2565"/>
      <c r="JIC99" s="2021"/>
      <c r="JID99" s="1062"/>
      <c r="JIE99" s="1062"/>
      <c r="JIF99" s="1061"/>
      <c r="JIG99" s="1027"/>
      <c r="JIH99" s="2803"/>
      <c r="JII99" s="2802"/>
      <c r="JIJ99" s="2565"/>
      <c r="JIK99" s="2021"/>
      <c r="JIL99" s="1062"/>
      <c r="JIM99" s="1062"/>
      <c r="JIN99" s="1061"/>
      <c r="JIO99" s="1027"/>
      <c r="JIP99" s="2803"/>
      <c r="JIQ99" s="2802"/>
      <c r="JIR99" s="2565"/>
      <c r="JIS99" s="2021"/>
      <c r="JIT99" s="1062"/>
      <c r="JIU99" s="1062"/>
      <c r="JIV99" s="1061"/>
      <c r="JIW99" s="1027"/>
      <c r="JIX99" s="2803"/>
      <c r="JIY99" s="2802"/>
      <c r="JIZ99" s="2565"/>
      <c r="JJA99" s="2021"/>
      <c r="JJB99" s="1062"/>
      <c r="JJC99" s="1062"/>
      <c r="JJD99" s="1061"/>
      <c r="JJE99" s="1027"/>
      <c r="JJF99" s="2803"/>
      <c r="JJG99" s="2802"/>
      <c r="JJH99" s="2565"/>
      <c r="JJI99" s="2021"/>
      <c r="JJJ99" s="1062"/>
      <c r="JJK99" s="1062"/>
      <c r="JJL99" s="1061"/>
      <c r="JJM99" s="1027"/>
      <c r="JJN99" s="2803"/>
      <c r="JJO99" s="2802"/>
      <c r="JJP99" s="2565"/>
      <c r="JJQ99" s="2021"/>
      <c r="JJR99" s="1062"/>
      <c r="JJS99" s="1062"/>
      <c r="JJT99" s="1061"/>
      <c r="JJU99" s="1027"/>
      <c r="JJV99" s="2803"/>
      <c r="JJW99" s="2802"/>
      <c r="JJX99" s="2565"/>
      <c r="JJY99" s="2021"/>
      <c r="JJZ99" s="1062"/>
      <c r="JKA99" s="1062"/>
      <c r="JKB99" s="1061"/>
      <c r="JKC99" s="1027"/>
      <c r="JKD99" s="2803"/>
      <c r="JKE99" s="2802"/>
      <c r="JKF99" s="2565"/>
      <c r="JKG99" s="2021"/>
      <c r="JKH99" s="1062"/>
      <c r="JKI99" s="1062"/>
      <c r="JKJ99" s="1061"/>
      <c r="JKK99" s="1027"/>
      <c r="JKL99" s="2803"/>
      <c r="JKM99" s="2802"/>
      <c r="JKN99" s="2565"/>
      <c r="JKO99" s="2021"/>
      <c r="JKP99" s="1062"/>
      <c r="JKQ99" s="1062"/>
      <c r="JKR99" s="1061"/>
      <c r="JKS99" s="1027"/>
      <c r="JKT99" s="2803"/>
      <c r="JKU99" s="2802"/>
      <c r="JKV99" s="2565"/>
      <c r="JKW99" s="2021"/>
      <c r="JKX99" s="1062"/>
      <c r="JKY99" s="1062"/>
      <c r="JKZ99" s="1061"/>
      <c r="JLA99" s="1027"/>
      <c r="JLB99" s="2803"/>
      <c r="JLC99" s="2802"/>
      <c r="JLD99" s="2565"/>
      <c r="JLE99" s="2021"/>
      <c r="JLF99" s="1062"/>
      <c r="JLG99" s="1062"/>
      <c r="JLH99" s="1061"/>
      <c r="JLI99" s="1027"/>
      <c r="JLJ99" s="2803"/>
      <c r="JLK99" s="2802"/>
      <c r="JLL99" s="2565"/>
      <c r="JLM99" s="2021"/>
      <c r="JLN99" s="1062"/>
      <c r="JLO99" s="1062"/>
      <c r="JLP99" s="1061"/>
      <c r="JLQ99" s="1027"/>
      <c r="JLR99" s="2803"/>
      <c r="JLS99" s="2802"/>
      <c r="JLT99" s="2565"/>
      <c r="JLU99" s="2021"/>
      <c r="JLV99" s="1062"/>
      <c r="JLW99" s="1062"/>
      <c r="JLX99" s="1061"/>
      <c r="JLY99" s="1027"/>
      <c r="JLZ99" s="2803"/>
      <c r="JMA99" s="2802"/>
      <c r="JMB99" s="2565"/>
      <c r="JMC99" s="2021"/>
      <c r="JMD99" s="1062"/>
      <c r="JME99" s="1062"/>
      <c r="JMF99" s="1061"/>
      <c r="JMG99" s="1027"/>
      <c r="JMH99" s="2803"/>
      <c r="JMI99" s="2802"/>
      <c r="JMJ99" s="2565"/>
      <c r="JMK99" s="2021"/>
      <c r="JML99" s="1062"/>
      <c r="JMM99" s="1062"/>
      <c r="JMN99" s="1061"/>
      <c r="JMO99" s="1027"/>
      <c r="JMP99" s="2803"/>
      <c r="JMQ99" s="2802"/>
      <c r="JMR99" s="2565"/>
      <c r="JMS99" s="2021"/>
      <c r="JMT99" s="1062"/>
      <c r="JMU99" s="1062"/>
      <c r="JMV99" s="1061"/>
      <c r="JMW99" s="1027"/>
      <c r="JMX99" s="2803"/>
      <c r="JMY99" s="2802"/>
      <c r="JMZ99" s="2565"/>
      <c r="JNA99" s="2021"/>
      <c r="JNB99" s="1062"/>
      <c r="JNC99" s="1062"/>
      <c r="JND99" s="1061"/>
      <c r="JNE99" s="1027"/>
      <c r="JNF99" s="2803"/>
      <c r="JNG99" s="2802"/>
      <c r="JNH99" s="2565"/>
      <c r="JNI99" s="2021"/>
      <c r="JNJ99" s="1062"/>
      <c r="JNK99" s="1062"/>
      <c r="JNL99" s="1061"/>
      <c r="JNM99" s="1027"/>
      <c r="JNN99" s="2803"/>
      <c r="JNO99" s="2802"/>
      <c r="JNP99" s="2565"/>
      <c r="JNQ99" s="2021"/>
      <c r="JNR99" s="1062"/>
      <c r="JNS99" s="1062"/>
      <c r="JNT99" s="1061"/>
      <c r="JNU99" s="1027"/>
      <c r="JNV99" s="2803"/>
      <c r="JNW99" s="2802"/>
      <c r="JNX99" s="2565"/>
      <c r="JNY99" s="2021"/>
      <c r="JNZ99" s="1062"/>
      <c r="JOA99" s="1062"/>
      <c r="JOB99" s="1061"/>
      <c r="JOC99" s="1027"/>
      <c r="JOD99" s="2803"/>
      <c r="JOE99" s="2802"/>
      <c r="JOF99" s="2565"/>
      <c r="JOG99" s="2021"/>
      <c r="JOH99" s="1062"/>
      <c r="JOI99" s="1062"/>
      <c r="JOJ99" s="1061"/>
      <c r="JOK99" s="1027"/>
      <c r="JOL99" s="2803"/>
      <c r="JOM99" s="2802"/>
      <c r="JON99" s="2565"/>
      <c r="JOO99" s="2021"/>
      <c r="JOP99" s="1062"/>
      <c r="JOQ99" s="1062"/>
      <c r="JOR99" s="1061"/>
      <c r="JOS99" s="1027"/>
      <c r="JOT99" s="2803"/>
      <c r="JOU99" s="2802"/>
      <c r="JOV99" s="2565"/>
      <c r="JOW99" s="2021"/>
      <c r="JOX99" s="1062"/>
      <c r="JOY99" s="1062"/>
      <c r="JOZ99" s="1061"/>
      <c r="JPA99" s="1027"/>
      <c r="JPB99" s="2803"/>
      <c r="JPC99" s="2802"/>
      <c r="JPD99" s="2565"/>
      <c r="JPE99" s="2021"/>
      <c r="JPF99" s="1062"/>
      <c r="JPG99" s="1062"/>
      <c r="JPH99" s="1061"/>
      <c r="JPI99" s="1027"/>
      <c r="JPJ99" s="2803"/>
      <c r="JPK99" s="2802"/>
      <c r="JPL99" s="2565"/>
      <c r="JPM99" s="2021"/>
      <c r="JPN99" s="1062"/>
      <c r="JPO99" s="1062"/>
      <c r="JPP99" s="1061"/>
      <c r="JPQ99" s="1027"/>
      <c r="JPR99" s="2803"/>
      <c r="JPS99" s="2802"/>
      <c r="JPT99" s="2565"/>
      <c r="JPU99" s="2021"/>
      <c r="JPV99" s="1062"/>
      <c r="JPW99" s="1062"/>
      <c r="JPX99" s="1061"/>
      <c r="JPY99" s="1027"/>
      <c r="JPZ99" s="2803"/>
      <c r="JQA99" s="2802"/>
      <c r="JQB99" s="2565"/>
      <c r="JQC99" s="2021"/>
      <c r="JQD99" s="1062"/>
      <c r="JQE99" s="1062"/>
      <c r="JQF99" s="1061"/>
      <c r="JQG99" s="1027"/>
      <c r="JQH99" s="2803"/>
      <c r="JQI99" s="2802"/>
      <c r="JQJ99" s="2565"/>
      <c r="JQK99" s="2021"/>
      <c r="JQL99" s="1062"/>
      <c r="JQM99" s="1062"/>
      <c r="JQN99" s="1061"/>
      <c r="JQO99" s="1027"/>
      <c r="JQP99" s="2803"/>
      <c r="JQQ99" s="2802"/>
      <c r="JQR99" s="2565"/>
      <c r="JQS99" s="2021"/>
      <c r="JQT99" s="1062"/>
      <c r="JQU99" s="1062"/>
      <c r="JQV99" s="1061"/>
      <c r="JQW99" s="1027"/>
      <c r="JQX99" s="2803"/>
      <c r="JQY99" s="2802"/>
      <c r="JQZ99" s="2565"/>
      <c r="JRA99" s="2021"/>
      <c r="JRB99" s="1062"/>
      <c r="JRC99" s="1062"/>
      <c r="JRD99" s="1061"/>
      <c r="JRE99" s="1027"/>
      <c r="JRF99" s="2803"/>
      <c r="JRG99" s="2802"/>
      <c r="JRH99" s="2565"/>
      <c r="JRI99" s="2021"/>
      <c r="JRJ99" s="1062"/>
      <c r="JRK99" s="1062"/>
      <c r="JRL99" s="1061"/>
      <c r="JRM99" s="1027"/>
      <c r="JRN99" s="2803"/>
      <c r="JRO99" s="2802"/>
      <c r="JRP99" s="2565"/>
      <c r="JRQ99" s="2021"/>
      <c r="JRR99" s="1062"/>
      <c r="JRS99" s="1062"/>
      <c r="JRT99" s="1061"/>
      <c r="JRU99" s="1027"/>
      <c r="JRV99" s="2803"/>
      <c r="JRW99" s="2802"/>
      <c r="JRX99" s="2565"/>
      <c r="JRY99" s="2021"/>
      <c r="JRZ99" s="1062"/>
      <c r="JSA99" s="1062"/>
      <c r="JSB99" s="1061"/>
      <c r="JSC99" s="1027"/>
      <c r="JSD99" s="2803"/>
      <c r="JSE99" s="2802"/>
      <c r="JSF99" s="2565"/>
      <c r="JSG99" s="2021"/>
      <c r="JSH99" s="1062"/>
      <c r="JSI99" s="1062"/>
      <c r="JSJ99" s="1061"/>
      <c r="JSK99" s="1027"/>
      <c r="JSL99" s="2803"/>
      <c r="JSM99" s="2802"/>
      <c r="JSN99" s="2565"/>
      <c r="JSO99" s="2021"/>
      <c r="JSP99" s="1062"/>
      <c r="JSQ99" s="1062"/>
      <c r="JSR99" s="1061"/>
      <c r="JSS99" s="1027"/>
      <c r="JST99" s="2803"/>
      <c r="JSU99" s="2802"/>
      <c r="JSV99" s="2565"/>
      <c r="JSW99" s="2021"/>
      <c r="JSX99" s="1062"/>
      <c r="JSY99" s="1062"/>
      <c r="JSZ99" s="1061"/>
      <c r="JTA99" s="1027"/>
      <c r="JTB99" s="2803"/>
      <c r="JTC99" s="2802"/>
      <c r="JTD99" s="2565"/>
      <c r="JTE99" s="2021"/>
      <c r="JTF99" s="1062"/>
      <c r="JTG99" s="1062"/>
      <c r="JTH99" s="1061"/>
      <c r="JTI99" s="1027"/>
      <c r="JTJ99" s="2803"/>
      <c r="JTK99" s="2802"/>
      <c r="JTL99" s="2565"/>
      <c r="JTM99" s="2021"/>
      <c r="JTN99" s="1062"/>
      <c r="JTO99" s="1062"/>
      <c r="JTP99" s="1061"/>
      <c r="JTQ99" s="1027"/>
      <c r="JTR99" s="2803"/>
      <c r="JTS99" s="2802"/>
      <c r="JTT99" s="2565"/>
      <c r="JTU99" s="2021"/>
      <c r="JTV99" s="1062"/>
      <c r="JTW99" s="1062"/>
      <c r="JTX99" s="1061"/>
      <c r="JTY99" s="1027"/>
      <c r="JTZ99" s="2803"/>
      <c r="JUA99" s="2802"/>
      <c r="JUB99" s="2565"/>
      <c r="JUC99" s="2021"/>
      <c r="JUD99" s="1062"/>
      <c r="JUE99" s="1062"/>
      <c r="JUF99" s="1061"/>
      <c r="JUG99" s="1027"/>
      <c r="JUH99" s="2803"/>
      <c r="JUI99" s="2802"/>
      <c r="JUJ99" s="2565"/>
      <c r="JUK99" s="2021"/>
      <c r="JUL99" s="1062"/>
      <c r="JUM99" s="1062"/>
      <c r="JUN99" s="1061"/>
      <c r="JUO99" s="1027"/>
      <c r="JUP99" s="2803"/>
      <c r="JUQ99" s="2802"/>
      <c r="JUR99" s="2565"/>
      <c r="JUS99" s="2021"/>
      <c r="JUT99" s="1062"/>
      <c r="JUU99" s="1062"/>
      <c r="JUV99" s="1061"/>
      <c r="JUW99" s="1027"/>
      <c r="JUX99" s="2803"/>
      <c r="JUY99" s="2802"/>
      <c r="JUZ99" s="2565"/>
      <c r="JVA99" s="2021"/>
      <c r="JVB99" s="1062"/>
      <c r="JVC99" s="1062"/>
      <c r="JVD99" s="1061"/>
      <c r="JVE99" s="1027"/>
      <c r="JVF99" s="2803"/>
      <c r="JVG99" s="2802"/>
      <c r="JVH99" s="2565"/>
      <c r="JVI99" s="2021"/>
      <c r="JVJ99" s="1062"/>
      <c r="JVK99" s="1062"/>
      <c r="JVL99" s="1061"/>
      <c r="JVM99" s="1027"/>
      <c r="JVN99" s="2803"/>
      <c r="JVO99" s="2802"/>
      <c r="JVP99" s="2565"/>
      <c r="JVQ99" s="2021"/>
      <c r="JVR99" s="1062"/>
      <c r="JVS99" s="1062"/>
      <c r="JVT99" s="1061"/>
      <c r="JVU99" s="1027"/>
      <c r="JVV99" s="2803"/>
      <c r="JVW99" s="2802"/>
      <c r="JVX99" s="2565"/>
      <c r="JVY99" s="2021"/>
      <c r="JVZ99" s="1062"/>
      <c r="JWA99" s="1062"/>
      <c r="JWB99" s="1061"/>
      <c r="JWC99" s="1027"/>
      <c r="JWD99" s="2803"/>
      <c r="JWE99" s="2802"/>
      <c r="JWF99" s="2565"/>
      <c r="JWG99" s="2021"/>
      <c r="JWH99" s="1062"/>
      <c r="JWI99" s="1062"/>
      <c r="JWJ99" s="1061"/>
      <c r="JWK99" s="1027"/>
      <c r="JWL99" s="2803"/>
      <c r="JWM99" s="2802"/>
      <c r="JWN99" s="2565"/>
      <c r="JWO99" s="2021"/>
      <c r="JWP99" s="1062"/>
      <c r="JWQ99" s="1062"/>
      <c r="JWR99" s="1061"/>
      <c r="JWS99" s="1027"/>
      <c r="JWT99" s="2803"/>
      <c r="JWU99" s="2802"/>
      <c r="JWV99" s="2565"/>
      <c r="JWW99" s="2021"/>
      <c r="JWX99" s="1062"/>
      <c r="JWY99" s="1062"/>
      <c r="JWZ99" s="1061"/>
      <c r="JXA99" s="1027"/>
      <c r="JXB99" s="2803"/>
      <c r="JXC99" s="2802"/>
      <c r="JXD99" s="2565"/>
      <c r="JXE99" s="2021"/>
      <c r="JXF99" s="1062"/>
      <c r="JXG99" s="1062"/>
      <c r="JXH99" s="1061"/>
      <c r="JXI99" s="1027"/>
      <c r="JXJ99" s="2803"/>
      <c r="JXK99" s="2802"/>
      <c r="JXL99" s="2565"/>
      <c r="JXM99" s="2021"/>
      <c r="JXN99" s="1062"/>
      <c r="JXO99" s="1062"/>
      <c r="JXP99" s="1061"/>
      <c r="JXQ99" s="1027"/>
      <c r="JXR99" s="2803"/>
      <c r="JXS99" s="2802"/>
      <c r="JXT99" s="2565"/>
      <c r="JXU99" s="2021"/>
      <c r="JXV99" s="1062"/>
      <c r="JXW99" s="1062"/>
      <c r="JXX99" s="1061"/>
      <c r="JXY99" s="1027"/>
      <c r="JXZ99" s="2803"/>
      <c r="JYA99" s="2802"/>
      <c r="JYB99" s="2565"/>
      <c r="JYC99" s="2021"/>
      <c r="JYD99" s="1062"/>
      <c r="JYE99" s="1062"/>
      <c r="JYF99" s="1061"/>
      <c r="JYG99" s="1027"/>
      <c r="JYH99" s="2803"/>
      <c r="JYI99" s="2802"/>
      <c r="JYJ99" s="2565"/>
      <c r="JYK99" s="2021"/>
      <c r="JYL99" s="1062"/>
      <c r="JYM99" s="1062"/>
      <c r="JYN99" s="1061"/>
      <c r="JYO99" s="1027"/>
      <c r="JYP99" s="2803"/>
      <c r="JYQ99" s="2802"/>
      <c r="JYR99" s="2565"/>
      <c r="JYS99" s="2021"/>
      <c r="JYT99" s="1062"/>
      <c r="JYU99" s="1062"/>
      <c r="JYV99" s="1061"/>
      <c r="JYW99" s="1027"/>
      <c r="JYX99" s="2803"/>
      <c r="JYY99" s="2802"/>
      <c r="JYZ99" s="2565"/>
      <c r="JZA99" s="2021"/>
      <c r="JZB99" s="1062"/>
      <c r="JZC99" s="1062"/>
      <c r="JZD99" s="1061"/>
      <c r="JZE99" s="1027"/>
      <c r="JZF99" s="2803"/>
      <c r="JZG99" s="2802"/>
      <c r="JZH99" s="2565"/>
      <c r="JZI99" s="2021"/>
      <c r="JZJ99" s="1062"/>
      <c r="JZK99" s="1062"/>
      <c r="JZL99" s="1061"/>
      <c r="JZM99" s="1027"/>
      <c r="JZN99" s="2803"/>
      <c r="JZO99" s="2802"/>
      <c r="JZP99" s="2565"/>
      <c r="JZQ99" s="2021"/>
      <c r="JZR99" s="1062"/>
      <c r="JZS99" s="1062"/>
      <c r="JZT99" s="1061"/>
      <c r="JZU99" s="1027"/>
      <c r="JZV99" s="2803"/>
      <c r="JZW99" s="2802"/>
      <c r="JZX99" s="2565"/>
      <c r="JZY99" s="2021"/>
      <c r="JZZ99" s="1062"/>
      <c r="KAA99" s="1062"/>
      <c r="KAB99" s="1061"/>
      <c r="KAC99" s="1027"/>
      <c r="KAD99" s="2803"/>
      <c r="KAE99" s="2802"/>
      <c r="KAF99" s="2565"/>
      <c r="KAG99" s="2021"/>
      <c r="KAH99" s="1062"/>
      <c r="KAI99" s="1062"/>
      <c r="KAJ99" s="1061"/>
      <c r="KAK99" s="1027"/>
      <c r="KAL99" s="2803"/>
      <c r="KAM99" s="2802"/>
      <c r="KAN99" s="2565"/>
      <c r="KAO99" s="2021"/>
      <c r="KAP99" s="1062"/>
      <c r="KAQ99" s="1062"/>
      <c r="KAR99" s="1061"/>
      <c r="KAS99" s="1027"/>
      <c r="KAT99" s="2803"/>
      <c r="KAU99" s="2802"/>
      <c r="KAV99" s="2565"/>
      <c r="KAW99" s="2021"/>
      <c r="KAX99" s="1062"/>
      <c r="KAY99" s="1062"/>
      <c r="KAZ99" s="1061"/>
      <c r="KBA99" s="1027"/>
      <c r="KBB99" s="2803"/>
      <c r="KBC99" s="2802"/>
      <c r="KBD99" s="2565"/>
      <c r="KBE99" s="2021"/>
      <c r="KBF99" s="1062"/>
      <c r="KBG99" s="1062"/>
      <c r="KBH99" s="1061"/>
      <c r="KBI99" s="1027"/>
      <c r="KBJ99" s="2803"/>
      <c r="KBK99" s="2802"/>
      <c r="KBL99" s="2565"/>
      <c r="KBM99" s="2021"/>
      <c r="KBN99" s="1062"/>
      <c r="KBO99" s="1062"/>
      <c r="KBP99" s="1061"/>
      <c r="KBQ99" s="1027"/>
      <c r="KBR99" s="2803"/>
      <c r="KBS99" s="2802"/>
      <c r="KBT99" s="2565"/>
      <c r="KBU99" s="2021"/>
      <c r="KBV99" s="1062"/>
      <c r="KBW99" s="1062"/>
      <c r="KBX99" s="1061"/>
      <c r="KBY99" s="1027"/>
      <c r="KBZ99" s="2803"/>
      <c r="KCA99" s="2802"/>
      <c r="KCB99" s="2565"/>
      <c r="KCC99" s="2021"/>
      <c r="KCD99" s="1062"/>
      <c r="KCE99" s="1062"/>
      <c r="KCF99" s="1061"/>
      <c r="KCG99" s="1027"/>
      <c r="KCH99" s="2803"/>
      <c r="KCI99" s="2802"/>
      <c r="KCJ99" s="2565"/>
      <c r="KCK99" s="2021"/>
      <c r="KCL99" s="1062"/>
      <c r="KCM99" s="1062"/>
      <c r="KCN99" s="1061"/>
      <c r="KCO99" s="1027"/>
      <c r="KCP99" s="2803"/>
      <c r="KCQ99" s="2802"/>
      <c r="KCR99" s="2565"/>
      <c r="KCS99" s="2021"/>
      <c r="KCT99" s="1062"/>
      <c r="KCU99" s="1062"/>
      <c r="KCV99" s="1061"/>
      <c r="KCW99" s="1027"/>
      <c r="KCX99" s="2803"/>
      <c r="KCY99" s="2802"/>
      <c r="KCZ99" s="2565"/>
      <c r="KDA99" s="2021"/>
      <c r="KDB99" s="1062"/>
      <c r="KDC99" s="1062"/>
      <c r="KDD99" s="1061"/>
      <c r="KDE99" s="1027"/>
      <c r="KDF99" s="2803"/>
      <c r="KDG99" s="2802"/>
      <c r="KDH99" s="2565"/>
      <c r="KDI99" s="2021"/>
      <c r="KDJ99" s="1062"/>
      <c r="KDK99" s="1062"/>
      <c r="KDL99" s="1061"/>
      <c r="KDM99" s="1027"/>
      <c r="KDN99" s="2803"/>
      <c r="KDO99" s="2802"/>
      <c r="KDP99" s="2565"/>
      <c r="KDQ99" s="2021"/>
      <c r="KDR99" s="1062"/>
      <c r="KDS99" s="1062"/>
      <c r="KDT99" s="1061"/>
      <c r="KDU99" s="1027"/>
      <c r="KDV99" s="2803"/>
      <c r="KDW99" s="2802"/>
      <c r="KDX99" s="2565"/>
      <c r="KDY99" s="2021"/>
      <c r="KDZ99" s="1062"/>
      <c r="KEA99" s="1062"/>
      <c r="KEB99" s="1061"/>
      <c r="KEC99" s="1027"/>
      <c r="KED99" s="2803"/>
      <c r="KEE99" s="2802"/>
      <c r="KEF99" s="2565"/>
      <c r="KEG99" s="2021"/>
      <c r="KEH99" s="1062"/>
      <c r="KEI99" s="1062"/>
      <c r="KEJ99" s="1061"/>
      <c r="KEK99" s="1027"/>
      <c r="KEL99" s="2803"/>
      <c r="KEM99" s="2802"/>
      <c r="KEN99" s="2565"/>
      <c r="KEO99" s="2021"/>
      <c r="KEP99" s="1062"/>
      <c r="KEQ99" s="1062"/>
      <c r="KER99" s="1061"/>
      <c r="KES99" s="1027"/>
      <c r="KET99" s="2803"/>
      <c r="KEU99" s="2802"/>
      <c r="KEV99" s="2565"/>
      <c r="KEW99" s="2021"/>
      <c r="KEX99" s="1062"/>
      <c r="KEY99" s="1062"/>
      <c r="KEZ99" s="1061"/>
      <c r="KFA99" s="1027"/>
      <c r="KFB99" s="2803"/>
      <c r="KFC99" s="2802"/>
      <c r="KFD99" s="2565"/>
      <c r="KFE99" s="2021"/>
      <c r="KFF99" s="1062"/>
      <c r="KFG99" s="1062"/>
      <c r="KFH99" s="1061"/>
      <c r="KFI99" s="1027"/>
      <c r="KFJ99" s="2803"/>
      <c r="KFK99" s="2802"/>
      <c r="KFL99" s="2565"/>
      <c r="KFM99" s="2021"/>
      <c r="KFN99" s="1062"/>
      <c r="KFO99" s="1062"/>
      <c r="KFP99" s="1061"/>
      <c r="KFQ99" s="1027"/>
      <c r="KFR99" s="2803"/>
      <c r="KFS99" s="2802"/>
      <c r="KFT99" s="2565"/>
      <c r="KFU99" s="2021"/>
      <c r="KFV99" s="1062"/>
      <c r="KFW99" s="1062"/>
      <c r="KFX99" s="1061"/>
      <c r="KFY99" s="1027"/>
      <c r="KFZ99" s="2803"/>
      <c r="KGA99" s="2802"/>
      <c r="KGB99" s="2565"/>
      <c r="KGC99" s="2021"/>
      <c r="KGD99" s="1062"/>
      <c r="KGE99" s="1062"/>
      <c r="KGF99" s="1061"/>
      <c r="KGG99" s="1027"/>
      <c r="KGH99" s="2803"/>
      <c r="KGI99" s="2802"/>
      <c r="KGJ99" s="2565"/>
      <c r="KGK99" s="2021"/>
      <c r="KGL99" s="1062"/>
      <c r="KGM99" s="1062"/>
      <c r="KGN99" s="1061"/>
      <c r="KGO99" s="1027"/>
      <c r="KGP99" s="2803"/>
      <c r="KGQ99" s="2802"/>
      <c r="KGR99" s="2565"/>
      <c r="KGS99" s="2021"/>
      <c r="KGT99" s="1062"/>
      <c r="KGU99" s="1062"/>
      <c r="KGV99" s="1061"/>
      <c r="KGW99" s="1027"/>
      <c r="KGX99" s="2803"/>
      <c r="KGY99" s="2802"/>
      <c r="KGZ99" s="2565"/>
      <c r="KHA99" s="2021"/>
      <c r="KHB99" s="1062"/>
      <c r="KHC99" s="1062"/>
      <c r="KHD99" s="1061"/>
      <c r="KHE99" s="1027"/>
      <c r="KHF99" s="2803"/>
      <c r="KHG99" s="2802"/>
      <c r="KHH99" s="2565"/>
      <c r="KHI99" s="2021"/>
      <c r="KHJ99" s="1062"/>
      <c r="KHK99" s="1062"/>
      <c r="KHL99" s="1061"/>
      <c r="KHM99" s="1027"/>
      <c r="KHN99" s="2803"/>
      <c r="KHO99" s="2802"/>
      <c r="KHP99" s="2565"/>
      <c r="KHQ99" s="2021"/>
      <c r="KHR99" s="1062"/>
      <c r="KHS99" s="1062"/>
      <c r="KHT99" s="1061"/>
      <c r="KHU99" s="1027"/>
      <c r="KHV99" s="2803"/>
      <c r="KHW99" s="2802"/>
      <c r="KHX99" s="2565"/>
      <c r="KHY99" s="2021"/>
      <c r="KHZ99" s="1062"/>
      <c r="KIA99" s="1062"/>
      <c r="KIB99" s="1061"/>
      <c r="KIC99" s="1027"/>
      <c r="KID99" s="2803"/>
      <c r="KIE99" s="2802"/>
      <c r="KIF99" s="2565"/>
      <c r="KIG99" s="2021"/>
      <c r="KIH99" s="1062"/>
      <c r="KII99" s="1062"/>
      <c r="KIJ99" s="1061"/>
      <c r="KIK99" s="1027"/>
      <c r="KIL99" s="2803"/>
      <c r="KIM99" s="2802"/>
      <c r="KIN99" s="2565"/>
      <c r="KIO99" s="2021"/>
      <c r="KIP99" s="1062"/>
      <c r="KIQ99" s="1062"/>
      <c r="KIR99" s="1061"/>
      <c r="KIS99" s="1027"/>
      <c r="KIT99" s="2803"/>
      <c r="KIU99" s="2802"/>
      <c r="KIV99" s="2565"/>
      <c r="KIW99" s="2021"/>
      <c r="KIX99" s="1062"/>
      <c r="KIY99" s="1062"/>
      <c r="KIZ99" s="1061"/>
      <c r="KJA99" s="1027"/>
      <c r="KJB99" s="2803"/>
      <c r="KJC99" s="2802"/>
      <c r="KJD99" s="2565"/>
      <c r="KJE99" s="2021"/>
      <c r="KJF99" s="1062"/>
      <c r="KJG99" s="1062"/>
      <c r="KJH99" s="1061"/>
      <c r="KJI99" s="1027"/>
      <c r="KJJ99" s="2803"/>
      <c r="KJK99" s="2802"/>
      <c r="KJL99" s="2565"/>
      <c r="KJM99" s="2021"/>
      <c r="KJN99" s="1062"/>
      <c r="KJO99" s="1062"/>
      <c r="KJP99" s="1061"/>
      <c r="KJQ99" s="1027"/>
      <c r="KJR99" s="2803"/>
      <c r="KJS99" s="2802"/>
      <c r="KJT99" s="2565"/>
      <c r="KJU99" s="2021"/>
      <c r="KJV99" s="1062"/>
      <c r="KJW99" s="1062"/>
      <c r="KJX99" s="1061"/>
      <c r="KJY99" s="1027"/>
      <c r="KJZ99" s="2803"/>
      <c r="KKA99" s="2802"/>
      <c r="KKB99" s="2565"/>
      <c r="KKC99" s="2021"/>
      <c r="KKD99" s="1062"/>
      <c r="KKE99" s="1062"/>
      <c r="KKF99" s="1061"/>
      <c r="KKG99" s="1027"/>
      <c r="KKH99" s="2803"/>
      <c r="KKI99" s="2802"/>
      <c r="KKJ99" s="2565"/>
      <c r="KKK99" s="2021"/>
      <c r="KKL99" s="1062"/>
      <c r="KKM99" s="1062"/>
      <c r="KKN99" s="1061"/>
      <c r="KKO99" s="1027"/>
      <c r="KKP99" s="2803"/>
      <c r="KKQ99" s="2802"/>
      <c r="KKR99" s="2565"/>
      <c r="KKS99" s="2021"/>
      <c r="KKT99" s="1062"/>
      <c r="KKU99" s="1062"/>
      <c r="KKV99" s="1061"/>
      <c r="KKW99" s="1027"/>
      <c r="KKX99" s="2803"/>
      <c r="KKY99" s="2802"/>
      <c r="KKZ99" s="2565"/>
      <c r="KLA99" s="2021"/>
      <c r="KLB99" s="1062"/>
      <c r="KLC99" s="1062"/>
      <c r="KLD99" s="1061"/>
      <c r="KLE99" s="1027"/>
      <c r="KLF99" s="2803"/>
      <c r="KLG99" s="2802"/>
      <c r="KLH99" s="2565"/>
      <c r="KLI99" s="2021"/>
      <c r="KLJ99" s="1062"/>
      <c r="KLK99" s="1062"/>
      <c r="KLL99" s="1061"/>
      <c r="KLM99" s="1027"/>
      <c r="KLN99" s="2803"/>
      <c r="KLO99" s="2802"/>
      <c r="KLP99" s="2565"/>
      <c r="KLQ99" s="2021"/>
      <c r="KLR99" s="1062"/>
      <c r="KLS99" s="1062"/>
      <c r="KLT99" s="1061"/>
      <c r="KLU99" s="1027"/>
      <c r="KLV99" s="2803"/>
      <c r="KLW99" s="2802"/>
      <c r="KLX99" s="2565"/>
      <c r="KLY99" s="2021"/>
      <c r="KLZ99" s="1062"/>
      <c r="KMA99" s="1062"/>
      <c r="KMB99" s="1061"/>
      <c r="KMC99" s="1027"/>
      <c r="KMD99" s="2803"/>
      <c r="KME99" s="2802"/>
      <c r="KMF99" s="2565"/>
      <c r="KMG99" s="2021"/>
      <c r="KMH99" s="1062"/>
      <c r="KMI99" s="1062"/>
      <c r="KMJ99" s="1061"/>
      <c r="KMK99" s="1027"/>
      <c r="KML99" s="2803"/>
      <c r="KMM99" s="2802"/>
      <c r="KMN99" s="2565"/>
      <c r="KMO99" s="2021"/>
      <c r="KMP99" s="1062"/>
      <c r="KMQ99" s="1062"/>
      <c r="KMR99" s="1061"/>
      <c r="KMS99" s="1027"/>
      <c r="KMT99" s="2803"/>
      <c r="KMU99" s="2802"/>
      <c r="KMV99" s="2565"/>
      <c r="KMW99" s="2021"/>
      <c r="KMX99" s="1062"/>
      <c r="KMY99" s="1062"/>
      <c r="KMZ99" s="1061"/>
      <c r="KNA99" s="1027"/>
      <c r="KNB99" s="2803"/>
      <c r="KNC99" s="2802"/>
      <c r="KND99" s="2565"/>
      <c r="KNE99" s="2021"/>
      <c r="KNF99" s="1062"/>
      <c r="KNG99" s="1062"/>
      <c r="KNH99" s="1061"/>
      <c r="KNI99" s="1027"/>
      <c r="KNJ99" s="2803"/>
      <c r="KNK99" s="2802"/>
      <c r="KNL99" s="2565"/>
      <c r="KNM99" s="2021"/>
      <c r="KNN99" s="1062"/>
      <c r="KNO99" s="1062"/>
      <c r="KNP99" s="1061"/>
      <c r="KNQ99" s="1027"/>
      <c r="KNR99" s="2803"/>
      <c r="KNS99" s="2802"/>
      <c r="KNT99" s="2565"/>
      <c r="KNU99" s="2021"/>
      <c r="KNV99" s="1062"/>
      <c r="KNW99" s="1062"/>
      <c r="KNX99" s="1061"/>
      <c r="KNY99" s="1027"/>
      <c r="KNZ99" s="2803"/>
      <c r="KOA99" s="2802"/>
      <c r="KOB99" s="2565"/>
      <c r="KOC99" s="2021"/>
      <c r="KOD99" s="1062"/>
      <c r="KOE99" s="1062"/>
      <c r="KOF99" s="1061"/>
      <c r="KOG99" s="1027"/>
      <c r="KOH99" s="2803"/>
      <c r="KOI99" s="2802"/>
      <c r="KOJ99" s="2565"/>
      <c r="KOK99" s="2021"/>
      <c r="KOL99" s="1062"/>
      <c r="KOM99" s="1062"/>
      <c r="KON99" s="1061"/>
      <c r="KOO99" s="1027"/>
      <c r="KOP99" s="2803"/>
      <c r="KOQ99" s="2802"/>
      <c r="KOR99" s="2565"/>
      <c r="KOS99" s="2021"/>
      <c r="KOT99" s="1062"/>
      <c r="KOU99" s="1062"/>
      <c r="KOV99" s="1061"/>
      <c r="KOW99" s="1027"/>
      <c r="KOX99" s="2803"/>
      <c r="KOY99" s="2802"/>
      <c r="KOZ99" s="2565"/>
      <c r="KPA99" s="2021"/>
      <c r="KPB99" s="1062"/>
      <c r="KPC99" s="1062"/>
      <c r="KPD99" s="1061"/>
      <c r="KPE99" s="1027"/>
      <c r="KPF99" s="2803"/>
      <c r="KPG99" s="2802"/>
      <c r="KPH99" s="2565"/>
      <c r="KPI99" s="2021"/>
      <c r="KPJ99" s="1062"/>
      <c r="KPK99" s="1062"/>
      <c r="KPL99" s="1061"/>
      <c r="KPM99" s="1027"/>
      <c r="KPN99" s="2803"/>
      <c r="KPO99" s="2802"/>
      <c r="KPP99" s="2565"/>
      <c r="KPQ99" s="2021"/>
      <c r="KPR99" s="1062"/>
      <c r="KPS99" s="1062"/>
      <c r="KPT99" s="1061"/>
      <c r="KPU99" s="1027"/>
      <c r="KPV99" s="2803"/>
      <c r="KPW99" s="2802"/>
      <c r="KPX99" s="2565"/>
      <c r="KPY99" s="2021"/>
      <c r="KPZ99" s="1062"/>
      <c r="KQA99" s="1062"/>
      <c r="KQB99" s="1061"/>
      <c r="KQC99" s="1027"/>
      <c r="KQD99" s="2803"/>
      <c r="KQE99" s="2802"/>
      <c r="KQF99" s="2565"/>
      <c r="KQG99" s="2021"/>
      <c r="KQH99" s="1062"/>
      <c r="KQI99" s="1062"/>
      <c r="KQJ99" s="1061"/>
      <c r="KQK99" s="1027"/>
      <c r="KQL99" s="2803"/>
      <c r="KQM99" s="2802"/>
      <c r="KQN99" s="2565"/>
      <c r="KQO99" s="2021"/>
      <c r="KQP99" s="1062"/>
      <c r="KQQ99" s="1062"/>
      <c r="KQR99" s="1061"/>
      <c r="KQS99" s="1027"/>
      <c r="KQT99" s="2803"/>
      <c r="KQU99" s="2802"/>
      <c r="KQV99" s="2565"/>
      <c r="KQW99" s="2021"/>
      <c r="KQX99" s="1062"/>
      <c r="KQY99" s="1062"/>
      <c r="KQZ99" s="1061"/>
      <c r="KRA99" s="1027"/>
      <c r="KRB99" s="2803"/>
      <c r="KRC99" s="2802"/>
      <c r="KRD99" s="2565"/>
      <c r="KRE99" s="2021"/>
      <c r="KRF99" s="1062"/>
      <c r="KRG99" s="1062"/>
      <c r="KRH99" s="1061"/>
      <c r="KRI99" s="1027"/>
      <c r="KRJ99" s="2803"/>
      <c r="KRK99" s="2802"/>
      <c r="KRL99" s="2565"/>
      <c r="KRM99" s="2021"/>
      <c r="KRN99" s="1062"/>
      <c r="KRO99" s="1062"/>
      <c r="KRP99" s="1061"/>
      <c r="KRQ99" s="1027"/>
      <c r="KRR99" s="2803"/>
      <c r="KRS99" s="2802"/>
      <c r="KRT99" s="2565"/>
      <c r="KRU99" s="2021"/>
      <c r="KRV99" s="1062"/>
      <c r="KRW99" s="1062"/>
      <c r="KRX99" s="1061"/>
      <c r="KRY99" s="1027"/>
      <c r="KRZ99" s="2803"/>
      <c r="KSA99" s="2802"/>
      <c r="KSB99" s="2565"/>
      <c r="KSC99" s="2021"/>
      <c r="KSD99" s="1062"/>
      <c r="KSE99" s="1062"/>
      <c r="KSF99" s="1061"/>
      <c r="KSG99" s="1027"/>
      <c r="KSH99" s="2803"/>
      <c r="KSI99" s="2802"/>
      <c r="KSJ99" s="2565"/>
      <c r="KSK99" s="2021"/>
      <c r="KSL99" s="1062"/>
      <c r="KSM99" s="1062"/>
      <c r="KSN99" s="1061"/>
      <c r="KSO99" s="1027"/>
      <c r="KSP99" s="2803"/>
      <c r="KSQ99" s="2802"/>
      <c r="KSR99" s="2565"/>
      <c r="KSS99" s="2021"/>
      <c r="KST99" s="1062"/>
      <c r="KSU99" s="1062"/>
      <c r="KSV99" s="1061"/>
      <c r="KSW99" s="1027"/>
      <c r="KSX99" s="2803"/>
      <c r="KSY99" s="2802"/>
      <c r="KSZ99" s="2565"/>
      <c r="KTA99" s="2021"/>
      <c r="KTB99" s="1062"/>
      <c r="KTC99" s="1062"/>
      <c r="KTD99" s="1061"/>
      <c r="KTE99" s="1027"/>
      <c r="KTF99" s="2803"/>
      <c r="KTG99" s="2802"/>
      <c r="KTH99" s="2565"/>
      <c r="KTI99" s="2021"/>
      <c r="KTJ99" s="1062"/>
      <c r="KTK99" s="1062"/>
      <c r="KTL99" s="1061"/>
      <c r="KTM99" s="1027"/>
      <c r="KTN99" s="2803"/>
      <c r="KTO99" s="2802"/>
      <c r="KTP99" s="2565"/>
      <c r="KTQ99" s="2021"/>
      <c r="KTR99" s="1062"/>
      <c r="KTS99" s="1062"/>
      <c r="KTT99" s="1061"/>
      <c r="KTU99" s="1027"/>
      <c r="KTV99" s="2803"/>
      <c r="KTW99" s="2802"/>
      <c r="KTX99" s="2565"/>
      <c r="KTY99" s="2021"/>
      <c r="KTZ99" s="1062"/>
      <c r="KUA99" s="1062"/>
      <c r="KUB99" s="1061"/>
      <c r="KUC99" s="1027"/>
      <c r="KUD99" s="2803"/>
      <c r="KUE99" s="2802"/>
      <c r="KUF99" s="2565"/>
      <c r="KUG99" s="2021"/>
      <c r="KUH99" s="1062"/>
      <c r="KUI99" s="1062"/>
      <c r="KUJ99" s="1061"/>
      <c r="KUK99" s="1027"/>
      <c r="KUL99" s="2803"/>
      <c r="KUM99" s="2802"/>
      <c r="KUN99" s="2565"/>
      <c r="KUO99" s="2021"/>
      <c r="KUP99" s="1062"/>
      <c r="KUQ99" s="1062"/>
      <c r="KUR99" s="1061"/>
      <c r="KUS99" s="1027"/>
      <c r="KUT99" s="2803"/>
      <c r="KUU99" s="2802"/>
      <c r="KUV99" s="2565"/>
      <c r="KUW99" s="2021"/>
      <c r="KUX99" s="1062"/>
      <c r="KUY99" s="1062"/>
      <c r="KUZ99" s="1061"/>
      <c r="KVA99" s="1027"/>
      <c r="KVB99" s="2803"/>
      <c r="KVC99" s="2802"/>
      <c r="KVD99" s="2565"/>
      <c r="KVE99" s="2021"/>
      <c r="KVF99" s="1062"/>
      <c r="KVG99" s="1062"/>
      <c r="KVH99" s="1061"/>
      <c r="KVI99" s="1027"/>
      <c r="KVJ99" s="2803"/>
      <c r="KVK99" s="2802"/>
      <c r="KVL99" s="2565"/>
      <c r="KVM99" s="2021"/>
      <c r="KVN99" s="1062"/>
      <c r="KVO99" s="1062"/>
      <c r="KVP99" s="1061"/>
      <c r="KVQ99" s="1027"/>
      <c r="KVR99" s="2803"/>
      <c r="KVS99" s="2802"/>
      <c r="KVT99" s="2565"/>
      <c r="KVU99" s="2021"/>
      <c r="KVV99" s="1062"/>
      <c r="KVW99" s="1062"/>
      <c r="KVX99" s="1061"/>
      <c r="KVY99" s="1027"/>
      <c r="KVZ99" s="2803"/>
      <c r="KWA99" s="2802"/>
      <c r="KWB99" s="2565"/>
      <c r="KWC99" s="2021"/>
      <c r="KWD99" s="1062"/>
      <c r="KWE99" s="1062"/>
      <c r="KWF99" s="1061"/>
      <c r="KWG99" s="1027"/>
      <c r="KWH99" s="2803"/>
      <c r="KWI99" s="2802"/>
      <c r="KWJ99" s="2565"/>
      <c r="KWK99" s="2021"/>
      <c r="KWL99" s="1062"/>
      <c r="KWM99" s="1062"/>
      <c r="KWN99" s="1061"/>
      <c r="KWO99" s="1027"/>
      <c r="KWP99" s="2803"/>
      <c r="KWQ99" s="2802"/>
      <c r="KWR99" s="2565"/>
      <c r="KWS99" s="2021"/>
      <c r="KWT99" s="1062"/>
      <c r="KWU99" s="1062"/>
      <c r="KWV99" s="1061"/>
      <c r="KWW99" s="1027"/>
      <c r="KWX99" s="2803"/>
      <c r="KWY99" s="2802"/>
      <c r="KWZ99" s="2565"/>
      <c r="KXA99" s="2021"/>
      <c r="KXB99" s="1062"/>
      <c r="KXC99" s="1062"/>
      <c r="KXD99" s="1061"/>
      <c r="KXE99" s="1027"/>
      <c r="KXF99" s="2803"/>
      <c r="KXG99" s="2802"/>
      <c r="KXH99" s="2565"/>
      <c r="KXI99" s="2021"/>
      <c r="KXJ99" s="1062"/>
      <c r="KXK99" s="1062"/>
      <c r="KXL99" s="1061"/>
      <c r="KXM99" s="1027"/>
      <c r="KXN99" s="2803"/>
      <c r="KXO99" s="2802"/>
      <c r="KXP99" s="2565"/>
      <c r="KXQ99" s="2021"/>
      <c r="KXR99" s="1062"/>
      <c r="KXS99" s="1062"/>
      <c r="KXT99" s="1061"/>
      <c r="KXU99" s="1027"/>
      <c r="KXV99" s="2803"/>
      <c r="KXW99" s="2802"/>
      <c r="KXX99" s="2565"/>
      <c r="KXY99" s="2021"/>
      <c r="KXZ99" s="1062"/>
      <c r="KYA99" s="1062"/>
      <c r="KYB99" s="1061"/>
      <c r="KYC99" s="1027"/>
      <c r="KYD99" s="2803"/>
      <c r="KYE99" s="2802"/>
      <c r="KYF99" s="2565"/>
      <c r="KYG99" s="2021"/>
      <c r="KYH99" s="1062"/>
      <c r="KYI99" s="1062"/>
      <c r="KYJ99" s="1061"/>
      <c r="KYK99" s="1027"/>
      <c r="KYL99" s="2803"/>
      <c r="KYM99" s="2802"/>
      <c r="KYN99" s="2565"/>
      <c r="KYO99" s="2021"/>
      <c r="KYP99" s="1062"/>
      <c r="KYQ99" s="1062"/>
      <c r="KYR99" s="1061"/>
      <c r="KYS99" s="1027"/>
      <c r="KYT99" s="2803"/>
      <c r="KYU99" s="2802"/>
      <c r="KYV99" s="2565"/>
      <c r="KYW99" s="2021"/>
      <c r="KYX99" s="1062"/>
      <c r="KYY99" s="1062"/>
      <c r="KYZ99" s="1061"/>
      <c r="KZA99" s="1027"/>
      <c r="KZB99" s="2803"/>
      <c r="KZC99" s="2802"/>
      <c r="KZD99" s="2565"/>
      <c r="KZE99" s="2021"/>
      <c r="KZF99" s="1062"/>
      <c r="KZG99" s="1062"/>
      <c r="KZH99" s="1061"/>
      <c r="KZI99" s="1027"/>
      <c r="KZJ99" s="2803"/>
      <c r="KZK99" s="2802"/>
      <c r="KZL99" s="2565"/>
      <c r="KZM99" s="2021"/>
      <c r="KZN99" s="1062"/>
      <c r="KZO99" s="1062"/>
      <c r="KZP99" s="1061"/>
      <c r="KZQ99" s="1027"/>
      <c r="KZR99" s="2803"/>
      <c r="KZS99" s="2802"/>
      <c r="KZT99" s="2565"/>
      <c r="KZU99" s="2021"/>
      <c r="KZV99" s="1062"/>
      <c r="KZW99" s="1062"/>
      <c r="KZX99" s="1061"/>
      <c r="KZY99" s="1027"/>
      <c r="KZZ99" s="2803"/>
      <c r="LAA99" s="2802"/>
      <c r="LAB99" s="2565"/>
      <c r="LAC99" s="2021"/>
      <c r="LAD99" s="1062"/>
      <c r="LAE99" s="1062"/>
      <c r="LAF99" s="1061"/>
      <c r="LAG99" s="1027"/>
      <c r="LAH99" s="2803"/>
      <c r="LAI99" s="2802"/>
      <c r="LAJ99" s="2565"/>
      <c r="LAK99" s="2021"/>
      <c r="LAL99" s="1062"/>
      <c r="LAM99" s="1062"/>
      <c r="LAN99" s="1061"/>
      <c r="LAO99" s="1027"/>
      <c r="LAP99" s="2803"/>
      <c r="LAQ99" s="2802"/>
      <c r="LAR99" s="2565"/>
      <c r="LAS99" s="2021"/>
      <c r="LAT99" s="1062"/>
      <c r="LAU99" s="1062"/>
      <c r="LAV99" s="1061"/>
      <c r="LAW99" s="1027"/>
      <c r="LAX99" s="2803"/>
      <c r="LAY99" s="2802"/>
      <c r="LAZ99" s="2565"/>
      <c r="LBA99" s="2021"/>
      <c r="LBB99" s="1062"/>
      <c r="LBC99" s="1062"/>
      <c r="LBD99" s="1061"/>
      <c r="LBE99" s="1027"/>
      <c r="LBF99" s="2803"/>
      <c r="LBG99" s="2802"/>
      <c r="LBH99" s="2565"/>
      <c r="LBI99" s="2021"/>
      <c r="LBJ99" s="1062"/>
      <c r="LBK99" s="1062"/>
      <c r="LBL99" s="1061"/>
      <c r="LBM99" s="1027"/>
      <c r="LBN99" s="2803"/>
      <c r="LBO99" s="2802"/>
      <c r="LBP99" s="2565"/>
      <c r="LBQ99" s="2021"/>
      <c r="LBR99" s="1062"/>
      <c r="LBS99" s="1062"/>
      <c r="LBT99" s="1061"/>
      <c r="LBU99" s="1027"/>
      <c r="LBV99" s="2803"/>
      <c r="LBW99" s="2802"/>
      <c r="LBX99" s="2565"/>
      <c r="LBY99" s="2021"/>
      <c r="LBZ99" s="1062"/>
      <c r="LCA99" s="1062"/>
      <c r="LCB99" s="1061"/>
      <c r="LCC99" s="1027"/>
      <c r="LCD99" s="2803"/>
      <c r="LCE99" s="2802"/>
      <c r="LCF99" s="2565"/>
      <c r="LCG99" s="2021"/>
      <c r="LCH99" s="1062"/>
      <c r="LCI99" s="1062"/>
      <c r="LCJ99" s="1061"/>
      <c r="LCK99" s="1027"/>
      <c r="LCL99" s="2803"/>
      <c r="LCM99" s="2802"/>
      <c r="LCN99" s="2565"/>
      <c r="LCO99" s="2021"/>
      <c r="LCP99" s="1062"/>
      <c r="LCQ99" s="1062"/>
      <c r="LCR99" s="1061"/>
      <c r="LCS99" s="1027"/>
      <c r="LCT99" s="2803"/>
      <c r="LCU99" s="2802"/>
      <c r="LCV99" s="2565"/>
      <c r="LCW99" s="2021"/>
      <c r="LCX99" s="1062"/>
      <c r="LCY99" s="1062"/>
      <c r="LCZ99" s="1061"/>
      <c r="LDA99" s="1027"/>
      <c r="LDB99" s="2803"/>
      <c r="LDC99" s="2802"/>
      <c r="LDD99" s="2565"/>
      <c r="LDE99" s="2021"/>
      <c r="LDF99" s="1062"/>
      <c r="LDG99" s="1062"/>
      <c r="LDH99" s="1061"/>
      <c r="LDI99" s="1027"/>
      <c r="LDJ99" s="2803"/>
      <c r="LDK99" s="2802"/>
      <c r="LDL99" s="2565"/>
      <c r="LDM99" s="2021"/>
      <c r="LDN99" s="1062"/>
      <c r="LDO99" s="1062"/>
      <c r="LDP99" s="1061"/>
      <c r="LDQ99" s="1027"/>
      <c r="LDR99" s="2803"/>
      <c r="LDS99" s="2802"/>
      <c r="LDT99" s="2565"/>
      <c r="LDU99" s="2021"/>
      <c r="LDV99" s="1062"/>
      <c r="LDW99" s="1062"/>
      <c r="LDX99" s="1061"/>
      <c r="LDY99" s="1027"/>
      <c r="LDZ99" s="2803"/>
      <c r="LEA99" s="2802"/>
      <c r="LEB99" s="2565"/>
      <c r="LEC99" s="2021"/>
      <c r="LED99" s="1062"/>
      <c r="LEE99" s="1062"/>
      <c r="LEF99" s="1061"/>
      <c r="LEG99" s="1027"/>
      <c r="LEH99" s="2803"/>
      <c r="LEI99" s="2802"/>
      <c r="LEJ99" s="2565"/>
      <c r="LEK99" s="2021"/>
      <c r="LEL99" s="1062"/>
      <c r="LEM99" s="1062"/>
      <c r="LEN99" s="1061"/>
      <c r="LEO99" s="1027"/>
      <c r="LEP99" s="2803"/>
      <c r="LEQ99" s="2802"/>
      <c r="LER99" s="2565"/>
      <c r="LES99" s="2021"/>
      <c r="LET99" s="1062"/>
      <c r="LEU99" s="1062"/>
      <c r="LEV99" s="1061"/>
      <c r="LEW99" s="1027"/>
      <c r="LEX99" s="2803"/>
      <c r="LEY99" s="2802"/>
      <c r="LEZ99" s="2565"/>
      <c r="LFA99" s="2021"/>
      <c r="LFB99" s="1062"/>
      <c r="LFC99" s="1062"/>
      <c r="LFD99" s="1061"/>
      <c r="LFE99" s="1027"/>
      <c r="LFF99" s="2803"/>
      <c r="LFG99" s="2802"/>
      <c r="LFH99" s="2565"/>
      <c r="LFI99" s="2021"/>
      <c r="LFJ99" s="1062"/>
      <c r="LFK99" s="1062"/>
      <c r="LFL99" s="1061"/>
      <c r="LFM99" s="1027"/>
      <c r="LFN99" s="2803"/>
      <c r="LFO99" s="2802"/>
      <c r="LFP99" s="2565"/>
      <c r="LFQ99" s="2021"/>
      <c r="LFR99" s="1062"/>
      <c r="LFS99" s="1062"/>
      <c r="LFT99" s="1061"/>
      <c r="LFU99" s="1027"/>
      <c r="LFV99" s="2803"/>
      <c r="LFW99" s="2802"/>
      <c r="LFX99" s="2565"/>
      <c r="LFY99" s="2021"/>
      <c r="LFZ99" s="1062"/>
      <c r="LGA99" s="1062"/>
      <c r="LGB99" s="1061"/>
      <c r="LGC99" s="1027"/>
      <c r="LGD99" s="2803"/>
      <c r="LGE99" s="2802"/>
      <c r="LGF99" s="2565"/>
      <c r="LGG99" s="2021"/>
      <c r="LGH99" s="1062"/>
      <c r="LGI99" s="1062"/>
      <c r="LGJ99" s="1061"/>
      <c r="LGK99" s="1027"/>
      <c r="LGL99" s="2803"/>
      <c r="LGM99" s="2802"/>
      <c r="LGN99" s="2565"/>
      <c r="LGO99" s="2021"/>
      <c r="LGP99" s="1062"/>
      <c r="LGQ99" s="1062"/>
      <c r="LGR99" s="1061"/>
      <c r="LGS99" s="1027"/>
      <c r="LGT99" s="2803"/>
      <c r="LGU99" s="2802"/>
      <c r="LGV99" s="2565"/>
      <c r="LGW99" s="2021"/>
      <c r="LGX99" s="1062"/>
      <c r="LGY99" s="1062"/>
      <c r="LGZ99" s="1061"/>
      <c r="LHA99" s="1027"/>
      <c r="LHB99" s="2803"/>
      <c r="LHC99" s="2802"/>
      <c r="LHD99" s="2565"/>
      <c r="LHE99" s="2021"/>
      <c r="LHF99" s="1062"/>
      <c r="LHG99" s="1062"/>
      <c r="LHH99" s="1061"/>
      <c r="LHI99" s="1027"/>
      <c r="LHJ99" s="2803"/>
      <c r="LHK99" s="2802"/>
      <c r="LHL99" s="2565"/>
      <c r="LHM99" s="2021"/>
      <c r="LHN99" s="1062"/>
      <c r="LHO99" s="1062"/>
      <c r="LHP99" s="1061"/>
      <c r="LHQ99" s="1027"/>
      <c r="LHR99" s="2803"/>
      <c r="LHS99" s="2802"/>
      <c r="LHT99" s="2565"/>
      <c r="LHU99" s="2021"/>
      <c r="LHV99" s="1062"/>
      <c r="LHW99" s="1062"/>
      <c r="LHX99" s="1061"/>
      <c r="LHY99" s="1027"/>
      <c r="LHZ99" s="2803"/>
      <c r="LIA99" s="2802"/>
      <c r="LIB99" s="2565"/>
      <c r="LIC99" s="2021"/>
      <c r="LID99" s="1062"/>
      <c r="LIE99" s="1062"/>
      <c r="LIF99" s="1061"/>
      <c r="LIG99" s="1027"/>
      <c r="LIH99" s="2803"/>
      <c r="LII99" s="2802"/>
      <c r="LIJ99" s="2565"/>
      <c r="LIK99" s="2021"/>
      <c r="LIL99" s="1062"/>
      <c r="LIM99" s="1062"/>
      <c r="LIN99" s="1061"/>
      <c r="LIO99" s="1027"/>
      <c r="LIP99" s="2803"/>
      <c r="LIQ99" s="2802"/>
      <c r="LIR99" s="2565"/>
      <c r="LIS99" s="2021"/>
      <c r="LIT99" s="1062"/>
      <c r="LIU99" s="1062"/>
      <c r="LIV99" s="1061"/>
      <c r="LIW99" s="1027"/>
      <c r="LIX99" s="2803"/>
      <c r="LIY99" s="2802"/>
      <c r="LIZ99" s="2565"/>
      <c r="LJA99" s="2021"/>
      <c r="LJB99" s="1062"/>
      <c r="LJC99" s="1062"/>
      <c r="LJD99" s="1061"/>
      <c r="LJE99" s="1027"/>
      <c r="LJF99" s="2803"/>
      <c r="LJG99" s="2802"/>
      <c r="LJH99" s="2565"/>
      <c r="LJI99" s="2021"/>
      <c r="LJJ99" s="1062"/>
      <c r="LJK99" s="1062"/>
      <c r="LJL99" s="1061"/>
      <c r="LJM99" s="1027"/>
      <c r="LJN99" s="2803"/>
      <c r="LJO99" s="2802"/>
      <c r="LJP99" s="2565"/>
      <c r="LJQ99" s="2021"/>
      <c r="LJR99" s="1062"/>
      <c r="LJS99" s="1062"/>
      <c r="LJT99" s="1061"/>
      <c r="LJU99" s="1027"/>
      <c r="LJV99" s="2803"/>
      <c r="LJW99" s="2802"/>
      <c r="LJX99" s="2565"/>
      <c r="LJY99" s="2021"/>
      <c r="LJZ99" s="1062"/>
      <c r="LKA99" s="1062"/>
      <c r="LKB99" s="1061"/>
      <c r="LKC99" s="1027"/>
      <c r="LKD99" s="2803"/>
      <c r="LKE99" s="2802"/>
      <c r="LKF99" s="2565"/>
      <c r="LKG99" s="2021"/>
      <c r="LKH99" s="1062"/>
      <c r="LKI99" s="1062"/>
      <c r="LKJ99" s="1061"/>
      <c r="LKK99" s="1027"/>
      <c r="LKL99" s="2803"/>
      <c r="LKM99" s="2802"/>
      <c r="LKN99" s="2565"/>
      <c r="LKO99" s="2021"/>
      <c r="LKP99" s="1062"/>
      <c r="LKQ99" s="1062"/>
      <c r="LKR99" s="1061"/>
      <c r="LKS99" s="1027"/>
      <c r="LKT99" s="2803"/>
      <c r="LKU99" s="2802"/>
      <c r="LKV99" s="2565"/>
      <c r="LKW99" s="2021"/>
      <c r="LKX99" s="1062"/>
      <c r="LKY99" s="1062"/>
      <c r="LKZ99" s="1061"/>
      <c r="LLA99" s="1027"/>
      <c r="LLB99" s="2803"/>
      <c r="LLC99" s="2802"/>
      <c r="LLD99" s="2565"/>
      <c r="LLE99" s="2021"/>
      <c r="LLF99" s="1062"/>
      <c r="LLG99" s="1062"/>
      <c r="LLH99" s="1061"/>
      <c r="LLI99" s="1027"/>
      <c r="LLJ99" s="2803"/>
      <c r="LLK99" s="2802"/>
      <c r="LLL99" s="2565"/>
      <c r="LLM99" s="2021"/>
      <c r="LLN99" s="1062"/>
      <c r="LLO99" s="1062"/>
      <c r="LLP99" s="1061"/>
      <c r="LLQ99" s="1027"/>
      <c r="LLR99" s="2803"/>
      <c r="LLS99" s="2802"/>
      <c r="LLT99" s="2565"/>
      <c r="LLU99" s="2021"/>
      <c r="LLV99" s="1062"/>
      <c r="LLW99" s="1062"/>
      <c r="LLX99" s="1061"/>
      <c r="LLY99" s="1027"/>
      <c r="LLZ99" s="2803"/>
      <c r="LMA99" s="2802"/>
      <c r="LMB99" s="2565"/>
      <c r="LMC99" s="2021"/>
      <c r="LMD99" s="1062"/>
      <c r="LME99" s="1062"/>
      <c r="LMF99" s="1061"/>
      <c r="LMG99" s="1027"/>
      <c r="LMH99" s="2803"/>
      <c r="LMI99" s="2802"/>
      <c r="LMJ99" s="2565"/>
      <c r="LMK99" s="2021"/>
      <c r="LML99" s="1062"/>
      <c r="LMM99" s="1062"/>
      <c r="LMN99" s="1061"/>
      <c r="LMO99" s="1027"/>
      <c r="LMP99" s="2803"/>
      <c r="LMQ99" s="2802"/>
      <c r="LMR99" s="2565"/>
      <c r="LMS99" s="2021"/>
      <c r="LMT99" s="1062"/>
      <c r="LMU99" s="1062"/>
      <c r="LMV99" s="1061"/>
      <c r="LMW99" s="1027"/>
      <c r="LMX99" s="2803"/>
      <c r="LMY99" s="2802"/>
      <c r="LMZ99" s="2565"/>
      <c r="LNA99" s="2021"/>
      <c r="LNB99" s="1062"/>
      <c r="LNC99" s="1062"/>
      <c r="LND99" s="1061"/>
      <c r="LNE99" s="1027"/>
      <c r="LNF99" s="2803"/>
      <c r="LNG99" s="2802"/>
      <c r="LNH99" s="2565"/>
      <c r="LNI99" s="2021"/>
      <c r="LNJ99" s="1062"/>
      <c r="LNK99" s="1062"/>
      <c r="LNL99" s="1061"/>
      <c r="LNM99" s="1027"/>
      <c r="LNN99" s="2803"/>
      <c r="LNO99" s="2802"/>
      <c r="LNP99" s="2565"/>
      <c r="LNQ99" s="2021"/>
      <c r="LNR99" s="1062"/>
      <c r="LNS99" s="1062"/>
      <c r="LNT99" s="1061"/>
      <c r="LNU99" s="1027"/>
      <c r="LNV99" s="2803"/>
      <c r="LNW99" s="2802"/>
      <c r="LNX99" s="2565"/>
      <c r="LNY99" s="2021"/>
      <c r="LNZ99" s="1062"/>
      <c r="LOA99" s="1062"/>
      <c r="LOB99" s="1061"/>
      <c r="LOC99" s="1027"/>
      <c r="LOD99" s="2803"/>
      <c r="LOE99" s="2802"/>
      <c r="LOF99" s="2565"/>
      <c r="LOG99" s="2021"/>
      <c r="LOH99" s="1062"/>
      <c r="LOI99" s="1062"/>
      <c r="LOJ99" s="1061"/>
      <c r="LOK99" s="1027"/>
      <c r="LOL99" s="2803"/>
      <c r="LOM99" s="2802"/>
      <c r="LON99" s="2565"/>
      <c r="LOO99" s="2021"/>
      <c r="LOP99" s="1062"/>
      <c r="LOQ99" s="1062"/>
      <c r="LOR99" s="1061"/>
      <c r="LOS99" s="1027"/>
      <c r="LOT99" s="2803"/>
      <c r="LOU99" s="2802"/>
      <c r="LOV99" s="2565"/>
      <c r="LOW99" s="2021"/>
      <c r="LOX99" s="1062"/>
      <c r="LOY99" s="1062"/>
      <c r="LOZ99" s="1061"/>
      <c r="LPA99" s="1027"/>
      <c r="LPB99" s="2803"/>
      <c r="LPC99" s="2802"/>
      <c r="LPD99" s="2565"/>
      <c r="LPE99" s="2021"/>
      <c r="LPF99" s="1062"/>
      <c r="LPG99" s="1062"/>
      <c r="LPH99" s="1061"/>
      <c r="LPI99" s="1027"/>
      <c r="LPJ99" s="2803"/>
      <c r="LPK99" s="2802"/>
      <c r="LPL99" s="2565"/>
      <c r="LPM99" s="2021"/>
      <c r="LPN99" s="1062"/>
      <c r="LPO99" s="1062"/>
      <c r="LPP99" s="1061"/>
      <c r="LPQ99" s="1027"/>
      <c r="LPR99" s="2803"/>
      <c r="LPS99" s="2802"/>
      <c r="LPT99" s="2565"/>
      <c r="LPU99" s="2021"/>
      <c r="LPV99" s="1062"/>
      <c r="LPW99" s="1062"/>
      <c r="LPX99" s="1061"/>
      <c r="LPY99" s="1027"/>
      <c r="LPZ99" s="2803"/>
      <c r="LQA99" s="2802"/>
      <c r="LQB99" s="2565"/>
      <c r="LQC99" s="2021"/>
      <c r="LQD99" s="1062"/>
      <c r="LQE99" s="1062"/>
      <c r="LQF99" s="1061"/>
      <c r="LQG99" s="1027"/>
      <c r="LQH99" s="2803"/>
      <c r="LQI99" s="2802"/>
      <c r="LQJ99" s="2565"/>
      <c r="LQK99" s="2021"/>
      <c r="LQL99" s="1062"/>
      <c r="LQM99" s="1062"/>
      <c r="LQN99" s="1061"/>
      <c r="LQO99" s="1027"/>
      <c r="LQP99" s="2803"/>
      <c r="LQQ99" s="2802"/>
      <c r="LQR99" s="2565"/>
      <c r="LQS99" s="2021"/>
      <c r="LQT99" s="1062"/>
      <c r="LQU99" s="1062"/>
      <c r="LQV99" s="1061"/>
      <c r="LQW99" s="1027"/>
      <c r="LQX99" s="2803"/>
      <c r="LQY99" s="2802"/>
      <c r="LQZ99" s="2565"/>
      <c r="LRA99" s="2021"/>
      <c r="LRB99" s="1062"/>
      <c r="LRC99" s="1062"/>
      <c r="LRD99" s="1061"/>
      <c r="LRE99" s="1027"/>
      <c r="LRF99" s="2803"/>
      <c r="LRG99" s="2802"/>
      <c r="LRH99" s="2565"/>
      <c r="LRI99" s="2021"/>
      <c r="LRJ99" s="1062"/>
      <c r="LRK99" s="1062"/>
      <c r="LRL99" s="1061"/>
      <c r="LRM99" s="1027"/>
      <c r="LRN99" s="2803"/>
      <c r="LRO99" s="2802"/>
      <c r="LRP99" s="2565"/>
      <c r="LRQ99" s="2021"/>
      <c r="LRR99" s="1062"/>
      <c r="LRS99" s="1062"/>
      <c r="LRT99" s="1061"/>
      <c r="LRU99" s="1027"/>
      <c r="LRV99" s="2803"/>
      <c r="LRW99" s="2802"/>
      <c r="LRX99" s="2565"/>
      <c r="LRY99" s="2021"/>
      <c r="LRZ99" s="1062"/>
      <c r="LSA99" s="1062"/>
      <c r="LSB99" s="1061"/>
      <c r="LSC99" s="1027"/>
      <c r="LSD99" s="2803"/>
      <c r="LSE99" s="2802"/>
      <c r="LSF99" s="2565"/>
      <c r="LSG99" s="2021"/>
      <c r="LSH99" s="1062"/>
      <c r="LSI99" s="1062"/>
      <c r="LSJ99" s="1061"/>
      <c r="LSK99" s="1027"/>
      <c r="LSL99" s="2803"/>
      <c r="LSM99" s="2802"/>
      <c r="LSN99" s="2565"/>
      <c r="LSO99" s="2021"/>
      <c r="LSP99" s="1062"/>
      <c r="LSQ99" s="1062"/>
      <c r="LSR99" s="1061"/>
      <c r="LSS99" s="1027"/>
      <c r="LST99" s="2803"/>
      <c r="LSU99" s="2802"/>
      <c r="LSV99" s="2565"/>
      <c r="LSW99" s="2021"/>
      <c r="LSX99" s="1062"/>
      <c r="LSY99" s="1062"/>
      <c r="LSZ99" s="1061"/>
      <c r="LTA99" s="1027"/>
      <c r="LTB99" s="2803"/>
      <c r="LTC99" s="2802"/>
      <c r="LTD99" s="2565"/>
      <c r="LTE99" s="2021"/>
      <c r="LTF99" s="1062"/>
      <c r="LTG99" s="1062"/>
      <c r="LTH99" s="1061"/>
      <c r="LTI99" s="1027"/>
      <c r="LTJ99" s="2803"/>
      <c r="LTK99" s="2802"/>
      <c r="LTL99" s="2565"/>
      <c r="LTM99" s="2021"/>
      <c r="LTN99" s="1062"/>
      <c r="LTO99" s="1062"/>
      <c r="LTP99" s="1061"/>
      <c r="LTQ99" s="1027"/>
      <c r="LTR99" s="2803"/>
      <c r="LTS99" s="2802"/>
      <c r="LTT99" s="2565"/>
      <c r="LTU99" s="2021"/>
      <c r="LTV99" s="1062"/>
      <c r="LTW99" s="1062"/>
      <c r="LTX99" s="1061"/>
      <c r="LTY99" s="1027"/>
      <c r="LTZ99" s="2803"/>
      <c r="LUA99" s="2802"/>
      <c r="LUB99" s="2565"/>
      <c r="LUC99" s="2021"/>
      <c r="LUD99" s="1062"/>
      <c r="LUE99" s="1062"/>
      <c r="LUF99" s="1061"/>
      <c r="LUG99" s="1027"/>
      <c r="LUH99" s="2803"/>
      <c r="LUI99" s="2802"/>
      <c r="LUJ99" s="2565"/>
      <c r="LUK99" s="2021"/>
      <c r="LUL99" s="1062"/>
      <c r="LUM99" s="1062"/>
      <c r="LUN99" s="1061"/>
      <c r="LUO99" s="1027"/>
      <c r="LUP99" s="2803"/>
      <c r="LUQ99" s="2802"/>
      <c r="LUR99" s="2565"/>
      <c r="LUS99" s="2021"/>
      <c r="LUT99" s="1062"/>
      <c r="LUU99" s="1062"/>
      <c r="LUV99" s="1061"/>
      <c r="LUW99" s="1027"/>
      <c r="LUX99" s="2803"/>
      <c r="LUY99" s="2802"/>
      <c r="LUZ99" s="2565"/>
      <c r="LVA99" s="2021"/>
      <c r="LVB99" s="1062"/>
      <c r="LVC99" s="1062"/>
      <c r="LVD99" s="1061"/>
      <c r="LVE99" s="1027"/>
      <c r="LVF99" s="2803"/>
      <c r="LVG99" s="2802"/>
      <c r="LVH99" s="2565"/>
      <c r="LVI99" s="2021"/>
      <c r="LVJ99" s="1062"/>
      <c r="LVK99" s="1062"/>
      <c r="LVL99" s="1061"/>
      <c r="LVM99" s="1027"/>
      <c r="LVN99" s="2803"/>
      <c r="LVO99" s="2802"/>
      <c r="LVP99" s="2565"/>
      <c r="LVQ99" s="2021"/>
      <c r="LVR99" s="1062"/>
      <c r="LVS99" s="1062"/>
      <c r="LVT99" s="1061"/>
      <c r="LVU99" s="1027"/>
      <c r="LVV99" s="2803"/>
      <c r="LVW99" s="2802"/>
      <c r="LVX99" s="2565"/>
      <c r="LVY99" s="2021"/>
      <c r="LVZ99" s="1062"/>
      <c r="LWA99" s="1062"/>
      <c r="LWB99" s="1061"/>
      <c r="LWC99" s="1027"/>
      <c r="LWD99" s="2803"/>
      <c r="LWE99" s="2802"/>
      <c r="LWF99" s="2565"/>
      <c r="LWG99" s="2021"/>
      <c r="LWH99" s="1062"/>
      <c r="LWI99" s="1062"/>
      <c r="LWJ99" s="1061"/>
      <c r="LWK99" s="1027"/>
      <c r="LWL99" s="2803"/>
      <c r="LWM99" s="2802"/>
      <c r="LWN99" s="2565"/>
      <c r="LWO99" s="2021"/>
      <c r="LWP99" s="1062"/>
      <c r="LWQ99" s="1062"/>
      <c r="LWR99" s="1061"/>
      <c r="LWS99" s="1027"/>
      <c r="LWT99" s="2803"/>
      <c r="LWU99" s="2802"/>
      <c r="LWV99" s="2565"/>
      <c r="LWW99" s="2021"/>
      <c r="LWX99" s="1062"/>
      <c r="LWY99" s="1062"/>
      <c r="LWZ99" s="1061"/>
      <c r="LXA99" s="1027"/>
      <c r="LXB99" s="2803"/>
      <c r="LXC99" s="2802"/>
      <c r="LXD99" s="2565"/>
      <c r="LXE99" s="2021"/>
      <c r="LXF99" s="1062"/>
      <c r="LXG99" s="1062"/>
      <c r="LXH99" s="1061"/>
      <c r="LXI99" s="1027"/>
      <c r="LXJ99" s="2803"/>
      <c r="LXK99" s="2802"/>
      <c r="LXL99" s="2565"/>
      <c r="LXM99" s="2021"/>
      <c r="LXN99" s="1062"/>
      <c r="LXO99" s="1062"/>
      <c r="LXP99" s="1061"/>
      <c r="LXQ99" s="1027"/>
      <c r="LXR99" s="2803"/>
      <c r="LXS99" s="2802"/>
      <c r="LXT99" s="2565"/>
      <c r="LXU99" s="2021"/>
      <c r="LXV99" s="1062"/>
      <c r="LXW99" s="1062"/>
      <c r="LXX99" s="1061"/>
      <c r="LXY99" s="1027"/>
      <c r="LXZ99" s="2803"/>
      <c r="LYA99" s="2802"/>
      <c r="LYB99" s="2565"/>
      <c r="LYC99" s="2021"/>
      <c r="LYD99" s="1062"/>
      <c r="LYE99" s="1062"/>
      <c r="LYF99" s="1061"/>
      <c r="LYG99" s="1027"/>
      <c r="LYH99" s="2803"/>
      <c r="LYI99" s="2802"/>
      <c r="LYJ99" s="2565"/>
      <c r="LYK99" s="2021"/>
      <c r="LYL99" s="1062"/>
      <c r="LYM99" s="1062"/>
      <c r="LYN99" s="1061"/>
      <c r="LYO99" s="1027"/>
      <c r="LYP99" s="2803"/>
      <c r="LYQ99" s="2802"/>
      <c r="LYR99" s="2565"/>
      <c r="LYS99" s="2021"/>
      <c r="LYT99" s="1062"/>
      <c r="LYU99" s="1062"/>
      <c r="LYV99" s="1061"/>
      <c r="LYW99" s="1027"/>
      <c r="LYX99" s="2803"/>
      <c r="LYY99" s="2802"/>
      <c r="LYZ99" s="2565"/>
      <c r="LZA99" s="2021"/>
      <c r="LZB99" s="1062"/>
      <c r="LZC99" s="1062"/>
      <c r="LZD99" s="1061"/>
      <c r="LZE99" s="1027"/>
      <c r="LZF99" s="2803"/>
      <c r="LZG99" s="2802"/>
      <c r="LZH99" s="2565"/>
      <c r="LZI99" s="2021"/>
      <c r="LZJ99" s="1062"/>
      <c r="LZK99" s="1062"/>
      <c r="LZL99" s="1061"/>
      <c r="LZM99" s="1027"/>
      <c r="LZN99" s="2803"/>
      <c r="LZO99" s="2802"/>
      <c r="LZP99" s="2565"/>
      <c r="LZQ99" s="2021"/>
      <c r="LZR99" s="1062"/>
      <c r="LZS99" s="1062"/>
      <c r="LZT99" s="1061"/>
      <c r="LZU99" s="1027"/>
      <c r="LZV99" s="2803"/>
      <c r="LZW99" s="2802"/>
      <c r="LZX99" s="2565"/>
      <c r="LZY99" s="2021"/>
      <c r="LZZ99" s="1062"/>
      <c r="MAA99" s="1062"/>
      <c r="MAB99" s="1061"/>
      <c r="MAC99" s="1027"/>
      <c r="MAD99" s="2803"/>
      <c r="MAE99" s="2802"/>
      <c r="MAF99" s="2565"/>
      <c r="MAG99" s="2021"/>
      <c r="MAH99" s="1062"/>
      <c r="MAI99" s="1062"/>
      <c r="MAJ99" s="1061"/>
      <c r="MAK99" s="1027"/>
      <c r="MAL99" s="2803"/>
      <c r="MAM99" s="2802"/>
      <c r="MAN99" s="2565"/>
      <c r="MAO99" s="2021"/>
      <c r="MAP99" s="1062"/>
      <c r="MAQ99" s="1062"/>
      <c r="MAR99" s="1061"/>
      <c r="MAS99" s="1027"/>
      <c r="MAT99" s="2803"/>
      <c r="MAU99" s="2802"/>
      <c r="MAV99" s="2565"/>
      <c r="MAW99" s="2021"/>
      <c r="MAX99" s="1062"/>
      <c r="MAY99" s="1062"/>
      <c r="MAZ99" s="1061"/>
      <c r="MBA99" s="1027"/>
      <c r="MBB99" s="2803"/>
      <c r="MBC99" s="2802"/>
      <c r="MBD99" s="2565"/>
      <c r="MBE99" s="2021"/>
      <c r="MBF99" s="1062"/>
      <c r="MBG99" s="1062"/>
      <c r="MBH99" s="1061"/>
      <c r="MBI99" s="1027"/>
      <c r="MBJ99" s="2803"/>
      <c r="MBK99" s="2802"/>
      <c r="MBL99" s="2565"/>
      <c r="MBM99" s="2021"/>
      <c r="MBN99" s="1062"/>
      <c r="MBO99" s="1062"/>
      <c r="MBP99" s="1061"/>
      <c r="MBQ99" s="1027"/>
      <c r="MBR99" s="2803"/>
      <c r="MBS99" s="2802"/>
      <c r="MBT99" s="2565"/>
      <c r="MBU99" s="2021"/>
      <c r="MBV99" s="1062"/>
      <c r="MBW99" s="1062"/>
      <c r="MBX99" s="1061"/>
      <c r="MBY99" s="1027"/>
      <c r="MBZ99" s="2803"/>
      <c r="MCA99" s="2802"/>
      <c r="MCB99" s="2565"/>
      <c r="MCC99" s="2021"/>
      <c r="MCD99" s="1062"/>
      <c r="MCE99" s="1062"/>
      <c r="MCF99" s="1061"/>
      <c r="MCG99" s="1027"/>
      <c r="MCH99" s="2803"/>
      <c r="MCI99" s="2802"/>
      <c r="MCJ99" s="2565"/>
      <c r="MCK99" s="2021"/>
      <c r="MCL99" s="1062"/>
      <c r="MCM99" s="1062"/>
      <c r="MCN99" s="1061"/>
      <c r="MCO99" s="1027"/>
      <c r="MCP99" s="2803"/>
      <c r="MCQ99" s="2802"/>
      <c r="MCR99" s="2565"/>
      <c r="MCS99" s="2021"/>
      <c r="MCT99" s="1062"/>
      <c r="MCU99" s="1062"/>
      <c r="MCV99" s="1061"/>
      <c r="MCW99" s="1027"/>
      <c r="MCX99" s="2803"/>
      <c r="MCY99" s="2802"/>
      <c r="MCZ99" s="2565"/>
      <c r="MDA99" s="2021"/>
      <c r="MDB99" s="1062"/>
      <c r="MDC99" s="1062"/>
      <c r="MDD99" s="1061"/>
      <c r="MDE99" s="1027"/>
      <c r="MDF99" s="2803"/>
      <c r="MDG99" s="2802"/>
      <c r="MDH99" s="2565"/>
      <c r="MDI99" s="2021"/>
      <c r="MDJ99" s="1062"/>
      <c r="MDK99" s="1062"/>
      <c r="MDL99" s="1061"/>
      <c r="MDM99" s="1027"/>
      <c r="MDN99" s="2803"/>
      <c r="MDO99" s="2802"/>
      <c r="MDP99" s="2565"/>
      <c r="MDQ99" s="2021"/>
      <c r="MDR99" s="1062"/>
      <c r="MDS99" s="1062"/>
      <c r="MDT99" s="1061"/>
      <c r="MDU99" s="1027"/>
      <c r="MDV99" s="2803"/>
      <c r="MDW99" s="2802"/>
      <c r="MDX99" s="2565"/>
      <c r="MDY99" s="2021"/>
      <c r="MDZ99" s="1062"/>
      <c r="MEA99" s="1062"/>
      <c r="MEB99" s="1061"/>
      <c r="MEC99" s="1027"/>
      <c r="MED99" s="2803"/>
      <c r="MEE99" s="2802"/>
      <c r="MEF99" s="2565"/>
      <c r="MEG99" s="2021"/>
      <c r="MEH99" s="1062"/>
      <c r="MEI99" s="1062"/>
      <c r="MEJ99" s="1061"/>
      <c r="MEK99" s="1027"/>
      <c r="MEL99" s="2803"/>
      <c r="MEM99" s="2802"/>
      <c r="MEN99" s="2565"/>
      <c r="MEO99" s="2021"/>
      <c r="MEP99" s="1062"/>
      <c r="MEQ99" s="1062"/>
      <c r="MER99" s="1061"/>
      <c r="MES99" s="1027"/>
      <c r="MET99" s="2803"/>
      <c r="MEU99" s="2802"/>
      <c r="MEV99" s="2565"/>
      <c r="MEW99" s="2021"/>
      <c r="MEX99" s="1062"/>
      <c r="MEY99" s="1062"/>
      <c r="MEZ99" s="1061"/>
      <c r="MFA99" s="1027"/>
      <c r="MFB99" s="2803"/>
      <c r="MFC99" s="2802"/>
      <c r="MFD99" s="2565"/>
      <c r="MFE99" s="2021"/>
      <c r="MFF99" s="1062"/>
      <c r="MFG99" s="1062"/>
      <c r="MFH99" s="1061"/>
      <c r="MFI99" s="1027"/>
      <c r="MFJ99" s="2803"/>
      <c r="MFK99" s="2802"/>
      <c r="MFL99" s="2565"/>
      <c r="MFM99" s="2021"/>
      <c r="MFN99" s="1062"/>
      <c r="MFO99" s="1062"/>
      <c r="MFP99" s="1061"/>
      <c r="MFQ99" s="1027"/>
      <c r="MFR99" s="2803"/>
      <c r="MFS99" s="2802"/>
      <c r="MFT99" s="2565"/>
      <c r="MFU99" s="2021"/>
      <c r="MFV99" s="1062"/>
      <c r="MFW99" s="1062"/>
      <c r="MFX99" s="1061"/>
      <c r="MFY99" s="1027"/>
      <c r="MFZ99" s="2803"/>
      <c r="MGA99" s="2802"/>
      <c r="MGB99" s="2565"/>
      <c r="MGC99" s="2021"/>
      <c r="MGD99" s="1062"/>
      <c r="MGE99" s="1062"/>
      <c r="MGF99" s="1061"/>
      <c r="MGG99" s="1027"/>
      <c r="MGH99" s="2803"/>
      <c r="MGI99" s="2802"/>
      <c r="MGJ99" s="2565"/>
      <c r="MGK99" s="2021"/>
      <c r="MGL99" s="1062"/>
      <c r="MGM99" s="1062"/>
      <c r="MGN99" s="1061"/>
      <c r="MGO99" s="1027"/>
      <c r="MGP99" s="2803"/>
      <c r="MGQ99" s="2802"/>
      <c r="MGR99" s="2565"/>
      <c r="MGS99" s="2021"/>
      <c r="MGT99" s="1062"/>
      <c r="MGU99" s="1062"/>
      <c r="MGV99" s="1061"/>
      <c r="MGW99" s="1027"/>
      <c r="MGX99" s="2803"/>
      <c r="MGY99" s="2802"/>
      <c r="MGZ99" s="2565"/>
      <c r="MHA99" s="2021"/>
      <c r="MHB99" s="1062"/>
      <c r="MHC99" s="1062"/>
      <c r="MHD99" s="1061"/>
      <c r="MHE99" s="1027"/>
      <c r="MHF99" s="2803"/>
      <c r="MHG99" s="2802"/>
      <c r="MHH99" s="2565"/>
      <c r="MHI99" s="2021"/>
      <c r="MHJ99" s="1062"/>
      <c r="MHK99" s="1062"/>
      <c r="MHL99" s="1061"/>
      <c r="MHM99" s="1027"/>
      <c r="MHN99" s="2803"/>
      <c r="MHO99" s="2802"/>
      <c r="MHP99" s="2565"/>
      <c r="MHQ99" s="2021"/>
      <c r="MHR99" s="1062"/>
      <c r="MHS99" s="1062"/>
      <c r="MHT99" s="1061"/>
      <c r="MHU99" s="1027"/>
      <c r="MHV99" s="2803"/>
      <c r="MHW99" s="2802"/>
      <c r="MHX99" s="2565"/>
      <c r="MHY99" s="2021"/>
      <c r="MHZ99" s="1062"/>
      <c r="MIA99" s="1062"/>
      <c r="MIB99" s="1061"/>
      <c r="MIC99" s="1027"/>
      <c r="MID99" s="2803"/>
      <c r="MIE99" s="2802"/>
      <c r="MIF99" s="2565"/>
      <c r="MIG99" s="2021"/>
      <c r="MIH99" s="1062"/>
      <c r="MII99" s="1062"/>
      <c r="MIJ99" s="1061"/>
      <c r="MIK99" s="1027"/>
      <c r="MIL99" s="2803"/>
      <c r="MIM99" s="2802"/>
      <c r="MIN99" s="2565"/>
      <c r="MIO99" s="2021"/>
      <c r="MIP99" s="1062"/>
      <c r="MIQ99" s="1062"/>
      <c r="MIR99" s="1061"/>
      <c r="MIS99" s="1027"/>
      <c r="MIT99" s="2803"/>
      <c r="MIU99" s="2802"/>
      <c r="MIV99" s="2565"/>
      <c r="MIW99" s="2021"/>
      <c r="MIX99" s="1062"/>
      <c r="MIY99" s="1062"/>
      <c r="MIZ99" s="1061"/>
      <c r="MJA99" s="1027"/>
      <c r="MJB99" s="2803"/>
      <c r="MJC99" s="2802"/>
      <c r="MJD99" s="2565"/>
      <c r="MJE99" s="2021"/>
      <c r="MJF99" s="1062"/>
      <c r="MJG99" s="1062"/>
      <c r="MJH99" s="1061"/>
      <c r="MJI99" s="1027"/>
      <c r="MJJ99" s="2803"/>
      <c r="MJK99" s="2802"/>
      <c r="MJL99" s="2565"/>
      <c r="MJM99" s="2021"/>
      <c r="MJN99" s="1062"/>
      <c r="MJO99" s="1062"/>
      <c r="MJP99" s="1061"/>
      <c r="MJQ99" s="1027"/>
      <c r="MJR99" s="2803"/>
      <c r="MJS99" s="2802"/>
      <c r="MJT99" s="2565"/>
      <c r="MJU99" s="2021"/>
      <c r="MJV99" s="1062"/>
      <c r="MJW99" s="1062"/>
      <c r="MJX99" s="1061"/>
      <c r="MJY99" s="1027"/>
      <c r="MJZ99" s="2803"/>
      <c r="MKA99" s="2802"/>
      <c r="MKB99" s="2565"/>
      <c r="MKC99" s="2021"/>
      <c r="MKD99" s="1062"/>
      <c r="MKE99" s="1062"/>
      <c r="MKF99" s="1061"/>
      <c r="MKG99" s="1027"/>
      <c r="MKH99" s="2803"/>
      <c r="MKI99" s="2802"/>
      <c r="MKJ99" s="2565"/>
      <c r="MKK99" s="2021"/>
      <c r="MKL99" s="1062"/>
      <c r="MKM99" s="1062"/>
      <c r="MKN99" s="1061"/>
      <c r="MKO99" s="1027"/>
      <c r="MKP99" s="2803"/>
      <c r="MKQ99" s="2802"/>
      <c r="MKR99" s="2565"/>
      <c r="MKS99" s="2021"/>
      <c r="MKT99" s="1062"/>
      <c r="MKU99" s="1062"/>
      <c r="MKV99" s="1061"/>
      <c r="MKW99" s="1027"/>
      <c r="MKX99" s="2803"/>
      <c r="MKY99" s="2802"/>
      <c r="MKZ99" s="2565"/>
      <c r="MLA99" s="2021"/>
      <c r="MLB99" s="1062"/>
      <c r="MLC99" s="1062"/>
      <c r="MLD99" s="1061"/>
      <c r="MLE99" s="1027"/>
      <c r="MLF99" s="2803"/>
      <c r="MLG99" s="2802"/>
      <c r="MLH99" s="2565"/>
      <c r="MLI99" s="2021"/>
      <c r="MLJ99" s="1062"/>
      <c r="MLK99" s="1062"/>
      <c r="MLL99" s="1061"/>
      <c r="MLM99" s="1027"/>
      <c r="MLN99" s="2803"/>
      <c r="MLO99" s="2802"/>
      <c r="MLP99" s="2565"/>
      <c r="MLQ99" s="2021"/>
      <c r="MLR99" s="1062"/>
      <c r="MLS99" s="1062"/>
      <c r="MLT99" s="1061"/>
      <c r="MLU99" s="1027"/>
      <c r="MLV99" s="2803"/>
      <c r="MLW99" s="2802"/>
      <c r="MLX99" s="2565"/>
      <c r="MLY99" s="2021"/>
      <c r="MLZ99" s="1062"/>
      <c r="MMA99" s="1062"/>
      <c r="MMB99" s="1061"/>
      <c r="MMC99" s="1027"/>
      <c r="MMD99" s="2803"/>
      <c r="MME99" s="2802"/>
      <c r="MMF99" s="2565"/>
      <c r="MMG99" s="2021"/>
      <c r="MMH99" s="1062"/>
      <c r="MMI99" s="1062"/>
      <c r="MMJ99" s="1061"/>
      <c r="MMK99" s="1027"/>
      <c r="MML99" s="2803"/>
      <c r="MMM99" s="2802"/>
      <c r="MMN99" s="2565"/>
      <c r="MMO99" s="2021"/>
      <c r="MMP99" s="1062"/>
      <c r="MMQ99" s="1062"/>
      <c r="MMR99" s="1061"/>
      <c r="MMS99" s="1027"/>
      <c r="MMT99" s="2803"/>
      <c r="MMU99" s="2802"/>
      <c r="MMV99" s="2565"/>
      <c r="MMW99" s="2021"/>
      <c r="MMX99" s="1062"/>
      <c r="MMY99" s="1062"/>
      <c r="MMZ99" s="1061"/>
      <c r="MNA99" s="1027"/>
      <c r="MNB99" s="2803"/>
      <c r="MNC99" s="2802"/>
      <c r="MND99" s="2565"/>
      <c r="MNE99" s="2021"/>
      <c r="MNF99" s="1062"/>
      <c r="MNG99" s="1062"/>
      <c r="MNH99" s="1061"/>
      <c r="MNI99" s="1027"/>
      <c r="MNJ99" s="2803"/>
      <c r="MNK99" s="2802"/>
      <c r="MNL99" s="2565"/>
      <c r="MNM99" s="2021"/>
      <c r="MNN99" s="1062"/>
      <c r="MNO99" s="1062"/>
      <c r="MNP99" s="1061"/>
      <c r="MNQ99" s="1027"/>
      <c r="MNR99" s="2803"/>
      <c r="MNS99" s="2802"/>
      <c r="MNT99" s="2565"/>
      <c r="MNU99" s="2021"/>
      <c r="MNV99" s="1062"/>
      <c r="MNW99" s="1062"/>
      <c r="MNX99" s="1061"/>
      <c r="MNY99" s="1027"/>
      <c r="MNZ99" s="2803"/>
      <c r="MOA99" s="2802"/>
      <c r="MOB99" s="2565"/>
      <c r="MOC99" s="2021"/>
      <c r="MOD99" s="1062"/>
      <c r="MOE99" s="1062"/>
      <c r="MOF99" s="1061"/>
      <c r="MOG99" s="1027"/>
      <c r="MOH99" s="2803"/>
      <c r="MOI99" s="2802"/>
      <c r="MOJ99" s="2565"/>
      <c r="MOK99" s="2021"/>
      <c r="MOL99" s="1062"/>
      <c r="MOM99" s="1062"/>
      <c r="MON99" s="1061"/>
      <c r="MOO99" s="1027"/>
      <c r="MOP99" s="2803"/>
      <c r="MOQ99" s="2802"/>
      <c r="MOR99" s="2565"/>
      <c r="MOS99" s="2021"/>
      <c r="MOT99" s="1062"/>
      <c r="MOU99" s="1062"/>
      <c r="MOV99" s="1061"/>
      <c r="MOW99" s="1027"/>
      <c r="MOX99" s="2803"/>
      <c r="MOY99" s="2802"/>
      <c r="MOZ99" s="2565"/>
      <c r="MPA99" s="2021"/>
      <c r="MPB99" s="1062"/>
      <c r="MPC99" s="1062"/>
      <c r="MPD99" s="1061"/>
      <c r="MPE99" s="1027"/>
      <c r="MPF99" s="2803"/>
      <c r="MPG99" s="2802"/>
      <c r="MPH99" s="2565"/>
      <c r="MPI99" s="2021"/>
      <c r="MPJ99" s="1062"/>
      <c r="MPK99" s="1062"/>
      <c r="MPL99" s="1061"/>
      <c r="MPM99" s="1027"/>
      <c r="MPN99" s="2803"/>
      <c r="MPO99" s="2802"/>
      <c r="MPP99" s="2565"/>
      <c r="MPQ99" s="2021"/>
      <c r="MPR99" s="1062"/>
      <c r="MPS99" s="1062"/>
      <c r="MPT99" s="1061"/>
      <c r="MPU99" s="1027"/>
      <c r="MPV99" s="2803"/>
      <c r="MPW99" s="2802"/>
      <c r="MPX99" s="2565"/>
      <c r="MPY99" s="2021"/>
      <c r="MPZ99" s="1062"/>
      <c r="MQA99" s="1062"/>
      <c r="MQB99" s="1061"/>
      <c r="MQC99" s="1027"/>
      <c r="MQD99" s="2803"/>
      <c r="MQE99" s="2802"/>
      <c r="MQF99" s="2565"/>
      <c r="MQG99" s="2021"/>
      <c r="MQH99" s="1062"/>
      <c r="MQI99" s="1062"/>
      <c r="MQJ99" s="1061"/>
      <c r="MQK99" s="1027"/>
      <c r="MQL99" s="2803"/>
      <c r="MQM99" s="2802"/>
      <c r="MQN99" s="2565"/>
      <c r="MQO99" s="2021"/>
      <c r="MQP99" s="1062"/>
      <c r="MQQ99" s="1062"/>
      <c r="MQR99" s="1061"/>
      <c r="MQS99" s="1027"/>
      <c r="MQT99" s="2803"/>
      <c r="MQU99" s="2802"/>
      <c r="MQV99" s="2565"/>
      <c r="MQW99" s="2021"/>
      <c r="MQX99" s="1062"/>
      <c r="MQY99" s="1062"/>
      <c r="MQZ99" s="1061"/>
      <c r="MRA99" s="1027"/>
      <c r="MRB99" s="2803"/>
      <c r="MRC99" s="2802"/>
      <c r="MRD99" s="2565"/>
      <c r="MRE99" s="2021"/>
      <c r="MRF99" s="1062"/>
      <c r="MRG99" s="1062"/>
      <c r="MRH99" s="1061"/>
      <c r="MRI99" s="1027"/>
      <c r="MRJ99" s="2803"/>
      <c r="MRK99" s="2802"/>
      <c r="MRL99" s="2565"/>
      <c r="MRM99" s="2021"/>
      <c r="MRN99" s="1062"/>
      <c r="MRO99" s="1062"/>
      <c r="MRP99" s="1061"/>
      <c r="MRQ99" s="1027"/>
      <c r="MRR99" s="2803"/>
      <c r="MRS99" s="2802"/>
      <c r="MRT99" s="2565"/>
      <c r="MRU99" s="2021"/>
      <c r="MRV99" s="1062"/>
      <c r="MRW99" s="1062"/>
      <c r="MRX99" s="1061"/>
      <c r="MRY99" s="1027"/>
      <c r="MRZ99" s="2803"/>
      <c r="MSA99" s="2802"/>
      <c r="MSB99" s="2565"/>
      <c r="MSC99" s="2021"/>
      <c r="MSD99" s="1062"/>
      <c r="MSE99" s="1062"/>
      <c r="MSF99" s="1061"/>
      <c r="MSG99" s="1027"/>
      <c r="MSH99" s="2803"/>
      <c r="MSI99" s="2802"/>
      <c r="MSJ99" s="2565"/>
      <c r="MSK99" s="2021"/>
      <c r="MSL99" s="1062"/>
      <c r="MSM99" s="1062"/>
      <c r="MSN99" s="1061"/>
      <c r="MSO99" s="1027"/>
      <c r="MSP99" s="2803"/>
      <c r="MSQ99" s="2802"/>
      <c r="MSR99" s="2565"/>
      <c r="MSS99" s="2021"/>
      <c r="MST99" s="1062"/>
      <c r="MSU99" s="1062"/>
      <c r="MSV99" s="1061"/>
      <c r="MSW99" s="1027"/>
      <c r="MSX99" s="2803"/>
      <c r="MSY99" s="2802"/>
      <c r="MSZ99" s="2565"/>
      <c r="MTA99" s="2021"/>
      <c r="MTB99" s="1062"/>
      <c r="MTC99" s="1062"/>
      <c r="MTD99" s="1061"/>
      <c r="MTE99" s="1027"/>
      <c r="MTF99" s="2803"/>
      <c r="MTG99" s="2802"/>
      <c r="MTH99" s="2565"/>
      <c r="MTI99" s="2021"/>
      <c r="MTJ99" s="1062"/>
      <c r="MTK99" s="1062"/>
      <c r="MTL99" s="1061"/>
      <c r="MTM99" s="1027"/>
      <c r="MTN99" s="2803"/>
      <c r="MTO99" s="2802"/>
      <c r="MTP99" s="2565"/>
      <c r="MTQ99" s="2021"/>
      <c r="MTR99" s="1062"/>
      <c r="MTS99" s="1062"/>
      <c r="MTT99" s="1061"/>
      <c r="MTU99" s="1027"/>
      <c r="MTV99" s="2803"/>
      <c r="MTW99" s="2802"/>
      <c r="MTX99" s="2565"/>
      <c r="MTY99" s="2021"/>
      <c r="MTZ99" s="1062"/>
      <c r="MUA99" s="1062"/>
      <c r="MUB99" s="1061"/>
      <c r="MUC99" s="1027"/>
      <c r="MUD99" s="2803"/>
      <c r="MUE99" s="2802"/>
      <c r="MUF99" s="2565"/>
      <c r="MUG99" s="2021"/>
      <c r="MUH99" s="1062"/>
      <c r="MUI99" s="1062"/>
      <c r="MUJ99" s="1061"/>
      <c r="MUK99" s="1027"/>
      <c r="MUL99" s="2803"/>
      <c r="MUM99" s="2802"/>
      <c r="MUN99" s="2565"/>
      <c r="MUO99" s="2021"/>
      <c r="MUP99" s="1062"/>
      <c r="MUQ99" s="1062"/>
      <c r="MUR99" s="1061"/>
      <c r="MUS99" s="1027"/>
      <c r="MUT99" s="2803"/>
      <c r="MUU99" s="2802"/>
      <c r="MUV99" s="2565"/>
      <c r="MUW99" s="2021"/>
      <c r="MUX99" s="1062"/>
      <c r="MUY99" s="1062"/>
      <c r="MUZ99" s="1061"/>
      <c r="MVA99" s="1027"/>
      <c r="MVB99" s="2803"/>
      <c r="MVC99" s="2802"/>
      <c r="MVD99" s="2565"/>
      <c r="MVE99" s="2021"/>
      <c r="MVF99" s="1062"/>
      <c r="MVG99" s="1062"/>
      <c r="MVH99" s="1061"/>
      <c r="MVI99" s="1027"/>
      <c r="MVJ99" s="2803"/>
      <c r="MVK99" s="2802"/>
      <c r="MVL99" s="2565"/>
      <c r="MVM99" s="2021"/>
      <c r="MVN99" s="1062"/>
      <c r="MVO99" s="1062"/>
      <c r="MVP99" s="1061"/>
      <c r="MVQ99" s="1027"/>
      <c r="MVR99" s="2803"/>
      <c r="MVS99" s="2802"/>
      <c r="MVT99" s="2565"/>
      <c r="MVU99" s="2021"/>
      <c r="MVV99" s="1062"/>
      <c r="MVW99" s="1062"/>
      <c r="MVX99" s="1061"/>
      <c r="MVY99" s="1027"/>
      <c r="MVZ99" s="2803"/>
      <c r="MWA99" s="2802"/>
      <c r="MWB99" s="2565"/>
      <c r="MWC99" s="2021"/>
      <c r="MWD99" s="1062"/>
      <c r="MWE99" s="1062"/>
      <c r="MWF99" s="1061"/>
      <c r="MWG99" s="1027"/>
      <c r="MWH99" s="2803"/>
      <c r="MWI99" s="2802"/>
      <c r="MWJ99" s="2565"/>
      <c r="MWK99" s="2021"/>
      <c r="MWL99" s="1062"/>
      <c r="MWM99" s="1062"/>
      <c r="MWN99" s="1061"/>
      <c r="MWO99" s="1027"/>
      <c r="MWP99" s="2803"/>
      <c r="MWQ99" s="2802"/>
      <c r="MWR99" s="2565"/>
      <c r="MWS99" s="2021"/>
      <c r="MWT99" s="1062"/>
      <c r="MWU99" s="1062"/>
      <c r="MWV99" s="1061"/>
      <c r="MWW99" s="1027"/>
      <c r="MWX99" s="2803"/>
      <c r="MWY99" s="2802"/>
      <c r="MWZ99" s="2565"/>
      <c r="MXA99" s="2021"/>
      <c r="MXB99" s="1062"/>
      <c r="MXC99" s="1062"/>
      <c r="MXD99" s="1061"/>
      <c r="MXE99" s="1027"/>
      <c r="MXF99" s="2803"/>
      <c r="MXG99" s="2802"/>
      <c r="MXH99" s="2565"/>
      <c r="MXI99" s="2021"/>
      <c r="MXJ99" s="1062"/>
      <c r="MXK99" s="1062"/>
      <c r="MXL99" s="1061"/>
      <c r="MXM99" s="1027"/>
      <c r="MXN99" s="2803"/>
      <c r="MXO99" s="2802"/>
      <c r="MXP99" s="2565"/>
      <c r="MXQ99" s="2021"/>
      <c r="MXR99" s="1062"/>
      <c r="MXS99" s="1062"/>
      <c r="MXT99" s="1061"/>
      <c r="MXU99" s="1027"/>
      <c r="MXV99" s="2803"/>
      <c r="MXW99" s="2802"/>
      <c r="MXX99" s="2565"/>
      <c r="MXY99" s="2021"/>
      <c r="MXZ99" s="1062"/>
      <c r="MYA99" s="1062"/>
      <c r="MYB99" s="1061"/>
      <c r="MYC99" s="1027"/>
      <c r="MYD99" s="2803"/>
      <c r="MYE99" s="2802"/>
      <c r="MYF99" s="2565"/>
      <c r="MYG99" s="2021"/>
      <c r="MYH99" s="1062"/>
      <c r="MYI99" s="1062"/>
      <c r="MYJ99" s="1061"/>
      <c r="MYK99" s="1027"/>
      <c r="MYL99" s="2803"/>
      <c r="MYM99" s="2802"/>
      <c r="MYN99" s="2565"/>
      <c r="MYO99" s="2021"/>
      <c r="MYP99" s="1062"/>
      <c r="MYQ99" s="1062"/>
      <c r="MYR99" s="1061"/>
      <c r="MYS99" s="1027"/>
      <c r="MYT99" s="2803"/>
      <c r="MYU99" s="2802"/>
      <c r="MYV99" s="2565"/>
      <c r="MYW99" s="2021"/>
      <c r="MYX99" s="1062"/>
      <c r="MYY99" s="1062"/>
      <c r="MYZ99" s="1061"/>
      <c r="MZA99" s="1027"/>
      <c r="MZB99" s="2803"/>
      <c r="MZC99" s="2802"/>
      <c r="MZD99" s="2565"/>
      <c r="MZE99" s="2021"/>
      <c r="MZF99" s="1062"/>
      <c r="MZG99" s="1062"/>
      <c r="MZH99" s="1061"/>
      <c r="MZI99" s="1027"/>
      <c r="MZJ99" s="2803"/>
      <c r="MZK99" s="2802"/>
      <c r="MZL99" s="2565"/>
      <c r="MZM99" s="2021"/>
      <c r="MZN99" s="1062"/>
      <c r="MZO99" s="1062"/>
      <c r="MZP99" s="1061"/>
      <c r="MZQ99" s="1027"/>
      <c r="MZR99" s="2803"/>
      <c r="MZS99" s="2802"/>
      <c r="MZT99" s="2565"/>
      <c r="MZU99" s="2021"/>
      <c r="MZV99" s="1062"/>
      <c r="MZW99" s="1062"/>
      <c r="MZX99" s="1061"/>
      <c r="MZY99" s="1027"/>
      <c r="MZZ99" s="2803"/>
      <c r="NAA99" s="2802"/>
      <c r="NAB99" s="2565"/>
      <c r="NAC99" s="2021"/>
      <c r="NAD99" s="1062"/>
      <c r="NAE99" s="1062"/>
      <c r="NAF99" s="1061"/>
      <c r="NAG99" s="1027"/>
      <c r="NAH99" s="2803"/>
      <c r="NAI99" s="2802"/>
      <c r="NAJ99" s="2565"/>
      <c r="NAK99" s="2021"/>
      <c r="NAL99" s="1062"/>
      <c r="NAM99" s="1062"/>
      <c r="NAN99" s="1061"/>
      <c r="NAO99" s="1027"/>
      <c r="NAP99" s="2803"/>
      <c r="NAQ99" s="2802"/>
      <c r="NAR99" s="2565"/>
      <c r="NAS99" s="2021"/>
      <c r="NAT99" s="1062"/>
      <c r="NAU99" s="1062"/>
      <c r="NAV99" s="1061"/>
      <c r="NAW99" s="1027"/>
      <c r="NAX99" s="2803"/>
      <c r="NAY99" s="2802"/>
      <c r="NAZ99" s="2565"/>
      <c r="NBA99" s="2021"/>
      <c r="NBB99" s="1062"/>
      <c r="NBC99" s="1062"/>
      <c r="NBD99" s="1061"/>
      <c r="NBE99" s="1027"/>
      <c r="NBF99" s="2803"/>
      <c r="NBG99" s="2802"/>
      <c r="NBH99" s="2565"/>
      <c r="NBI99" s="2021"/>
      <c r="NBJ99" s="1062"/>
      <c r="NBK99" s="1062"/>
      <c r="NBL99" s="1061"/>
      <c r="NBM99" s="1027"/>
      <c r="NBN99" s="2803"/>
      <c r="NBO99" s="2802"/>
      <c r="NBP99" s="2565"/>
      <c r="NBQ99" s="2021"/>
      <c r="NBR99" s="1062"/>
      <c r="NBS99" s="1062"/>
      <c r="NBT99" s="1061"/>
      <c r="NBU99" s="1027"/>
      <c r="NBV99" s="2803"/>
      <c r="NBW99" s="2802"/>
      <c r="NBX99" s="2565"/>
      <c r="NBY99" s="2021"/>
      <c r="NBZ99" s="1062"/>
      <c r="NCA99" s="1062"/>
      <c r="NCB99" s="1061"/>
      <c r="NCC99" s="1027"/>
      <c r="NCD99" s="2803"/>
      <c r="NCE99" s="2802"/>
      <c r="NCF99" s="2565"/>
      <c r="NCG99" s="2021"/>
      <c r="NCH99" s="1062"/>
      <c r="NCI99" s="1062"/>
      <c r="NCJ99" s="1061"/>
      <c r="NCK99" s="1027"/>
      <c r="NCL99" s="2803"/>
      <c r="NCM99" s="2802"/>
      <c r="NCN99" s="2565"/>
      <c r="NCO99" s="2021"/>
      <c r="NCP99" s="1062"/>
      <c r="NCQ99" s="1062"/>
      <c r="NCR99" s="1061"/>
      <c r="NCS99" s="1027"/>
      <c r="NCT99" s="2803"/>
      <c r="NCU99" s="2802"/>
      <c r="NCV99" s="2565"/>
      <c r="NCW99" s="2021"/>
      <c r="NCX99" s="1062"/>
      <c r="NCY99" s="1062"/>
      <c r="NCZ99" s="1061"/>
      <c r="NDA99" s="1027"/>
      <c r="NDB99" s="2803"/>
      <c r="NDC99" s="2802"/>
      <c r="NDD99" s="2565"/>
      <c r="NDE99" s="2021"/>
      <c r="NDF99" s="1062"/>
      <c r="NDG99" s="1062"/>
      <c r="NDH99" s="1061"/>
      <c r="NDI99" s="1027"/>
      <c r="NDJ99" s="2803"/>
      <c r="NDK99" s="2802"/>
      <c r="NDL99" s="2565"/>
      <c r="NDM99" s="2021"/>
      <c r="NDN99" s="1062"/>
      <c r="NDO99" s="1062"/>
      <c r="NDP99" s="1061"/>
      <c r="NDQ99" s="1027"/>
      <c r="NDR99" s="2803"/>
      <c r="NDS99" s="2802"/>
      <c r="NDT99" s="2565"/>
      <c r="NDU99" s="2021"/>
      <c r="NDV99" s="1062"/>
      <c r="NDW99" s="1062"/>
      <c r="NDX99" s="1061"/>
      <c r="NDY99" s="1027"/>
      <c r="NDZ99" s="2803"/>
      <c r="NEA99" s="2802"/>
      <c r="NEB99" s="2565"/>
      <c r="NEC99" s="2021"/>
      <c r="NED99" s="1062"/>
      <c r="NEE99" s="1062"/>
      <c r="NEF99" s="1061"/>
      <c r="NEG99" s="1027"/>
      <c r="NEH99" s="2803"/>
      <c r="NEI99" s="2802"/>
      <c r="NEJ99" s="2565"/>
      <c r="NEK99" s="2021"/>
      <c r="NEL99" s="1062"/>
      <c r="NEM99" s="1062"/>
      <c r="NEN99" s="1061"/>
      <c r="NEO99" s="1027"/>
      <c r="NEP99" s="2803"/>
      <c r="NEQ99" s="2802"/>
      <c r="NER99" s="2565"/>
      <c r="NES99" s="2021"/>
      <c r="NET99" s="1062"/>
      <c r="NEU99" s="1062"/>
      <c r="NEV99" s="1061"/>
      <c r="NEW99" s="1027"/>
      <c r="NEX99" s="2803"/>
      <c r="NEY99" s="2802"/>
      <c r="NEZ99" s="2565"/>
      <c r="NFA99" s="2021"/>
      <c r="NFB99" s="1062"/>
      <c r="NFC99" s="1062"/>
      <c r="NFD99" s="1061"/>
      <c r="NFE99" s="1027"/>
      <c r="NFF99" s="2803"/>
      <c r="NFG99" s="2802"/>
      <c r="NFH99" s="2565"/>
      <c r="NFI99" s="2021"/>
      <c r="NFJ99" s="1062"/>
      <c r="NFK99" s="1062"/>
      <c r="NFL99" s="1061"/>
      <c r="NFM99" s="1027"/>
      <c r="NFN99" s="2803"/>
      <c r="NFO99" s="2802"/>
      <c r="NFP99" s="2565"/>
      <c r="NFQ99" s="2021"/>
      <c r="NFR99" s="1062"/>
      <c r="NFS99" s="1062"/>
      <c r="NFT99" s="1061"/>
      <c r="NFU99" s="1027"/>
      <c r="NFV99" s="2803"/>
      <c r="NFW99" s="2802"/>
      <c r="NFX99" s="2565"/>
      <c r="NFY99" s="2021"/>
      <c r="NFZ99" s="1062"/>
      <c r="NGA99" s="1062"/>
      <c r="NGB99" s="1061"/>
      <c r="NGC99" s="1027"/>
      <c r="NGD99" s="2803"/>
      <c r="NGE99" s="2802"/>
      <c r="NGF99" s="2565"/>
      <c r="NGG99" s="2021"/>
      <c r="NGH99" s="1062"/>
      <c r="NGI99" s="1062"/>
      <c r="NGJ99" s="1061"/>
      <c r="NGK99" s="1027"/>
      <c r="NGL99" s="2803"/>
      <c r="NGM99" s="2802"/>
      <c r="NGN99" s="2565"/>
      <c r="NGO99" s="2021"/>
      <c r="NGP99" s="1062"/>
      <c r="NGQ99" s="1062"/>
      <c r="NGR99" s="1061"/>
      <c r="NGS99" s="1027"/>
      <c r="NGT99" s="2803"/>
      <c r="NGU99" s="2802"/>
      <c r="NGV99" s="2565"/>
      <c r="NGW99" s="2021"/>
      <c r="NGX99" s="1062"/>
      <c r="NGY99" s="1062"/>
      <c r="NGZ99" s="1061"/>
      <c r="NHA99" s="1027"/>
      <c r="NHB99" s="2803"/>
      <c r="NHC99" s="2802"/>
      <c r="NHD99" s="2565"/>
      <c r="NHE99" s="2021"/>
      <c r="NHF99" s="1062"/>
      <c r="NHG99" s="1062"/>
      <c r="NHH99" s="1061"/>
      <c r="NHI99" s="1027"/>
      <c r="NHJ99" s="2803"/>
      <c r="NHK99" s="2802"/>
      <c r="NHL99" s="2565"/>
      <c r="NHM99" s="2021"/>
      <c r="NHN99" s="1062"/>
      <c r="NHO99" s="1062"/>
      <c r="NHP99" s="1061"/>
      <c r="NHQ99" s="1027"/>
      <c r="NHR99" s="2803"/>
      <c r="NHS99" s="2802"/>
      <c r="NHT99" s="2565"/>
      <c r="NHU99" s="2021"/>
      <c r="NHV99" s="1062"/>
      <c r="NHW99" s="1062"/>
      <c r="NHX99" s="1061"/>
      <c r="NHY99" s="1027"/>
      <c r="NHZ99" s="2803"/>
      <c r="NIA99" s="2802"/>
      <c r="NIB99" s="2565"/>
      <c r="NIC99" s="2021"/>
      <c r="NID99" s="1062"/>
      <c r="NIE99" s="1062"/>
      <c r="NIF99" s="1061"/>
      <c r="NIG99" s="1027"/>
      <c r="NIH99" s="2803"/>
      <c r="NII99" s="2802"/>
      <c r="NIJ99" s="2565"/>
      <c r="NIK99" s="2021"/>
      <c r="NIL99" s="1062"/>
      <c r="NIM99" s="1062"/>
      <c r="NIN99" s="1061"/>
      <c r="NIO99" s="1027"/>
      <c r="NIP99" s="2803"/>
      <c r="NIQ99" s="2802"/>
      <c r="NIR99" s="2565"/>
      <c r="NIS99" s="2021"/>
      <c r="NIT99" s="1062"/>
      <c r="NIU99" s="1062"/>
      <c r="NIV99" s="1061"/>
      <c r="NIW99" s="1027"/>
      <c r="NIX99" s="2803"/>
      <c r="NIY99" s="2802"/>
      <c r="NIZ99" s="2565"/>
      <c r="NJA99" s="2021"/>
      <c r="NJB99" s="1062"/>
      <c r="NJC99" s="1062"/>
      <c r="NJD99" s="1061"/>
      <c r="NJE99" s="1027"/>
      <c r="NJF99" s="2803"/>
      <c r="NJG99" s="2802"/>
      <c r="NJH99" s="2565"/>
      <c r="NJI99" s="2021"/>
      <c r="NJJ99" s="1062"/>
      <c r="NJK99" s="1062"/>
      <c r="NJL99" s="1061"/>
      <c r="NJM99" s="1027"/>
      <c r="NJN99" s="2803"/>
      <c r="NJO99" s="2802"/>
      <c r="NJP99" s="2565"/>
      <c r="NJQ99" s="2021"/>
      <c r="NJR99" s="1062"/>
      <c r="NJS99" s="1062"/>
      <c r="NJT99" s="1061"/>
      <c r="NJU99" s="1027"/>
      <c r="NJV99" s="2803"/>
      <c r="NJW99" s="2802"/>
      <c r="NJX99" s="2565"/>
      <c r="NJY99" s="2021"/>
      <c r="NJZ99" s="1062"/>
      <c r="NKA99" s="1062"/>
      <c r="NKB99" s="1061"/>
      <c r="NKC99" s="1027"/>
      <c r="NKD99" s="2803"/>
      <c r="NKE99" s="2802"/>
      <c r="NKF99" s="2565"/>
      <c r="NKG99" s="2021"/>
      <c r="NKH99" s="1062"/>
      <c r="NKI99" s="1062"/>
      <c r="NKJ99" s="1061"/>
      <c r="NKK99" s="1027"/>
      <c r="NKL99" s="2803"/>
      <c r="NKM99" s="2802"/>
      <c r="NKN99" s="2565"/>
      <c r="NKO99" s="2021"/>
      <c r="NKP99" s="1062"/>
      <c r="NKQ99" s="1062"/>
      <c r="NKR99" s="1061"/>
      <c r="NKS99" s="1027"/>
      <c r="NKT99" s="2803"/>
      <c r="NKU99" s="2802"/>
      <c r="NKV99" s="2565"/>
      <c r="NKW99" s="2021"/>
      <c r="NKX99" s="1062"/>
      <c r="NKY99" s="1062"/>
      <c r="NKZ99" s="1061"/>
      <c r="NLA99" s="1027"/>
      <c r="NLB99" s="2803"/>
      <c r="NLC99" s="2802"/>
      <c r="NLD99" s="2565"/>
      <c r="NLE99" s="2021"/>
      <c r="NLF99" s="1062"/>
      <c r="NLG99" s="1062"/>
      <c r="NLH99" s="1061"/>
      <c r="NLI99" s="1027"/>
      <c r="NLJ99" s="2803"/>
      <c r="NLK99" s="2802"/>
      <c r="NLL99" s="2565"/>
      <c r="NLM99" s="2021"/>
      <c r="NLN99" s="1062"/>
      <c r="NLO99" s="1062"/>
      <c r="NLP99" s="1061"/>
      <c r="NLQ99" s="1027"/>
      <c r="NLR99" s="2803"/>
      <c r="NLS99" s="2802"/>
      <c r="NLT99" s="2565"/>
      <c r="NLU99" s="2021"/>
      <c r="NLV99" s="1062"/>
      <c r="NLW99" s="1062"/>
      <c r="NLX99" s="1061"/>
      <c r="NLY99" s="1027"/>
      <c r="NLZ99" s="2803"/>
      <c r="NMA99" s="2802"/>
      <c r="NMB99" s="2565"/>
      <c r="NMC99" s="2021"/>
      <c r="NMD99" s="1062"/>
      <c r="NME99" s="1062"/>
      <c r="NMF99" s="1061"/>
      <c r="NMG99" s="1027"/>
      <c r="NMH99" s="2803"/>
      <c r="NMI99" s="2802"/>
      <c r="NMJ99" s="2565"/>
      <c r="NMK99" s="2021"/>
      <c r="NML99" s="1062"/>
      <c r="NMM99" s="1062"/>
      <c r="NMN99" s="1061"/>
      <c r="NMO99" s="1027"/>
      <c r="NMP99" s="2803"/>
      <c r="NMQ99" s="2802"/>
      <c r="NMR99" s="2565"/>
      <c r="NMS99" s="2021"/>
      <c r="NMT99" s="1062"/>
      <c r="NMU99" s="1062"/>
      <c r="NMV99" s="1061"/>
      <c r="NMW99" s="1027"/>
      <c r="NMX99" s="2803"/>
      <c r="NMY99" s="2802"/>
      <c r="NMZ99" s="2565"/>
      <c r="NNA99" s="2021"/>
      <c r="NNB99" s="1062"/>
      <c r="NNC99" s="1062"/>
      <c r="NND99" s="1061"/>
      <c r="NNE99" s="1027"/>
      <c r="NNF99" s="2803"/>
      <c r="NNG99" s="2802"/>
      <c r="NNH99" s="2565"/>
      <c r="NNI99" s="2021"/>
      <c r="NNJ99" s="1062"/>
      <c r="NNK99" s="1062"/>
      <c r="NNL99" s="1061"/>
      <c r="NNM99" s="1027"/>
      <c r="NNN99" s="2803"/>
      <c r="NNO99" s="2802"/>
      <c r="NNP99" s="2565"/>
      <c r="NNQ99" s="2021"/>
      <c r="NNR99" s="1062"/>
      <c r="NNS99" s="1062"/>
      <c r="NNT99" s="1061"/>
      <c r="NNU99" s="1027"/>
      <c r="NNV99" s="2803"/>
      <c r="NNW99" s="2802"/>
      <c r="NNX99" s="2565"/>
      <c r="NNY99" s="2021"/>
      <c r="NNZ99" s="1062"/>
      <c r="NOA99" s="1062"/>
      <c r="NOB99" s="1061"/>
      <c r="NOC99" s="1027"/>
      <c r="NOD99" s="2803"/>
      <c r="NOE99" s="2802"/>
      <c r="NOF99" s="2565"/>
      <c r="NOG99" s="2021"/>
      <c r="NOH99" s="1062"/>
      <c r="NOI99" s="1062"/>
      <c r="NOJ99" s="1061"/>
      <c r="NOK99" s="1027"/>
      <c r="NOL99" s="2803"/>
      <c r="NOM99" s="2802"/>
      <c r="NON99" s="2565"/>
      <c r="NOO99" s="2021"/>
      <c r="NOP99" s="1062"/>
      <c r="NOQ99" s="1062"/>
      <c r="NOR99" s="1061"/>
      <c r="NOS99" s="1027"/>
      <c r="NOT99" s="2803"/>
      <c r="NOU99" s="2802"/>
      <c r="NOV99" s="2565"/>
      <c r="NOW99" s="2021"/>
      <c r="NOX99" s="1062"/>
      <c r="NOY99" s="1062"/>
      <c r="NOZ99" s="1061"/>
      <c r="NPA99" s="1027"/>
      <c r="NPB99" s="2803"/>
      <c r="NPC99" s="2802"/>
      <c r="NPD99" s="2565"/>
      <c r="NPE99" s="2021"/>
      <c r="NPF99" s="1062"/>
      <c r="NPG99" s="1062"/>
      <c r="NPH99" s="1061"/>
      <c r="NPI99" s="1027"/>
      <c r="NPJ99" s="2803"/>
      <c r="NPK99" s="2802"/>
      <c r="NPL99" s="2565"/>
      <c r="NPM99" s="2021"/>
      <c r="NPN99" s="1062"/>
      <c r="NPO99" s="1062"/>
      <c r="NPP99" s="1061"/>
      <c r="NPQ99" s="1027"/>
      <c r="NPR99" s="2803"/>
      <c r="NPS99" s="2802"/>
      <c r="NPT99" s="2565"/>
      <c r="NPU99" s="2021"/>
      <c r="NPV99" s="1062"/>
      <c r="NPW99" s="1062"/>
      <c r="NPX99" s="1061"/>
      <c r="NPY99" s="1027"/>
      <c r="NPZ99" s="2803"/>
      <c r="NQA99" s="2802"/>
      <c r="NQB99" s="2565"/>
      <c r="NQC99" s="2021"/>
      <c r="NQD99" s="1062"/>
      <c r="NQE99" s="1062"/>
      <c r="NQF99" s="1061"/>
      <c r="NQG99" s="1027"/>
      <c r="NQH99" s="2803"/>
      <c r="NQI99" s="2802"/>
      <c r="NQJ99" s="2565"/>
      <c r="NQK99" s="2021"/>
      <c r="NQL99" s="1062"/>
      <c r="NQM99" s="1062"/>
      <c r="NQN99" s="1061"/>
      <c r="NQO99" s="1027"/>
      <c r="NQP99" s="2803"/>
      <c r="NQQ99" s="2802"/>
      <c r="NQR99" s="2565"/>
      <c r="NQS99" s="2021"/>
      <c r="NQT99" s="1062"/>
      <c r="NQU99" s="1062"/>
      <c r="NQV99" s="1061"/>
      <c r="NQW99" s="1027"/>
      <c r="NQX99" s="2803"/>
      <c r="NQY99" s="2802"/>
      <c r="NQZ99" s="2565"/>
      <c r="NRA99" s="2021"/>
      <c r="NRB99" s="1062"/>
      <c r="NRC99" s="1062"/>
      <c r="NRD99" s="1061"/>
      <c r="NRE99" s="1027"/>
      <c r="NRF99" s="2803"/>
      <c r="NRG99" s="2802"/>
      <c r="NRH99" s="2565"/>
      <c r="NRI99" s="2021"/>
      <c r="NRJ99" s="1062"/>
      <c r="NRK99" s="1062"/>
      <c r="NRL99" s="1061"/>
      <c r="NRM99" s="1027"/>
      <c r="NRN99" s="2803"/>
      <c r="NRO99" s="2802"/>
      <c r="NRP99" s="2565"/>
      <c r="NRQ99" s="2021"/>
      <c r="NRR99" s="1062"/>
      <c r="NRS99" s="1062"/>
      <c r="NRT99" s="1061"/>
      <c r="NRU99" s="1027"/>
      <c r="NRV99" s="2803"/>
      <c r="NRW99" s="2802"/>
      <c r="NRX99" s="2565"/>
      <c r="NRY99" s="2021"/>
      <c r="NRZ99" s="1062"/>
      <c r="NSA99" s="1062"/>
      <c r="NSB99" s="1061"/>
      <c r="NSC99" s="1027"/>
      <c r="NSD99" s="2803"/>
      <c r="NSE99" s="2802"/>
      <c r="NSF99" s="2565"/>
      <c r="NSG99" s="2021"/>
      <c r="NSH99" s="1062"/>
      <c r="NSI99" s="1062"/>
      <c r="NSJ99" s="1061"/>
      <c r="NSK99" s="1027"/>
      <c r="NSL99" s="2803"/>
      <c r="NSM99" s="2802"/>
      <c r="NSN99" s="2565"/>
      <c r="NSO99" s="2021"/>
      <c r="NSP99" s="1062"/>
      <c r="NSQ99" s="1062"/>
      <c r="NSR99" s="1061"/>
      <c r="NSS99" s="1027"/>
      <c r="NST99" s="2803"/>
      <c r="NSU99" s="2802"/>
      <c r="NSV99" s="2565"/>
      <c r="NSW99" s="2021"/>
      <c r="NSX99" s="1062"/>
      <c r="NSY99" s="1062"/>
      <c r="NSZ99" s="1061"/>
      <c r="NTA99" s="1027"/>
      <c r="NTB99" s="2803"/>
      <c r="NTC99" s="2802"/>
      <c r="NTD99" s="2565"/>
      <c r="NTE99" s="2021"/>
      <c r="NTF99" s="1062"/>
      <c r="NTG99" s="1062"/>
      <c r="NTH99" s="1061"/>
      <c r="NTI99" s="1027"/>
      <c r="NTJ99" s="2803"/>
      <c r="NTK99" s="2802"/>
      <c r="NTL99" s="2565"/>
      <c r="NTM99" s="2021"/>
      <c r="NTN99" s="1062"/>
      <c r="NTO99" s="1062"/>
      <c r="NTP99" s="1061"/>
      <c r="NTQ99" s="1027"/>
      <c r="NTR99" s="2803"/>
      <c r="NTS99" s="2802"/>
      <c r="NTT99" s="2565"/>
      <c r="NTU99" s="2021"/>
      <c r="NTV99" s="1062"/>
      <c r="NTW99" s="1062"/>
      <c r="NTX99" s="1061"/>
      <c r="NTY99" s="1027"/>
      <c r="NTZ99" s="2803"/>
      <c r="NUA99" s="2802"/>
      <c r="NUB99" s="2565"/>
      <c r="NUC99" s="2021"/>
      <c r="NUD99" s="1062"/>
      <c r="NUE99" s="1062"/>
      <c r="NUF99" s="1061"/>
      <c r="NUG99" s="1027"/>
      <c r="NUH99" s="2803"/>
      <c r="NUI99" s="2802"/>
      <c r="NUJ99" s="2565"/>
      <c r="NUK99" s="2021"/>
      <c r="NUL99" s="1062"/>
      <c r="NUM99" s="1062"/>
      <c r="NUN99" s="1061"/>
      <c r="NUO99" s="1027"/>
      <c r="NUP99" s="2803"/>
      <c r="NUQ99" s="2802"/>
      <c r="NUR99" s="2565"/>
      <c r="NUS99" s="2021"/>
      <c r="NUT99" s="1062"/>
      <c r="NUU99" s="1062"/>
      <c r="NUV99" s="1061"/>
      <c r="NUW99" s="1027"/>
      <c r="NUX99" s="2803"/>
      <c r="NUY99" s="2802"/>
      <c r="NUZ99" s="2565"/>
      <c r="NVA99" s="2021"/>
      <c r="NVB99" s="1062"/>
      <c r="NVC99" s="1062"/>
      <c r="NVD99" s="1061"/>
      <c r="NVE99" s="1027"/>
      <c r="NVF99" s="2803"/>
      <c r="NVG99" s="2802"/>
      <c r="NVH99" s="2565"/>
      <c r="NVI99" s="2021"/>
      <c r="NVJ99" s="1062"/>
      <c r="NVK99" s="1062"/>
      <c r="NVL99" s="1061"/>
      <c r="NVM99" s="1027"/>
      <c r="NVN99" s="2803"/>
      <c r="NVO99" s="2802"/>
      <c r="NVP99" s="2565"/>
      <c r="NVQ99" s="2021"/>
      <c r="NVR99" s="1062"/>
      <c r="NVS99" s="1062"/>
      <c r="NVT99" s="1061"/>
      <c r="NVU99" s="1027"/>
      <c r="NVV99" s="2803"/>
      <c r="NVW99" s="2802"/>
      <c r="NVX99" s="2565"/>
      <c r="NVY99" s="2021"/>
      <c r="NVZ99" s="1062"/>
      <c r="NWA99" s="1062"/>
      <c r="NWB99" s="1061"/>
      <c r="NWC99" s="1027"/>
      <c r="NWD99" s="2803"/>
      <c r="NWE99" s="2802"/>
      <c r="NWF99" s="2565"/>
      <c r="NWG99" s="2021"/>
      <c r="NWH99" s="1062"/>
      <c r="NWI99" s="1062"/>
      <c r="NWJ99" s="1061"/>
      <c r="NWK99" s="1027"/>
      <c r="NWL99" s="2803"/>
      <c r="NWM99" s="2802"/>
      <c r="NWN99" s="2565"/>
      <c r="NWO99" s="2021"/>
      <c r="NWP99" s="1062"/>
      <c r="NWQ99" s="1062"/>
      <c r="NWR99" s="1061"/>
      <c r="NWS99" s="1027"/>
      <c r="NWT99" s="2803"/>
      <c r="NWU99" s="2802"/>
      <c r="NWV99" s="2565"/>
      <c r="NWW99" s="2021"/>
      <c r="NWX99" s="1062"/>
      <c r="NWY99" s="1062"/>
      <c r="NWZ99" s="1061"/>
      <c r="NXA99" s="1027"/>
      <c r="NXB99" s="2803"/>
      <c r="NXC99" s="2802"/>
      <c r="NXD99" s="2565"/>
      <c r="NXE99" s="2021"/>
      <c r="NXF99" s="1062"/>
      <c r="NXG99" s="1062"/>
      <c r="NXH99" s="1061"/>
      <c r="NXI99" s="1027"/>
      <c r="NXJ99" s="2803"/>
      <c r="NXK99" s="2802"/>
      <c r="NXL99" s="2565"/>
      <c r="NXM99" s="2021"/>
      <c r="NXN99" s="1062"/>
      <c r="NXO99" s="1062"/>
      <c r="NXP99" s="1061"/>
      <c r="NXQ99" s="1027"/>
      <c r="NXR99" s="2803"/>
      <c r="NXS99" s="2802"/>
      <c r="NXT99" s="2565"/>
      <c r="NXU99" s="2021"/>
      <c r="NXV99" s="1062"/>
      <c r="NXW99" s="1062"/>
      <c r="NXX99" s="1061"/>
      <c r="NXY99" s="1027"/>
      <c r="NXZ99" s="2803"/>
      <c r="NYA99" s="2802"/>
      <c r="NYB99" s="2565"/>
      <c r="NYC99" s="2021"/>
      <c r="NYD99" s="1062"/>
      <c r="NYE99" s="1062"/>
      <c r="NYF99" s="1061"/>
      <c r="NYG99" s="1027"/>
      <c r="NYH99" s="2803"/>
      <c r="NYI99" s="2802"/>
      <c r="NYJ99" s="2565"/>
      <c r="NYK99" s="2021"/>
      <c r="NYL99" s="1062"/>
      <c r="NYM99" s="1062"/>
      <c r="NYN99" s="1061"/>
      <c r="NYO99" s="1027"/>
      <c r="NYP99" s="2803"/>
      <c r="NYQ99" s="2802"/>
      <c r="NYR99" s="2565"/>
      <c r="NYS99" s="2021"/>
      <c r="NYT99" s="1062"/>
      <c r="NYU99" s="1062"/>
      <c r="NYV99" s="1061"/>
      <c r="NYW99" s="1027"/>
      <c r="NYX99" s="2803"/>
      <c r="NYY99" s="2802"/>
      <c r="NYZ99" s="2565"/>
      <c r="NZA99" s="2021"/>
      <c r="NZB99" s="1062"/>
      <c r="NZC99" s="1062"/>
      <c r="NZD99" s="1061"/>
      <c r="NZE99" s="1027"/>
      <c r="NZF99" s="2803"/>
      <c r="NZG99" s="2802"/>
      <c r="NZH99" s="2565"/>
      <c r="NZI99" s="2021"/>
      <c r="NZJ99" s="1062"/>
      <c r="NZK99" s="1062"/>
      <c r="NZL99" s="1061"/>
      <c r="NZM99" s="1027"/>
      <c r="NZN99" s="2803"/>
      <c r="NZO99" s="2802"/>
      <c r="NZP99" s="2565"/>
      <c r="NZQ99" s="2021"/>
      <c r="NZR99" s="1062"/>
      <c r="NZS99" s="1062"/>
      <c r="NZT99" s="1061"/>
      <c r="NZU99" s="1027"/>
      <c r="NZV99" s="2803"/>
      <c r="NZW99" s="2802"/>
      <c r="NZX99" s="2565"/>
      <c r="NZY99" s="2021"/>
      <c r="NZZ99" s="1062"/>
      <c r="OAA99" s="1062"/>
      <c r="OAB99" s="1061"/>
      <c r="OAC99" s="1027"/>
      <c r="OAD99" s="2803"/>
      <c r="OAE99" s="2802"/>
      <c r="OAF99" s="2565"/>
      <c r="OAG99" s="2021"/>
      <c r="OAH99" s="1062"/>
      <c r="OAI99" s="1062"/>
      <c r="OAJ99" s="1061"/>
      <c r="OAK99" s="1027"/>
      <c r="OAL99" s="2803"/>
      <c r="OAM99" s="2802"/>
      <c r="OAN99" s="2565"/>
      <c r="OAO99" s="2021"/>
      <c r="OAP99" s="1062"/>
      <c r="OAQ99" s="1062"/>
      <c r="OAR99" s="1061"/>
      <c r="OAS99" s="1027"/>
      <c r="OAT99" s="2803"/>
      <c r="OAU99" s="2802"/>
      <c r="OAV99" s="2565"/>
      <c r="OAW99" s="2021"/>
      <c r="OAX99" s="1062"/>
      <c r="OAY99" s="1062"/>
      <c r="OAZ99" s="1061"/>
      <c r="OBA99" s="1027"/>
      <c r="OBB99" s="2803"/>
      <c r="OBC99" s="2802"/>
      <c r="OBD99" s="2565"/>
      <c r="OBE99" s="2021"/>
      <c r="OBF99" s="1062"/>
      <c r="OBG99" s="1062"/>
      <c r="OBH99" s="1061"/>
      <c r="OBI99" s="1027"/>
      <c r="OBJ99" s="2803"/>
      <c r="OBK99" s="2802"/>
      <c r="OBL99" s="2565"/>
      <c r="OBM99" s="2021"/>
      <c r="OBN99" s="1062"/>
      <c r="OBO99" s="1062"/>
      <c r="OBP99" s="1061"/>
      <c r="OBQ99" s="1027"/>
      <c r="OBR99" s="2803"/>
      <c r="OBS99" s="2802"/>
      <c r="OBT99" s="2565"/>
      <c r="OBU99" s="2021"/>
      <c r="OBV99" s="1062"/>
      <c r="OBW99" s="1062"/>
      <c r="OBX99" s="1061"/>
      <c r="OBY99" s="1027"/>
      <c r="OBZ99" s="2803"/>
      <c r="OCA99" s="2802"/>
      <c r="OCB99" s="2565"/>
      <c r="OCC99" s="2021"/>
      <c r="OCD99" s="1062"/>
      <c r="OCE99" s="1062"/>
      <c r="OCF99" s="1061"/>
      <c r="OCG99" s="1027"/>
      <c r="OCH99" s="2803"/>
      <c r="OCI99" s="2802"/>
      <c r="OCJ99" s="2565"/>
      <c r="OCK99" s="2021"/>
      <c r="OCL99" s="1062"/>
      <c r="OCM99" s="1062"/>
      <c r="OCN99" s="1061"/>
      <c r="OCO99" s="1027"/>
      <c r="OCP99" s="2803"/>
      <c r="OCQ99" s="2802"/>
      <c r="OCR99" s="2565"/>
      <c r="OCS99" s="2021"/>
      <c r="OCT99" s="1062"/>
      <c r="OCU99" s="1062"/>
      <c r="OCV99" s="1061"/>
      <c r="OCW99" s="1027"/>
      <c r="OCX99" s="2803"/>
      <c r="OCY99" s="2802"/>
      <c r="OCZ99" s="2565"/>
      <c r="ODA99" s="2021"/>
      <c r="ODB99" s="1062"/>
      <c r="ODC99" s="1062"/>
      <c r="ODD99" s="1061"/>
      <c r="ODE99" s="1027"/>
      <c r="ODF99" s="2803"/>
      <c r="ODG99" s="2802"/>
      <c r="ODH99" s="2565"/>
      <c r="ODI99" s="2021"/>
      <c r="ODJ99" s="1062"/>
      <c r="ODK99" s="1062"/>
      <c r="ODL99" s="1061"/>
      <c r="ODM99" s="1027"/>
      <c r="ODN99" s="2803"/>
      <c r="ODO99" s="2802"/>
      <c r="ODP99" s="2565"/>
      <c r="ODQ99" s="2021"/>
      <c r="ODR99" s="1062"/>
      <c r="ODS99" s="1062"/>
      <c r="ODT99" s="1061"/>
      <c r="ODU99" s="1027"/>
      <c r="ODV99" s="2803"/>
      <c r="ODW99" s="2802"/>
      <c r="ODX99" s="2565"/>
      <c r="ODY99" s="2021"/>
      <c r="ODZ99" s="1062"/>
      <c r="OEA99" s="1062"/>
      <c r="OEB99" s="1061"/>
      <c r="OEC99" s="1027"/>
      <c r="OED99" s="2803"/>
      <c r="OEE99" s="2802"/>
      <c r="OEF99" s="2565"/>
      <c r="OEG99" s="2021"/>
      <c r="OEH99" s="1062"/>
      <c r="OEI99" s="1062"/>
      <c r="OEJ99" s="1061"/>
      <c r="OEK99" s="1027"/>
      <c r="OEL99" s="2803"/>
      <c r="OEM99" s="2802"/>
      <c r="OEN99" s="2565"/>
      <c r="OEO99" s="2021"/>
      <c r="OEP99" s="1062"/>
      <c r="OEQ99" s="1062"/>
      <c r="OER99" s="1061"/>
      <c r="OES99" s="1027"/>
      <c r="OET99" s="2803"/>
      <c r="OEU99" s="2802"/>
      <c r="OEV99" s="2565"/>
      <c r="OEW99" s="2021"/>
      <c r="OEX99" s="1062"/>
      <c r="OEY99" s="1062"/>
      <c r="OEZ99" s="1061"/>
      <c r="OFA99" s="1027"/>
      <c r="OFB99" s="2803"/>
      <c r="OFC99" s="2802"/>
      <c r="OFD99" s="2565"/>
      <c r="OFE99" s="2021"/>
      <c r="OFF99" s="1062"/>
      <c r="OFG99" s="1062"/>
      <c r="OFH99" s="1061"/>
      <c r="OFI99" s="1027"/>
      <c r="OFJ99" s="2803"/>
      <c r="OFK99" s="2802"/>
      <c r="OFL99" s="2565"/>
      <c r="OFM99" s="2021"/>
      <c r="OFN99" s="1062"/>
      <c r="OFO99" s="1062"/>
      <c r="OFP99" s="1061"/>
      <c r="OFQ99" s="1027"/>
      <c r="OFR99" s="2803"/>
      <c r="OFS99" s="2802"/>
      <c r="OFT99" s="2565"/>
      <c r="OFU99" s="2021"/>
      <c r="OFV99" s="1062"/>
      <c r="OFW99" s="1062"/>
      <c r="OFX99" s="1061"/>
      <c r="OFY99" s="1027"/>
      <c r="OFZ99" s="2803"/>
      <c r="OGA99" s="2802"/>
      <c r="OGB99" s="2565"/>
      <c r="OGC99" s="2021"/>
      <c r="OGD99" s="1062"/>
      <c r="OGE99" s="1062"/>
      <c r="OGF99" s="1061"/>
      <c r="OGG99" s="1027"/>
      <c r="OGH99" s="2803"/>
      <c r="OGI99" s="2802"/>
      <c r="OGJ99" s="2565"/>
      <c r="OGK99" s="2021"/>
      <c r="OGL99" s="1062"/>
      <c r="OGM99" s="1062"/>
      <c r="OGN99" s="1061"/>
      <c r="OGO99" s="1027"/>
      <c r="OGP99" s="2803"/>
      <c r="OGQ99" s="2802"/>
      <c r="OGR99" s="2565"/>
      <c r="OGS99" s="2021"/>
      <c r="OGT99" s="1062"/>
      <c r="OGU99" s="1062"/>
      <c r="OGV99" s="1061"/>
      <c r="OGW99" s="1027"/>
      <c r="OGX99" s="2803"/>
      <c r="OGY99" s="2802"/>
      <c r="OGZ99" s="2565"/>
      <c r="OHA99" s="2021"/>
      <c r="OHB99" s="1062"/>
      <c r="OHC99" s="1062"/>
      <c r="OHD99" s="1061"/>
      <c r="OHE99" s="1027"/>
      <c r="OHF99" s="2803"/>
      <c r="OHG99" s="2802"/>
      <c r="OHH99" s="2565"/>
      <c r="OHI99" s="2021"/>
      <c r="OHJ99" s="1062"/>
      <c r="OHK99" s="1062"/>
      <c r="OHL99" s="1061"/>
      <c r="OHM99" s="1027"/>
      <c r="OHN99" s="2803"/>
      <c r="OHO99" s="2802"/>
      <c r="OHP99" s="2565"/>
      <c r="OHQ99" s="2021"/>
      <c r="OHR99" s="1062"/>
      <c r="OHS99" s="1062"/>
      <c r="OHT99" s="1061"/>
      <c r="OHU99" s="1027"/>
      <c r="OHV99" s="2803"/>
      <c r="OHW99" s="2802"/>
      <c r="OHX99" s="2565"/>
      <c r="OHY99" s="2021"/>
      <c r="OHZ99" s="1062"/>
      <c r="OIA99" s="1062"/>
      <c r="OIB99" s="1061"/>
      <c r="OIC99" s="1027"/>
      <c r="OID99" s="2803"/>
      <c r="OIE99" s="2802"/>
      <c r="OIF99" s="2565"/>
      <c r="OIG99" s="2021"/>
      <c r="OIH99" s="1062"/>
      <c r="OII99" s="1062"/>
      <c r="OIJ99" s="1061"/>
      <c r="OIK99" s="1027"/>
      <c r="OIL99" s="2803"/>
      <c r="OIM99" s="2802"/>
      <c r="OIN99" s="2565"/>
      <c r="OIO99" s="2021"/>
      <c r="OIP99" s="1062"/>
      <c r="OIQ99" s="1062"/>
      <c r="OIR99" s="1061"/>
      <c r="OIS99" s="1027"/>
      <c r="OIT99" s="2803"/>
      <c r="OIU99" s="2802"/>
      <c r="OIV99" s="2565"/>
      <c r="OIW99" s="2021"/>
      <c r="OIX99" s="1062"/>
      <c r="OIY99" s="1062"/>
      <c r="OIZ99" s="1061"/>
      <c r="OJA99" s="1027"/>
      <c r="OJB99" s="2803"/>
      <c r="OJC99" s="2802"/>
      <c r="OJD99" s="2565"/>
      <c r="OJE99" s="2021"/>
      <c r="OJF99" s="1062"/>
      <c r="OJG99" s="1062"/>
      <c r="OJH99" s="1061"/>
      <c r="OJI99" s="1027"/>
      <c r="OJJ99" s="2803"/>
      <c r="OJK99" s="2802"/>
      <c r="OJL99" s="2565"/>
      <c r="OJM99" s="2021"/>
      <c r="OJN99" s="1062"/>
      <c r="OJO99" s="1062"/>
      <c r="OJP99" s="1061"/>
      <c r="OJQ99" s="1027"/>
      <c r="OJR99" s="2803"/>
      <c r="OJS99" s="2802"/>
      <c r="OJT99" s="2565"/>
      <c r="OJU99" s="2021"/>
      <c r="OJV99" s="1062"/>
      <c r="OJW99" s="1062"/>
      <c r="OJX99" s="1061"/>
      <c r="OJY99" s="1027"/>
      <c r="OJZ99" s="2803"/>
      <c r="OKA99" s="2802"/>
      <c r="OKB99" s="2565"/>
      <c r="OKC99" s="2021"/>
      <c r="OKD99" s="1062"/>
      <c r="OKE99" s="1062"/>
      <c r="OKF99" s="1061"/>
      <c r="OKG99" s="1027"/>
      <c r="OKH99" s="2803"/>
      <c r="OKI99" s="2802"/>
      <c r="OKJ99" s="2565"/>
      <c r="OKK99" s="2021"/>
      <c r="OKL99" s="1062"/>
      <c r="OKM99" s="1062"/>
      <c r="OKN99" s="1061"/>
      <c r="OKO99" s="1027"/>
      <c r="OKP99" s="2803"/>
      <c r="OKQ99" s="2802"/>
      <c r="OKR99" s="2565"/>
      <c r="OKS99" s="2021"/>
      <c r="OKT99" s="1062"/>
      <c r="OKU99" s="1062"/>
      <c r="OKV99" s="1061"/>
      <c r="OKW99" s="1027"/>
      <c r="OKX99" s="2803"/>
      <c r="OKY99" s="2802"/>
      <c r="OKZ99" s="2565"/>
      <c r="OLA99" s="2021"/>
      <c r="OLB99" s="1062"/>
      <c r="OLC99" s="1062"/>
      <c r="OLD99" s="1061"/>
      <c r="OLE99" s="1027"/>
      <c r="OLF99" s="2803"/>
      <c r="OLG99" s="2802"/>
      <c r="OLH99" s="2565"/>
      <c r="OLI99" s="2021"/>
      <c r="OLJ99" s="1062"/>
      <c r="OLK99" s="1062"/>
      <c r="OLL99" s="1061"/>
      <c r="OLM99" s="1027"/>
      <c r="OLN99" s="2803"/>
      <c r="OLO99" s="2802"/>
      <c r="OLP99" s="2565"/>
      <c r="OLQ99" s="2021"/>
      <c r="OLR99" s="1062"/>
      <c r="OLS99" s="1062"/>
      <c r="OLT99" s="1061"/>
      <c r="OLU99" s="1027"/>
      <c r="OLV99" s="2803"/>
      <c r="OLW99" s="2802"/>
      <c r="OLX99" s="2565"/>
      <c r="OLY99" s="2021"/>
      <c r="OLZ99" s="1062"/>
      <c r="OMA99" s="1062"/>
      <c r="OMB99" s="1061"/>
      <c r="OMC99" s="1027"/>
      <c r="OMD99" s="2803"/>
      <c r="OME99" s="2802"/>
      <c r="OMF99" s="2565"/>
      <c r="OMG99" s="2021"/>
      <c r="OMH99" s="1062"/>
      <c r="OMI99" s="1062"/>
      <c r="OMJ99" s="1061"/>
      <c r="OMK99" s="1027"/>
      <c r="OML99" s="2803"/>
      <c r="OMM99" s="2802"/>
      <c r="OMN99" s="2565"/>
      <c r="OMO99" s="2021"/>
      <c r="OMP99" s="1062"/>
      <c r="OMQ99" s="1062"/>
      <c r="OMR99" s="1061"/>
      <c r="OMS99" s="1027"/>
      <c r="OMT99" s="2803"/>
      <c r="OMU99" s="2802"/>
      <c r="OMV99" s="2565"/>
      <c r="OMW99" s="2021"/>
      <c r="OMX99" s="1062"/>
      <c r="OMY99" s="1062"/>
      <c r="OMZ99" s="1061"/>
      <c r="ONA99" s="1027"/>
      <c r="ONB99" s="2803"/>
      <c r="ONC99" s="2802"/>
      <c r="OND99" s="2565"/>
      <c r="ONE99" s="2021"/>
      <c r="ONF99" s="1062"/>
      <c r="ONG99" s="1062"/>
      <c r="ONH99" s="1061"/>
      <c r="ONI99" s="1027"/>
      <c r="ONJ99" s="2803"/>
      <c r="ONK99" s="2802"/>
      <c r="ONL99" s="2565"/>
      <c r="ONM99" s="2021"/>
      <c r="ONN99" s="1062"/>
      <c r="ONO99" s="1062"/>
      <c r="ONP99" s="1061"/>
      <c r="ONQ99" s="1027"/>
      <c r="ONR99" s="2803"/>
      <c r="ONS99" s="2802"/>
      <c r="ONT99" s="2565"/>
      <c r="ONU99" s="2021"/>
      <c r="ONV99" s="1062"/>
      <c r="ONW99" s="1062"/>
      <c r="ONX99" s="1061"/>
      <c r="ONY99" s="1027"/>
      <c r="ONZ99" s="2803"/>
      <c r="OOA99" s="2802"/>
      <c r="OOB99" s="2565"/>
      <c r="OOC99" s="2021"/>
      <c r="OOD99" s="1062"/>
      <c r="OOE99" s="1062"/>
      <c r="OOF99" s="1061"/>
      <c r="OOG99" s="1027"/>
      <c r="OOH99" s="2803"/>
      <c r="OOI99" s="2802"/>
      <c r="OOJ99" s="2565"/>
      <c r="OOK99" s="2021"/>
      <c r="OOL99" s="1062"/>
      <c r="OOM99" s="1062"/>
      <c r="OON99" s="1061"/>
      <c r="OOO99" s="1027"/>
      <c r="OOP99" s="2803"/>
      <c r="OOQ99" s="2802"/>
      <c r="OOR99" s="2565"/>
      <c r="OOS99" s="2021"/>
      <c r="OOT99" s="1062"/>
      <c r="OOU99" s="1062"/>
      <c r="OOV99" s="1061"/>
      <c r="OOW99" s="1027"/>
      <c r="OOX99" s="2803"/>
      <c r="OOY99" s="2802"/>
      <c r="OOZ99" s="2565"/>
      <c r="OPA99" s="2021"/>
      <c r="OPB99" s="1062"/>
      <c r="OPC99" s="1062"/>
      <c r="OPD99" s="1061"/>
      <c r="OPE99" s="1027"/>
      <c r="OPF99" s="2803"/>
      <c r="OPG99" s="2802"/>
      <c r="OPH99" s="2565"/>
      <c r="OPI99" s="2021"/>
      <c r="OPJ99" s="1062"/>
      <c r="OPK99" s="1062"/>
      <c r="OPL99" s="1061"/>
      <c r="OPM99" s="1027"/>
      <c r="OPN99" s="2803"/>
      <c r="OPO99" s="2802"/>
      <c r="OPP99" s="2565"/>
      <c r="OPQ99" s="2021"/>
      <c r="OPR99" s="1062"/>
      <c r="OPS99" s="1062"/>
      <c r="OPT99" s="1061"/>
      <c r="OPU99" s="1027"/>
      <c r="OPV99" s="2803"/>
      <c r="OPW99" s="2802"/>
      <c r="OPX99" s="2565"/>
      <c r="OPY99" s="2021"/>
      <c r="OPZ99" s="1062"/>
      <c r="OQA99" s="1062"/>
      <c r="OQB99" s="1061"/>
      <c r="OQC99" s="1027"/>
      <c r="OQD99" s="2803"/>
      <c r="OQE99" s="2802"/>
      <c r="OQF99" s="2565"/>
      <c r="OQG99" s="2021"/>
      <c r="OQH99" s="1062"/>
      <c r="OQI99" s="1062"/>
      <c r="OQJ99" s="1061"/>
      <c r="OQK99" s="1027"/>
      <c r="OQL99" s="2803"/>
      <c r="OQM99" s="2802"/>
      <c r="OQN99" s="2565"/>
      <c r="OQO99" s="2021"/>
      <c r="OQP99" s="1062"/>
      <c r="OQQ99" s="1062"/>
      <c r="OQR99" s="1061"/>
      <c r="OQS99" s="1027"/>
      <c r="OQT99" s="2803"/>
      <c r="OQU99" s="2802"/>
      <c r="OQV99" s="2565"/>
      <c r="OQW99" s="2021"/>
      <c r="OQX99" s="1062"/>
      <c r="OQY99" s="1062"/>
      <c r="OQZ99" s="1061"/>
      <c r="ORA99" s="1027"/>
      <c r="ORB99" s="2803"/>
      <c r="ORC99" s="2802"/>
      <c r="ORD99" s="2565"/>
      <c r="ORE99" s="2021"/>
      <c r="ORF99" s="1062"/>
      <c r="ORG99" s="1062"/>
      <c r="ORH99" s="1061"/>
      <c r="ORI99" s="1027"/>
      <c r="ORJ99" s="2803"/>
      <c r="ORK99" s="2802"/>
      <c r="ORL99" s="2565"/>
      <c r="ORM99" s="2021"/>
      <c r="ORN99" s="1062"/>
      <c r="ORO99" s="1062"/>
      <c r="ORP99" s="1061"/>
      <c r="ORQ99" s="1027"/>
      <c r="ORR99" s="2803"/>
      <c r="ORS99" s="2802"/>
      <c r="ORT99" s="2565"/>
      <c r="ORU99" s="2021"/>
      <c r="ORV99" s="1062"/>
      <c r="ORW99" s="1062"/>
      <c r="ORX99" s="1061"/>
      <c r="ORY99" s="1027"/>
      <c r="ORZ99" s="2803"/>
      <c r="OSA99" s="2802"/>
      <c r="OSB99" s="2565"/>
      <c r="OSC99" s="2021"/>
      <c r="OSD99" s="1062"/>
      <c r="OSE99" s="1062"/>
      <c r="OSF99" s="1061"/>
      <c r="OSG99" s="1027"/>
      <c r="OSH99" s="2803"/>
      <c r="OSI99" s="2802"/>
      <c r="OSJ99" s="2565"/>
      <c r="OSK99" s="2021"/>
      <c r="OSL99" s="1062"/>
      <c r="OSM99" s="1062"/>
      <c r="OSN99" s="1061"/>
      <c r="OSO99" s="1027"/>
      <c r="OSP99" s="2803"/>
      <c r="OSQ99" s="2802"/>
      <c r="OSR99" s="2565"/>
      <c r="OSS99" s="2021"/>
      <c r="OST99" s="1062"/>
      <c r="OSU99" s="1062"/>
      <c r="OSV99" s="1061"/>
      <c r="OSW99" s="1027"/>
      <c r="OSX99" s="2803"/>
      <c r="OSY99" s="2802"/>
      <c r="OSZ99" s="2565"/>
      <c r="OTA99" s="2021"/>
      <c r="OTB99" s="1062"/>
      <c r="OTC99" s="1062"/>
      <c r="OTD99" s="1061"/>
      <c r="OTE99" s="1027"/>
      <c r="OTF99" s="2803"/>
      <c r="OTG99" s="2802"/>
      <c r="OTH99" s="2565"/>
      <c r="OTI99" s="2021"/>
      <c r="OTJ99" s="1062"/>
      <c r="OTK99" s="1062"/>
      <c r="OTL99" s="1061"/>
      <c r="OTM99" s="1027"/>
      <c r="OTN99" s="2803"/>
      <c r="OTO99" s="2802"/>
      <c r="OTP99" s="2565"/>
      <c r="OTQ99" s="2021"/>
      <c r="OTR99" s="1062"/>
      <c r="OTS99" s="1062"/>
      <c r="OTT99" s="1061"/>
      <c r="OTU99" s="1027"/>
      <c r="OTV99" s="2803"/>
      <c r="OTW99" s="2802"/>
      <c r="OTX99" s="2565"/>
      <c r="OTY99" s="2021"/>
      <c r="OTZ99" s="1062"/>
      <c r="OUA99" s="1062"/>
      <c r="OUB99" s="1061"/>
      <c r="OUC99" s="1027"/>
      <c r="OUD99" s="2803"/>
      <c r="OUE99" s="2802"/>
      <c r="OUF99" s="2565"/>
      <c r="OUG99" s="2021"/>
      <c r="OUH99" s="1062"/>
      <c r="OUI99" s="1062"/>
      <c r="OUJ99" s="1061"/>
      <c r="OUK99" s="1027"/>
      <c r="OUL99" s="2803"/>
      <c r="OUM99" s="2802"/>
      <c r="OUN99" s="2565"/>
      <c r="OUO99" s="2021"/>
      <c r="OUP99" s="1062"/>
      <c r="OUQ99" s="1062"/>
      <c r="OUR99" s="1061"/>
      <c r="OUS99" s="1027"/>
      <c r="OUT99" s="2803"/>
      <c r="OUU99" s="2802"/>
      <c r="OUV99" s="2565"/>
      <c r="OUW99" s="2021"/>
      <c r="OUX99" s="1062"/>
      <c r="OUY99" s="1062"/>
      <c r="OUZ99" s="1061"/>
      <c r="OVA99" s="1027"/>
      <c r="OVB99" s="2803"/>
      <c r="OVC99" s="2802"/>
      <c r="OVD99" s="2565"/>
      <c r="OVE99" s="2021"/>
      <c r="OVF99" s="1062"/>
      <c r="OVG99" s="1062"/>
      <c r="OVH99" s="1061"/>
      <c r="OVI99" s="1027"/>
      <c r="OVJ99" s="2803"/>
      <c r="OVK99" s="2802"/>
      <c r="OVL99" s="2565"/>
      <c r="OVM99" s="2021"/>
      <c r="OVN99" s="1062"/>
      <c r="OVO99" s="1062"/>
      <c r="OVP99" s="1061"/>
      <c r="OVQ99" s="1027"/>
      <c r="OVR99" s="2803"/>
      <c r="OVS99" s="2802"/>
      <c r="OVT99" s="2565"/>
      <c r="OVU99" s="2021"/>
      <c r="OVV99" s="1062"/>
      <c r="OVW99" s="1062"/>
      <c r="OVX99" s="1061"/>
      <c r="OVY99" s="1027"/>
      <c r="OVZ99" s="2803"/>
      <c r="OWA99" s="2802"/>
      <c r="OWB99" s="2565"/>
      <c r="OWC99" s="2021"/>
      <c r="OWD99" s="1062"/>
      <c r="OWE99" s="1062"/>
      <c r="OWF99" s="1061"/>
      <c r="OWG99" s="1027"/>
      <c r="OWH99" s="2803"/>
      <c r="OWI99" s="2802"/>
      <c r="OWJ99" s="2565"/>
      <c r="OWK99" s="2021"/>
      <c r="OWL99" s="1062"/>
      <c r="OWM99" s="1062"/>
      <c r="OWN99" s="1061"/>
      <c r="OWO99" s="1027"/>
      <c r="OWP99" s="2803"/>
      <c r="OWQ99" s="2802"/>
      <c r="OWR99" s="2565"/>
      <c r="OWS99" s="2021"/>
      <c r="OWT99" s="1062"/>
      <c r="OWU99" s="1062"/>
      <c r="OWV99" s="1061"/>
      <c r="OWW99" s="1027"/>
      <c r="OWX99" s="2803"/>
      <c r="OWY99" s="2802"/>
      <c r="OWZ99" s="2565"/>
      <c r="OXA99" s="2021"/>
      <c r="OXB99" s="1062"/>
      <c r="OXC99" s="1062"/>
      <c r="OXD99" s="1061"/>
      <c r="OXE99" s="1027"/>
      <c r="OXF99" s="2803"/>
      <c r="OXG99" s="2802"/>
      <c r="OXH99" s="2565"/>
      <c r="OXI99" s="2021"/>
      <c r="OXJ99" s="1062"/>
      <c r="OXK99" s="1062"/>
      <c r="OXL99" s="1061"/>
      <c r="OXM99" s="1027"/>
      <c r="OXN99" s="2803"/>
      <c r="OXO99" s="2802"/>
      <c r="OXP99" s="2565"/>
      <c r="OXQ99" s="2021"/>
      <c r="OXR99" s="1062"/>
      <c r="OXS99" s="1062"/>
      <c r="OXT99" s="1061"/>
      <c r="OXU99" s="1027"/>
      <c r="OXV99" s="2803"/>
      <c r="OXW99" s="2802"/>
      <c r="OXX99" s="2565"/>
      <c r="OXY99" s="2021"/>
      <c r="OXZ99" s="1062"/>
      <c r="OYA99" s="1062"/>
      <c r="OYB99" s="1061"/>
      <c r="OYC99" s="1027"/>
      <c r="OYD99" s="2803"/>
      <c r="OYE99" s="2802"/>
      <c r="OYF99" s="2565"/>
      <c r="OYG99" s="2021"/>
      <c r="OYH99" s="1062"/>
      <c r="OYI99" s="1062"/>
      <c r="OYJ99" s="1061"/>
      <c r="OYK99" s="1027"/>
      <c r="OYL99" s="2803"/>
      <c r="OYM99" s="2802"/>
      <c r="OYN99" s="2565"/>
      <c r="OYO99" s="2021"/>
      <c r="OYP99" s="1062"/>
      <c r="OYQ99" s="1062"/>
      <c r="OYR99" s="1061"/>
      <c r="OYS99" s="1027"/>
      <c r="OYT99" s="2803"/>
      <c r="OYU99" s="2802"/>
      <c r="OYV99" s="2565"/>
      <c r="OYW99" s="2021"/>
      <c r="OYX99" s="1062"/>
      <c r="OYY99" s="1062"/>
      <c r="OYZ99" s="1061"/>
      <c r="OZA99" s="1027"/>
      <c r="OZB99" s="2803"/>
      <c r="OZC99" s="2802"/>
      <c r="OZD99" s="2565"/>
      <c r="OZE99" s="2021"/>
      <c r="OZF99" s="1062"/>
      <c r="OZG99" s="1062"/>
      <c r="OZH99" s="1061"/>
      <c r="OZI99" s="1027"/>
      <c r="OZJ99" s="2803"/>
      <c r="OZK99" s="2802"/>
      <c r="OZL99" s="2565"/>
      <c r="OZM99" s="2021"/>
      <c r="OZN99" s="1062"/>
      <c r="OZO99" s="1062"/>
      <c r="OZP99" s="1061"/>
      <c r="OZQ99" s="1027"/>
      <c r="OZR99" s="2803"/>
      <c r="OZS99" s="2802"/>
      <c r="OZT99" s="2565"/>
      <c r="OZU99" s="2021"/>
      <c r="OZV99" s="1062"/>
      <c r="OZW99" s="1062"/>
      <c r="OZX99" s="1061"/>
      <c r="OZY99" s="1027"/>
      <c r="OZZ99" s="2803"/>
      <c r="PAA99" s="2802"/>
      <c r="PAB99" s="2565"/>
      <c r="PAC99" s="2021"/>
      <c r="PAD99" s="1062"/>
      <c r="PAE99" s="1062"/>
      <c r="PAF99" s="1061"/>
      <c r="PAG99" s="1027"/>
      <c r="PAH99" s="2803"/>
      <c r="PAI99" s="2802"/>
      <c r="PAJ99" s="2565"/>
      <c r="PAK99" s="2021"/>
      <c r="PAL99" s="1062"/>
      <c r="PAM99" s="1062"/>
      <c r="PAN99" s="1061"/>
      <c r="PAO99" s="1027"/>
      <c r="PAP99" s="2803"/>
      <c r="PAQ99" s="2802"/>
      <c r="PAR99" s="2565"/>
      <c r="PAS99" s="2021"/>
      <c r="PAT99" s="1062"/>
      <c r="PAU99" s="1062"/>
      <c r="PAV99" s="1061"/>
      <c r="PAW99" s="1027"/>
      <c r="PAX99" s="2803"/>
      <c r="PAY99" s="2802"/>
      <c r="PAZ99" s="2565"/>
      <c r="PBA99" s="2021"/>
      <c r="PBB99" s="1062"/>
      <c r="PBC99" s="1062"/>
      <c r="PBD99" s="1061"/>
      <c r="PBE99" s="1027"/>
      <c r="PBF99" s="2803"/>
      <c r="PBG99" s="2802"/>
      <c r="PBH99" s="2565"/>
      <c r="PBI99" s="2021"/>
      <c r="PBJ99" s="1062"/>
      <c r="PBK99" s="1062"/>
      <c r="PBL99" s="1061"/>
      <c r="PBM99" s="1027"/>
      <c r="PBN99" s="2803"/>
      <c r="PBO99" s="2802"/>
      <c r="PBP99" s="2565"/>
      <c r="PBQ99" s="2021"/>
      <c r="PBR99" s="1062"/>
      <c r="PBS99" s="1062"/>
      <c r="PBT99" s="1061"/>
      <c r="PBU99" s="1027"/>
      <c r="PBV99" s="2803"/>
      <c r="PBW99" s="2802"/>
      <c r="PBX99" s="2565"/>
      <c r="PBY99" s="2021"/>
      <c r="PBZ99" s="1062"/>
      <c r="PCA99" s="1062"/>
      <c r="PCB99" s="1061"/>
      <c r="PCC99" s="1027"/>
      <c r="PCD99" s="2803"/>
      <c r="PCE99" s="2802"/>
      <c r="PCF99" s="2565"/>
      <c r="PCG99" s="2021"/>
      <c r="PCH99" s="1062"/>
      <c r="PCI99" s="1062"/>
      <c r="PCJ99" s="1061"/>
      <c r="PCK99" s="1027"/>
      <c r="PCL99" s="2803"/>
      <c r="PCM99" s="2802"/>
      <c r="PCN99" s="2565"/>
      <c r="PCO99" s="2021"/>
      <c r="PCP99" s="1062"/>
      <c r="PCQ99" s="1062"/>
      <c r="PCR99" s="1061"/>
      <c r="PCS99" s="1027"/>
      <c r="PCT99" s="2803"/>
      <c r="PCU99" s="2802"/>
      <c r="PCV99" s="2565"/>
      <c r="PCW99" s="2021"/>
      <c r="PCX99" s="1062"/>
      <c r="PCY99" s="1062"/>
      <c r="PCZ99" s="1061"/>
      <c r="PDA99" s="1027"/>
      <c r="PDB99" s="2803"/>
      <c r="PDC99" s="2802"/>
      <c r="PDD99" s="2565"/>
      <c r="PDE99" s="2021"/>
      <c r="PDF99" s="1062"/>
      <c r="PDG99" s="1062"/>
      <c r="PDH99" s="1061"/>
      <c r="PDI99" s="1027"/>
      <c r="PDJ99" s="2803"/>
      <c r="PDK99" s="2802"/>
      <c r="PDL99" s="2565"/>
      <c r="PDM99" s="2021"/>
      <c r="PDN99" s="1062"/>
      <c r="PDO99" s="1062"/>
      <c r="PDP99" s="1061"/>
      <c r="PDQ99" s="1027"/>
      <c r="PDR99" s="2803"/>
      <c r="PDS99" s="2802"/>
      <c r="PDT99" s="2565"/>
      <c r="PDU99" s="2021"/>
      <c r="PDV99" s="1062"/>
      <c r="PDW99" s="1062"/>
      <c r="PDX99" s="1061"/>
      <c r="PDY99" s="1027"/>
      <c r="PDZ99" s="2803"/>
      <c r="PEA99" s="2802"/>
      <c r="PEB99" s="2565"/>
      <c r="PEC99" s="2021"/>
      <c r="PED99" s="1062"/>
      <c r="PEE99" s="1062"/>
      <c r="PEF99" s="1061"/>
      <c r="PEG99" s="1027"/>
      <c r="PEH99" s="2803"/>
      <c r="PEI99" s="2802"/>
      <c r="PEJ99" s="2565"/>
      <c r="PEK99" s="2021"/>
      <c r="PEL99" s="1062"/>
      <c r="PEM99" s="1062"/>
      <c r="PEN99" s="1061"/>
      <c r="PEO99" s="1027"/>
      <c r="PEP99" s="2803"/>
      <c r="PEQ99" s="2802"/>
      <c r="PER99" s="2565"/>
      <c r="PES99" s="2021"/>
      <c r="PET99" s="1062"/>
      <c r="PEU99" s="1062"/>
      <c r="PEV99" s="1061"/>
      <c r="PEW99" s="1027"/>
      <c r="PEX99" s="2803"/>
      <c r="PEY99" s="2802"/>
      <c r="PEZ99" s="2565"/>
      <c r="PFA99" s="2021"/>
      <c r="PFB99" s="1062"/>
      <c r="PFC99" s="1062"/>
      <c r="PFD99" s="1061"/>
      <c r="PFE99" s="1027"/>
      <c r="PFF99" s="2803"/>
      <c r="PFG99" s="2802"/>
      <c r="PFH99" s="2565"/>
      <c r="PFI99" s="2021"/>
      <c r="PFJ99" s="1062"/>
      <c r="PFK99" s="1062"/>
      <c r="PFL99" s="1061"/>
      <c r="PFM99" s="1027"/>
      <c r="PFN99" s="2803"/>
      <c r="PFO99" s="2802"/>
      <c r="PFP99" s="2565"/>
      <c r="PFQ99" s="2021"/>
      <c r="PFR99" s="1062"/>
      <c r="PFS99" s="1062"/>
      <c r="PFT99" s="1061"/>
      <c r="PFU99" s="1027"/>
      <c r="PFV99" s="2803"/>
      <c r="PFW99" s="2802"/>
      <c r="PFX99" s="2565"/>
      <c r="PFY99" s="2021"/>
      <c r="PFZ99" s="1062"/>
      <c r="PGA99" s="1062"/>
      <c r="PGB99" s="1061"/>
      <c r="PGC99" s="1027"/>
      <c r="PGD99" s="2803"/>
      <c r="PGE99" s="2802"/>
      <c r="PGF99" s="2565"/>
      <c r="PGG99" s="2021"/>
      <c r="PGH99" s="1062"/>
      <c r="PGI99" s="1062"/>
      <c r="PGJ99" s="1061"/>
      <c r="PGK99" s="1027"/>
      <c r="PGL99" s="2803"/>
      <c r="PGM99" s="2802"/>
      <c r="PGN99" s="2565"/>
      <c r="PGO99" s="2021"/>
      <c r="PGP99" s="1062"/>
      <c r="PGQ99" s="1062"/>
      <c r="PGR99" s="1061"/>
      <c r="PGS99" s="1027"/>
      <c r="PGT99" s="2803"/>
      <c r="PGU99" s="2802"/>
      <c r="PGV99" s="2565"/>
      <c r="PGW99" s="2021"/>
      <c r="PGX99" s="1062"/>
      <c r="PGY99" s="1062"/>
      <c r="PGZ99" s="1061"/>
      <c r="PHA99" s="1027"/>
      <c r="PHB99" s="2803"/>
      <c r="PHC99" s="2802"/>
      <c r="PHD99" s="2565"/>
      <c r="PHE99" s="2021"/>
      <c r="PHF99" s="1062"/>
      <c r="PHG99" s="1062"/>
      <c r="PHH99" s="1061"/>
      <c r="PHI99" s="1027"/>
      <c r="PHJ99" s="2803"/>
      <c r="PHK99" s="2802"/>
      <c r="PHL99" s="2565"/>
      <c r="PHM99" s="2021"/>
      <c r="PHN99" s="1062"/>
      <c r="PHO99" s="1062"/>
      <c r="PHP99" s="1061"/>
      <c r="PHQ99" s="1027"/>
      <c r="PHR99" s="2803"/>
      <c r="PHS99" s="2802"/>
      <c r="PHT99" s="2565"/>
      <c r="PHU99" s="2021"/>
      <c r="PHV99" s="1062"/>
      <c r="PHW99" s="1062"/>
      <c r="PHX99" s="1061"/>
      <c r="PHY99" s="1027"/>
      <c r="PHZ99" s="2803"/>
      <c r="PIA99" s="2802"/>
      <c r="PIB99" s="2565"/>
      <c r="PIC99" s="2021"/>
      <c r="PID99" s="1062"/>
      <c r="PIE99" s="1062"/>
      <c r="PIF99" s="1061"/>
      <c r="PIG99" s="1027"/>
      <c r="PIH99" s="2803"/>
      <c r="PII99" s="2802"/>
      <c r="PIJ99" s="2565"/>
      <c r="PIK99" s="2021"/>
      <c r="PIL99" s="1062"/>
      <c r="PIM99" s="1062"/>
      <c r="PIN99" s="1061"/>
      <c r="PIO99" s="1027"/>
      <c r="PIP99" s="2803"/>
      <c r="PIQ99" s="2802"/>
      <c r="PIR99" s="2565"/>
      <c r="PIS99" s="2021"/>
      <c r="PIT99" s="1062"/>
      <c r="PIU99" s="1062"/>
      <c r="PIV99" s="1061"/>
      <c r="PIW99" s="1027"/>
      <c r="PIX99" s="2803"/>
      <c r="PIY99" s="2802"/>
      <c r="PIZ99" s="2565"/>
      <c r="PJA99" s="2021"/>
      <c r="PJB99" s="1062"/>
      <c r="PJC99" s="1062"/>
      <c r="PJD99" s="1061"/>
      <c r="PJE99" s="1027"/>
      <c r="PJF99" s="2803"/>
      <c r="PJG99" s="2802"/>
      <c r="PJH99" s="2565"/>
      <c r="PJI99" s="2021"/>
      <c r="PJJ99" s="1062"/>
      <c r="PJK99" s="1062"/>
      <c r="PJL99" s="1061"/>
      <c r="PJM99" s="1027"/>
      <c r="PJN99" s="2803"/>
      <c r="PJO99" s="2802"/>
      <c r="PJP99" s="2565"/>
      <c r="PJQ99" s="2021"/>
      <c r="PJR99" s="1062"/>
      <c r="PJS99" s="1062"/>
      <c r="PJT99" s="1061"/>
      <c r="PJU99" s="1027"/>
      <c r="PJV99" s="2803"/>
      <c r="PJW99" s="2802"/>
      <c r="PJX99" s="2565"/>
      <c r="PJY99" s="2021"/>
      <c r="PJZ99" s="1062"/>
      <c r="PKA99" s="1062"/>
      <c r="PKB99" s="1061"/>
      <c r="PKC99" s="1027"/>
      <c r="PKD99" s="2803"/>
      <c r="PKE99" s="2802"/>
      <c r="PKF99" s="2565"/>
      <c r="PKG99" s="2021"/>
      <c r="PKH99" s="1062"/>
      <c r="PKI99" s="1062"/>
      <c r="PKJ99" s="1061"/>
      <c r="PKK99" s="1027"/>
      <c r="PKL99" s="2803"/>
      <c r="PKM99" s="2802"/>
      <c r="PKN99" s="2565"/>
      <c r="PKO99" s="2021"/>
      <c r="PKP99" s="1062"/>
      <c r="PKQ99" s="1062"/>
      <c r="PKR99" s="1061"/>
      <c r="PKS99" s="1027"/>
      <c r="PKT99" s="2803"/>
      <c r="PKU99" s="2802"/>
      <c r="PKV99" s="2565"/>
      <c r="PKW99" s="2021"/>
      <c r="PKX99" s="1062"/>
      <c r="PKY99" s="1062"/>
      <c r="PKZ99" s="1061"/>
      <c r="PLA99" s="1027"/>
      <c r="PLB99" s="2803"/>
      <c r="PLC99" s="2802"/>
      <c r="PLD99" s="2565"/>
      <c r="PLE99" s="2021"/>
      <c r="PLF99" s="1062"/>
      <c r="PLG99" s="1062"/>
      <c r="PLH99" s="1061"/>
      <c r="PLI99" s="1027"/>
      <c r="PLJ99" s="2803"/>
      <c r="PLK99" s="2802"/>
      <c r="PLL99" s="2565"/>
      <c r="PLM99" s="2021"/>
      <c r="PLN99" s="1062"/>
      <c r="PLO99" s="1062"/>
      <c r="PLP99" s="1061"/>
      <c r="PLQ99" s="1027"/>
      <c r="PLR99" s="2803"/>
      <c r="PLS99" s="2802"/>
      <c r="PLT99" s="2565"/>
      <c r="PLU99" s="2021"/>
      <c r="PLV99" s="1062"/>
      <c r="PLW99" s="1062"/>
      <c r="PLX99" s="1061"/>
      <c r="PLY99" s="1027"/>
      <c r="PLZ99" s="2803"/>
      <c r="PMA99" s="2802"/>
      <c r="PMB99" s="2565"/>
      <c r="PMC99" s="2021"/>
      <c r="PMD99" s="1062"/>
      <c r="PME99" s="1062"/>
      <c r="PMF99" s="1061"/>
      <c r="PMG99" s="1027"/>
      <c r="PMH99" s="2803"/>
      <c r="PMI99" s="2802"/>
      <c r="PMJ99" s="2565"/>
      <c r="PMK99" s="2021"/>
      <c r="PML99" s="1062"/>
      <c r="PMM99" s="1062"/>
      <c r="PMN99" s="1061"/>
      <c r="PMO99" s="1027"/>
      <c r="PMP99" s="2803"/>
      <c r="PMQ99" s="2802"/>
      <c r="PMR99" s="2565"/>
      <c r="PMS99" s="2021"/>
      <c r="PMT99" s="1062"/>
      <c r="PMU99" s="1062"/>
      <c r="PMV99" s="1061"/>
      <c r="PMW99" s="1027"/>
      <c r="PMX99" s="2803"/>
      <c r="PMY99" s="2802"/>
      <c r="PMZ99" s="2565"/>
      <c r="PNA99" s="2021"/>
      <c r="PNB99" s="1062"/>
      <c r="PNC99" s="1062"/>
      <c r="PND99" s="1061"/>
      <c r="PNE99" s="1027"/>
      <c r="PNF99" s="2803"/>
      <c r="PNG99" s="2802"/>
      <c r="PNH99" s="2565"/>
      <c r="PNI99" s="2021"/>
      <c r="PNJ99" s="1062"/>
      <c r="PNK99" s="1062"/>
      <c r="PNL99" s="1061"/>
      <c r="PNM99" s="1027"/>
      <c r="PNN99" s="2803"/>
      <c r="PNO99" s="2802"/>
      <c r="PNP99" s="2565"/>
      <c r="PNQ99" s="2021"/>
      <c r="PNR99" s="1062"/>
      <c r="PNS99" s="1062"/>
      <c r="PNT99" s="1061"/>
      <c r="PNU99" s="1027"/>
      <c r="PNV99" s="2803"/>
      <c r="PNW99" s="2802"/>
      <c r="PNX99" s="2565"/>
      <c r="PNY99" s="2021"/>
      <c r="PNZ99" s="1062"/>
      <c r="POA99" s="1062"/>
      <c r="POB99" s="1061"/>
      <c r="POC99" s="1027"/>
      <c r="POD99" s="2803"/>
      <c r="POE99" s="2802"/>
      <c r="POF99" s="2565"/>
      <c r="POG99" s="2021"/>
      <c r="POH99" s="1062"/>
      <c r="POI99" s="1062"/>
      <c r="POJ99" s="1061"/>
      <c r="POK99" s="1027"/>
      <c r="POL99" s="2803"/>
      <c r="POM99" s="2802"/>
      <c r="PON99" s="2565"/>
      <c r="POO99" s="2021"/>
      <c r="POP99" s="1062"/>
      <c r="POQ99" s="1062"/>
      <c r="POR99" s="1061"/>
      <c r="POS99" s="1027"/>
      <c r="POT99" s="2803"/>
      <c r="POU99" s="2802"/>
      <c r="POV99" s="2565"/>
      <c r="POW99" s="2021"/>
      <c r="POX99" s="1062"/>
      <c r="POY99" s="1062"/>
      <c r="POZ99" s="1061"/>
      <c r="PPA99" s="1027"/>
      <c r="PPB99" s="2803"/>
      <c r="PPC99" s="2802"/>
      <c r="PPD99" s="2565"/>
      <c r="PPE99" s="2021"/>
      <c r="PPF99" s="1062"/>
      <c r="PPG99" s="1062"/>
      <c r="PPH99" s="1061"/>
      <c r="PPI99" s="1027"/>
      <c r="PPJ99" s="2803"/>
      <c r="PPK99" s="2802"/>
      <c r="PPL99" s="2565"/>
      <c r="PPM99" s="2021"/>
      <c r="PPN99" s="1062"/>
      <c r="PPO99" s="1062"/>
      <c r="PPP99" s="1061"/>
      <c r="PPQ99" s="1027"/>
      <c r="PPR99" s="2803"/>
      <c r="PPS99" s="2802"/>
      <c r="PPT99" s="2565"/>
      <c r="PPU99" s="2021"/>
      <c r="PPV99" s="1062"/>
      <c r="PPW99" s="1062"/>
      <c r="PPX99" s="1061"/>
      <c r="PPY99" s="1027"/>
      <c r="PPZ99" s="2803"/>
      <c r="PQA99" s="2802"/>
      <c r="PQB99" s="2565"/>
      <c r="PQC99" s="2021"/>
      <c r="PQD99" s="1062"/>
      <c r="PQE99" s="1062"/>
      <c r="PQF99" s="1061"/>
      <c r="PQG99" s="1027"/>
      <c r="PQH99" s="2803"/>
      <c r="PQI99" s="2802"/>
      <c r="PQJ99" s="2565"/>
      <c r="PQK99" s="2021"/>
      <c r="PQL99" s="1062"/>
      <c r="PQM99" s="1062"/>
      <c r="PQN99" s="1061"/>
      <c r="PQO99" s="1027"/>
      <c r="PQP99" s="2803"/>
      <c r="PQQ99" s="2802"/>
      <c r="PQR99" s="2565"/>
      <c r="PQS99" s="2021"/>
      <c r="PQT99" s="1062"/>
      <c r="PQU99" s="1062"/>
      <c r="PQV99" s="1061"/>
      <c r="PQW99" s="1027"/>
      <c r="PQX99" s="2803"/>
      <c r="PQY99" s="2802"/>
      <c r="PQZ99" s="2565"/>
      <c r="PRA99" s="2021"/>
      <c r="PRB99" s="1062"/>
      <c r="PRC99" s="1062"/>
      <c r="PRD99" s="1061"/>
      <c r="PRE99" s="1027"/>
      <c r="PRF99" s="2803"/>
      <c r="PRG99" s="2802"/>
      <c r="PRH99" s="2565"/>
      <c r="PRI99" s="2021"/>
      <c r="PRJ99" s="1062"/>
      <c r="PRK99" s="1062"/>
      <c r="PRL99" s="1061"/>
      <c r="PRM99" s="1027"/>
      <c r="PRN99" s="2803"/>
      <c r="PRO99" s="2802"/>
      <c r="PRP99" s="2565"/>
      <c r="PRQ99" s="2021"/>
      <c r="PRR99" s="1062"/>
      <c r="PRS99" s="1062"/>
      <c r="PRT99" s="1061"/>
      <c r="PRU99" s="1027"/>
      <c r="PRV99" s="2803"/>
      <c r="PRW99" s="2802"/>
      <c r="PRX99" s="2565"/>
      <c r="PRY99" s="2021"/>
      <c r="PRZ99" s="1062"/>
      <c r="PSA99" s="1062"/>
      <c r="PSB99" s="1061"/>
      <c r="PSC99" s="1027"/>
      <c r="PSD99" s="2803"/>
      <c r="PSE99" s="2802"/>
      <c r="PSF99" s="2565"/>
      <c r="PSG99" s="2021"/>
      <c r="PSH99" s="1062"/>
      <c r="PSI99" s="1062"/>
      <c r="PSJ99" s="1061"/>
      <c r="PSK99" s="1027"/>
      <c r="PSL99" s="2803"/>
      <c r="PSM99" s="2802"/>
      <c r="PSN99" s="2565"/>
      <c r="PSO99" s="2021"/>
      <c r="PSP99" s="1062"/>
      <c r="PSQ99" s="1062"/>
      <c r="PSR99" s="1061"/>
      <c r="PSS99" s="1027"/>
      <c r="PST99" s="2803"/>
      <c r="PSU99" s="2802"/>
      <c r="PSV99" s="2565"/>
      <c r="PSW99" s="2021"/>
      <c r="PSX99" s="1062"/>
      <c r="PSY99" s="1062"/>
      <c r="PSZ99" s="1061"/>
      <c r="PTA99" s="1027"/>
      <c r="PTB99" s="2803"/>
      <c r="PTC99" s="2802"/>
      <c r="PTD99" s="2565"/>
      <c r="PTE99" s="2021"/>
      <c r="PTF99" s="1062"/>
      <c r="PTG99" s="1062"/>
      <c r="PTH99" s="1061"/>
      <c r="PTI99" s="1027"/>
      <c r="PTJ99" s="2803"/>
      <c r="PTK99" s="2802"/>
      <c r="PTL99" s="2565"/>
      <c r="PTM99" s="2021"/>
      <c r="PTN99" s="1062"/>
      <c r="PTO99" s="1062"/>
      <c r="PTP99" s="1061"/>
      <c r="PTQ99" s="1027"/>
      <c r="PTR99" s="2803"/>
      <c r="PTS99" s="2802"/>
      <c r="PTT99" s="2565"/>
      <c r="PTU99" s="2021"/>
      <c r="PTV99" s="1062"/>
      <c r="PTW99" s="1062"/>
      <c r="PTX99" s="1061"/>
      <c r="PTY99" s="1027"/>
      <c r="PTZ99" s="2803"/>
      <c r="PUA99" s="2802"/>
      <c r="PUB99" s="2565"/>
      <c r="PUC99" s="2021"/>
      <c r="PUD99" s="1062"/>
      <c r="PUE99" s="1062"/>
      <c r="PUF99" s="1061"/>
      <c r="PUG99" s="1027"/>
      <c r="PUH99" s="2803"/>
      <c r="PUI99" s="2802"/>
      <c r="PUJ99" s="2565"/>
      <c r="PUK99" s="2021"/>
      <c r="PUL99" s="1062"/>
      <c r="PUM99" s="1062"/>
      <c r="PUN99" s="1061"/>
      <c r="PUO99" s="1027"/>
      <c r="PUP99" s="2803"/>
      <c r="PUQ99" s="2802"/>
      <c r="PUR99" s="2565"/>
      <c r="PUS99" s="2021"/>
      <c r="PUT99" s="1062"/>
      <c r="PUU99" s="1062"/>
      <c r="PUV99" s="1061"/>
      <c r="PUW99" s="1027"/>
      <c r="PUX99" s="2803"/>
      <c r="PUY99" s="2802"/>
      <c r="PUZ99" s="2565"/>
      <c r="PVA99" s="2021"/>
      <c r="PVB99" s="1062"/>
      <c r="PVC99" s="1062"/>
      <c r="PVD99" s="1061"/>
      <c r="PVE99" s="1027"/>
      <c r="PVF99" s="2803"/>
      <c r="PVG99" s="2802"/>
      <c r="PVH99" s="2565"/>
      <c r="PVI99" s="2021"/>
      <c r="PVJ99" s="1062"/>
      <c r="PVK99" s="1062"/>
      <c r="PVL99" s="1061"/>
      <c r="PVM99" s="1027"/>
      <c r="PVN99" s="2803"/>
      <c r="PVO99" s="2802"/>
      <c r="PVP99" s="2565"/>
      <c r="PVQ99" s="2021"/>
      <c r="PVR99" s="1062"/>
      <c r="PVS99" s="1062"/>
      <c r="PVT99" s="1061"/>
      <c r="PVU99" s="1027"/>
      <c r="PVV99" s="2803"/>
      <c r="PVW99" s="2802"/>
      <c r="PVX99" s="2565"/>
      <c r="PVY99" s="2021"/>
      <c r="PVZ99" s="1062"/>
      <c r="PWA99" s="1062"/>
      <c r="PWB99" s="1061"/>
      <c r="PWC99" s="1027"/>
      <c r="PWD99" s="2803"/>
      <c r="PWE99" s="2802"/>
      <c r="PWF99" s="2565"/>
      <c r="PWG99" s="2021"/>
      <c r="PWH99" s="1062"/>
      <c r="PWI99" s="1062"/>
      <c r="PWJ99" s="1061"/>
      <c r="PWK99" s="1027"/>
      <c r="PWL99" s="2803"/>
      <c r="PWM99" s="2802"/>
      <c r="PWN99" s="2565"/>
      <c r="PWO99" s="2021"/>
      <c r="PWP99" s="1062"/>
      <c r="PWQ99" s="1062"/>
      <c r="PWR99" s="1061"/>
      <c r="PWS99" s="1027"/>
      <c r="PWT99" s="2803"/>
      <c r="PWU99" s="2802"/>
      <c r="PWV99" s="2565"/>
      <c r="PWW99" s="2021"/>
      <c r="PWX99" s="1062"/>
      <c r="PWY99" s="1062"/>
      <c r="PWZ99" s="1061"/>
      <c r="PXA99" s="1027"/>
      <c r="PXB99" s="2803"/>
      <c r="PXC99" s="2802"/>
      <c r="PXD99" s="2565"/>
      <c r="PXE99" s="2021"/>
      <c r="PXF99" s="1062"/>
      <c r="PXG99" s="1062"/>
      <c r="PXH99" s="1061"/>
      <c r="PXI99" s="1027"/>
      <c r="PXJ99" s="2803"/>
      <c r="PXK99" s="2802"/>
      <c r="PXL99" s="2565"/>
      <c r="PXM99" s="2021"/>
      <c r="PXN99" s="1062"/>
      <c r="PXO99" s="1062"/>
      <c r="PXP99" s="1061"/>
      <c r="PXQ99" s="1027"/>
      <c r="PXR99" s="2803"/>
      <c r="PXS99" s="2802"/>
      <c r="PXT99" s="2565"/>
      <c r="PXU99" s="2021"/>
      <c r="PXV99" s="1062"/>
      <c r="PXW99" s="1062"/>
      <c r="PXX99" s="1061"/>
      <c r="PXY99" s="1027"/>
      <c r="PXZ99" s="2803"/>
      <c r="PYA99" s="2802"/>
      <c r="PYB99" s="2565"/>
      <c r="PYC99" s="2021"/>
      <c r="PYD99" s="1062"/>
      <c r="PYE99" s="1062"/>
      <c r="PYF99" s="1061"/>
      <c r="PYG99" s="1027"/>
      <c r="PYH99" s="2803"/>
      <c r="PYI99" s="2802"/>
      <c r="PYJ99" s="2565"/>
      <c r="PYK99" s="2021"/>
      <c r="PYL99" s="1062"/>
      <c r="PYM99" s="1062"/>
      <c r="PYN99" s="1061"/>
      <c r="PYO99" s="1027"/>
      <c r="PYP99" s="2803"/>
      <c r="PYQ99" s="2802"/>
      <c r="PYR99" s="2565"/>
      <c r="PYS99" s="2021"/>
      <c r="PYT99" s="1062"/>
      <c r="PYU99" s="1062"/>
      <c r="PYV99" s="1061"/>
      <c r="PYW99" s="1027"/>
      <c r="PYX99" s="2803"/>
      <c r="PYY99" s="2802"/>
      <c r="PYZ99" s="2565"/>
      <c r="PZA99" s="2021"/>
      <c r="PZB99" s="1062"/>
      <c r="PZC99" s="1062"/>
      <c r="PZD99" s="1061"/>
      <c r="PZE99" s="1027"/>
      <c r="PZF99" s="2803"/>
      <c r="PZG99" s="2802"/>
      <c r="PZH99" s="2565"/>
      <c r="PZI99" s="2021"/>
      <c r="PZJ99" s="1062"/>
      <c r="PZK99" s="1062"/>
      <c r="PZL99" s="1061"/>
      <c r="PZM99" s="1027"/>
      <c r="PZN99" s="2803"/>
      <c r="PZO99" s="2802"/>
      <c r="PZP99" s="2565"/>
      <c r="PZQ99" s="2021"/>
      <c r="PZR99" s="1062"/>
      <c r="PZS99" s="1062"/>
      <c r="PZT99" s="1061"/>
      <c r="PZU99" s="1027"/>
      <c r="PZV99" s="2803"/>
      <c r="PZW99" s="2802"/>
      <c r="PZX99" s="2565"/>
      <c r="PZY99" s="2021"/>
      <c r="PZZ99" s="1062"/>
      <c r="QAA99" s="1062"/>
      <c r="QAB99" s="1061"/>
      <c r="QAC99" s="1027"/>
      <c r="QAD99" s="2803"/>
      <c r="QAE99" s="2802"/>
      <c r="QAF99" s="2565"/>
      <c r="QAG99" s="2021"/>
      <c r="QAH99" s="1062"/>
      <c r="QAI99" s="1062"/>
      <c r="QAJ99" s="1061"/>
      <c r="QAK99" s="1027"/>
      <c r="QAL99" s="2803"/>
      <c r="QAM99" s="2802"/>
      <c r="QAN99" s="2565"/>
      <c r="QAO99" s="2021"/>
      <c r="QAP99" s="1062"/>
      <c r="QAQ99" s="1062"/>
      <c r="QAR99" s="1061"/>
      <c r="QAS99" s="1027"/>
      <c r="QAT99" s="2803"/>
      <c r="QAU99" s="2802"/>
      <c r="QAV99" s="2565"/>
      <c r="QAW99" s="2021"/>
      <c r="QAX99" s="1062"/>
      <c r="QAY99" s="1062"/>
      <c r="QAZ99" s="1061"/>
      <c r="QBA99" s="1027"/>
      <c r="QBB99" s="2803"/>
      <c r="QBC99" s="2802"/>
      <c r="QBD99" s="2565"/>
      <c r="QBE99" s="2021"/>
      <c r="QBF99" s="1062"/>
      <c r="QBG99" s="1062"/>
      <c r="QBH99" s="1061"/>
      <c r="QBI99" s="1027"/>
      <c r="QBJ99" s="2803"/>
      <c r="QBK99" s="2802"/>
      <c r="QBL99" s="2565"/>
      <c r="QBM99" s="2021"/>
      <c r="QBN99" s="1062"/>
      <c r="QBO99" s="1062"/>
      <c r="QBP99" s="1061"/>
      <c r="QBQ99" s="1027"/>
      <c r="QBR99" s="2803"/>
      <c r="QBS99" s="2802"/>
      <c r="QBT99" s="2565"/>
      <c r="QBU99" s="2021"/>
      <c r="QBV99" s="1062"/>
      <c r="QBW99" s="1062"/>
      <c r="QBX99" s="1061"/>
      <c r="QBY99" s="1027"/>
      <c r="QBZ99" s="2803"/>
      <c r="QCA99" s="2802"/>
      <c r="QCB99" s="2565"/>
      <c r="QCC99" s="2021"/>
      <c r="QCD99" s="1062"/>
      <c r="QCE99" s="1062"/>
      <c r="QCF99" s="1061"/>
      <c r="QCG99" s="1027"/>
      <c r="QCH99" s="2803"/>
      <c r="QCI99" s="2802"/>
      <c r="QCJ99" s="2565"/>
      <c r="QCK99" s="2021"/>
      <c r="QCL99" s="1062"/>
      <c r="QCM99" s="1062"/>
      <c r="QCN99" s="1061"/>
      <c r="QCO99" s="1027"/>
      <c r="QCP99" s="2803"/>
      <c r="QCQ99" s="2802"/>
      <c r="QCR99" s="2565"/>
      <c r="QCS99" s="2021"/>
      <c r="QCT99" s="1062"/>
      <c r="QCU99" s="1062"/>
      <c r="QCV99" s="1061"/>
      <c r="QCW99" s="1027"/>
      <c r="QCX99" s="2803"/>
      <c r="QCY99" s="2802"/>
      <c r="QCZ99" s="2565"/>
      <c r="QDA99" s="2021"/>
      <c r="QDB99" s="1062"/>
      <c r="QDC99" s="1062"/>
      <c r="QDD99" s="1061"/>
      <c r="QDE99" s="1027"/>
      <c r="QDF99" s="2803"/>
      <c r="QDG99" s="2802"/>
      <c r="QDH99" s="2565"/>
      <c r="QDI99" s="2021"/>
      <c r="QDJ99" s="1062"/>
      <c r="QDK99" s="1062"/>
      <c r="QDL99" s="1061"/>
      <c r="QDM99" s="1027"/>
      <c r="QDN99" s="2803"/>
      <c r="QDO99" s="2802"/>
      <c r="QDP99" s="2565"/>
      <c r="QDQ99" s="2021"/>
      <c r="QDR99" s="1062"/>
      <c r="QDS99" s="1062"/>
      <c r="QDT99" s="1061"/>
      <c r="QDU99" s="1027"/>
      <c r="QDV99" s="2803"/>
      <c r="QDW99" s="2802"/>
      <c r="QDX99" s="2565"/>
      <c r="QDY99" s="2021"/>
      <c r="QDZ99" s="1062"/>
      <c r="QEA99" s="1062"/>
      <c r="QEB99" s="1061"/>
      <c r="QEC99" s="1027"/>
      <c r="QED99" s="2803"/>
      <c r="QEE99" s="2802"/>
      <c r="QEF99" s="2565"/>
      <c r="QEG99" s="2021"/>
      <c r="QEH99" s="1062"/>
      <c r="QEI99" s="1062"/>
      <c r="QEJ99" s="1061"/>
      <c r="QEK99" s="1027"/>
      <c r="QEL99" s="2803"/>
      <c r="QEM99" s="2802"/>
      <c r="QEN99" s="2565"/>
      <c r="QEO99" s="2021"/>
      <c r="QEP99" s="1062"/>
      <c r="QEQ99" s="1062"/>
      <c r="QER99" s="1061"/>
      <c r="QES99" s="1027"/>
      <c r="QET99" s="2803"/>
      <c r="QEU99" s="2802"/>
      <c r="QEV99" s="2565"/>
      <c r="QEW99" s="2021"/>
      <c r="QEX99" s="1062"/>
      <c r="QEY99" s="1062"/>
      <c r="QEZ99" s="1061"/>
      <c r="QFA99" s="1027"/>
      <c r="QFB99" s="2803"/>
      <c r="QFC99" s="2802"/>
      <c r="QFD99" s="2565"/>
      <c r="QFE99" s="2021"/>
      <c r="QFF99" s="1062"/>
      <c r="QFG99" s="1062"/>
      <c r="QFH99" s="1061"/>
      <c r="QFI99" s="1027"/>
      <c r="QFJ99" s="2803"/>
      <c r="QFK99" s="2802"/>
      <c r="QFL99" s="2565"/>
      <c r="QFM99" s="2021"/>
      <c r="QFN99" s="1062"/>
      <c r="QFO99" s="1062"/>
      <c r="QFP99" s="1061"/>
      <c r="QFQ99" s="1027"/>
      <c r="QFR99" s="2803"/>
      <c r="QFS99" s="2802"/>
      <c r="QFT99" s="2565"/>
      <c r="QFU99" s="2021"/>
      <c r="QFV99" s="1062"/>
      <c r="QFW99" s="1062"/>
      <c r="QFX99" s="1061"/>
      <c r="QFY99" s="1027"/>
      <c r="QFZ99" s="2803"/>
      <c r="QGA99" s="2802"/>
      <c r="QGB99" s="2565"/>
      <c r="QGC99" s="2021"/>
      <c r="QGD99" s="1062"/>
      <c r="QGE99" s="1062"/>
      <c r="QGF99" s="1061"/>
      <c r="QGG99" s="1027"/>
      <c r="QGH99" s="2803"/>
      <c r="QGI99" s="2802"/>
      <c r="QGJ99" s="2565"/>
      <c r="QGK99" s="2021"/>
      <c r="QGL99" s="1062"/>
      <c r="QGM99" s="1062"/>
      <c r="QGN99" s="1061"/>
      <c r="QGO99" s="1027"/>
      <c r="QGP99" s="2803"/>
      <c r="QGQ99" s="2802"/>
      <c r="QGR99" s="2565"/>
      <c r="QGS99" s="2021"/>
      <c r="QGT99" s="1062"/>
      <c r="QGU99" s="1062"/>
      <c r="QGV99" s="1061"/>
      <c r="QGW99" s="1027"/>
      <c r="QGX99" s="2803"/>
      <c r="QGY99" s="2802"/>
      <c r="QGZ99" s="2565"/>
      <c r="QHA99" s="2021"/>
      <c r="QHB99" s="1062"/>
      <c r="QHC99" s="1062"/>
      <c r="QHD99" s="1061"/>
      <c r="QHE99" s="1027"/>
      <c r="QHF99" s="2803"/>
      <c r="QHG99" s="2802"/>
      <c r="QHH99" s="2565"/>
      <c r="QHI99" s="2021"/>
      <c r="QHJ99" s="1062"/>
      <c r="QHK99" s="1062"/>
      <c r="QHL99" s="1061"/>
      <c r="QHM99" s="1027"/>
      <c r="QHN99" s="2803"/>
      <c r="QHO99" s="2802"/>
      <c r="QHP99" s="2565"/>
      <c r="QHQ99" s="2021"/>
      <c r="QHR99" s="1062"/>
      <c r="QHS99" s="1062"/>
      <c r="QHT99" s="1061"/>
      <c r="QHU99" s="1027"/>
      <c r="QHV99" s="2803"/>
      <c r="QHW99" s="2802"/>
      <c r="QHX99" s="2565"/>
      <c r="QHY99" s="2021"/>
      <c r="QHZ99" s="1062"/>
      <c r="QIA99" s="1062"/>
      <c r="QIB99" s="1061"/>
      <c r="QIC99" s="1027"/>
      <c r="QID99" s="2803"/>
      <c r="QIE99" s="2802"/>
      <c r="QIF99" s="2565"/>
      <c r="QIG99" s="2021"/>
      <c r="QIH99" s="1062"/>
      <c r="QII99" s="1062"/>
      <c r="QIJ99" s="1061"/>
      <c r="QIK99" s="1027"/>
      <c r="QIL99" s="2803"/>
      <c r="QIM99" s="2802"/>
      <c r="QIN99" s="2565"/>
      <c r="QIO99" s="2021"/>
      <c r="QIP99" s="1062"/>
      <c r="QIQ99" s="1062"/>
      <c r="QIR99" s="1061"/>
      <c r="QIS99" s="1027"/>
      <c r="QIT99" s="2803"/>
      <c r="QIU99" s="2802"/>
      <c r="QIV99" s="2565"/>
      <c r="QIW99" s="2021"/>
      <c r="QIX99" s="1062"/>
      <c r="QIY99" s="1062"/>
      <c r="QIZ99" s="1061"/>
      <c r="QJA99" s="1027"/>
      <c r="QJB99" s="2803"/>
      <c r="QJC99" s="2802"/>
      <c r="QJD99" s="2565"/>
      <c r="QJE99" s="2021"/>
      <c r="QJF99" s="1062"/>
      <c r="QJG99" s="1062"/>
      <c r="QJH99" s="1061"/>
      <c r="QJI99" s="1027"/>
      <c r="QJJ99" s="2803"/>
      <c r="QJK99" s="2802"/>
      <c r="QJL99" s="2565"/>
      <c r="QJM99" s="2021"/>
      <c r="QJN99" s="1062"/>
      <c r="QJO99" s="1062"/>
      <c r="QJP99" s="1061"/>
      <c r="QJQ99" s="1027"/>
      <c r="QJR99" s="2803"/>
      <c r="QJS99" s="2802"/>
      <c r="QJT99" s="2565"/>
      <c r="QJU99" s="2021"/>
      <c r="QJV99" s="1062"/>
      <c r="QJW99" s="1062"/>
      <c r="QJX99" s="1061"/>
      <c r="QJY99" s="1027"/>
      <c r="QJZ99" s="2803"/>
      <c r="QKA99" s="2802"/>
      <c r="QKB99" s="2565"/>
      <c r="QKC99" s="2021"/>
      <c r="QKD99" s="1062"/>
      <c r="QKE99" s="1062"/>
      <c r="QKF99" s="1061"/>
      <c r="QKG99" s="1027"/>
      <c r="QKH99" s="2803"/>
      <c r="QKI99" s="2802"/>
      <c r="QKJ99" s="2565"/>
      <c r="QKK99" s="2021"/>
      <c r="QKL99" s="1062"/>
      <c r="QKM99" s="1062"/>
      <c r="QKN99" s="1061"/>
      <c r="QKO99" s="1027"/>
      <c r="QKP99" s="2803"/>
      <c r="QKQ99" s="2802"/>
      <c r="QKR99" s="2565"/>
      <c r="QKS99" s="2021"/>
      <c r="QKT99" s="1062"/>
      <c r="QKU99" s="1062"/>
      <c r="QKV99" s="1061"/>
      <c r="QKW99" s="1027"/>
      <c r="QKX99" s="2803"/>
      <c r="QKY99" s="2802"/>
      <c r="QKZ99" s="2565"/>
      <c r="QLA99" s="2021"/>
      <c r="QLB99" s="1062"/>
      <c r="QLC99" s="1062"/>
      <c r="QLD99" s="1061"/>
      <c r="QLE99" s="1027"/>
      <c r="QLF99" s="2803"/>
      <c r="QLG99" s="2802"/>
      <c r="QLH99" s="2565"/>
      <c r="QLI99" s="2021"/>
      <c r="QLJ99" s="1062"/>
      <c r="QLK99" s="1062"/>
      <c r="QLL99" s="1061"/>
      <c r="QLM99" s="1027"/>
      <c r="QLN99" s="2803"/>
      <c r="QLO99" s="2802"/>
      <c r="QLP99" s="2565"/>
      <c r="QLQ99" s="2021"/>
      <c r="QLR99" s="1062"/>
      <c r="QLS99" s="1062"/>
      <c r="QLT99" s="1061"/>
      <c r="QLU99" s="1027"/>
      <c r="QLV99" s="2803"/>
      <c r="QLW99" s="2802"/>
      <c r="QLX99" s="2565"/>
      <c r="QLY99" s="2021"/>
      <c r="QLZ99" s="1062"/>
      <c r="QMA99" s="1062"/>
      <c r="QMB99" s="1061"/>
      <c r="QMC99" s="1027"/>
      <c r="QMD99" s="2803"/>
      <c r="QME99" s="2802"/>
      <c r="QMF99" s="2565"/>
      <c r="QMG99" s="2021"/>
      <c r="QMH99" s="1062"/>
      <c r="QMI99" s="1062"/>
      <c r="QMJ99" s="1061"/>
      <c r="QMK99" s="1027"/>
      <c r="QML99" s="2803"/>
      <c r="QMM99" s="2802"/>
      <c r="QMN99" s="2565"/>
      <c r="QMO99" s="2021"/>
      <c r="QMP99" s="1062"/>
      <c r="QMQ99" s="1062"/>
      <c r="QMR99" s="1061"/>
      <c r="QMS99" s="1027"/>
      <c r="QMT99" s="2803"/>
      <c r="QMU99" s="2802"/>
      <c r="QMV99" s="2565"/>
      <c r="QMW99" s="2021"/>
      <c r="QMX99" s="1062"/>
      <c r="QMY99" s="1062"/>
      <c r="QMZ99" s="1061"/>
      <c r="QNA99" s="1027"/>
      <c r="QNB99" s="2803"/>
      <c r="QNC99" s="2802"/>
      <c r="QND99" s="2565"/>
      <c r="QNE99" s="2021"/>
      <c r="QNF99" s="1062"/>
      <c r="QNG99" s="1062"/>
      <c r="QNH99" s="1061"/>
      <c r="QNI99" s="1027"/>
      <c r="QNJ99" s="2803"/>
      <c r="QNK99" s="2802"/>
      <c r="QNL99" s="2565"/>
      <c r="QNM99" s="2021"/>
      <c r="QNN99" s="1062"/>
      <c r="QNO99" s="1062"/>
      <c r="QNP99" s="1061"/>
      <c r="QNQ99" s="1027"/>
      <c r="QNR99" s="2803"/>
      <c r="QNS99" s="2802"/>
      <c r="QNT99" s="2565"/>
      <c r="QNU99" s="2021"/>
      <c r="QNV99" s="1062"/>
      <c r="QNW99" s="1062"/>
      <c r="QNX99" s="1061"/>
      <c r="QNY99" s="1027"/>
      <c r="QNZ99" s="2803"/>
      <c r="QOA99" s="2802"/>
      <c r="QOB99" s="2565"/>
      <c r="QOC99" s="2021"/>
      <c r="QOD99" s="1062"/>
      <c r="QOE99" s="1062"/>
      <c r="QOF99" s="1061"/>
      <c r="QOG99" s="1027"/>
      <c r="QOH99" s="2803"/>
      <c r="QOI99" s="2802"/>
      <c r="QOJ99" s="2565"/>
      <c r="QOK99" s="2021"/>
      <c r="QOL99" s="1062"/>
      <c r="QOM99" s="1062"/>
      <c r="QON99" s="1061"/>
      <c r="QOO99" s="1027"/>
      <c r="QOP99" s="2803"/>
      <c r="QOQ99" s="2802"/>
      <c r="QOR99" s="2565"/>
      <c r="QOS99" s="2021"/>
      <c r="QOT99" s="1062"/>
      <c r="QOU99" s="1062"/>
      <c r="QOV99" s="1061"/>
      <c r="QOW99" s="1027"/>
      <c r="QOX99" s="2803"/>
      <c r="QOY99" s="2802"/>
      <c r="QOZ99" s="2565"/>
      <c r="QPA99" s="2021"/>
      <c r="QPB99" s="1062"/>
      <c r="QPC99" s="1062"/>
      <c r="QPD99" s="1061"/>
      <c r="QPE99" s="1027"/>
      <c r="QPF99" s="2803"/>
      <c r="QPG99" s="2802"/>
      <c r="QPH99" s="2565"/>
      <c r="QPI99" s="2021"/>
      <c r="QPJ99" s="1062"/>
      <c r="QPK99" s="1062"/>
      <c r="QPL99" s="1061"/>
      <c r="QPM99" s="1027"/>
      <c r="QPN99" s="2803"/>
      <c r="QPO99" s="2802"/>
      <c r="QPP99" s="2565"/>
      <c r="QPQ99" s="2021"/>
      <c r="QPR99" s="1062"/>
      <c r="QPS99" s="1062"/>
      <c r="QPT99" s="1061"/>
      <c r="QPU99" s="1027"/>
      <c r="QPV99" s="2803"/>
      <c r="QPW99" s="2802"/>
      <c r="QPX99" s="2565"/>
      <c r="QPY99" s="2021"/>
      <c r="QPZ99" s="1062"/>
      <c r="QQA99" s="1062"/>
      <c r="QQB99" s="1061"/>
      <c r="QQC99" s="1027"/>
      <c r="QQD99" s="2803"/>
      <c r="QQE99" s="2802"/>
      <c r="QQF99" s="2565"/>
      <c r="QQG99" s="2021"/>
      <c r="QQH99" s="1062"/>
      <c r="QQI99" s="1062"/>
      <c r="QQJ99" s="1061"/>
      <c r="QQK99" s="1027"/>
      <c r="QQL99" s="2803"/>
      <c r="QQM99" s="2802"/>
      <c r="QQN99" s="2565"/>
      <c r="QQO99" s="2021"/>
      <c r="QQP99" s="1062"/>
      <c r="QQQ99" s="1062"/>
      <c r="QQR99" s="1061"/>
      <c r="QQS99" s="1027"/>
      <c r="QQT99" s="2803"/>
      <c r="QQU99" s="2802"/>
      <c r="QQV99" s="2565"/>
      <c r="QQW99" s="2021"/>
      <c r="QQX99" s="1062"/>
      <c r="QQY99" s="1062"/>
      <c r="QQZ99" s="1061"/>
      <c r="QRA99" s="1027"/>
      <c r="QRB99" s="2803"/>
      <c r="QRC99" s="2802"/>
      <c r="QRD99" s="2565"/>
      <c r="QRE99" s="2021"/>
      <c r="QRF99" s="1062"/>
      <c r="QRG99" s="1062"/>
      <c r="QRH99" s="1061"/>
      <c r="QRI99" s="1027"/>
      <c r="QRJ99" s="2803"/>
      <c r="QRK99" s="2802"/>
      <c r="QRL99" s="2565"/>
      <c r="QRM99" s="2021"/>
      <c r="QRN99" s="1062"/>
      <c r="QRO99" s="1062"/>
      <c r="QRP99" s="1061"/>
      <c r="QRQ99" s="1027"/>
      <c r="QRR99" s="2803"/>
      <c r="QRS99" s="2802"/>
      <c r="QRT99" s="2565"/>
      <c r="QRU99" s="2021"/>
      <c r="QRV99" s="1062"/>
      <c r="QRW99" s="1062"/>
      <c r="QRX99" s="1061"/>
      <c r="QRY99" s="1027"/>
      <c r="QRZ99" s="2803"/>
      <c r="QSA99" s="2802"/>
      <c r="QSB99" s="2565"/>
      <c r="QSC99" s="2021"/>
      <c r="QSD99" s="1062"/>
      <c r="QSE99" s="1062"/>
      <c r="QSF99" s="1061"/>
      <c r="QSG99" s="1027"/>
      <c r="QSH99" s="2803"/>
      <c r="QSI99" s="2802"/>
      <c r="QSJ99" s="2565"/>
      <c r="QSK99" s="2021"/>
      <c r="QSL99" s="1062"/>
      <c r="QSM99" s="1062"/>
      <c r="QSN99" s="1061"/>
      <c r="QSO99" s="1027"/>
      <c r="QSP99" s="2803"/>
      <c r="QSQ99" s="2802"/>
      <c r="QSR99" s="2565"/>
      <c r="QSS99" s="2021"/>
      <c r="QST99" s="1062"/>
      <c r="QSU99" s="1062"/>
      <c r="QSV99" s="1061"/>
      <c r="QSW99" s="1027"/>
      <c r="QSX99" s="2803"/>
      <c r="QSY99" s="2802"/>
      <c r="QSZ99" s="2565"/>
      <c r="QTA99" s="2021"/>
      <c r="QTB99" s="1062"/>
      <c r="QTC99" s="1062"/>
      <c r="QTD99" s="1061"/>
      <c r="QTE99" s="1027"/>
      <c r="QTF99" s="2803"/>
      <c r="QTG99" s="2802"/>
      <c r="QTH99" s="2565"/>
      <c r="QTI99" s="2021"/>
      <c r="QTJ99" s="1062"/>
      <c r="QTK99" s="1062"/>
      <c r="QTL99" s="1061"/>
      <c r="QTM99" s="1027"/>
      <c r="QTN99" s="2803"/>
      <c r="QTO99" s="2802"/>
      <c r="QTP99" s="2565"/>
      <c r="QTQ99" s="2021"/>
      <c r="QTR99" s="1062"/>
      <c r="QTS99" s="1062"/>
      <c r="QTT99" s="1061"/>
      <c r="QTU99" s="1027"/>
      <c r="QTV99" s="2803"/>
      <c r="QTW99" s="2802"/>
      <c r="QTX99" s="2565"/>
      <c r="QTY99" s="2021"/>
      <c r="QTZ99" s="1062"/>
      <c r="QUA99" s="1062"/>
      <c r="QUB99" s="1061"/>
      <c r="QUC99" s="1027"/>
      <c r="QUD99" s="2803"/>
      <c r="QUE99" s="2802"/>
      <c r="QUF99" s="2565"/>
      <c r="QUG99" s="2021"/>
      <c r="QUH99" s="1062"/>
      <c r="QUI99" s="1062"/>
      <c r="QUJ99" s="1061"/>
      <c r="QUK99" s="1027"/>
      <c r="QUL99" s="2803"/>
      <c r="QUM99" s="2802"/>
      <c r="QUN99" s="2565"/>
      <c r="QUO99" s="2021"/>
      <c r="QUP99" s="1062"/>
      <c r="QUQ99" s="1062"/>
      <c r="QUR99" s="1061"/>
      <c r="QUS99" s="1027"/>
      <c r="QUT99" s="2803"/>
      <c r="QUU99" s="2802"/>
      <c r="QUV99" s="2565"/>
      <c r="QUW99" s="2021"/>
      <c r="QUX99" s="1062"/>
      <c r="QUY99" s="1062"/>
      <c r="QUZ99" s="1061"/>
      <c r="QVA99" s="1027"/>
      <c r="QVB99" s="2803"/>
      <c r="QVC99" s="2802"/>
      <c r="QVD99" s="2565"/>
      <c r="QVE99" s="2021"/>
      <c r="QVF99" s="1062"/>
      <c r="QVG99" s="1062"/>
      <c r="QVH99" s="1061"/>
      <c r="QVI99" s="1027"/>
      <c r="QVJ99" s="2803"/>
      <c r="QVK99" s="2802"/>
      <c r="QVL99" s="2565"/>
      <c r="QVM99" s="2021"/>
      <c r="QVN99" s="1062"/>
      <c r="QVO99" s="1062"/>
      <c r="QVP99" s="1061"/>
      <c r="QVQ99" s="1027"/>
      <c r="QVR99" s="2803"/>
      <c r="QVS99" s="2802"/>
      <c r="QVT99" s="2565"/>
      <c r="QVU99" s="2021"/>
      <c r="QVV99" s="1062"/>
      <c r="QVW99" s="1062"/>
      <c r="QVX99" s="1061"/>
      <c r="QVY99" s="1027"/>
      <c r="QVZ99" s="2803"/>
      <c r="QWA99" s="2802"/>
      <c r="QWB99" s="2565"/>
      <c r="QWC99" s="2021"/>
      <c r="QWD99" s="1062"/>
      <c r="QWE99" s="1062"/>
      <c r="QWF99" s="1061"/>
      <c r="QWG99" s="1027"/>
      <c r="QWH99" s="2803"/>
      <c r="QWI99" s="2802"/>
      <c r="QWJ99" s="2565"/>
      <c r="QWK99" s="2021"/>
      <c r="QWL99" s="1062"/>
      <c r="QWM99" s="1062"/>
      <c r="QWN99" s="1061"/>
      <c r="QWO99" s="1027"/>
      <c r="QWP99" s="2803"/>
      <c r="QWQ99" s="2802"/>
      <c r="QWR99" s="2565"/>
      <c r="QWS99" s="2021"/>
      <c r="QWT99" s="1062"/>
      <c r="QWU99" s="1062"/>
      <c r="QWV99" s="1061"/>
      <c r="QWW99" s="1027"/>
      <c r="QWX99" s="2803"/>
      <c r="QWY99" s="2802"/>
      <c r="QWZ99" s="2565"/>
      <c r="QXA99" s="2021"/>
      <c r="QXB99" s="1062"/>
      <c r="QXC99" s="1062"/>
      <c r="QXD99" s="1061"/>
      <c r="QXE99" s="1027"/>
      <c r="QXF99" s="2803"/>
      <c r="QXG99" s="2802"/>
      <c r="QXH99" s="2565"/>
      <c r="QXI99" s="2021"/>
      <c r="QXJ99" s="1062"/>
      <c r="QXK99" s="1062"/>
      <c r="QXL99" s="1061"/>
      <c r="QXM99" s="1027"/>
      <c r="QXN99" s="2803"/>
      <c r="QXO99" s="2802"/>
      <c r="QXP99" s="2565"/>
      <c r="QXQ99" s="2021"/>
      <c r="QXR99" s="1062"/>
      <c r="QXS99" s="1062"/>
      <c r="QXT99" s="1061"/>
      <c r="QXU99" s="1027"/>
      <c r="QXV99" s="2803"/>
      <c r="QXW99" s="2802"/>
      <c r="QXX99" s="2565"/>
      <c r="QXY99" s="2021"/>
      <c r="QXZ99" s="1062"/>
      <c r="QYA99" s="1062"/>
      <c r="QYB99" s="1061"/>
      <c r="QYC99" s="1027"/>
      <c r="QYD99" s="2803"/>
      <c r="QYE99" s="2802"/>
      <c r="QYF99" s="2565"/>
      <c r="QYG99" s="2021"/>
      <c r="QYH99" s="1062"/>
      <c r="QYI99" s="1062"/>
      <c r="QYJ99" s="1061"/>
      <c r="QYK99" s="1027"/>
      <c r="QYL99" s="2803"/>
      <c r="QYM99" s="2802"/>
      <c r="QYN99" s="2565"/>
      <c r="QYO99" s="2021"/>
      <c r="QYP99" s="1062"/>
      <c r="QYQ99" s="1062"/>
      <c r="QYR99" s="1061"/>
      <c r="QYS99" s="1027"/>
      <c r="QYT99" s="2803"/>
      <c r="QYU99" s="2802"/>
      <c r="QYV99" s="2565"/>
      <c r="QYW99" s="2021"/>
      <c r="QYX99" s="1062"/>
      <c r="QYY99" s="1062"/>
      <c r="QYZ99" s="1061"/>
      <c r="QZA99" s="1027"/>
      <c r="QZB99" s="2803"/>
      <c r="QZC99" s="2802"/>
      <c r="QZD99" s="2565"/>
      <c r="QZE99" s="2021"/>
      <c r="QZF99" s="1062"/>
      <c r="QZG99" s="1062"/>
      <c r="QZH99" s="1061"/>
      <c r="QZI99" s="1027"/>
      <c r="QZJ99" s="2803"/>
      <c r="QZK99" s="2802"/>
      <c r="QZL99" s="2565"/>
      <c r="QZM99" s="2021"/>
      <c r="QZN99" s="1062"/>
      <c r="QZO99" s="1062"/>
      <c r="QZP99" s="1061"/>
      <c r="QZQ99" s="1027"/>
      <c r="QZR99" s="2803"/>
      <c r="QZS99" s="2802"/>
      <c r="QZT99" s="2565"/>
      <c r="QZU99" s="2021"/>
      <c r="QZV99" s="1062"/>
      <c r="QZW99" s="1062"/>
      <c r="QZX99" s="1061"/>
      <c r="QZY99" s="1027"/>
      <c r="QZZ99" s="2803"/>
      <c r="RAA99" s="2802"/>
      <c r="RAB99" s="2565"/>
      <c r="RAC99" s="2021"/>
      <c r="RAD99" s="1062"/>
      <c r="RAE99" s="1062"/>
      <c r="RAF99" s="1061"/>
      <c r="RAG99" s="1027"/>
      <c r="RAH99" s="2803"/>
      <c r="RAI99" s="2802"/>
      <c r="RAJ99" s="2565"/>
      <c r="RAK99" s="2021"/>
      <c r="RAL99" s="1062"/>
      <c r="RAM99" s="1062"/>
      <c r="RAN99" s="1061"/>
      <c r="RAO99" s="1027"/>
      <c r="RAP99" s="2803"/>
      <c r="RAQ99" s="2802"/>
      <c r="RAR99" s="2565"/>
      <c r="RAS99" s="2021"/>
      <c r="RAT99" s="1062"/>
      <c r="RAU99" s="1062"/>
      <c r="RAV99" s="1061"/>
      <c r="RAW99" s="1027"/>
      <c r="RAX99" s="2803"/>
      <c r="RAY99" s="2802"/>
      <c r="RAZ99" s="2565"/>
      <c r="RBA99" s="2021"/>
      <c r="RBB99" s="1062"/>
      <c r="RBC99" s="1062"/>
      <c r="RBD99" s="1061"/>
      <c r="RBE99" s="1027"/>
      <c r="RBF99" s="2803"/>
      <c r="RBG99" s="2802"/>
      <c r="RBH99" s="2565"/>
      <c r="RBI99" s="2021"/>
      <c r="RBJ99" s="1062"/>
      <c r="RBK99" s="1062"/>
      <c r="RBL99" s="1061"/>
      <c r="RBM99" s="1027"/>
      <c r="RBN99" s="2803"/>
      <c r="RBO99" s="2802"/>
      <c r="RBP99" s="2565"/>
      <c r="RBQ99" s="2021"/>
      <c r="RBR99" s="1062"/>
      <c r="RBS99" s="1062"/>
      <c r="RBT99" s="1061"/>
      <c r="RBU99" s="1027"/>
      <c r="RBV99" s="2803"/>
      <c r="RBW99" s="2802"/>
      <c r="RBX99" s="2565"/>
      <c r="RBY99" s="2021"/>
      <c r="RBZ99" s="1062"/>
      <c r="RCA99" s="1062"/>
      <c r="RCB99" s="1061"/>
      <c r="RCC99" s="1027"/>
      <c r="RCD99" s="2803"/>
      <c r="RCE99" s="2802"/>
      <c r="RCF99" s="2565"/>
      <c r="RCG99" s="2021"/>
      <c r="RCH99" s="1062"/>
      <c r="RCI99" s="1062"/>
      <c r="RCJ99" s="1061"/>
      <c r="RCK99" s="1027"/>
      <c r="RCL99" s="2803"/>
      <c r="RCM99" s="2802"/>
      <c r="RCN99" s="2565"/>
      <c r="RCO99" s="2021"/>
      <c r="RCP99" s="1062"/>
      <c r="RCQ99" s="1062"/>
      <c r="RCR99" s="1061"/>
      <c r="RCS99" s="1027"/>
      <c r="RCT99" s="2803"/>
      <c r="RCU99" s="2802"/>
      <c r="RCV99" s="2565"/>
      <c r="RCW99" s="2021"/>
      <c r="RCX99" s="1062"/>
      <c r="RCY99" s="1062"/>
      <c r="RCZ99" s="1061"/>
      <c r="RDA99" s="1027"/>
      <c r="RDB99" s="2803"/>
      <c r="RDC99" s="2802"/>
      <c r="RDD99" s="2565"/>
      <c r="RDE99" s="2021"/>
      <c r="RDF99" s="1062"/>
      <c r="RDG99" s="1062"/>
      <c r="RDH99" s="1061"/>
      <c r="RDI99" s="1027"/>
      <c r="RDJ99" s="2803"/>
      <c r="RDK99" s="2802"/>
      <c r="RDL99" s="2565"/>
      <c r="RDM99" s="2021"/>
      <c r="RDN99" s="1062"/>
      <c r="RDO99" s="1062"/>
      <c r="RDP99" s="1061"/>
      <c r="RDQ99" s="1027"/>
      <c r="RDR99" s="2803"/>
      <c r="RDS99" s="2802"/>
      <c r="RDT99" s="2565"/>
      <c r="RDU99" s="2021"/>
      <c r="RDV99" s="1062"/>
      <c r="RDW99" s="1062"/>
      <c r="RDX99" s="1061"/>
      <c r="RDY99" s="1027"/>
      <c r="RDZ99" s="2803"/>
      <c r="REA99" s="2802"/>
      <c r="REB99" s="2565"/>
      <c r="REC99" s="2021"/>
      <c r="RED99" s="1062"/>
      <c r="REE99" s="1062"/>
      <c r="REF99" s="1061"/>
      <c r="REG99" s="1027"/>
      <c r="REH99" s="2803"/>
      <c r="REI99" s="2802"/>
      <c r="REJ99" s="2565"/>
      <c r="REK99" s="2021"/>
      <c r="REL99" s="1062"/>
      <c r="REM99" s="1062"/>
      <c r="REN99" s="1061"/>
      <c r="REO99" s="1027"/>
      <c r="REP99" s="2803"/>
      <c r="REQ99" s="2802"/>
      <c r="RER99" s="2565"/>
      <c r="RES99" s="2021"/>
      <c r="RET99" s="1062"/>
      <c r="REU99" s="1062"/>
      <c r="REV99" s="1061"/>
      <c r="REW99" s="1027"/>
      <c r="REX99" s="2803"/>
      <c r="REY99" s="2802"/>
      <c r="REZ99" s="2565"/>
      <c r="RFA99" s="2021"/>
      <c r="RFB99" s="1062"/>
      <c r="RFC99" s="1062"/>
      <c r="RFD99" s="1061"/>
      <c r="RFE99" s="1027"/>
      <c r="RFF99" s="2803"/>
      <c r="RFG99" s="2802"/>
      <c r="RFH99" s="2565"/>
      <c r="RFI99" s="2021"/>
      <c r="RFJ99" s="1062"/>
      <c r="RFK99" s="1062"/>
      <c r="RFL99" s="1061"/>
      <c r="RFM99" s="1027"/>
      <c r="RFN99" s="2803"/>
      <c r="RFO99" s="2802"/>
      <c r="RFP99" s="2565"/>
      <c r="RFQ99" s="2021"/>
      <c r="RFR99" s="1062"/>
      <c r="RFS99" s="1062"/>
      <c r="RFT99" s="1061"/>
      <c r="RFU99" s="1027"/>
      <c r="RFV99" s="2803"/>
      <c r="RFW99" s="2802"/>
      <c r="RFX99" s="2565"/>
      <c r="RFY99" s="2021"/>
      <c r="RFZ99" s="1062"/>
      <c r="RGA99" s="1062"/>
      <c r="RGB99" s="1061"/>
      <c r="RGC99" s="1027"/>
      <c r="RGD99" s="2803"/>
      <c r="RGE99" s="2802"/>
      <c r="RGF99" s="2565"/>
      <c r="RGG99" s="2021"/>
      <c r="RGH99" s="1062"/>
      <c r="RGI99" s="1062"/>
      <c r="RGJ99" s="1061"/>
      <c r="RGK99" s="1027"/>
      <c r="RGL99" s="2803"/>
      <c r="RGM99" s="2802"/>
      <c r="RGN99" s="2565"/>
      <c r="RGO99" s="2021"/>
      <c r="RGP99" s="1062"/>
      <c r="RGQ99" s="1062"/>
      <c r="RGR99" s="1061"/>
      <c r="RGS99" s="1027"/>
      <c r="RGT99" s="2803"/>
      <c r="RGU99" s="2802"/>
      <c r="RGV99" s="2565"/>
      <c r="RGW99" s="2021"/>
      <c r="RGX99" s="1062"/>
      <c r="RGY99" s="1062"/>
      <c r="RGZ99" s="1061"/>
      <c r="RHA99" s="1027"/>
      <c r="RHB99" s="2803"/>
      <c r="RHC99" s="2802"/>
      <c r="RHD99" s="2565"/>
      <c r="RHE99" s="2021"/>
      <c r="RHF99" s="1062"/>
      <c r="RHG99" s="1062"/>
      <c r="RHH99" s="1061"/>
      <c r="RHI99" s="1027"/>
      <c r="RHJ99" s="2803"/>
      <c r="RHK99" s="2802"/>
      <c r="RHL99" s="2565"/>
      <c r="RHM99" s="2021"/>
      <c r="RHN99" s="1062"/>
      <c r="RHO99" s="1062"/>
      <c r="RHP99" s="1061"/>
      <c r="RHQ99" s="1027"/>
      <c r="RHR99" s="2803"/>
      <c r="RHS99" s="2802"/>
      <c r="RHT99" s="2565"/>
      <c r="RHU99" s="2021"/>
      <c r="RHV99" s="1062"/>
      <c r="RHW99" s="1062"/>
      <c r="RHX99" s="1061"/>
      <c r="RHY99" s="1027"/>
      <c r="RHZ99" s="2803"/>
      <c r="RIA99" s="2802"/>
      <c r="RIB99" s="2565"/>
      <c r="RIC99" s="2021"/>
      <c r="RID99" s="1062"/>
      <c r="RIE99" s="1062"/>
      <c r="RIF99" s="1061"/>
      <c r="RIG99" s="1027"/>
      <c r="RIH99" s="2803"/>
      <c r="RII99" s="2802"/>
      <c r="RIJ99" s="2565"/>
      <c r="RIK99" s="2021"/>
      <c r="RIL99" s="1062"/>
      <c r="RIM99" s="1062"/>
      <c r="RIN99" s="1061"/>
      <c r="RIO99" s="1027"/>
      <c r="RIP99" s="2803"/>
      <c r="RIQ99" s="2802"/>
      <c r="RIR99" s="2565"/>
      <c r="RIS99" s="2021"/>
      <c r="RIT99" s="1062"/>
      <c r="RIU99" s="1062"/>
      <c r="RIV99" s="1061"/>
      <c r="RIW99" s="1027"/>
      <c r="RIX99" s="2803"/>
      <c r="RIY99" s="2802"/>
      <c r="RIZ99" s="2565"/>
      <c r="RJA99" s="2021"/>
      <c r="RJB99" s="1062"/>
      <c r="RJC99" s="1062"/>
      <c r="RJD99" s="1061"/>
      <c r="RJE99" s="1027"/>
      <c r="RJF99" s="2803"/>
      <c r="RJG99" s="2802"/>
      <c r="RJH99" s="2565"/>
      <c r="RJI99" s="2021"/>
      <c r="RJJ99" s="1062"/>
      <c r="RJK99" s="1062"/>
      <c r="RJL99" s="1061"/>
      <c r="RJM99" s="1027"/>
      <c r="RJN99" s="2803"/>
      <c r="RJO99" s="2802"/>
      <c r="RJP99" s="2565"/>
      <c r="RJQ99" s="2021"/>
      <c r="RJR99" s="1062"/>
      <c r="RJS99" s="1062"/>
      <c r="RJT99" s="1061"/>
      <c r="RJU99" s="1027"/>
      <c r="RJV99" s="2803"/>
      <c r="RJW99" s="2802"/>
      <c r="RJX99" s="2565"/>
      <c r="RJY99" s="2021"/>
      <c r="RJZ99" s="1062"/>
      <c r="RKA99" s="1062"/>
      <c r="RKB99" s="1061"/>
      <c r="RKC99" s="1027"/>
      <c r="RKD99" s="2803"/>
      <c r="RKE99" s="2802"/>
      <c r="RKF99" s="2565"/>
      <c r="RKG99" s="2021"/>
      <c r="RKH99" s="1062"/>
      <c r="RKI99" s="1062"/>
      <c r="RKJ99" s="1061"/>
      <c r="RKK99" s="1027"/>
      <c r="RKL99" s="2803"/>
      <c r="RKM99" s="2802"/>
      <c r="RKN99" s="2565"/>
      <c r="RKO99" s="2021"/>
      <c r="RKP99" s="1062"/>
      <c r="RKQ99" s="1062"/>
      <c r="RKR99" s="1061"/>
      <c r="RKS99" s="1027"/>
      <c r="RKT99" s="2803"/>
      <c r="RKU99" s="2802"/>
      <c r="RKV99" s="2565"/>
      <c r="RKW99" s="2021"/>
      <c r="RKX99" s="1062"/>
      <c r="RKY99" s="1062"/>
      <c r="RKZ99" s="1061"/>
      <c r="RLA99" s="1027"/>
      <c r="RLB99" s="2803"/>
      <c r="RLC99" s="2802"/>
      <c r="RLD99" s="2565"/>
      <c r="RLE99" s="2021"/>
      <c r="RLF99" s="1062"/>
      <c r="RLG99" s="1062"/>
      <c r="RLH99" s="1061"/>
      <c r="RLI99" s="1027"/>
      <c r="RLJ99" s="2803"/>
      <c r="RLK99" s="2802"/>
      <c r="RLL99" s="2565"/>
      <c r="RLM99" s="2021"/>
      <c r="RLN99" s="1062"/>
      <c r="RLO99" s="1062"/>
      <c r="RLP99" s="1061"/>
      <c r="RLQ99" s="1027"/>
      <c r="RLR99" s="2803"/>
      <c r="RLS99" s="2802"/>
      <c r="RLT99" s="2565"/>
      <c r="RLU99" s="2021"/>
      <c r="RLV99" s="1062"/>
      <c r="RLW99" s="1062"/>
      <c r="RLX99" s="1061"/>
      <c r="RLY99" s="1027"/>
      <c r="RLZ99" s="2803"/>
      <c r="RMA99" s="2802"/>
      <c r="RMB99" s="2565"/>
      <c r="RMC99" s="2021"/>
      <c r="RMD99" s="1062"/>
      <c r="RME99" s="1062"/>
      <c r="RMF99" s="1061"/>
      <c r="RMG99" s="1027"/>
      <c r="RMH99" s="2803"/>
      <c r="RMI99" s="2802"/>
      <c r="RMJ99" s="2565"/>
      <c r="RMK99" s="2021"/>
      <c r="RML99" s="1062"/>
      <c r="RMM99" s="1062"/>
      <c r="RMN99" s="1061"/>
      <c r="RMO99" s="1027"/>
      <c r="RMP99" s="2803"/>
      <c r="RMQ99" s="2802"/>
      <c r="RMR99" s="2565"/>
      <c r="RMS99" s="2021"/>
      <c r="RMT99" s="1062"/>
      <c r="RMU99" s="1062"/>
      <c r="RMV99" s="1061"/>
      <c r="RMW99" s="1027"/>
      <c r="RMX99" s="2803"/>
      <c r="RMY99" s="2802"/>
      <c r="RMZ99" s="2565"/>
      <c r="RNA99" s="2021"/>
      <c r="RNB99" s="1062"/>
      <c r="RNC99" s="1062"/>
      <c r="RND99" s="1061"/>
      <c r="RNE99" s="1027"/>
      <c r="RNF99" s="2803"/>
      <c r="RNG99" s="2802"/>
      <c r="RNH99" s="2565"/>
      <c r="RNI99" s="2021"/>
      <c r="RNJ99" s="1062"/>
      <c r="RNK99" s="1062"/>
      <c r="RNL99" s="1061"/>
      <c r="RNM99" s="1027"/>
      <c r="RNN99" s="2803"/>
      <c r="RNO99" s="2802"/>
      <c r="RNP99" s="2565"/>
      <c r="RNQ99" s="2021"/>
      <c r="RNR99" s="1062"/>
      <c r="RNS99" s="1062"/>
      <c r="RNT99" s="1061"/>
      <c r="RNU99" s="1027"/>
      <c r="RNV99" s="2803"/>
      <c r="RNW99" s="2802"/>
      <c r="RNX99" s="2565"/>
      <c r="RNY99" s="2021"/>
      <c r="RNZ99" s="1062"/>
      <c r="ROA99" s="1062"/>
      <c r="ROB99" s="1061"/>
      <c r="ROC99" s="1027"/>
      <c r="ROD99" s="2803"/>
      <c r="ROE99" s="2802"/>
      <c r="ROF99" s="2565"/>
      <c r="ROG99" s="2021"/>
      <c r="ROH99" s="1062"/>
      <c r="ROI99" s="1062"/>
      <c r="ROJ99" s="1061"/>
      <c r="ROK99" s="1027"/>
      <c r="ROL99" s="2803"/>
      <c r="ROM99" s="2802"/>
      <c r="RON99" s="2565"/>
      <c r="ROO99" s="2021"/>
      <c r="ROP99" s="1062"/>
      <c r="ROQ99" s="1062"/>
      <c r="ROR99" s="1061"/>
      <c r="ROS99" s="1027"/>
      <c r="ROT99" s="2803"/>
      <c r="ROU99" s="2802"/>
      <c r="ROV99" s="2565"/>
      <c r="ROW99" s="2021"/>
      <c r="ROX99" s="1062"/>
      <c r="ROY99" s="1062"/>
      <c r="ROZ99" s="1061"/>
      <c r="RPA99" s="1027"/>
      <c r="RPB99" s="2803"/>
      <c r="RPC99" s="2802"/>
      <c r="RPD99" s="2565"/>
      <c r="RPE99" s="2021"/>
      <c r="RPF99" s="1062"/>
      <c r="RPG99" s="1062"/>
      <c r="RPH99" s="1061"/>
      <c r="RPI99" s="1027"/>
      <c r="RPJ99" s="2803"/>
      <c r="RPK99" s="2802"/>
      <c r="RPL99" s="2565"/>
      <c r="RPM99" s="2021"/>
      <c r="RPN99" s="1062"/>
      <c r="RPO99" s="1062"/>
      <c r="RPP99" s="1061"/>
      <c r="RPQ99" s="1027"/>
      <c r="RPR99" s="2803"/>
      <c r="RPS99" s="2802"/>
      <c r="RPT99" s="2565"/>
      <c r="RPU99" s="2021"/>
      <c r="RPV99" s="1062"/>
      <c r="RPW99" s="1062"/>
      <c r="RPX99" s="1061"/>
      <c r="RPY99" s="1027"/>
      <c r="RPZ99" s="2803"/>
      <c r="RQA99" s="2802"/>
      <c r="RQB99" s="2565"/>
      <c r="RQC99" s="2021"/>
      <c r="RQD99" s="1062"/>
      <c r="RQE99" s="1062"/>
      <c r="RQF99" s="1061"/>
      <c r="RQG99" s="1027"/>
      <c r="RQH99" s="2803"/>
      <c r="RQI99" s="2802"/>
      <c r="RQJ99" s="2565"/>
      <c r="RQK99" s="2021"/>
      <c r="RQL99" s="1062"/>
      <c r="RQM99" s="1062"/>
      <c r="RQN99" s="1061"/>
      <c r="RQO99" s="1027"/>
      <c r="RQP99" s="2803"/>
      <c r="RQQ99" s="2802"/>
      <c r="RQR99" s="2565"/>
      <c r="RQS99" s="2021"/>
      <c r="RQT99" s="1062"/>
      <c r="RQU99" s="1062"/>
      <c r="RQV99" s="1061"/>
      <c r="RQW99" s="1027"/>
      <c r="RQX99" s="2803"/>
      <c r="RQY99" s="2802"/>
      <c r="RQZ99" s="2565"/>
      <c r="RRA99" s="2021"/>
      <c r="RRB99" s="1062"/>
      <c r="RRC99" s="1062"/>
      <c r="RRD99" s="1061"/>
      <c r="RRE99" s="1027"/>
      <c r="RRF99" s="2803"/>
      <c r="RRG99" s="2802"/>
      <c r="RRH99" s="2565"/>
      <c r="RRI99" s="2021"/>
      <c r="RRJ99" s="1062"/>
      <c r="RRK99" s="1062"/>
      <c r="RRL99" s="1061"/>
      <c r="RRM99" s="1027"/>
      <c r="RRN99" s="2803"/>
      <c r="RRO99" s="2802"/>
      <c r="RRP99" s="2565"/>
      <c r="RRQ99" s="2021"/>
      <c r="RRR99" s="1062"/>
      <c r="RRS99" s="1062"/>
      <c r="RRT99" s="1061"/>
      <c r="RRU99" s="1027"/>
      <c r="RRV99" s="2803"/>
      <c r="RRW99" s="2802"/>
      <c r="RRX99" s="2565"/>
      <c r="RRY99" s="2021"/>
      <c r="RRZ99" s="1062"/>
      <c r="RSA99" s="1062"/>
      <c r="RSB99" s="1061"/>
      <c r="RSC99" s="1027"/>
      <c r="RSD99" s="2803"/>
      <c r="RSE99" s="2802"/>
      <c r="RSF99" s="2565"/>
      <c r="RSG99" s="2021"/>
      <c r="RSH99" s="1062"/>
      <c r="RSI99" s="1062"/>
      <c r="RSJ99" s="1061"/>
      <c r="RSK99" s="1027"/>
      <c r="RSL99" s="2803"/>
      <c r="RSM99" s="2802"/>
      <c r="RSN99" s="2565"/>
      <c r="RSO99" s="2021"/>
      <c r="RSP99" s="1062"/>
      <c r="RSQ99" s="1062"/>
      <c r="RSR99" s="1061"/>
      <c r="RSS99" s="1027"/>
      <c r="RST99" s="2803"/>
      <c r="RSU99" s="2802"/>
      <c r="RSV99" s="2565"/>
      <c r="RSW99" s="2021"/>
      <c r="RSX99" s="1062"/>
      <c r="RSY99" s="1062"/>
      <c r="RSZ99" s="1061"/>
      <c r="RTA99" s="1027"/>
      <c r="RTB99" s="2803"/>
      <c r="RTC99" s="2802"/>
      <c r="RTD99" s="2565"/>
      <c r="RTE99" s="2021"/>
      <c r="RTF99" s="1062"/>
      <c r="RTG99" s="1062"/>
      <c r="RTH99" s="1061"/>
      <c r="RTI99" s="1027"/>
      <c r="RTJ99" s="2803"/>
      <c r="RTK99" s="2802"/>
      <c r="RTL99" s="2565"/>
      <c r="RTM99" s="2021"/>
      <c r="RTN99" s="1062"/>
      <c r="RTO99" s="1062"/>
      <c r="RTP99" s="1061"/>
      <c r="RTQ99" s="1027"/>
      <c r="RTR99" s="2803"/>
      <c r="RTS99" s="2802"/>
      <c r="RTT99" s="2565"/>
      <c r="RTU99" s="2021"/>
      <c r="RTV99" s="1062"/>
      <c r="RTW99" s="1062"/>
      <c r="RTX99" s="1061"/>
      <c r="RTY99" s="1027"/>
      <c r="RTZ99" s="2803"/>
      <c r="RUA99" s="2802"/>
      <c r="RUB99" s="2565"/>
      <c r="RUC99" s="2021"/>
      <c r="RUD99" s="1062"/>
      <c r="RUE99" s="1062"/>
      <c r="RUF99" s="1061"/>
      <c r="RUG99" s="1027"/>
      <c r="RUH99" s="2803"/>
      <c r="RUI99" s="2802"/>
      <c r="RUJ99" s="2565"/>
      <c r="RUK99" s="2021"/>
      <c r="RUL99" s="1062"/>
      <c r="RUM99" s="1062"/>
      <c r="RUN99" s="1061"/>
      <c r="RUO99" s="1027"/>
      <c r="RUP99" s="2803"/>
      <c r="RUQ99" s="2802"/>
      <c r="RUR99" s="2565"/>
      <c r="RUS99" s="2021"/>
      <c r="RUT99" s="1062"/>
      <c r="RUU99" s="1062"/>
      <c r="RUV99" s="1061"/>
      <c r="RUW99" s="1027"/>
      <c r="RUX99" s="2803"/>
      <c r="RUY99" s="2802"/>
      <c r="RUZ99" s="2565"/>
      <c r="RVA99" s="2021"/>
      <c r="RVB99" s="1062"/>
      <c r="RVC99" s="1062"/>
      <c r="RVD99" s="1061"/>
      <c r="RVE99" s="1027"/>
      <c r="RVF99" s="2803"/>
      <c r="RVG99" s="2802"/>
      <c r="RVH99" s="2565"/>
      <c r="RVI99" s="2021"/>
      <c r="RVJ99" s="1062"/>
      <c r="RVK99" s="1062"/>
      <c r="RVL99" s="1061"/>
      <c r="RVM99" s="1027"/>
      <c r="RVN99" s="2803"/>
      <c r="RVO99" s="2802"/>
      <c r="RVP99" s="2565"/>
      <c r="RVQ99" s="2021"/>
      <c r="RVR99" s="1062"/>
      <c r="RVS99" s="1062"/>
      <c r="RVT99" s="1061"/>
      <c r="RVU99" s="1027"/>
      <c r="RVV99" s="2803"/>
      <c r="RVW99" s="2802"/>
      <c r="RVX99" s="2565"/>
      <c r="RVY99" s="2021"/>
      <c r="RVZ99" s="1062"/>
      <c r="RWA99" s="1062"/>
      <c r="RWB99" s="1061"/>
      <c r="RWC99" s="1027"/>
      <c r="RWD99" s="2803"/>
      <c r="RWE99" s="2802"/>
      <c r="RWF99" s="2565"/>
      <c r="RWG99" s="2021"/>
      <c r="RWH99" s="1062"/>
      <c r="RWI99" s="1062"/>
      <c r="RWJ99" s="1061"/>
      <c r="RWK99" s="1027"/>
      <c r="RWL99" s="2803"/>
      <c r="RWM99" s="2802"/>
      <c r="RWN99" s="2565"/>
      <c r="RWO99" s="2021"/>
      <c r="RWP99" s="1062"/>
      <c r="RWQ99" s="1062"/>
      <c r="RWR99" s="1061"/>
      <c r="RWS99" s="1027"/>
      <c r="RWT99" s="2803"/>
      <c r="RWU99" s="2802"/>
      <c r="RWV99" s="2565"/>
      <c r="RWW99" s="2021"/>
      <c r="RWX99" s="1062"/>
      <c r="RWY99" s="1062"/>
      <c r="RWZ99" s="1061"/>
      <c r="RXA99" s="1027"/>
      <c r="RXB99" s="2803"/>
      <c r="RXC99" s="2802"/>
      <c r="RXD99" s="2565"/>
      <c r="RXE99" s="2021"/>
      <c r="RXF99" s="1062"/>
      <c r="RXG99" s="1062"/>
      <c r="RXH99" s="1061"/>
      <c r="RXI99" s="1027"/>
      <c r="RXJ99" s="2803"/>
      <c r="RXK99" s="2802"/>
      <c r="RXL99" s="2565"/>
      <c r="RXM99" s="2021"/>
      <c r="RXN99" s="1062"/>
      <c r="RXO99" s="1062"/>
      <c r="RXP99" s="1061"/>
      <c r="RXQ99" s="1027"/>
      <c r="RXR99" s="2803"/>
      <c r="RXS99" s="2802"/>
      <c r="RXT99" s="2565"/>
      <c r="RXU99" s="2021"/>
      <c r="RXV99" s="1062"/>
      <c r="RXW99" s="1062"/>
      <c r="RXX99" s="1061"/>
      <c r="RXY99" s="1027"/>
      <c r="RXZ99" s="2803"/>
      <c r="RYA99" s="2802"/>
      <c r="RYB99" s="2565"/>
      <c r="RYC99" s="2021"/>
      <c r="RYD99" s="1062"/>
      <c r="RYE99" s="1062"/>
      <c r="RYF99" s="1061"/>
      <c r="RYG99" s="1027"/>
      <c r="RYH99" s="2803"/>
      <c r="RYI99" s="2802"/>
      <c r="RYJ99" s="2565"/>
      <c r="RYK99" s="2021"/>
      <c r="RYL99" s="1062"/>
      <c r="RYM99" s="1062"/>
      <c r="RYN99" s="1061"/>
      <c r="RYO99" s="1027"/>
      <c r="RYP99" s="2803"/>
      <c r="RYQ99" s="2802"/>
      <c r="RYR99" s="2565"/>
      <c r="RYS99" s="2021"/>
      <c r="RYT99" s="1062"/>
      <c r="RYU99" s="1062"/>
      <c r="RYV99" s="1061"/>
      <c r="RYW99" s="1027"/>
      <c r="RYX99" s="2803"/>
      <c r="RYY99" s="2802"/>
      <c r="RYZ99" s="2565"/>
      <c r="RZA99" s="2021"/>
      <c r="RZB99" s="1062"/>
      <c r="RZC99" s="1062"/>
      <c r="RZD99" s="1061"/>
      <c r="RZE99" s="1027"/>
      <c r="RZF99" s="2803"/>
      <c r="RZG99" s="2802"/>
      <c r="RZH99" s="2565"/>
      <c r="RZI99" s="2021"/>
      <c r="RZJ99" s="1062"/>
      <c r="RZK99" s="1062"/>
      <c r="RZL99" s="1061"/>
      <c r="RZM99" s="1027"/>
      <c r="RZN99" s="2803"/>
      <c r="RZO99" s="2802"/>
      <c r="RZP99" s="2565"/>
      <c r="RZQ99" s="2021"/>
      <c r="RZR99" s="1062"/>
      <c r="RZS99" s="1062"/>
      <c r="RZT99" s="1061"/>
      <c r="RZU99" s="1027"/>
      <c r="RZV99" s="2803"/>
      <c r="RZW99" s="2802"/>
      <c r="RZX99" s="2565"/>
      <c r="RZY99" s="2021"/>
      <c r="RZZ99" s="1062"/>
      <c r="SAA99" s="1062"/>
      <c r="SAB99" s="1061"/>
      <c r="SAC99" s="1027"/>
      <c r="SAD99" s="2803"/>
      <c r="SAE99" s="2802"/>
      <c r="SAF99" s="2565"/>
      <c r="SAG99" s="2021"/>
      <c r="SAH99" s="1062"/>
      <c r="SAI99" s="1062"/>
      <c r="SAJ99" s="1061"/>
      <c r="SAK99" s="1027"/>
      <c r="SAL99" s="2803"/>
      <c r="SAM99" s="2802"/>
      <c r="SAN99" s="2565"/>
      <c r="SAO99" s="2021"/>
      <c r="SAP99" s="1062"/>
      <c r="SAQ99" s="1062"/>
      <c r="SAR99" s="1061"/>
      <c r="SAS99" s="1027"/>
      <c r="SAT99" s="2803"/>
      <c r="SAU99" s="2802"/>
      <c r="SAV99" s="2565"/>
      <c r="SAW99" s="2021"/>
      <c r="SAX99" s="1062"/>
      <c r="SAY99" s="1062"/>
      <c r="SAZ99" s="1061"/>
      <c r="SBA99" s="1027"/>
      <c r="SBB99" s="2803"/>
      <c r="SBC99" s="2802"/>
      <c r="SBD99" s="2565"/>
      <c r="SBE99" s="2021"/>
      <c r="SBF99" s="1062"/>
      <c r="SBG99" s="1062"/>
      <c r="SBH99" s="1061"/>
      <c r="SBI99" s="1027"/>
      <c r="SBJ99" s="2803"/>
      <c r="SBK99" s="2802"/>
      <c r="SBL99" s="2565"/>
      <c r="SBM99" s="2021"/>
      <c r="SBN99" s="1062"/>
      <c r="SBO99" s="1062"/>
      <c r="SBP99" s="1061"/>
      <c r="SBQ99" s="1027"/>
      <c r="SBR99" s="2803"/>
      <c r="SBS99" s="2802"/>
      <c r="SBT99" s="2565"/>
      <c r="SBU99" s="2021"/>
      <c r="SBV99" s="1062"/>
      <c r="SBW99" s="1062"/>
      <c r="SBX99" s="1061"/>
      <c r="SBY99" s="1027"/>
      <c r="SBZ99" s="2803"/>
      <c r="SCA99" s="2802"/>
      <c r="SCB99" s="2565"/>
      <c r="SCC99" s="2021"/>
      <c r="SCD99" s="1062"/>
      <c r="SCE99" s="1062"/>
      <c r="SCF99" s="1061"/>
      <c r="SCG99" s="1027"/>
      <c r="SCH99" s="2803"/>
      <c r="SCI99" s="2802"/>
      <c r="SCJ99" s="2565"/>
      <c r="SCK99" s="2021"/>
      <c r="SCL99" s="1062"/>
      <c r="SCM99" s="1062"/>
      <c r="SCN99" s="1061"/>
      <c r="SCO99" s="1027"/>
      <c r="SCP99" s="2803"/>
      <c r="SCQ99" s="2802"/>
      <c r="SCR99" s="2565"/>
      <c r="SCS99" s="2021"/>
      <c r="SCT99" s="1062"/>
      <c r="SCU99" s="1062"/>
      <c r="SCV99" s="1061"/>
      <c r="SCW99" s="1027"/>
      <c r="SCX99" s="2803"/>
      <c r="SCY99" s="2802"/>
      <c r="SCZ99" s="2565"/>
      <c r="SDA99" s="2021"/>
      <c r="SDB99" s="1062"/>
      <c r="SDC99" s="1062"/>
      <c r="SDD99" s="1061"/>
      <c r="SDE99" s="1027"/>
      <c r="SDF99" s="2803"/>
      <c r="SDG99" s="2802"/>
      <c r="SDH99" s="2565"/>
      <c r="SDI99" s="2021"/>
      <c r="SDJ99" s="1062"/>
      <c r="SDK99" s="1062"/>
      <c r="SDL99" s="1061"/>
      <c r="SDM99" s="1027"/>
      <c r="SDN99" s="2803"/>
      <c r="SDO99" s="2802"/>
      <c r="SDP99" s="2565"/>
      <c r="SDQ99" s="2021"/>
      <c r="SDR99" s="1062"/>
      <c r="SDS99" s="1062"/>
      <c r="SDT99" s="1061"/>
      <c r="SDU99" s="1027"/>
      <c r="SDV99" s="2803"/>
      <c r="SDW99" s="2802"/>
      <c r="SDX99" s="2565"/>
      <c r="SDY99" s="2021"/>
      <c r="SDZ99" s="1062"/>
      <c r="SEA99" s="1062"/>
      <c r="SEB99" s="1061"/>
      <c r="SEC99" s="1027"/>
      <c r="SED99" s="2803"/>
      <c r="SEE99" s="2802"/>
      <c r="SEF99" s="2565"/>
      <c r="SEG99" s="2021"/>
      <c r="SEH99" s="1062"/>
      <c r="SEI99" s="1062"/>
      <c r="SEJ99" s="1061"/>
      <c r="SEK99" s="1027"/>
      <c r="SEL99" s="2803"/>
      <c r="SEM99" s="2802"/>
      <c r="SEN99" s="2565"/>
      <c r="SEO99" s="2021"/>
      <c r="SEP99" s="1062"/>
      <c r="SEQ99" s="1062"/>
      <c r="SER99" s="1061"/>
      <c r="SES99" s="1027"/>
      <c r="SET99" s="2803"/>
      <c r="SEU99" s="2802"/>
      <c r="SEV99" s="2565"/>
      <c r="SEW99" s="2021"/>
      <c r="SEX99" s="1062"/>
      <c r="SEY99" s="1062"/>
      <c r="SEZ99" s="1061"/>
      <c r="SFA99" s="1027"/>
      <c r="SFB99" s="2803"/>
      <c r="SFC99" s="2802"/>
      <c r="SFD99" s="2565"/>
      <c r="SFE99" s="2021"/>
      <c r="SFF99" s="1062"/>
      <c r="SFG99" s="1062"/>
      <c r="SFH99" s="1061"/>
      <c r="SFI99" s="1027"/>
      <c r="SFJ99" s="2803"/>
      <c r="SFK99" s="2802"/>
      <c r="SFL99" s="2565"/>
      <c r="SFM99" s="2021"/>
      <c r="SFN99" s="1062"/>
      <c r="SFO99" s="1062"/>
      <c r="SFP99" s="1061"/>
      <c r="SFQ99" s="1027"/>
      <c r="SFR99" s="2803"/>
      <c r="SFS99" s="2802"/>
      <c r="SFT99" s="2565"/>
      <c r="SFU99" s="2021"/>
      <c r="SFV99" s="1062"/>
      <c r="SFW99" s="1062"/>
      <c r="SFX99" s="1061"/>
      <c r="SFY99" s="1027"/>
      <c r="SFZ99" s="2803"/>
      <c r="SGA99" s="2802"/>
      <c r="SGB99" s="2565"/>
      <c r="SGC99" s="2021"/>
      <c r="SGD99" s="1062"/>
      <c r="SGE99" s="1062"/>
      <c r="SGF99" s="1061"/>
      <c r="SGG99" s="1027"/>
      <c r="SGH99" s="2803"/>
      <c r="SGI99" s="2802"/>
      <c r="SGJ99" s="2565"/>
      <c r="SGK99" s="2021"/>
      <c r="SGL99" s="1062"/>
      <c r="SGM99" s="1062"/>
      <c r="SGN99" s="1061"/>
      <c r="SGO99" s="1027"/>
      <c r="SGP99" s="2803"/>
      <c r="SGQ99" s="2802"/>
      <c r="SGR99" s="2565"/>
      <c r="SGS99" s="2021"/>
      <c r="SGT99" s="1062"/>
      <c r="SGU99" s="1062"/>
      <c r="SGV99" s="1061"/>
      <c r="SGW99" s="1027"/>
      <c r="SGX99" s="2803"/>
      <c r="SGY99" s="2802"/>
      <c r="SGZ99" s="2565"/>
      <c r="SHA99" s="2021"/>
      <c r="SHB99" s="1062"/>
      <c r="SHC99" s="1062"/>
      <c r="SHD99" s="1061"/>
      <c r="SHE99" s="1027"/>
      <c r="SHF99" s="2803"/>
      <c r="SHG99" s="2802"/>
      <c r="SHH99" s="2565"/>
      <c r="SHI99" s="2021"/>
      <c r="SHJ99" s="1062"/>
      <c r="SHK99" s="1062"/>
      <c r="SHL99" s="1061"/>
      <c r="SHM99" s="1027"/>
      <c r="SHN99" s="2803"/>
      <c r="SHO99" s="2802"/>
      <c r="SHP99" s="2565"/>
      <c r="SHQ99" s="2021"/>
      <c r="SHR99" s="1062"/>
      <c r="SHS99" s="1062"/>
      <c r="SHT99" s="1061"/>
      <c r="SHU99" s="1027"/>
      <c r="SHV99" s="2803"/>
      <c r="SHW99" s="2802"/>
      <c r="SHX99" s="2565"/>
      <c r="SHY99" s="2021"/>
      <c r="SHZ99" s="1062"/>
      <c r="SIA99" s="1062"/>
      <c r="SIB99" s="1061"/>
      <c r="SIC99" s="1027"/>
      <c r="SID99" s="2803"/>
      <c r="SIE99" s="2802"/>
      <c r="SIF99" s="2565"/>
      <c r="SIG99" s="2021"/>
      <c r="SIH99" s="1062"/>
      <c r="SII99" s="1062"/>
      <c r="SIJ99" s="1061"/>
      <c r="SIK99" s="1027"/>
      <c r="SIL99" s="2803"/>
      <c r="SIM99" s="2802"/>
      <c r="SIN99" s="2565"/>
      <c r="SIO99" s="2021"/>
      <c r="SIP99" s="1062"/>
      <c r="SIQ99" s="1062"/>
      <c r="SIR99" s="1061"/>
      <c r="SIS99" s="1027"/>
      <c r="SIT99" s="2803"/>
      <c r="SIU99" s="2802"/>
      <c r="SIV99" s="2565"/>
      <c r="SIW99" s="2021"/>
      <c r="SIX99" s="1062"/>
      <c r="SIY99" s="1062"/>
      <c r="SIZ99" s="1061"/>
      <c r="SJA99" s="1027"/>
      <c r="SJB99" s="2803"/>
      <c r="SJC99" s="2802"/>
      <c r="SJD99" s="2565"/>
      <c r="SJE99" s="2021"/>
      <c r="SJF99" s="1062"/>
      <c r="SJG99" s="1062"/>
      <c r="SJH99" s="1061"/>
      <c r="SJI99" s="1027"/>
      <c r="SJJ99" s="2803"/>
      <c r="SJK99" s="2802"/>
      <c r="SJL99" s="2565"/>
      <c r="SJM99" s="2021"/>
      <c r="SJN99" s="1062"/>
      <c r="SJO99" s="1062"/>
      <c r="SJP99" s="1061"/>
      <c r="SJQ99" s="1027"/>
      <c r="SJR99" s="2803"/>
      <c r="SJS99" s="2802"/>
      <c r="SJT99" s="2565"/>
      <c r="SJU99" s="2021"/>
      <c r="SJV99" s="1062"/>
      <c r="SJW99" s="1062"/>
      <c r="SJX99" s="1061"/>
      <c r="SJY99" s="1027"/>
      <c r="SJZ99" s="2803"/>
      <c r="SKA99" s="2802"/>
      <c r="SKB99" s="2565"/>
      <c r="SKC99" s="2021"/>
      <c r="SKD99" s="1062"/>
      <c r="SKE99" s="1062"/>
      <c r="SKF99" s="1061"/>
      <c r="SKG99" s="1027"/>
      <c r="SKH99" s="2803"/>
      <c r="SKI99" s="2802"/>
      <c r="SKJ99" s="2565"/>
      <c r="SKK99" s="2021"/>
      <c r="SKL99" s="1062"/>
      <c r="SKM99" s="1062"/>
      <c r="SKN99" s="1061"/>
      <c r="SKO99" s="1027"/>
      <c r="SKP99" s="2803"/>
      <c r="SKQ99" s="2802"/>
      <c r="SKR99" s="2565"/>
      <c r="SKS99" s="2021"/>
      <c r="SKT99" s="1062"/>
      <c r="SKU99" s="1062"/>
      <c r="SKV99" s="1061"/>
      <c r="SKW99" s="1027"/>
      <c r="SKX99" s="2803"/>
      <c r="SKY99" s="2802"/>
      <c r="SKZ99" s="2565"/>
      <c r="SLA99" s="2021"/>
      <c r="SLB99" s="1062"/>
      <c r="SLC99" s="1062"/>
      <c r="SLD99" s="1061"/>
      <c r="SLE99" s="1027"/>
      <c r="SLF99" s="2803"/>
      <c r="SLG99" s="2802"/>
      <c r="SLH99" s="2565"/>
      <c r="SLI99" s="2021"/>
      <c r="SLJ99" s="1062"/>
      <c r="SLK99" s="1062"/>
      <c r="SLL99" s="1061"/>
      <c r="SLM99" s="1027"/>
      <c r="SLN99" s="2803"/>
      <c r="SLO99" s="2802"/>
      <c r="SLP99" s="2565"/>
      <c r="SLQ99" s="2021"/>
      <c r="SLR99" s="1062"/>
      <c r="SLS99" s="1062"/>
      <c r="SLT99" s="1061"/>
      <c r="SLU99" s="1027"/>
      <c r="SLV99" s="2803"/>
      <c r="SLW99" s="2802"/>
      <c r="SLX99" s="2565"/>
      <c r="SLY99" s="2021"/>
      <c r="SLZ99" s="1062"/>
      <c r="SMA99" s="1062"/>
      <c r="SMB99" s="1061"/>
      <c r="SMC99" s="1027"/>
      <c r="SMD99" s="2803"/>
      <c r="SME99" s="2802"/>
      <c r="SMF99" s="2565"/>
      <c r="SMG99" s="2021"/>
      <c r="SMH99" s="1062"/>
      <c r="SMI99" s="1062"/>
      <c r="SMJ99" s="1061"/>
      <c r="SMK99" s="1027"/>
      <c r="SML99" s="2803"/>
      <c r="SMM99" s="2802"/>
      <c r="SMN99" s="2565"/>
      <c r="SMO99" s="2021"/>
      <c r="SMP99" s="1062"/>
      <c r="SMQ99" s="1062"/>
      <c r="SMR99" s="1061"/>
      <c r="SMS99" s="1027"/>
      <c r="SMT99" s="2803"/>
      <c r="SMU99" s="2802"/>
      <c r="SMV99" s="2565"/>
      <c r="SMW99" s="2021"/>
      <c r="SMX99" s="1062"/>
      <c r="SMY99" s="1062"/>
      <c r="SMZ99" s="1061"/>
      <c r="SNA99" s="1027"/>
      <c r="SNB99" s="2803"/>
      <c r="SNC99" s="2802"/>
      <c r="SND99" s="2565"/>
      <c r="SNE99" s="2021"/>
      <c r="SNF99" s="1062"/>
      <c r="SNG99" s="1062"/>
      <c r="SNH99" s="1061"/>
      <c r="SNI99" s="1027"/>
      <c r="SNJ99" s="2803"/>
      <c r="SNK99" s="2802"/>
      <c r="SNL99" s="2565"/>
      <c r="SNM99" s="2021"/>
      <c r="SNN99" s="1062"/>
      <c r="SNO99" s="1062"/>
      <c r="SNP99" s="1061"/>
      <c r="SNQ99" s="1027"/>
      <c r="SNR99" s="2803"/>
      <c r="SNS99" s="2802"/>
      <c r="SNT99" s="2565"/>
      <c r="SNU99" s="2021"/>
      <c r="SNV99" s="1062"/>
      <c r="SNW99" s="1062"/>
      <c r="SNX99" s="1061"/>
      <c r="SNY99" s="1027"/>
      <c r="SNZ99" s="2803"/>
      <c r="SOA99" s="2802"/>
      <c r="SOB99" s="2565"/>
      <c r="SOC99" s="2021"/>
      <c r="SOD99" s="1062"/>
      <c r="SOE99" s="1062"/>
      <c r="SOF99" s="1061"/>
      <c r="SOG99" s="1027"/>
      <c r="SOH99" s="2803"/>
      <c r="SOI99" s="2802"/>
      <c r="SOJ99" s="2565"/>
      <c r="SOK99" s="2021"/>
      <c r="SOL99" s="1062"/>
      <c r="SOM99" s="1062"/>
      <c r="SON99" s="1061"/>
      <c r="SOO99" s="1027"/>
      <c r="SOP99" s="2803"/>
      <c r="SOQ99" s="2802"/>
      <c r="SOR99" s="2565"/>
      <c r="SOS99" s="2021"/>
      <c r="SOT99" s="1062"/>
      <c r="SOU99" s="1062"/>
      <c r="SOV99" s="1061"/>
      <c r="SOW99" s="1027"/>
      <c r="SOX99" s="2803"/>
      <c r="SOY99" s="2802"/>
      <c r="SOZ99" s="2565"/>
      <c r="SPA99" s="2021"/>
      <c r="SPB99" s="1062"/>
      <c r="SPC99" s="1062"/>
      <c r="SPD99" s="1061"/>
      <c r="SPE99" s="1027"/>
      <c r="SPF99" s="2803"/>
      <c r="SPG99" s="2802"/>
      <c r="SPH99" s="2565"/>
      <c r="SPI99" s="2021"/>
      <c r="SPJ99" s="1062"/>
      <c r="SPK99" s="1062"/>
      <c r="SPL99" s="1061"/>
      <c r="SPM99" s="1027"/>
      <c r="SPN99" s="2803"/>
      <c r="SPO99" s="2802"/>
      <c r="SPP99" s="2565"/>
      <c r="SPQ99" s="2021"/>
      <c r="SPR99" s="1062"/>
      <c r="SPS99" s="1062"/>
      <c r="SPT99" s="1061"/>
      <c r="SPU99" s="1027"/>
      <c r="SPV99" s="2803"/>
      <c r="SPW99" s="2802"/>
      <c r="SPX99" s="2565"/>
      <c r="SPY99" s="2021"/>
      <c r="SPZ99" s="1062"/>
      <c r="SQA99" s="1062"/>
      <c r="SQB99" s="1061"/>
      <c r="SQC99" s="1027"/>
      <c r="SQD99" s="2803"/>
      <c r="SQE99" s="2802"/>
      <c r="SQF99" s="2565"/>
      <c r="SQG99" s="2021"/>
      <c r="SQH99" s="1062"/>
      <c r="SQI99" s="1062"/>
      <c r="SQJ99" s="1061"/>
      <c r="SQK99" s="1027"/>
      <c r="SQL99" s="2803"/>
      <c r="SQM99" s="2802"/>
      <c r="SQN99" s="2565"/>
      <c r="SQO99" s="2021"/>
      <c r="SQP99" s="1062"/>
      <c r="SQQ99" s="1062"/>
      <c r="SQR99" s="1061"/>
      <c r="SQS99" s="1027"/>
      <c r="SQT99" s="2803"/>
      <c r="SQU99" s="2802"/>
      <c r="SQV99" s="2565"/>
      <c r="SQW99" s="2021"/>
      <c r="SQX99" s="1062"/>
      <c r="SQY99" s="1062"/>
      <c r="SQZ99" s="1061"/>
      <c r="SRA99" s="1027"/>
      <c r="SRB99" s="2803"/>
      <c r="SRC99" s="2802"/>
      <c r="SRD99" s="2565"/>
      <c r="SRE99" s="2021"/>
      <c r="SRF99" s="1062"/>
      <c r="SRG99" s="1062"/>
      <c r="SRH99" s="1061"/>
      <c r="SRI99" s="1027"/>
      <c r="SRJ99" s="2803"/>
      <c r="SRK99" s="2802"/>
      <c r="SRL99" s="2565"/>
      <c r="SRM99" s="2021"/>
      <c r="SRN99" s="1062"/>
      <c r="SRO99" s="1062"/>
      <c r="SRP99" s="1061"/>
      <c r="SRQ99" s="1027"/>
      <c r="SRR99" s="2803"/>
      <c r="SRS99" s="2802"/>
      <c r="SRT99" s="2565"/>
      <c r="SRU99" s="2021"/>
      <c r="SRV99" s="1062"/>
      <c r="SRW99" s="1062"/>
      <c r="SRX99" s="1061"/>
      <c r="SRY99" s="1027"/>
      <c r="SRZ99" s="2803"/>
      <c r="SSA99" s="2802"/>
      <c r="SSB99" s="2565"/>
      <c r="SSC99" s="2021"/>
      <c r="SSD99" s="1062"/>
      <c r="SSE99" s="1062"/>
      <c r="SSF99" s="1061"/>
      <c r="SSG99" s="1027"/>
      <c r="SSH99" s="2803"/>
      <c r="SSI99" s="2802"/>
      <c r="SSJ99" s="2565"/>
      <c r="SSK99" s="2021"/>
      <c r="SSL99" s="1062"/>
      <c r="SSM99" s="1062"/>
      <c r="SSN99" s="1061"/>
      <c r="SSO99" s="1027"/>
      <c r="SSP99" s="2803"/>
      <c r="SSQ99" s="2802"/>
      <c r="SSR99" s="2565"/>
      <c r="SSS99" s="2021"/>
      <c r="SST99" s="1062"/>
      <c r="SSU99" s="1062"/>
      <c r="SSV99" s="1061"/>
      <c r="SSW99" s="1027"/>
      <c r="SSX99" s="2803"/>
      <c r="SSY99" s="2802"/>
      <c r="SSZ99" s="2565"/>
      <c r="STA99" s="2021"/>
      <c r="STB99" s="1062"/>
      <c r="STC99" s="1062"/>
      <c r="STD99" s="1061"/>
      <c r="STE99" s="1027"/>
      <c r="STF99" s="2803"/>
      <c r="STG99" s="2802"/>
      <c r="STH99" s="2565"/>
      <c r="STI99" s="2021"/>
      <c r="STJ99" s="1062"/>
      <c r="STK99" s="1062"/>
      <c r="STL99" s="1061"/>
      <c r="STM99" s="1027"/>
      <c r="STN99" s="2803"/>
      <c r="STO99" s="2802"/>
      <c r="STP99" s="2565"/>
      <c r="STQ99" s="2021"/>
      <c r="STR99" s="1062"/>
      <c r="STS99" s="1062"/>
      <c r="STT99" s="1061"/>
      <c r="STU99" s="1027"/>
      <c r="STV99" s="2803"/>
      <c r="STW99" s="2802"/>
      <c r="STX99" s="2565"/>
      <c r="STY99" s="2021"/>
      <c r="STZ99" s="1062"/>
      <c r="SUA99" s="1062"/>
      <c r="SUB99" s="1061"/>
      <c r="SUC99" s="1027"/>
      <c r="SUD99" s="2803"/>
      <c r="SUE99" s="2802"/>
      <c r="SUF99" s="2565"/>
      <c r="SUG99" s="2021"/>
      <c r="SUH99" s="1062"/>
      <c r="SUI99" s="1062"/>
      <c r="SUJ99" s="1061"/>
      <c r="SUK99" s="1027"/>
      <c r="SUL99" s="2803"/>
      <c r="SUM99" s="2802"/>
      <c r="SUN99" s="2565"/>
      <c r="SUO99" s="2021"/>
      <c r="SUP99" s="1062"/>
      <c r="SUQ99" s="1062"/>
      <c r="SUR99" s="1061"/>
      <c r="SUS99" s="1027"/>
      <c r="SUT99" s="2803"/>
      <c r="SUU99" s="2802"/>
      <c r="SUV99" s="2565"/>
      <c r="SUW99" s="2021"/>
      <c r="SUX99" s="1062"/>
      <c r="SUY99" s="1062"/>
      <c r="SUZ99" s="1061"/>
      <c r="SVA99" s="1027"/>
      <c r="SVB99" s="2803"/>
      <c r="SVC99" s="2802"/>
      <c r="SVD99" s="2565"/>
      <c r="SVE99" s="2021"/>
      <c r="SVF99" s="1062"/>
      <c r="SVG99" s="1062"/>
      <c r="SVH99" s="1061"/>
      <c r="SVI99" s="1027"/>
      <c r="SVJ99" s="2803"/>
      <c r="SVK99" s="2802"/>
      <c r="SVL99" s="2565"/>
      <c r="SVM99" s="2021"/>
      <c r="SVN99" s="1062"/>
      <c r="SVO99" s="1062"/>
      <c r="SVP99" s="1061"/>
      <c r="SVQ99" s="1027"/>
      <c r="SVR99" s="2803"/>
      <c r="SVS99" s="2802"/>
      <c r="SVT99" s="2565"/>
      <c r="SVU99" s="2021"/>
      <c r="SVV99" s="1062"/>
      <c r="SVW99" s="1062"/>
      <c r="SVX99" s="1061"/>
      <c r="SVY99" s="1027"/>
      <c r="SVZ99" s="2803"/>
      <c r="SWA99" s="2802"/>
      <c r="SWB99" s="2565"/>
      <c r="SWC99" s="2021"/>
      <c r="SWD99" s="1062"/>
      <c r="SWE99" s="1062"/>
      <c r="SWF99" s="1061"/>
      <c r="SWG99" s="1027"/>
      <c r="SWH99" s="2803"/>
      <c r="SWI99" s="2802"/>
      <c r="SWJ99" s="2565"/>
      <c r="SWK99" s="2021"/>
      <c r="SWL99" s="1062"/>
      <c r="SWM99" s="1062"/>
      <c r="SWN99" s="1061"/>
      <c r="SWO99" s="1027"/>
      <c r="SWP99" s="2803"/>
      <c r="SWQ99" s="2802"/>
      <c r="SWR99" s="2565"/>
      <c r="SWS99" s="2021"/>
      <c r="SWT99" s="1062"/>
      <c r="SWU99" s="1062"/>
      <c r="SWV99" s="1061"/>
      <c r="SWW99" s="1027"/>
      <c r="SWX99" s="2803"/>
      <c r="SWY99" s="2802"/>
      <c r="SWZ99" s="2565"/>
      <c r="SXA99" s="2021"/>
      <c r="SXB99" s="1062"/>
      <c r="SXC99" s="1062"/>
      <c r="SXD99" s="1061"/>
      <c r="SXE99" s="1027"/>
      <c r="SXF99" s="2803"/>
      <c r="SXG99" s="2802"/>
      <c r="SXH99" s="2565"/>
      <c r="SXI99" s="2021"/>
      <c r="SXJ99" s="1062"/>
      <c r="SXK99" s="1062"/>
      <c r="SXL99" s="1061"/>
      <c r="SXM99" s="1027"/>
      <c r="SXN99" s="2803"/>
      <c r="SXO99" s="2802"/>
      <c r="SXP99" s="2565"/>
      <c r="SXQ99" s="2021"/>
      <c r="SXR99" s="1062"/>
      <c r="SXS99" s="1062"/>
      <c r="SXT99" s="1061"/>
      <c r="SXU99" s="1027"/>
      <c r="SXV99" s="2803"/>
      <c r="SXW99" s="2802"/>
      <c r="SXX99" s="2565"/>
      <c r="SXY99" s="2021"/>
      <c r="SXZ99" s="1062"/>
      <c r="SYA99" s="1062"/>
      <c r="SYB99" s="1061"/>
      <c r="SYC99" s="1027"/>
      <c r="SYD99" s="2803"/>
      <c r="SYE99" s="2802"/>
      <c r="SYF99" s="2565"/>
      <c r="SYG99" s="2021"/>
      <c r="SYH99" s="1062"/>
      <c r="SYI99" s="1062"/>
      <c r="SYJ99" s="1061"/>
      <c r="SYK99" s="1027"/>
      <c r="SYL99" s="2803"/>
      <c r="SYM99" s="2802"/>
      <c r="SYN99" s="2565"/>
      <c r="SYO99" s="2021"/>
      <c r="SYP99" s="1062"/>
      <c r="SYQ99" s="1062"/>
      <c r="SYR99" s="1061"/>
      <c r="SYS99" s="1027"/>
      <c r="SYT99" s="2803"/>
      <c r="SYU99" s="2802"/>
      <c r="SYV99" s="2565"/>
      <c r="SYW99" s="2021"/>
      <c r="SYX99" s="1062"/>
      <c r="SYY99" s="1062"/>
      <c r="SYZ99" s="1061"/>
      <c r="SZA99" s="1027"/>
      <c r="SZB99" s="2803"/>
      <c r="SZC99" s="2802"/>
      <c r="SZD99" s="2565"/>
      <c r="SZE99" s="2021"/>
      <c r="SZF99" s="1062"/>
      <c r="SZG99" s="1062"/>
      <c r="SZH99" s="1061"/>
      <c r="SZI99" s="1027"/>
      <c r="SZJ99" s="2803"/>
      <c r="SZK99" s="2802"/>
      <c r="SZL99" s="2565"/>
      <c r="SZM99" s="2021"/>
      <c r="SZN99" s="1062"/>
      <c r="SZO99" s="1062"/>
      <c r="SZP99" s="1061"/>
      <c r="SZQ99" s="1027"/>
      <c r="SZR99" s="2803"/>
      <c r="SZS99" s="2802"/>
      <c r="SZT99" s="2565"/>
      <c r="SZU99" s="2021"/>
      <c r="SZV99" s="1062"/>
      <c r="SZW99" s="1062"/>
      <c r="SZX99" s="1061"/>
      <c r="SZY99" s="1027"/>
      <c r="SZZ99" s="2803"/>
      <c r="TAA99" s="2802"/>
      <c r="TAB99" s="2565"/>
      <c r="TAC99" s="2021"/>
      <c r="TAD99" s="1062"/>
      <c r="TAE99" s="1062"/>
      <c r="TAF99" s="1061"/>
      <c r="TAG99" s="1027"/>
      <c r="TAH99" s="2803"/>
      <c r="TAI99" s="2802"/>
      <c r="TAJ99" s="2565"/>
      <c r="TAK99" s="2021"/>
      <c r="TAL99" s="1062"/>
      <c r="TAM99" s="1062"/>
      <c r="TAN99" s="1061"/>
      <c r="TAO99" s="1027"/>
      <c r="TAP99" s="2803"/>
      <c r="TAQ99" s="2802"/>
      <c r="TAR99" s="2565"/>
      <c r="TAS99" s="2021"/>
      <c r="TAT99" s="1062"/>
      <c r="TAU99" s="1062"/>
      <c r="TAV99" s="1061"/>
      <c r="TAW99" s="1027"/>
      <c r="TAX99" s="2803"/>
      <c r="TAY99" s="2802"/>
      <c r="TAZ99" s="2565"/>
      <c r="TBA99" s="2021"/>
      <c r="TBB99" s="1062"/>
      <c r="TBC99" s="1062"/>
      <c r="TBD99" s="1061"/>
      <c r="TBE99" s="1027"/>
      <c r="TBF99" s="2803"/>
      <c r="TBG99" s="2802"/>
      <c r="TBH99" s="2565"/>
      <c r="TBI99" s="2021"/>
      <c r="TBJ99" s="1062"/>
      <c r="TBK99" s="1062"/>
      <c r="TBL99" s="1061"/>
      <c r="TBM99" s="1027"/>
      <c r="TBN99" s="2803"/>
      <c r="TBO99" s="2802"/>
      <c r="TBP99" s="2565"/>
      <c r="TBQ99" s="2021"/>
      <c r="TBR99" s="1062"/>
      <c r="TBS99" s="1062"/>
      <c r="TBT99" s="1061"/>
      <c r="TBU99" s="1027"/>
      <c r="TBV99" s="2803"/>
      <c r="TBW99" s="2802"/>
      <c r="TBX99" s="2565"/>
      <c r="TBY99" s="2021"/>
      <c r="TBZ99" s="1062"/>
      <c r="TCA99" s="1062"/>
      <c r="TCB99" s="1061"/>
      <c r="TCC99" s="1027"/>
      <c r="TCD99" s="2803"/>
      <c r="TCE99" s="2802"/>
      <c r="TCF99" s="2565"/>
      <c r="TCG99" s="2021"/>
      <c r="TCH99" s="1062"/>
      <c r="TCI99" s="1062"/>
      <c r="TCJ99" s="1061"/>
      <c r="TCK99" s="1027"/>
      <c r="TCL99" s="2803"/>
      <c r="TCM99" s="2802"/>
      <c r="TCN99" s="2565"/>
      <c r="TCO99" s="2021"/>
      <c r="TCP99" s="1062"/>
      <c r="TCQ99" s="1062"/>
      <c r="TCR99" s="1061"/>
      <c r="TCS99" s="1027"/>
      <c r="TCT99" s="2803"/>
      <c r="TCU99" s="2802"/>
      <c r="TCV99" s="2565"/>
      <c r="TCW99" s="2021"/>
      <c r="TCX99" s="1062"/>
      <c r="TCY99" s="1062"/>
      <c r="TCZ99" s="1061"/>
      <c r="TDA99" s="1027"/>
      <c r="TDB99" s="2803"/>
      <c r="TDC99" s="2802"/>
      <c r="TDD99" s="2565"/>
      <c r="TDE99" s="2021"/>
      <c r="TDF99" s="1062"/>
      <c r="TDG99" s="1062"/>
      <c r="TDH99" s="1061"/>
      <c r="TDI99" s="1027"/>
      <c r="TDJ99" s="2803"/>
      <c r="TDK99" s="2802"/>
      <c r="TDL99" s="2565"/>
      <c r="TDM99" s="2021"/>
      <c r="TDN99" s="1062"/>
      <c r="TDO99" s="1062"/>
      <c r="TDP99" s="1061"/>
      <c r="TDQ99" s="1027"/>
      <c r="TDR99" s="2803"/>
      <c r="TDS99" s="2802"/>
      <c r="TDT99" s="2565"/>
      <c r="TDU99" s="2021"/>
      <c r="TDV99" s="1062"/>
      <c r="TDW99" s="1062"/>
      <c r="TDX99" s="1061"/>
      <c r="TDY99" s="1027"/>
      <c r="TDZ99" s="2803"/>
      <c r="TEA99" s="2802"/>
      <c r="TEB99" s="2565"/>
      <c r="TEC99" s="2021"/>
      <c r="TED99" s="1062"/>
      <c r="TEE99" s="1062"/>
      <c r="TEF99" s="1061"/>
      <c r="TEG99" s="1027"/>
      <c r="TEH99" s="2803"/>
      <c r="TEI99" s="2802"/>
      <c r="TEJ99" s="2565"/>
      <c r="TEK99" s="2021"/>
      <c r="TEL99" s="1062"/>
      <c r="TEM99" s="1062"/>
      <c r="TEN99" s="1061"/>
      <c r="TEO99" s="1027"/>
      <c r="TEP99" s="2803"/>
      <c r="TEQ99" s="2802"/>
      <c r="TER99" s="2565"/>
      <c r="TES99" s="2021"/>
      <c r="TET99" s="1062"/>
      <c r="TEU99" s="1062"/>
      <c r="TEV99" s="1061"/>
      <c r="TEW99" s="1027"/>
      <c r="TEX99" s="2803"/>
      <c r="TEY99" s="2802"/>
      <c r="TEZ99" s="2565"/>
      <c r="TFA99" s="2021"/>
      <c r="TFB99" s="1062"/>
      <c r="TFC99" s="1062"/>
      <c r="TFD99" s="1061"/>
      <c r="TFE99" s="1027"/>
      <c r="TFF99" s="2803"/>
      <c r="TFG99" s="2802"/>
      <c r="TFH99" s="2565"/>
      <c r="TFI99" s="2021"/>
      <c r="TFJ99" s="1062"/>
      <c r="TFK99" s="1062"/>
      <c r="TFL99" s="1061"/>
      <c r="TFM99" s="1027"/>
      <c r="TFN99" s="2803"/>
      <c r="TFO99" s="2802"/>
      <c r="TFP99" s="2565"/>
      <c r="TFQ99" s="2021"/>
      <c r="TFR99" s="1062"/>
      <c r="TFS99" s="1062"/>
      <c r="TFT99" s="1061"/>
      <c r="TFU99" s="1027"/>
      <c r="TFV99" s="2803"/>
      <c r="TFW99" s="2802"/>
      <c r="TFX99" s="2565"/>
      <c r="TFY99" s="2021"/>
      <c r="TFZ99" s="1062"/>
      <c r="TGA99" s="1062"/>
      <c r="TGB99" s="1061"/>
      <c r="TGC99" s="1027"/>
      <c r="TGD99" s="2803"/>
      <c r="TGE99" s="2802"/>
      <c r="TGF99" s="2565"/>
      <c r="TGG99" s="2021"/>
      <c r="TGH99" s="1062"/>
      <c r="TGI99" s="1062"/>
      <c r="TGJ99" s="1061"/>
      <c r="TGK99" s="1027"/>
      <c r="TGL99" s="2803"/>
      <c r="TGM99" s="2802"/>
      <c r="TGN99" s="2565"/>
      <c r="TGO99" s="2021"/>
      <c r="TGP99" s="1062"/>
      <c r="TGQ99" s="1062"/>
      <c r="TGR99" s="1061"/>
      <c r="TGS99" s="1027"/>
      <c r="TGT99" s="2803"/>
      <c r="TGU99" s="2802"/>
      <c r="TGV99" s="2565"/>
      <c r="TGW99" s="2021"/>
      <c r="TGX99" s="1062"/>
      <c r="TGY99" s="1062"/>
      <c r="TGZ99" s="1061"/>
      <c r="THA99" s="1027"/>
      <c r="THB99" s="2803"/>
      <c r="THC99" s="2802"/>
      <c r="THD99" s="2565"/>
      <c r="THE99" s="2021"/>
      <c r="THF99" s="1062"/>
      <c r="THG99" s="1062"/>
      <c r="THH99" s="1061"/>
      <c r="THI99" s="1027"/>
      <c r="THJ99" s="2803"/>
      <c r="THK99" s="2802"/>
      <c r="THL99" s="2565"/>
      <c r="THM99" s="2021"/>
      <c r="THN99" s="1062"/>
      <c r="THO99" s="1062"/>
      <c r="THP99" s="1061"/>
      <c r="THQ99" s="1027"/>
      <c r="THR99" s="2803"/>
      <c r="THS99" s="2802"/>
      <c r="THT99" s="2565"/>
      <c r="THU99" s="2021"/>
      <c r="THV99" s="1062"/>
      <c r="THW99" s="1062"/>
      <c r="THX99" s="1061"/>
      <c r="THY99" s="1027"/>
      <c r="THZ99" s="2803"/>
      <c r="TIA99" s="2802"/>
      <c r="TIB99" s="2565"/>
      <c r="TIC99" s="2021"/>
      <c r="TID99" s="1062"/>
      <c r="TIE99" s="1062"/>
      <c r="TIF99" s="1061"/>
      <c r="TIG99" s="1027"/>
      <c r="TIH99" s="2803"/>
      <c r="TII99" s="2802"/>
      <c r="TIJ99" s="2565"/>
      <c r="TIK99" s="2021"/>
      <c r="TIL99" s="1062"/>
      <c r="TIM99" s="1062"/>
      <c r="TIN99" s="1061"/>
      <c r="TIO99" s="1027"/>
      <c r="TIP99" s="2803"/>
      <c r="TIQ99" s="2802"/>
      <c r="TIR99" s="2565"/>
      <c r="TIS99" s="2021"/>
      <c r="TIT99" s="1062"/>
      <c r="TIU99" s="1062"/>
      <c r="TIV99" s="1061"/>
      <c r="TIW99" s="1027"/>
      <c r="TIX99" s="2803"/>
      <c r="TIY99" s="2802"/>
      <c r="TIZ99" s="2565"/>
      <c r="TJA99" s="2021"/>
      <c r="TJB99" s="1062"/>
      <c r="TJC99" s="1062"/>
      <c r="TJD99" s="1061"/>
      <c r="TJE99" s="1027"/>
      <c r="TJF99" s="2803"/>
      <c r="TJG99" s="2802"/>
      <c r="TJH99" s="2565"/>
      <c r="TJI99" s="2021"/>
      <c r="TJJ99" s="1062"/>
      <c r="TJK99" s="1062"/>
      <c r="TJL99" s="1061"/>
      <c r="TJM99" s="1027"/>
      <c r="TJN99" s="2803"/>
      <c r="TJO99" s="2802"/>
      <c r="TJP99" s="2565"/>
      <c r="TJQ99" s="2021"/>
      <c r="TJR99" s="1062"/>
      <c r="TJS99" s="1062"/>
      <c r="TJT99" s="1061"/>
      <c r="TJU99" s="1027"/>
      <c r="TJV99" s="2803"/>
      <c r="TJW99" s="2802"/>
      <c r="TJX99" s="2565"/>
      <c r="TJY99" s="2021"/>
      <c r="TJZ99" s="1062"/>
      <c r="TKA99" s="1062"/>
      <c r="TKB99" s="1061"/>
      <c r="TKC99" s="1027"/>
      <c r="TKD99" s="2803"/>
      <c r="TKE99" s="2802"/>
      <c r="TKF99" s="2565"/>
      <c r="TKG99" s="2021"/>
      <c r="TKH99" s="1062"/>
      <c r="TKI99" s="1062"/>
      <c r="TKJ99" s="1061"/>
      <c r="TKK99" s="1027"/>
      <c r="TKL99" s="2803"/>
      <c r="TKM99" s="2802"/>
      <c r="TKN99" s="2565"/>
      <c r="TKO99" s="2021"/>
      <c r="TKP99" s="1062"/>
      <c r="TKQ99" s="1062"/>
      <c r="TKR99" s="1061"/>
      <c r="TKS99" s="1027"/>
      <c r="TKT99" s="2803"/>
      <c r="TKU99" s="2802"/>
      <c r="TKV99" s="2565"/>
      <c r="TKW99" s="2021"/>
      <c r="TKX99" s="1062"/>
      <c r="TKY99" s="1062"/>
      <c r="TKZ99" s="1061"/>
      <c r="TLA99" s="1027"/>
      <c r="TLB99" s="2803"/>
      <c r="TLC99" s="2802"/>
      <c r="TLD99" s="2565"/>
      <c r="TLE99" s="2021"/>
      <c r="TLF99" s="1062"/>
      <c r="TLG99" s="1062"/>
      <c r="TLH99" s="1061"/>
      <c r="TLI99" s="1027"/>
      <c r="TLJ99" s="2803"/>
      <c r="TLK99" s="2802"/>
      <c r="TLL99" s="2565"/>
      <c r="TLM99" s="2021"/>
      <c r="TLN99" s="1062"/>
      <c r="TLO99" s="1062"/>
      <c r="TLP99" s="1061"/>
      <c r="TLQ99" s="1027"/>
      <c r="TLR99" s="2803"/>
      <c r="TLS99" s="2802"/>
      <c r="TLT99" s="2565"/>
      <c r="TLU99" s="2021"/>
      <c r="TLV99" s="1062"/>
      <c r="TLW99" s="1062"/>
      <c r="TLX99" s="1061"/>
      <c r="TLY99" s="1027"/>
      <c r="TLZ99" s="2803"/>
      <c r="TMA99" s="2802"/>
      <c r="TMB99" s="2565"/>
      <c r="TMC99" s="2021"/>
      <c r="TMD99" s="1062"/>
      <c r="TME99" s="1062"/>
      <c r="TMF99" s="1061"/>
      <c r="TMG99" s="1027"/>
      <c r="TMH99" s="2803"/>
      <c r="TMI99" s="2802"/>
      <c r="TMJ99" s="2565"/>
      <c r="TMK99" s="2021"/>
      <c r="TML99" s="1062"/>
      <c r="TMM99" s="1062"/>
      <c r="TMN99" s="1061"/>
      <c r="TMO99" s="1027"/>
      <c r="TMP99" s="2803"/>
      <c r="TMQ99" s="2802"/>
      <c r="TMR99" s="2565"/>
      <c r="TMS99" s="2021"/>
      <c r="TMT99" s="1062"/>
      <c r="TMU99" s="1062"/>
      <c r="TMV99" s="1061"/>
      <c r="TMW99" s="1027"/>
      <c r="TMX99" s="2803"/>
      <c r="TMY99" s="2802"/>
      <c r="TMZ99" s="2565"/>
      <c r="TNA99" s="2021"/>
      <c r="TNB99" s="1062"/>
      <c r="TNC99" s="1062"/>
      <c r="TND99" s="1061"/>
      <c r="TNE99" s="1027"/>
      <c r="TNF99" s="2803"/>
      <c r="TNG99" s="2802"/>
      <c r="TNH99" s="2565"/>
      <c r="TNI99" s="2021"/>
      <c r="TNJ99" s="1062"/>
      <c r="TNK99" s="1062"/>
      <c r="TNL99" s="1061"/>
      <c r="TNM99" s="1027"/>
      <c r="TNN99" s="2803"/>
      <c r="TNO99" s="2802"/>
      <c r="TNP99" s="2565"/>
      <c r="TNQ99" s="2021"/>
      <c r="TNR99" s="1062"/>
      <c r="TNS99" s="1062"/>
      <c r="TNT99" s="1061"/>
      <c r="TNU99" s="1027"/>
      <c r="TNV99" s="2803"/>
      <c r="TNW99" s="2802"/>
      <c r="TNX99" s="2565"/>
      <c r="TNY99" s="2021"/>
      <c r="TNZ99" s="1062"/>
      <c r="TOA99" s="1062"/>
      <c r="TOB99" s="1061"/>
      <c r="TOC99" s="1027"/>
      <c r="TOD99" s="2803"/>
      <c r="TOE99" s="2802"/>
      <c r="TOF99" s="2565"/>
      <c r="TOG99" s="2021"/>
      <c r="TOH99" s="1062"/>
      <c r="TOI99" s="1062"/>
      <c r="TOJ99" s="1061"/>
      <c r="TOK99" s="1027"/>
      <c r="TOL99" s="2803"/>
      <c r="TOM99" s="2802"/>
      <c r="TON99" s="2565"/>
      <c r="TOO99" s="2021"/>
      <c r="TOP99" s="1062"/>
      <c r="TOQ99" s="1062"/>
      <c r="TOR99" s="1061"/>
      <c r="TOS99" s="1027"/>
      <c r="TOT99" s="2803"/>
      <c r="TOU99" s="2802"/>
      <c r="TOV99" s="2565"/>
      <c r="TOW99" s="2021"/>
      <c r="TOX99" s="1062"/>
      <c r="TOY99" s="1062"/>
      <c r="TOZ99" s="1061"/>
      <c r="TPA99" s="1027"/>
      <c r="TPB99" s="2803"/>
      <c r="TPC99" s="2802"/>
      <c r="TPD99" s="2565"/>
      <c r="TPE99" s="2021"/>
      <c r="TPF99" s="1062"/>
      <c r="TPG99" s="1062"/>
      <c r="TPH99" s="1061"/>
      <c r="TPI99" s="1027"/>
      <c r="TPJ99" s="2803"/>
      <c r="TPK99" s="2802"/>
      <c r="TPL99" s="2565"/>
      <c r="TPM99" s="2021"/>
      <c r="TPN99" s="1062"/>
      <c r="TPO99" s="1062"/>
      <c r="TPP99" s="1061"/>
      <c r="TPQ99" s="1027"/>
      <c r="TPR99" s="2803"/>
      <c r="TPS99" s="2802"/>
      <c r="TPT99" s="2565"/>
      <c r="TPU99" s="2021"/>
      <c r="TPV99" s="1062"/>
      <c r="TPW99" s="1062"/>
      <c r="TPX99" s="1061"/>
      <c r="TPY99" s="1027"/>
      <c r="TPZ99" s="2803"/>
      <c r="TQA99" s="2802"/>
      <c r="TQB99" s="2565"/>
      <c r="TQC99" s="2021"/>
      <c r="TQD99" s="1062"/>
      <c r="TQE99" s="1062"/>
      <c r="TQF99" s="1061"/>
      <c r="TQG99" s="1027"/>
      <c r="TQH99" s="2803"/>
      <c r="TQI99" s="2802"/>
      <c r="TQJ99" s="2565"/>
      <c r="TQK99" s="2021"/>
      <c r="TQL99" s="1062"/>
      <c r="TQM99" s="1062"/>
      <c r="TQN99" s="1061"/>
      <c r="TQO99" s="1027"/>
      <c r="TQP99" s="2803"/>
      <c r="TQQ99" s="2802"/>
      <c r="TQR99" s="2565"/>
      <c r="TQS99" s="2021"/>
      <c r="TQT99" s="1062"/>
      <c r="TQU99" s="1062"/>
      <c r="TQV99" s="1061"/>
      <c r="TQW99" s="1027"/>
      <c r="TQX99" s="2803"/>
      <c r="TQY99" s="2802"/>
      <c r="TQZ99" s="2565"/>
      <c r="TRA99" s="2021"/>
      <c r="TRB99" s="1062"/>
      <c r="TRC99" s="1062"/>
      <c r="TRD99" s="1061"/>
      <c r="TRE99" s="1027"/>
      <c r="TRF99" s="2803"/>
      <c r="TRG99" s="2802"/>
      <c r="TRH99" s="2565"/>
      <c r="TRI99" s="2021"/>
      <c r="TRJ99" s="1062"/>
      <c r="TRK99" s="1062"/>
      <c r="TRL99" s="1061"/>
      <c r="TRM99" s="1027"/>
      <c r="TRN99" s="2803"/>
      <c r="TRO99" s="2802"/>
      <c r="TRP99" s="2565"/>
      <c r="TRQ99" s="2021"/>
      <c r="TRR99" s="1062"/>
      <c r="TRS99" s="1062"/>
      <c r="TRT99" s="1061"/>
      <c r="TRU99" s="1027"/>
      <c r="TRV99" s="2803"/>
      <c r="TRW99" s="2802"/>
      <c r="TRX99" s="2565"/>
      <c r="TRY99" s="2021"/>
      <c r="TRZ99" s="1062"/>
      <c r="TSA99" s="1062"/>
      <c r="TSB99" s="1061"/>
      <c r="TSC99" s="1027"/>
      <c r="TSD99" s="2803"/>
      <c r="TSE99" s="2802"/>
      <c r="TSF99" s="2565"/>
      <c r="TSG99" s="2021"/>
      <c r="TSH99" s="1062"/>
      <c r="TSI99" s="1062"/>
      <c r="TSJ99" s="1061"/>
      <c r="TSK99" s="1027"/>
      <c r="TSL99" s="2803"/>
      <c r="TSM99" s="2802"/>
      <c r="TSN99" s="2565"/>
      <c r="TSO99" s="2021"/>
      <c r="TSP99" s="1062"/>
      <c r="TSQ99" s="1062"/>
      <c r="TSR99" s="1061"/>
      <c r="TSS99" s="1027"/>
      <c r="TST99" s="2803"/>
      <c r="TSU99" s="2802"/>
      <c r="TSV99" s="2565"/>
      <c r="TSW99" s="2021"/>
      <c r="TSX99" s="1062"/>
      <c r="TSY99" s="1062"/>
      <c r="TSZ99" s="1061"/>
      <c r="TTA99" s="1027"/>
      <c r="TTB99" s="2803"/>
      <c r="TTC99" s="2802"/>
      <c r="TTD99" s="2565"/>
      <c r="TTE99" s="2021"/>
      <c r="TTF99" s="1062"/>
      <c r="TTG99" s="1062"/>
      <c r="TTH99" s="1061"/>
      <c r="TTI99" s="1027"/>
      <c r="TTJ99" s="2803"/>
      <c r="TTK99" s="2802"/>
      <c r="TTL99" s="2565"/>
      <c r="TTM99" s="2021"/>
      <c r="TTN99" s="1062"/>
      <c r="TTO99" s="1062"/>
      <c r="TTP99" s="1061"/>
      <c r="TTQ99" s="1027"/>
      <c r="TTR99" s="2803"/>
      <c r="TTS99" s="2802"/>
      <c r="TTT99" s="2565"/>
      <c r="TTU99" s="2021"/>
      <c r="TTV99" s="1062"/>
      <c r="TTW99" s="1062"/>
      <c r="TTX99" s="1061"/>
      <c r="TTY99" s="1027"/>
      <c r="TTZ99" s="2803"/>
      <c r="TUA99" s="2802"/>
      <c r="TUB99" s="2565"/>
      <c r="TUC99" s="2021"/>
      <c r="TUD99" s="1062"/>
      <c r="TUE99" s="1062"/>
      <c r="TUF99" s="1061"/>
      <c r="TUG99" s="1027"/>
      <c r="TUH99" s="2803"/>
      <c r="TUI99" s="2802"/>
      <c r="TUJ99" s="2565"/>
      <c r="TUK99" s="2021"/>
      <c r="TUL99" s="1062"/>
      <c r="TUM99" s="1062"/>
      <c r="TUN99" s="1061"/>
      <c r="TUO99" s="1027"/>
      <c r="TUP99" s="2803"/>
      <c r="TUQ99" s="2802"/>
      <c r="TUR99" s="2565"/>
      <c r="TUS99" s="2021"/>
      <c r="TUT99" s="1062"/>
      <c r="TUU99" s="1062"/>
      <c r="TUV99" s="1061"/>
      <c r="TUW99" s="1027"/>
      <c r="TUX99" s="2803"/>
      <c r="TUY99" s="2802"/>
      <c r="TUZ99" s="2565"/>
      <c r="TVA99" s="2021"/>
      <c r="TVB99" s="1062"/>
      <c r="TVC99" s="1062"/>
      <c r="TVD99" s="1061"/>
      <c r="TVE99" s="1027"/>
      <c r="TVF99" s="2803"/>
      <c r="TVG99" s="2802"/>
      <c r="TVH99" s="2565"/>
      <c r="TVI99" s="2021"/>
      <c r="TVJ99" s="1062"/>
      <c r="TVK99" s="1062"/>
      <c r="TVL99" s="1061"/>
      <c r="TVM99" s="1027"/>
      <c r="TVN99" s="2803"/>
      <c r="TVO99" s="2802"/>
      <c r="TVP99" s="2565"/>
      <c r="TVQ99" s="2021"/>
      <c r="TVR99" s="1062"/>
      <c r="TVS99" s="1062"/>
      <c r="TVT99" s="1061"/>
      <c r="TVU99" s="1027"/>
      <c r="TVV99" s="2803"/>
      <c r="TVW99" s="2802"/>
      <c r="TVX99" s="2565"/>
      <c r="TVY99" s="2021"/>
      <c r="TVZ99" s="1062"/>
      <c r="TWA99" s="1062"/>
      <c r="TWB99" s="1061"/>
      <c r="TWC99" s="1027"/>
      <c r="TWD99" s="2803"/>
      <c r="TWE99" s="2802"/>
      <c r="TWF99" s="2565"/>
      <c r="TWG99" s="2021"/>
      <c r="TWH99" s="1062"/>
      <c r="TWI99" s="1062"/>
      <c r="TWJ99" s="1061"/>
      <c r="TWK99" s="1027"/>
      <c r="TWL99" s="2803"/>
      <c r="TWM99" s="2802"/>
      <c r="TWN99" s="2565"/>
      <c r="TWO99" s="2021"/>
      <c r="TWP99" s="1062"/>
      <c r="TWQ99" s="1062"/>
      <c r="TWR99" s="1061"/>
      <c r="TWS99" s="1027"/>
      <c r="TWT99" s="2803"/>
      <c r="TWU99" s="2802"/>
      <c r="TWV99" s="2565"/>
      <c r="TWW99" s="2021"/>
      <c r="TWX99" s="1062"/>
      <c r="TWY99" s="1062"/>
      <c r="TWZ99" s="1061"/>
      <c r="TXA99" s="1027"/>
      <c r="TXB99" s="2803"/>
      <c r="TXC99" s="2802"/>
      <c r="TXD99" s="2565"/>
      <c r="TXE99" s="2021"/>
      <c r="TXF99" s="1062"/>
      <c r="TXG99" s="1062"/>
      <c r="TXH99" s="1061"/>
      <c r="TXI99" s="1027"/>
      <c r="TXJ99" s="2803"/>
      <c r="TXK99" s="2802"/>
      <c r="TXL99" s="2565"/>
      <c r="TXM99" s="2021"/>
      <c r="TXN99" s="1062"/>
      <c r="TXO99" s="1062"/>
      <c r="TXP99" s="1061"/>
      <c r="TXQ99" s="1027"/>
      <c r="TXR99" s="2803"/>
      <c r="TXS99" s="2802"/>
      <c r="TXT99" s="2565"/>
      <c r="TXU99" s="2021"/>
      <c r="TXV99" s="1062"/>
      <c r="TXW99" s="1062"/>
      <c r="TXX99" s="1061"/>
      <c r="TXY99" s="1027"/>
      <c r="TXZ99" s="2803"/>
      <c r="TYA99" s="2802"/>
      <c r="TYB99" s="2565"/>
      <c r="TYC99" s="2021"/>
      <c r="TYD99" s="1062"/>
      <c r="TYE99" s="1062"/>
      <c r="TYF99" s="1061"/>
      <c r="TYG99" s="1027"/>
      <c r="TYH99" s="2803"/>
      <c r="TYI99" s="2802"/>
      <c r="TYJ99" s="2565"/>
      <c r="TYK99" s="2021"/>
      <c r="TYL99" s="1062"/>
      <c r="TYM99" s="1062"/>
      <c r="TYN99" s="1061"/>
      <c r="TYO99" s="1027"/>
      <c r="TYP99" s="2803"/>
      <c r="TYQ99" s="2802"/>
      <c r="TYR99" s="2565"/>
      <c r="TYS99" s="2021"/>
      <c r="TYT99" s="1062"/>
      <c r="TYU99" s="1062"/>
      <c r="TYV99" s="1061"/>
      <c r="TYW99" s="1027"/>
      <c r="TYX99" s="2803"/>
      <c r="TYY99" s="2802"/>
      <c r="TYZ99" s="2565"/>
      <c r="TZA99" s="2021"/>
      <c r="TZB99" s="1062"/>
      <c r="TZC99" s="1062"/>
      <c r="TZD99" s="1061"/>
      <c r="TZE99" s="1027"/>
      <c r="TZF99" s="2803"/>
      <c r="TZG99" s="2802"/>
      <c r="TZH99" s="2565"/>
      <c r="TZI99" s="2021"/>
      <c r="TZJ99" s="1062"/>
      <c r="TZK99" s="1062"/>
      <c r="TZL99" s="1061"/>
      <c r="TZM99" s="1027"/>
      <c r="TZN99" s="2803"/>
      <c r="TZO99" s="2802"/>
      <c r="TZP99" s="2565"/>
      <c r="TZQ99" s="2021"/>
      <c r="TZR99" s="1062"/>
      <c r="TZS99" s="1062"/>
      <c r="TZT99" s="1061"/>
      <c r="TZU99" s="1027"/>
      <c r="TZV99" s="2803"/>
      <c r="TZW99" s="2802"/>
      <c r="TZX99" s="2565"/>
      <c r="TZY99" s="2021"/>
      <c r="TZZ99" s="1062"/>
      <c r="UAA99" s="1062"/>
      <c r="UAB99" s="1061"/>
      <c r="UAC99" s="1027"/>
      <c r="UAD99" s="2803"/>
      <c r="UAE99" s="2802"/>
      <c r="UAF99" s="2565"/>
      <c r="UAG99" s="2021"/>
      <c r="UAH99" s="1062"/>
      <c r="UAI99" s="1062"/>
      <c r="UAJ99" s="1061"/>
      <c r="UAK99" s="1027"/>
      <c r="UAL99" s="2803"/>
      <c r="UAM99" s="2802"/>
      <c r="UAN99" s="2565"/>
      <c r="UAO99" s="2021"/>
      <c r="UAP99" s="1062"/>
      <c r="UAQ99" s="1062"/>
      <c r="UAR99" s="1061"/>
      <c r="UAS99" s="1027"/>
      <c r="UAT99" s="2803"/>
      <c r="UAU99" s="2802"/>
      <c r="UAV99" s="2565"/>
      <c r="UAW99" s="2021"/>
      <c r="UAX99" s="1062"/>
      <c r="UAY99" s="1062"/>
      <c r="UAZ99" s="1061"/>
      <c r="UBA99" s="1027"/>
      <c r="UBB99" s="2803"/>
      <c r="UBC99" s="2802"/>
      <c r="UBD99" s="2565"/>
      <c r="UBE99" s="2021"/>
      <c r="UBF99" s="1062"/>
      <c r="UBG99" s="1062"/>
      <c r="UBH99" s="1061"/>
      <c r="UBI99" s="1027"/>
      <c r="UBJ99" s="2803"/>
      <c r="UBK99" s="2802"/>
      <c r="UBL99" s="2565"/>
      <c r="UBM99" s="2021"/>
      <c r="UBN99" s="1062"/>
      <c r="UBO99" s="1062"/>
      <c r="UBP99" s="1061"/>
      <c r="UBQ99" s="1027"/>
      <c r="UBR99" s="2803"/>
      <c r="UBS99" s="2802"/>
      <c r="UBT99" s="2565"/>
      <c r="UBU99" s="2021"/>
      <c r="UBV99" s="1062"/>
      <c r="UBW99" s="1062"/>
      <c r="UBX99" s="1061"/>
      <c r="UBY99" s="1027"/>
      <c r="UBZ99" s="2803"/>
      <c r="UCA99" s="2802"/>
      <c r="UCB99" s="2565"/>
      <c r="UCC99" s="2021"/>
      <c r="UCD99" s="1062"/>
      <c r="UCE99" s="1062"/>
      <c r="UCF99" s="1061"/>
      <c r="UCG99" s="1027"/>
      <c r="UCH99" s="2803"/>
      <c r="UCI99" s="2802"/>
      <c r="UCJ99" s="2565"/>
      <c r="UCK99" s="2021"/>
      <c r="UCL99" s="1062"/>
      <c r="UCM99" s="1062"/>
      <c r="UCN99" s="1061"/>
      <c r="UCO99" s="1027"/>
      <c r="UCP99" s="2803"/>
      <c r="UCQ99" s="2802"/>
      <c r="UCR99" s="2565"/>
      <c r="UCS99" s="2021"/>
      <c r="UCT99" s="1062"/>
      <c r="UCU99" s="1062"/>
      <c r="UCV99" s="1061"/>
      <c r="UCW99" s="1027"/>
      <c r="UCX99" s="2803"/>
      <c r="UCY99" s="2802"/>
      <c r="UCZ99" s="2565"/>
      <c r="UDA99" s="2021"/>
      <c r="UDB99" s="1062"/>
      <c r="UDC99" s="1062"/>
      <c r="UDD99" s="1061"/>
      <c r="UDE99" s="1027"/>
      <c r="UDF99" s="2803"/>
      <c r="UDG99" s="2802"/>
      <c r="UDH99" s="2565"/>
      <c r="UDI99" s="2021"/>
      <c r="UDJ99" s="1062"/>
      <c r="UDK99" s="1062"/>
      <c r="UDL99" s="1061"/>
      <c r="UDM99" s="1027"/>
      <c r="UDN99" s="2803"/>
      <c r="UDO99" s="2802"/>
      <c r="UDP99" s="2565"/>
      <c r="UDQ99" s="2021"/>
      <c r="UDR99" s="1062"/>
      <c r="UDS99" s="1062"/>
      <c r="UDT99" s="1061"/>
      <c r="UDU99" s="1027"/>
      <c r="UDV99" s="2803"/>
      <c r="UDW99" s="2802"/>
      <c r="UDX99" s="2565"/>
      <c r="UDY99" s="2021"/>
      <c r="UDZ99" s="1062"/>
      <c r="UEA99" s="1062"/>
      <c r="UEB99" s="1061"/>
      <c r="UEC99" s="1027"/>
      <c r="UED99" s="2803"/>
      <c r="UEE99" s="2802"/>
      <c r="UEF99" s="2565"/>
      <c r="UEG99" s="2021"/>
      <c r="UEH99" s="1062"/>
      <c r="UEI99" s="1062"/>
      <c r="UEJ99" s="1061"/>
      <c r="UEK99" s="1027"/>
      <c r="UEL99" s="2803"/>
      <c r="UEM99" s="2802"/>
      <c r="UEN99" s="2565"/>
      <c r="UEO99" s="2021"/>
      <c r="UEP99" s="1062"/>
      <c r="UEQ99" s="1062"/>
      <c r="UER99" s="1061"/>
      <c r="UES99" s="1027"/>
      <c r="UET99" s="2803"/>
      <c r="UEU99" s="2802"/>
      <c r="UEV99" s="2565"/>
      <c r="UEW99" s="2021"/>
      <c r="UEX99" s="1062"/>
      <c r="UEY99" s="1062"/>
      <c r="UEZ99" s="1061"/>
      <c r="UFA99" s="1027"/>
      <c r="UFB99" s="2803"/>
      <c r="UFC99" s="2802"/>
      <c r="UFD99" s="2565"/>
      <c r="UFE99" s="2021"/>
      <c r="UFF99" s="1062"/>
      <c r="UFG99" s="1062"/>
      <c r="UFH99" s="1061"/>
      <c r="UFI99" s="1027"/>
      <c r="UFJ99" s="2803"/>
      <c r="UFK99" s="2802"/>
      <c r="UFL99" s="2565"/>
      <c r="UFM99" s="2021"/>
      <c r="UFN99" s="1062"/>
      <c r="UFO99" s="1062"/>
      <c r="UFP99" s="1061"/>
      <c r="UFQ99" s="1027"/>
      <c r="UFR99" s="2803"/>
      <c r="UFS99" s="2802"/>
      <c r="UFT99" s="2565"/>
      <c r="UFU99" s="2021"/>
      <c r="UFV99" s="1062"/>
      <c r="UFW99" s="1062"/>
      <c r="UFX99" s="1061"/>
      <c r="UFY99" s="1027"/>
      <c r="UFZ99" s="2803"/>
      <c r="UGA99" s="2802"/>
      <c r="UGB99" s="2565"/>
      <c r="UGC99" s="2021"/>
      <c r="UGD99" s="1062"/>
      <c r="UGE99" s="1062"/>
      <c r="UGF99" s="1061"/>
      <c r="UGG99" s="1027"/>
      <c r="UGH99" s="2803"/>
      <c r="UGI99" s="2802"/>
      <c r="UGJ99" s="2565"/>
      <c r="UGK99" s="2021"/>
      <c r="UGL99" s="1062"/>
      <c r="UGM99" s="1062"/>
      <c r="UGN99" s="1061"/>
      <c r="UGO99" s="1027"/>
      <c r="UGP99" s="2803"/>
      <c r="UGQ99" s="2802"/>
      <c r="UGR99" s="2565"/>
      <c r="UGS99" s="2021"/>
      <c r="UGT99" s="1062"/>
      <c r="UGU99" s="1062"/>
      <c r="UGV99" s="1061"/>
      <c r="UGW99" s="1027"/>
      <c r="UGX99" s="2803"/>
      <c r="UGY99" s="2802"/>
      <c r="UGZ99" s="2565"/>
      <c r="UHA99" s="2021"/>
      <c r="UHB99" s="1062"/>
      <c r="UHC99" s="1062"/>
      <c r="UHD99" s="1061"/>
      <c r="UHE99" s="1027"/>
      <c r="UHF99" s="2803"/>
      <c r="UHG99" s="2802"/>
      <c r="UHH99" s="2565"/>
      <c r="UHI99" s="2021"/>
      <c r="UHJ99" s="1062"/>
      <c r="UHK99" s="1062"/>
      <c r="UHL99" s="1061"/>
      <c r="UHM99" s="1027"/>
      <c r="UHN99" s="2803"/>
      <c r="UHO99" s="2802"/>
      <c r="UHP99" s="2565"/>
      <c r="UHQ99" s="2021"/>
      <c r="UHR99" s="1062"/>
      <c r="UHS99" s="1062"/>
      <c r="UHT99" s="1061"/>
      <c r="UHU99" s="1027"/>
      <c r="UHV99" s="2803"/>
      <c r="UHW99" s="2802"/>
      <c r="UHX99" s="2565"/>
      <c r="UHY99" s="2021"/>
      <c r="UHZ99" s="1062"/>
      <c r="UIA99" s="1062"/>
      <c r="UIB99" s="1061"/>
      <c r="UIC99" s="1027"/>
      <c r="UID99" s="2803"/>
      <c r="UIE99" s="2802"/>
      <c r="UIF99" s="2565"/>
      <c r="UIG99" s="2021"/>
      <c r="UIH99" s="1062"/>
      <c r="UII99" s="1062"/>
      <c r="UIJ99" s="1061"/>
      <c r="UIK99" s="1027"/>
      <c r="UIL99" s="2803"/>
      <c r="UIM99" s="2802"/>
      <c r="UIN99" s="2565"/>
      <c r="UIO99" s="2021"/>
      <c r="UIP99" s="1062"/>
      <c r="UIQ99" s="1062"/>
      <c r="UIR99" s="1061"/>
      <c r="UIS99" s="1027"/>
      <c r="UIT99" s="2803"/>
      <c r="UIU99" s="2802"/>
      <c r="UIV99" s="2565"/>
      <c r="UIW99" s="2021"/>
      <c r="UIX99" s="1062"/>
      <c r="UIY99" s="1062"/>
      <c r="UIZ99" s="1061"/>
      <c r="UJA99" s="1027"/>
      <c r="UJB99" s="2803"/>
      <c r="UJC99" s="2802"/>
      <c r="UJD99" s="2565"/>
      <c r="UJE99" s="2021"/>
      <c r="UJF99" s="1062"/>
      <c r="UJG99" s="1062"/>
      <c r="UJH99" s="1061"/>
      <c r="UJI99" s="1027"/>
      <c r="UJJ99" s="2803"/>
      <c r="UJK99" s="2802"/>
      <c r="UJL99" s="2565"/>
      <c r="UJM99" s="2021"/>
      <c r="UJN99" s="1062"/>
      <c r="UJO99" s="1062"/>
      <c r="UJP99" s="1061"/>
      <c r="UJQ99" s="1027"/>
      <c r="UJR99" s="2803"/>
      <c r="UJS99" s="2802"/>
      <c r="UJT99" s="2565"/>
      <c r="UJU99" s="2021"/>
      <c r="UJV99" s="1062"/>
      <c r="UJW99" s="1062"/>
      <c r="UJX99" s="1061"/>
      <c r="UJY99" s="1027"/>
      <c r="UJZ99" s="2803"/>
      <c r="UKA99" s="2802"/>
      <c r="UKB99" s="2565"/>
      <c r="UKC99" s="2021"/>
      <c r="UKD99" s="1062"/>
      <c r="UKE99" s="1062"/>
      <c r="UKF99" s="1061"/>
      <c r="UKG99" s="1027"/>
      <c r="UKH99" s="2803"/>
      <c r="UKI99" s="2802"/>
      <c r="UKJ99" s="2565"/>
      <c r="UKK99" s="2021"/>
      <c r="UKL99" s="1062"/>
      <c r="UKM99" s="1062"/>
      <c r="UKN99" s="1061"/>
      <c r="UKO99" s="1027"/>
      <c r="UKP99" s="2803"/>
      <c r="UKQ99" s="2802"/>
      <c r="UKR99" s="2565"/>
      <c r="UKS99" s="2021"/>
      <c r="UKT99" s="1062"/>
      <c r="UKU99" s="1062"/>
      <c r="UKV99" s="1061"/>
      <c r="UKW99" s="1027"/>
      <c r="UKX99" s="2803"/>
      <c r="UKY99" s="2802"/>
      <c r="UKZ99" s="2565"/>
      <c r="ULA99" s="2021"/>
      <c r="ULB99" s="1062"/>
      <c r="ULC99" s="1062"/>
      <c r="ULD99" s="1061"/>
      <c r="ULE99" s="1027"/>
      <c r="ULF99" s="2803"/>
      <c r="ULG99" s="2802"/>
      <c r="ULH99" s="2565"/>
      <c r="ULI99" s="2021"/>
      <c r="ULJ99" s="1062"/>
      <c r="ULK99" s="1062"/>
      <c r="ULL99" s="1061"/>
      <c r="ULM99" s="1027"/>
      <c r="ULN99" s="2803"/>
      <c r="ULO99" s="2802"/>
      <c r="ULP99" s="2565"/>
      <c r="ULQ99" s="2021"/>
      <c r="ULR99" s="1062"/>
      <c r="ULS99" s="1062"/>
      <c r="ULT99" s="1061"/>
      <c r="ULU99" s="1027"/>
      <c r="ULV99" s="2803"/>
      <c r="ULW99" s="2802"/>
      <c r="ULX99" s="2565"/>
      <c r="ULY99" s="2021"/>
      <c r="ULZ99" s="1062"/>
      <c r="UMA99" s="1062"/>
      <c r="UMB99" s="1061"/>
      <c r="UMC99" s="1027"/>
      <c r="UMD99" s="2803"/>
      <c r="UME99" s="2802"/>
      <c r="UMF99" s="2565"/>
      <c r="UMG99" s="2021"/>
      <c r="UMH99" s="1062"/>
      <c r="UMI99" s="1062"/>
      <c r="UMJ99" s="1061"/>
      <c r="UMK99" s="1027"/>
      <c r="UML99" s="2803"/>
      <c r="UMM99" s="2802"/>
      <c r="UMN99" s="2565"/>
      <c r="UMO99" s="2021"/>
      <c r="UMP99" s="1062"/>
      <c r="UMQ99" s="1062"/>
      <c r="UMR99" s="1061"/>
      <c r="UMS99" s="1027"/>
      <c r="UMT99" s="2803"/>
      <c r="UMU99" s="2802"/>
      <c r="UMV99" s="2565"/>
      <c r="UMW99" s="2021"/>
      <c r="UMX99" s="1062"/>
      <c r="UMY99" s="1062"/>
      <c r="UMZ99" s="1061"/>
      <c r="UNA99" s="1027"/>
      <c r="UNB99" s="2803"/>
      <c r="UNC99" s="2802"/>
      <c r="UND99" s="2565"/>
      <c r="UNE99" s="2021"/>
      <c r="UNF99" s="1062"/>
      <c r="UNG99" s="1062"/>
      <c r="UNH99" s="1061"/>
      <c r="UNI99" s="1027"/>
      <c r="UNJ99" s="2803"/>
      <c r="UNK99" s="2802"/>
      <c r="UNL99" s="2565"/>
      <c r="UNM99" s="2021"/>
      <c r="UNN99" s="1062"/>
      <c r="UNO99" s="1062"/>
      <c r="UNP99" s="1061"/>
      <c r="UNQ99" s="1027"/>
      <c r="UNR99" s="2803"/>
      <c r="UNS99" s="2802"/>
      <c r="UNT99" s="2565"/>
      <c r="UNU99" s="2021"/>
      <c r="UNV99" s="1062"/>
      <c r="UNW99" s="1062"/>
      <c r="UNX99" s="1061"/>
      <c r="UNY99" s="1027"/>
      <c r="UNZ99" s="2803"/>
      <c r="UOA99" s="2802"/>
      <c r="UOB99" s="2565"/>
      <c r="UOC99" s="2021"/>
      <c r="UOD99" s="1062"/>
      <c r="UOE99" s="1062"/>
      <c r="UOF99" s="1061"/>
      <c r="UOG99" s="1027"/>
      <c r="UOH99" s="2803"/>
      <c r="UOI99" s="2802"/>
      <c r="UOJ99" s="2565"/>
      <c r="UOK99" s="2021"/>
      <c r="UOL99" s="1062"/>
      <c r="UOM99" s="1062"/>
      <c r="UON99" s="1061"/>
      <c r="UOO99" s="1027"/>
      <c r="UOP99" s="2803"/>
      <c r="UOQ99" s="2802"/>
      <c r="UOR99" s="2565"/>
      <c r="UOS99" s="2021"/>
      <c r="UOT99" s="1062"/>
      <c r="UOU99" s="1062"/>
      <c r="UOV99" s="1061"/>
      <c r="UOW99" s="1027"/>
      <c r="UOX99" s="2803"/>
      <c r="UOY99" s="2802"/>
      <c r="UOZ99" s="2565"/>
      <c r="UPA99" s="2021"/>
      <c r="UPB99" s="1062"/>
      <c r="UPC99" s="1062"/>
      <c r="UPD99" s="1061"/>
      <c r="UPE99" s="1027"/>
      <c r="UPF99" s="2803"/>
      <c r="UPG99" s="2802"/>
      <c r="UPH99" s="2565"/>
      <c r="UPI99" s="2021"/>
      <c r="UPJ99" s="1062"/>
      <c r="UPK99" s="1062"/>
      <c r="UPL99" s="1061"/>
      <c r="UPM99" s="1027"/>
      <c r="UPN99" s="2803"/>
      <c r="UPO99" s="2802"/>
      <c r="UPP99" s="2565"/>
      <c r="UPQ99" s="2021"/>
      <c r="UPR99" s="1062"/>
      <c r="UPS99" s="1062"/>
      <c r="UPT99" s="1061"/>
      <c r="UPU99" s="1027"/>
      <c r="UPV99" s="2803"/>
      <c r="UPW99" s="2802"/>
      <c r="UPX99" s="2565"/>
      <c r="UPY99" s="2021"/>
      <c r="UPZ99" s="1062"/>
      <c r="UQA99" s="1062"/>
      <c r="UQB99" s="1061"/>
      <c r="UQC99" s="1027"/>
      <c r="UQD99" s="2803"/>
      <c r="UQE99" s="2802"/>
      <c r="UQF99" s="2565"/>
      <c r="UQG99" s="2021"/>
      <c r="UQH99" s="1062"/>
      <c r="UQI99" s="1062"/>
      <c r="UQJ99" s="1061"/>
      <c r="UQK99" s="1027"/>
      <c r="UQL99" s="2803"/>
      <c r="UQM99" s="2802"/>
      <c r="UQN99" s="2565"/>
      <c r="UQO99" s="2021"/>
      <c r="UQP99" s="1062"/>
      <c r="UQQ99" s="1062"/>
      <c r="UQR99" s="1061"/>
      <c r="UQS99" s="1027"/>
      <c r="UQT99" s="2803"/>
      <c r="UQU99" s="2802"/>
      <c r="UQV99" s="2565"/>
      <c r="UQW99" s="2021"/>
      <c r="UQX99" s="1062"/>
      <c r="UQY99" s="1062"/>
      <c r="UQZ99" s="1061"/>
      <c r="URA99" s="1027"/>
      <c r="URB99" s="2803"/>
      <c r="URC99" s="2802"/>
      <c r="URD99" s="2565"/>
      <c r="URE99" s="2021"/>
      <c r="URF99" s="1062"/>
      <c r="URG99" s="1062"/>
      <c r="URH99" s="1061"/>
      <c r="URI99" s="1027"/>
      <c r="URJ99" s="2803"/>
      <c r="URK99" s="2802"/>
      <c r="URL99" s="2565"/>
      <c r="URM99" s="2021"/>
      <c r="URN99" s="1062"/>
      <c r="URO99" s="1062"/>
      <c r="URP99" s="1061"/>
      <c r="URQ99" s="1027"/>
      <c r="URR99" s="2803"/>
      <c r="URS99" s="2802"/>
      <c r="URT99" s="2565"/>
      <c r="URU99" s="2021"/>
      <c r="URV99" s="1062"/>
      <c r="URW99" s="1062"/>
      <c r="URX99" s="1061"/>
      <c r="URY99" s="1027"/>
      <c r="URZ99" s="2803"/>
      <c r="USA99" s="2802"/>
      <c r="USB99" s="2565"/>
      <c r="USC99" s="2021"/>
      <c r="USD99" s="1062"/>
      <c r="USE99" s="1062"/>
      <c r="USF99" s="1061"/>
      <c r="USG99" s="1027"/>
      <c r="USH99" s="2803"/>
      <c r="USI99" s="2802"/>
      <c r="USJ99" s="2565"/>
      <c r="USK99" s="2021"/>
      <c r="USL99" s="1062"/>
      <c r="USM99" s="1062"/>
      <c r="USN99" s="1061"/>
      <c r="USO99" s="1027"/>
      <c r="USP99" s="2803"/>
      <c r="USQ99" s="2802"/>
      <c r="USR99" s="2565"/>
      <c r="USS99" s="2021"/>
      <c r="UST99" s="1062"/>
      <c r="USU99" s="1062"/>
      <c r="USV99" s="1061"/>
      <c r="USW99" s="1027"/>
      <c r="USX99" s="2803"/>
      <c r="USY99" s="2802"/>
      <c r="USZ99" s="2565"/>
      <c r="UTA99" s="2021"/>
      <c r="UTB99" s="1062"/>
      <c r="UTC99" s="1062"/>
      <c r="UTD99" s="1061"/>
      <c r="UTE99" s="1027"/>
      <c r="UTF99" s="2803"/>
      <c r="UTG99" s="2802"/>
      <c r="UTH99" s="2565"/>
      <c r="UTI99" s="2021"/>
      <c r="UTJ99" s="1062"/>
      <c r="UTK99" s="1062"/>
      <c r="UTL99" s="1061"/>
      <c r="UTM99" s="1027"/>
      <c r="UTN99" s="2803"/>
      <c r="UTO99" s="2802"/>
      <c r="UTP99" s="2565"/>
      <c r="UTQ99" s="2021"/>
      <c r="UTR99" s="1062"/>
      <c r="UTS99" s="1062"/>
      <c r="UTT99" s="1061"/>
      <c r="UTU99" s="1027"/>
      <c r="UTV99" s="2803"/>
      <c r="UTW99" s="2802"/>
      <c r="UTX99" s="2565"/>
      <c r="UTY99" s="2021"/>
      <c r="UTZ99" s="1062"/>
      <c r="UUA99" s="1062"/>
      <c r="UUB99" s="1061"/>
      <c r="UUC99" s="1027"/>
      <c r="UUD99" s="2803"/>
      <c r="UUE99" s="2802"/>
      <c r="UUF99" s="2565"/>
      <c r="UUG99" s="2021"/>
      <c r="UUH99" s="1062"/>
      <c r="UUI99" s="1062"/>
      <c r="UUJ99" s="1061"/>
      <c r="UUK99" s="1027"/>
      <c r="UUL99" s="2803"/>
      <c r="UUM99" s="2802"/>
      <c r="UUN99" s="2565"/>
      <c r="UUO99" s="2021"/>
      <c r="UUP99" s="1062"/>
      <c r="UUQ99" s="1062"/>
      <c r="UUR99" s="1061"/>
      <c r="UUS99" s="1027"/>
      <c r="UUT99" s="2803"/>
      <c r="UUU99" s="2802"/>
      <c r="UUV99" s="2565"/>
      <c r="UUW99" s="2021"/>
      <c r="UUX99" s="1062"/>
      <c r="UUY99" s="1062"/>
      <c r="UUZ99" s="1061"/>
      <c r="UVA99" s="1027"/>
      <c r="UVB99" s="2803"/>
      <c r="UVC99" s="2802"/>
      <c r="UVD99" s="2565"/>
      <c r="UVE99" s="2021"/>
      <c r="UVF99" s="1062"/>
      <c r="UVG99" s="1062"/>
      <c r="UVH99" s="1061"/>
      <c r="UVI99" s="1027"/>
      <c r="UVJ99" s="2803"/>
      <c r="UVK99" s="2802"/>
      <c r="UVL99" s="2565"/>
      <c r="UVM99" s="2021"/>
      <c r="UVN99" s="1062"/>
      <c r="UVO99" s="1062"/>
      <c r="UVP99" s="1061"/>
      <c r="UVQ99" s="1027"/>
      <c r="UVR99" s="2803"/>
      <c r="UVS99" s="2802"/>
      <c r="UVT99" s="2565"/>
      <c r="UVU99" s="2021"/>
      <c r="UVV99" s="1062"/>
      <c r="UVW99" s="1062"/>
      <c r="UVX99" s="1061"/>
      <c r="UVY99" s="1027"/>
      <c r="UVZ99" s="2803"/>
      <c r="UWA99" s="2802"/>
      <c r="UWB99" s="2565"/>
      <c r="UWC99" s="2021"/>
      <c r="UWD99" s="1062"/>
      <c r="UWE99" s="1062"/>
      <c r="UWF99" s="1061"/>
      <c r="UWG99" s="1027"/>
      <c r="UWH99" s="2803"/>
      <c r="UWI99" s="2802"/>
      <c r="UWJ99" s="2565"/>
      <c r="UWK99" s="2021"/>
      <c r="UWL99" s="1062"/>
      <c r="UWM99" s="1062"/>
      <c r="UWN99" s="1061"/>
      <c r="UWO99" s="1027"/>
      <c r="UWP99" s="2803"/>
      <c r="UWQ99" s="2802"/>
      <c r="UWR99" s="2565"/>
      <c r="UWS99" s="2021"/>
      <c r="UWT99" s="1062"/>
      <c r="UWU99" s="1062"/>
      <c r="UWV99" s="1061"/>
      <c r="UWW99" s="1027"/>
      <c r="UWX99" s="2803"/>
      <c r="UWY99" s="2802"/>
      <c r="UWZ99" s="2565"/>
      <c r="UXA99" s="2021"/>
      <c r="UXB99" s="1062"/>
      <c r="UXC99" s="1062"/>
      <c r="UXD99" s="1061"/>
      <c r="UXE99" s="1027"/>
      <c r="UXF99" s="2803"/>
      <c r="UXG99" s="2802"/>
      <c r="UXH99" s="2565"/>
      <c r="UXI99" s="2021"/>
      <c r="UXJ99" s="1062"/>
      <c r="UXK99" s="1062"/>
      <c r="UXL99" s="1061"/>
      <c r="UXM99" s="1027"/>
      <c r="UXN99" s="2803"/>
      <c r="UXO99" s="2802"/>
      <c r="UXP99" s="2565"/>
      <c r="UXQ99" s="2021"/>
      <c r="UXR99" s="1062"/>
      <c r="UXS99" s="1062"/>
      <c r="UXT99" s="1061"/>
      <c r="UXU99" s="1027"/>
      <c r="UXV99" s="2803"/>
      <c r="UXW99" s="2802"/>
      <c r="UXX99" s="2565"/>
      <c r="UXY99" s="2021"/>
      <c r="UXZ99" s="1062"/>
      <c r="UYA99" s="1062"/>
      <c r="UYB99" s="1061"/>
      <c r="UYC99" s="1027"/>
      <c r="UYD99" s="2803"/>
      <c r="UYE99" s="2802"/>
      <c r="UYF99" s="2565"/>
      <c r="UYG99" s="2021"/>
      <c r="UYH99" s="1062"/>
      <c r="UYI99" s="1062"/>
      <c r="UYJ99" s="1061"/>
      <c r="UYK99" s="1027"/>
      <c r="UYL99" s="2803"/>
      <c r="UYM99" s="2802"/>
      <c r="UYN99" s="2565"/>
      <c r="UYO99" s="2021"/>
      <c r="UYP99" s="1062"/>
      <c r="UYQ99" s="1062"/>
      <c r="UYR99" s="1061"/>
      <c r="UYS99" s="1027"/>
      <c r="UYT99" s="2803"/>
      <c r="UYU99" s="2802"/>
      <c r="UYV99" s="2565"/>
      <c r="UYW99" s="2021"/>
      <c r="UYX99" s="1062"/>
      <c r="UYY99" s="1062"/>
      <c r="UYZ99" s="1061"/>
      <c r="UZA99" s="1027"/>
      <c r="UZB99" s="2803"/>
      <c r="UZC99" s="2802"/>
      <c r="UZD99" s="2565"/>
      <c r="UZE99" s="2021"/>
      <c r="UZF99" s="1062"/>
      <c r="UZG99" s="1062"/>
      <c r="UZH99" s="1061"/>
      <c r="UZI99" s="1027"/>
      <c r="UZJ99" s="2803"/>
      <c r="UZK99" s="2802"/>
      <c r="UZL99" s="2565"/>
      <c r="UZM99" s="2021"/>
      <c r="UZN99" s="1062"/>
      <c r="UZO99" s="1062"/>
      <c r="UZP99" s="1061"/>
      <c r="UZQ99" s="1027"/>
      <c r="UZR99" s="2803"/>
      <c r="UZS99" s="2802"/>
      <c r="UZT99" s="2565"/>
      <c r="UZU99" s="2021"/>
      <c r="UZV99" s="1062"/>
      <c r="UZW99" s="1062"/>
      <c r="UZX99" s="1061"/>
      <c r="UZY99" s="1027"/>
      <c r="UZZ99" s="2803"/>
      <c r="VAA99" s="2802"/>
      <c r="VAB99" s="2565"/>
      <c r="VAC99" s="2021"/>
      <c r="VAD99" s="1062"/>
      <c r="VAE99" s="1062"/>
      <c r="VAF99" s="1061"/>
      <c r="VAG99" s="1027"/>
      <c r="VAH99" s="2803"/>
      <c r="VAI99" s="2802"/>
      <c r="VAJ99" s="2565"/>
      <c r="VAK99" s="2021"/>
      <c r="VAL99" s="1062"/>
      <c r="VAM99" s="1062"/>
      <c r="VAN99" s="1061"/>
      <c r="VAO99" s="1027"/>
      <c r="VAP99" s="2803"/>
      <c r="VAQ99" s="2802"/>
      <c r="VAR99" s="2565"/>
      <c r="VAS99" s="2021"/>
      <c r="VAT99" s="1062"/>
      <c r="VAU99" s="1062"/>
      <c r="VAV99" s="1061"/>
      <c r="VAW99" s="1027"/>
      <c r="VAX99" s="2803"/>
      <c r="VAY99" s="2802"/>
      <c r="VAZ99" s="2565"/>
      <c r="VBA99" s="2021"/>
      <c r="VBB99" s="1062"/>
      <c r="VBC99" s="1062"/>
      <c r="VBD99" s="1061"/>
      <c r="VBE99" s="1027"/>
      <c r="VBF99" s="2803"/>
      <c r="VBG99" s="2802"/>
      <c r="VBH99" s="2565"/>
      <c r="VBI99" s="2021"/>
      <c r="VBJ99" s="1062"/>
      <c r="VBK99" s="1062"/>
      <c r="VBL99" s="1061"/>
      <c r="VBM99" s="1027"/>
      <c r="VBN99" s="2803"/>
      <c r="VBO99" s="2802"/>
      <c r="VBP99" s="2565"/>
      <c r="VBQ99" s="2021"/>
      <c r="VBR99" s="1062"/>
      <c r="VBS99" s="1062"/>
      <c r="VBT99" s="1061"/>
      <c r="VBU99" s="1027"/>
      <c r="VBV99" s="2803"/>
      <c r="VBW99" s="2802"/>
      <c r="VBX99" s="2565"/>
      <c r="VBY99" s="2021"/>
      <c r="VBZ99" s="1062"/>
      <c r="VCA99" s="1062"/>
      <c r="VCB99" s="1061"/>
      <c r="VCC99" s="1027"/>
      <c r="VCD99" s="2803"/>
      <c r="VCE99" s="2802"/>
      <c r="VCF99" s="2565"/>
      <c r="VCG99" s="2021"/>
      <c r="VCH99" s="1062"/>
      <c r="VCI99" s="1062"/>
      <c r="VCJ99" s="1061"/>
      <c r="VCK99" s="1027"/>
      <c r="VCL99" s="2803"/>
      <c r="VCM99" s="2802"/>
      <c r="VCN99" s="2565"/>
      <c r="VCO99" s="2021"/>
      <c r="VCP99" s="1062"/>
      <c r="VCQ99" s="1062"/>
      <c r="VCR99" s="1061"/>
      <c r="VCS99" s="1027"/>
      <c r="VCT99" s="2803"/>
      <c r="VCU99" s="2802"/>
      <c r="VCV99" s="2565"/>
      <c r="VCW99" s="2021"/>
      <c r="VCX99" s="1062"/>
      <c r="VCY99" s="1062"/>
      <c r="VCZ99" s="1061"/>
      <c r="VDA99" s="1027"/>
      <c r="VDB99" s="2803"/>
      <c r="VDC99" s="2802"/>
      <c r="VDD99" s="2565"/>
      <c r="VDE99" s="2021"/>
      <c r="VDF99" s="1062"/>
      <c r="VDG99" s="1062"/>
      <c r="VDH99" s="1061"/>
      <c r="VDI99" s="1027"/>
      <c r="VDJ99" s="2803"/>
      <c r="VDK99" s="2802"/>
      <c r="VDL99" s="2565"/>
      <c r="VDM99" s="2021"/>
      <c r="VDN99" s="1062"/>
      <c r="VDO99" s="1062"/>
      <c r="VDP99" s="1061"/>
      <c r="VDQ99" s="1027"/>
      <c r="VDR99" s="2803"/>
      <c r="VDS99" s="2802"/>
      <c r="VDT99" s="2565"/>
      <c r="VDU99" s="2021"/>
      <c r="VDV99" s="1062"/>
      <c r="VDW99" s="1062"/>
      <c r="VDX99" s="1061"/>
      <c r="VDY99" s="1027"/>
      <c r="VDZ99" s="2803"/>
      <c r="VEA99" s="2802"/>
      <c r="VEB99" s="2565"/>
      <c r="VEC99" s="2021"/>
      <c r="VED99" s="1062"/>
      <c r="VEE99" s="1062"/>
      <c r="VEF99" s="1061"/>
      <c r="VEG99" s="1027"/>
      <c r="VEH99" s="2803"/>
      <c r="VEI99" s="2802"/>
      <c r="VEJ99" s="2565"/>
      <c r="VEK99" s="2021"/>
      <c r="VEL99" s="1062"/>
      <c r="VEM99" s="1062"/>
      <c r="VEN99" s="1061"/>
      <c r="VEO99" s="1027"/>
      <c r="VEP99" s="2803"/>
      <c r="VEQ99" s="2802"/>
      <c r="VER99" s="2565"/>
      <c r="VES99" s="2021"/>
      <c r="VET99" s="1062"/>
      <c r="VEU99" s="1062"/>
      <c r="VEV99" s="1061"/>
      <c r="VEW99" s="1027"/>
      <c r="VEX99" s="2803"/>
      <c r="VEY99" s="2802"/>
      <c r="VEZ99" s="2565"/>
      <c r="VFA99" s="2021"/>
      <c r="VFB99" s="1062"/>
      <c r="VFC99" s="1062"/>
      <c r="VFD99" s="1061"/>
      <c r="VFE99" s="1027"/>
      <c r="VFF99" s="2803"/>
      <c r="VFG99" s="2802"/>
      <c r="VFH99" s="2565"/>
      <c r="VFI99" s="2021"/>
      <c r="VFJ99" s="1062"/>
      <c r="VFK99" s="1062"/>
      <c r="VFL99" s="1061"/>
      <c r="VFM99" s="1027"/>
      <c r="VFN99" s="2803"/>
      <c r="VFO99" s="2802"/>
      <c r="VFP99" s="2565"/>
      <c r="VFQ99" s="2021"/>
      <c r="VFR99" s="1062"/>
      <c r="VFS99" s="1062"/>
      <c r="VFT99" s="1061"/>
      <c r="VFU99" s="1027"/>
      <c r="VFV99" s="2803"/>
      <c r="VFW99" s="2802"/>
      <c r="VFX99" s="2565"/>
      <c r="VFY99" s="2021"/>
      <c r="VFZ99" s="1062"/>
      <c r="VGA99" s="1062"/>
      <c r="VGB99" s="1061"/>
      <c r="VGC99" s="1027"/>
      <c r="VGD99" s="2803"/>
      <c r="VGE99" s="2802"/>
      <c r="VGF99" s="2565"/>
      <c r="VGG99" s="2021"/>
      <c r="VGH99" s="1062"/>
      <c r="VGI99" s="1062"/>
      <c r="VGJ99" s="1061"/>
      <c r="VGK99" s="1027"/>
      <c r="VGL99" s="2803"/>
      <c r="VGM99" s="2802"/>
      <c r="VGN99" s="2565"/>
      <c r="VGO99" s="2021"/>
      <c r="VGP99" s="1062"/>
      <c r="VGQ99" s="1062"/>
      <c r="VGR99" s="1061"/>
      <c r="VGS99" s="1027"/>
      <c r="VGT99" s="2803"/>
      <c r="VGU99" s="2802"/>
      <c r="VGV99" s="2565"/>
      <c r="VGW99" s="2021"/>
      <c r="VGX99" s="1062"/>
      <c r="VGY99" s="1062"/>
      <c r="VGZ99" s="1061"/>
      <c r="VHA99" s="1027"/>
      <c r="VHB99" s="2803"/>
      <c r="VHC99" s="2802"/>
      <c r="VHD99" s="2565"/>
      <c r="VHE99" s="2021"/>
      <c r="VHF99" s="1062"/>
      <c r="VHG99" s="1062"/>
      <c r="VHH99" s="1061"/>
      <c r="VHI99" s="1027"/>
      <c r="VHJ99" s="2803"/>
      <c r="VHK99" s="2802"/>
      <c r="VHL99" s="2565"/>
      <c r="VHM99" s="2021"/>
      <c r="VHN99" s="1062"/>
      <c r="VHO99" s="1062"/>
      <c r="VHP99" s="1061"/>
      <c r="VHQ99" s="1027"/>
      <c r="VHR99" s="2803"/>
      <c r="VHS99" s="2802"/>
      <c r="VHT99" s="2565"/>
      <c r="VHU99" s="2021"/>
      <c r="VHV99" s="1062"/>
      <c r="VHW99" s="1062"/>
      <c r="VHX99" s="1061"/>
      <c r="VHY99" s="1027"/>
      <c r="VHZ99" s="2803"/>
      <c r="VIA99" s="2802"/>
      <c r="VIB99" s="2565"/>
      <c r="VIC99" s="2021"/>
      <c r="VID99" s="1062"/>
      <c r="VIE99" s="1062"/>
      <c r="VIF99" s="1061"/>
      <c r="VIG99" s="1027"/>
      <c r="VIH99" s="2803"/>
      <c r="VII99" s="2802"/>
      <c r="VIJ99" s="2565"/>
      <c r="VIK99" s="2021"/>
      <c r="VIL99" s="1062"/>
      <c r="VIM99" s="1062"/>
      <c r="VIN99" s="1061"/>
      <c r="VIO99" s="1027"/>
      <c r="VIP99" s="2803"/>
      <c r="VIQ99" s="2802"/>
      <c r="VIR99" s="2565"/>
      <c r="VIS99" s="2021"/>
      <c r="VIT99" s="1062"/>
      <c r="VIU99" s="1062"/>
      <c r="VIV99" s="1061"/>
      <c r="VIW99" s="1027"/>
      <c r="VIX99" s="2803"/>
      <c r="VIY99" s="2802"/>
      <c r="VIZ99" s="2565"/>
      <c r="VJA99" s="2021"/>
      <c r="VJB99" s="1062"/>
      <c r="VJC99" s="1062"/>
      <c r="VJD99" s="1061"/>
      <c r="VJE99" s="1027"/>
      <c r="VJF99" s="2803"/>
      <c r="VJG99" s="2802"/>
      <c r="VJH99" s="2565"/>
      <c r="VJI99" s="2021"/>
      <c r="VJJ99" s="1062"/>
      <c r="VJK99" s="1062"/>
      <c r="VJL99" s="1061"/>
      <c r="VJM99" s="1027"/>
      <c r="VJN99" s="2803"/>
      <c r="VJO99" s="2802"/>
      <c r="VJP99" s="2565"/>
      <c r="VJQ99" s="2021"/>
      <c r="VJR99" s="1062"/>
      <c r="VJS99" s="1062"/>
      <c r="VJT99" s="1061"/>
      <c r="VJU99" s="1027"/>
      <c r="VJV99" s="2803"/>
      <c r="VJW99" s="2802"/>
      <c r="VJX99" s="2565"/>
      <c r="VJY99" s="2021"/>
      <c r="VJZ99" s="1062"/>
      <c r="VKA99" s="1062"/>
      <c r="VKB99" s="1061"/>
      <c r="VKC99" s="1027"/>
      <c r="VKD99" s="2803"/>
      <c r="VKE99" s="2802"/>
      <c r="VKF99" s="2565"/>
      <c r="VKG99" s="2021"/>
      <c r="VKH99" s="1062"/>
      <c r="VKI99" s="1062"/>
      <c r="VKJ99" s="1061"/>
      <c r="VKK99" s="1027"/>
      <c r="VKL99" s="2803"/>
      <c r="VKM99" s="2802"/>
      <c r="VKN99" s="2565"/>
      <c r="VKO99" s="2021"/>
      <c r="VKP99" s="1062"/>
      <c r="VKQ99" s="1062"/>
      <c r="VKR99" s="1061"/>
      <c r="VKS99" s="1027"/>
      <c r="VKT99" s="2803"/>
      <c r="VKU99" s="2802"/>
      <c r="VKV99" s="2565"/>
      <c r="VKW99" s="2021"/>
      <c r="VKX99" s="1062"/>
      <c r="VKY99" s="1062"/>
      <c r="VKZ99" s="1061"/>
      <c r="VLA99" s="1027"/>
      <c r="VLB99" s="2803"/>
      <c r="VLC99" s="2802"/>
      <c r="VLD99" s="2565"/>
      <c r="VLE99" s="2021"/>
      <c r="VLF99" s="1062"/>
      <c r="VLG99" s="1062"/>
      <c r="VLH99" s="1061"/>
      <c r="VLI99" s="1027"/>
      <c r="VLJ99" s="2803"/>
      <c r="VLK99" s="2802"/>
      <c r="VLL99" s="2565"/>
      <c r="VLM99" s="2021"/>
      <c r="VLN99" s="1062"/>
      <c r="VLO99" s="1062"/>
      <c r="VLP99" s="1061"/>
      <c r="VLQ99" s="1027"/>
      <c r="VLR99" s="2803"/>
      <c r="VLS99" s="2802"/>
      <c r="VLT99" s="2565"/>
      <c r="VLU99" s="2021"/>
      <c r="VLV99" s="1062"/>
      <c r="VLW99" s="1062"/>
      <c r="VLX99" s="1061"/>
      <c r="VLY99" s="1027"/>
      <c r="VLZ99" s="2803"/>
      <c r="VMA99" s="2802"/>
      <c r="VMB99" s="2565"/>
      <c r="VMC99" s="2021"/>
      <c r="VMD99" s="1062"/>
      <c r="VME99" s="1062"/>
      <c r="VMF99" s="1061"/>
      <c r="VMG99" s="1027"/>
      <c r="VMH99" s="2803"/>
      <c r="VMI99" s="2802"/>
      <c r="VMJ99" s="2565"/>
      <c r="VMK99" s="2021"/>
      <c r="VML99" s="1062"/>
      <c r="VMM99" s="1062"/>
      <c r="VMN99" s="1061"/>
      <c r="VMO99" s="1027"/>
      <c r="VMP99" s="2803"/>
      <c r="VMQ99" s="2802"/>
      <c r="VMR99" s="2565"/>
      <c r="VMS99" s="2021"/>
      <c r="VMT99" s="1062"/>
      <c r="VMU99" s="1062"/>
      <c r="VMV99" s="1061"/>
      <c r="VMW99" s="1027"/>
      <c r="VMX99" s="2803"/>
      <c r="VMY99" s="2802"/>
      <c r="VMZ99" s="2565"/>
      <c r="VNA99" s="2021"/>
      <c r="VNB99" s="1062"/>
      <c r="VNC99" s="1062"/>
      <c r="VND99" s="1061"/>
      <c r="VNE99" s="1027"/>
      <c r="VNF99" s="2803"/>
      <c r="VNG99" s="2802"/>
      <c r="VNH99" s="2565"/>
      <c r="VNI99" s="2021"/>
      <c r="VNJ99" s="1062"/>
      <c r="VNK99" s="1062"/>
      <c r="VNL99" s="1061"/>
      <c r="VNM99" s="1027"/>
      <c r="VNN99" s="2803"/>
      <c r="VNO99" s="2802"/>
      <c r="VNP99" s="2565"/>
      <c r="VNQ99" s="2021"/>
      <c r="VNR99" s="1062"/>
      <c r="VNS99" s="1062"/>
      <c r="VNT99" s="1061"/>
      <c r="VNU99" s="1027"/>
      <c r="VNV99" s="2803"/>
      <c r="VNW99" s="2802"/>
      <c r="VNX99" s="2565"/>
      <c r="VNY99" s="2021"/>
      <c r="VNZ99" s="1062"/>
      <c r="VOA99" s="1062"/>
      <c r="VOB99" s="1061"/>
      <c r="VOC99" s="1027"/>
      <c r="VOD99" s="2803"/>
      <c r="VOE99" s="2802"/>
      <c r="VOF99" s="2565"/>
      <c r="VOG99" s="2021"/>
      <c r="VOH99" s="1062"/>
      <c r="VOI99" s="1062"/>
      <c r="VOJ99" s="1061"/>
      <c r="VOK99" s="1027"/>
      <c r="VOL99" s="2803"/>
      <c r="VOM99" s="2802"/>
      <c r="VON99" s="2565"/>
      <c r="VOO99" s="2021"/>
      <c r="VOP99" s="1062"/>
      <c r="VOQ99" s="1062"/>
      <c r="VOR99" s="1061"/>
      <c r="VOS99" s="1027"/>
      <c r="VOT99" s="2803"/>
      <c r="VOU99" s="2802"/>
      <c r="VOV99" s="2565"/>
      <c r="VOW99" s="2021"/>
      <c r="VOX99" s="1062"/>
      <c r="VOY99" s="1062"/>
      <c r="VOZ99" s="1061"/>
      <c r="VPA99" s="1027"/>
      <c r="VPB99" s="2803"/>
      <c r="VPC99" s="2802"/>
      <c r="VPD99" s="2565"/>
      <c r="VPE99" s="2021"/>
      <c r="VPF99" s="1062"/>
      <c r="VPG99" s="1062"/>
      <c r="VPH99" s="1061"/>
      <c r="VPI99" s="1027"/>
      <c r="VPJ99" s="2803"/>
      <c r="VPK99" s="2802"/>
      <c r="VPL99" s="2565"/>
      <c r="VPM99" s="2021"/>
      <c r="VPN99" s="1062"/>
      <c r="VPO99" s="1062"/>
      <c r="VPP99" s="1061"/>
      <c r="VPQ99" s="1027"/>
      <c r="VPR99" s="2803"/>
      <c r="VPS99" s="2802"/>
      <c r="VPT99" s="2565"/>
      <c r="VPU99" s="2021"/>
      <c r="VPV99" s="1062"/>
      <c r="VPW99" s="1062"/>
      <c r="VPX99" s="1061"/>
      <c r="VPY99" s="1027"/>
      <c r="VPZ99" s="2803"/>
      <c r="VQA99" s="2802"/>
      <c r="VQB99" s="2565"/>
      <c r="VQC99" s="2021"/>
      <c r="VQD99" s="1062"/>
      <c r="VQE99" s="1062"/>
      <c r="VQF99" s="1061"/>
      <c r="VQG99" s="1027"/>
      <c r="VQH99" s="2803"/>
      <c r="VQI99" s="2802"/>
      <c r="VQJ99" s="2565"/>
      <c r="VQK99" s="2021"/>
      <c r="VQL99" s="1062"/>
      <c r="VQM99" s="1062"/>
      <c r="VQN99" s="1061"/>
      <c r="VQO99" s="1027"/>
      <c r="VQP99" s="2803"/>
      <c r="VQQ99" s="2802"/>
      <c r="VQR99" s="2565"/>
      <c r="VQS99" s="2021"/>
      <c r="VQT99" s="1062"/>
      <c r="VQU99" s="1062"/>
      <c r="VQV99" s="1061"/>
      <c r="VQW99" s="1027"/>
      <c r="VQX99" s="2803"/>
      <c r="VQY99" s="2802"/>
      <c r="VQZ99" s="2565"/>
      <c r="VRA99" s="2021"/>
      <c r="VRB99" s="1062"/>
      <c r="VRC99" s="1062"/>
      <c r="VRD99" s="1061"/>
      <c r="VRE99" s="1027"/>
      <c r="VRF99" s="2803"/>
      <c r="VRG99" s="2802"/>
      <c r="VRH99" s="2565"/>
      <c r="VRI99" s="2021"/>
      <c r="VRJ99" s="1062"/>
      <c r="VRK99" s="1062"/>
      <c r="VRL99" s="1061"/>
      <c r="VRM99" s="1027"/>
      <c r="VRN99" s="2803"/>
      <c r="VRO99" s="2802"/>
      <c r="VRP99" s="2565"/>
      <c r="VRQ99" s="2021"/>
      <c r="VRR99" s="1062"/>
      <c r="VRS99" s="1062"/>
      <c r="VRT99" s="1061"/>
      <c r="VRU99" s="1027"/>
      <c r="VRV99" s="2803"/>
      <c r="VRW99" s="2802"/>
      <c r="VRX99" s="2565"/>
      <c r="VRY99" s="2021"/>
      <c r="VRZ99" s="1062"/>
      <c r="VSA99" s="1062"/>
      <c r="VSB99" s="1061"/>
      <c r="VSC99" s="1027"/>
      <c r="VSD99" s="2803"/>
      <c r="VSE99" s="2802"/>
      <c r="VSF99" s="2565"/>
      <c r="VSG99" s="2021"/>
      <c r="VSH99" s="1062"/>
      <c r="VSI99" s="1062"/>
      <c r="VSJ99" s="1061"/>
      <c r="VSK99" s="1027"/>
      <c r="VSL99" s="2803"/>
      <c r="VSM99" s="2802"/>
      <c r="VSN99" s="2565"/>
      <c r="VSO99" s="2021"/>
      <c r="VSP99" s="1062"/>
      <c r="VSQ99" s="1062"/>
      <c r="VSR99" s="1061"/>
      <c r="VSS99" s="1027"/>
      <c r="VST99" s="2803"/>
      <c r="VSU99" s="2802"/>
      <c r="VSV99" s="2565"/>
      <c r="VSW99" s="2021"/>
      <c r="VSX99" s="1062"/>
      <c r="VSY99" s="1062"/>
      <c r="VSZ99" s="1061"/>
      <c r="VTA99" s="1027"/>
      <c r="VTB99" s="2803"/>
      <c r="VTC99" s="2802"/>
      <c r="VTD99" s="2565"/>
      <c r="VTE99" s="2021"/>
      <c r="VTF99" s="1062"/>
      <c r="VTG99" s="1062"/>
      <c r="VTH99" s="1061"/>
      <c r="VTI99" s="1027"/>
      <c r="VTJ99" s="2803"/>
      <c r="VTK99" s="2802"/>
      <c r="VTL99" s="2565"/>
      <c r="VTM99" s="2021"/>
      <c r="VTN99" s="1062"/>
      <c r="VTO99" s="1062"/>
      <c r="VTP99" s="1061"/>
      <c r="VTQ99" s="1027"/>
      <c r="VTR99" s="2803"/>
      <c r="VTS99" s="2802"/>
      <c r="VTT99" s="2565"/>
      <c r="VTU99" s="2021"/>
      <c r="VTV99" s="1062"/>
      <c r="VTW99" s="1062"/>
      <c r="VTX99" s="1061"/>
      <c r="VTY99" s="1027"/>
      <c r="VTZ99" s="2803"/>
      <c r="VUA99" s="2802"/>
      <c r="VUB99" s="2565"/>
      <c r="VUC99" s="2021"/>
      <c r="VUD99" s="1062"/>
      <c r="VUE99" s="1062"/>
      <c r="VUF99" s="1061"/>
      <c r="VUG99" s="1027"/>
      <c r="VUH99" s="2803"/>
      <c r="VUI99" s="2802"/>
      <c r="VUJ99" s="2565"/>
      <c r="VUK99" s="2021"/>
      <c r="VUL99" s="1062"/>
      <c r="VUM99" s="1062"/>
      <c r="VUN99" s="1061"/>
      <c r="VUO99" s="1027"/>
      <c r="VUP99" s="2803"/>
      <c r="VUQ99" s="2802"/>
      <c r="VUR99" s="2565"/>
      <c r="VUS99" s="2021"/>
      <c r="VUT99" s="1062"/>
      <c r="VUU99" s="1062"/>
      <c r="VUV99" s="1061"/>
      <c r="VUW99" s="1027"/>
      <c r="VUX99" s="2803"/>
      <c r="VUY99" s="2802"/>
      <c r="VUZ99" s="2565"/>
      <c r="VVA99" s="2021"/>
      <c r="VVB99" s="1062"/>
      <c r="VVC99" s="1062"/>
      <c r="VVD99" s="1061"/>
      <c r="VVE99" s="1027"/>
      <c r="VVF99" s="2803"/>
      <c r="VVG99" s="2802"/>
      <c r="VVH99" s="2565"/>
      <c r="VVI99" s="2021"/>
      <c r="VVJ99" s="1062"/>
      <c r="VVK99" s="1062"/>
      <c r="VVL99" s="1061"/>
      <c r="VVM99" s="1027"/>
      <c r="VVN99" s="2803"/>
      <c r="VVO99" s="2802"/>
      <c r="VVP99" s="2565"/>
      <c r="VVQ99" s="2021"/>
      <c r="VVR99" s="1062"/>
      <c r="VVS99" s="1062"/>
      <c r="VVT99" s="1061"/>
      <c r="VVU99" s="1027"/>
      <c r="VVV99" s="2803"/>
      <c r="VVW99" s="2802"/>
      <c r="VVX99" s="2565"/>
      <c r="VVY99" s="2021"/>
      <c r="VVZ99" s="1062"/>
      <c r="VWA99" s="1062"/>
      <c r="VWB99" s="1061"/>
      <c r="VWC99" s="1027"/>
      <c r="VWD99" s="2803"/>
      <c r="VWE99" s="2802"/>
      <c r="VWF99" s="2565"/>
      <c r="VWG99" s="2021"/>
      <c r="VWH99" s="1062"/>
      <c r="VWI99" s="1062"/>
      <c r="VWJ99" s="1061"/>
      <c r="VWK99" s="1027"/>
      <c r="VWL99" s="2803"/>
      <c r="VWM99" s="2802"/>
      <c r="VWN99" s="2565"/>
      <c r="VWO99" s="2021"/>
      <c r="VWP99" s="1062"/>
      <c r="VWQ99" s="1062"/>
      <c r="VWR99" s="1061"/>
      <c r="VWS99" s="1027"/>
      <c r="VWT99" s="2803"/>
      <c r="VWU99" s="2802"/>
      <c r="VWV99" s="2565"/>
      <c r="VWW99" s="2021"/>
      <c r="VWX99" s="1062"/>
      <c r="VWY99" s="1062"/>
      <c r="VWZ99" s="1061"/>
      <c r="VXA99" s="1027"/>
      <c r="VXB99" s="2803"/>
      <c r="VXC99" s="2802"/>
      <c r="VXD99" s="2565"/>
      <c r="VXE99" s="2021"/>
      <c r="VXF99" s="1062"/>
      <c r="VXG99" s="1062"/>
      <c r="VXH99" s="1061"/>
      <c r="VXI99" s="1027"/>
      <c r="VXJ99" s="2803"/>
      <c r="VXK99" s="2802"/>
      <c r="VXL99" s="2565"/>
      <c r="VXM99" s="2021"/>
      <c r="VXN99" s="1062"/>
      <c r="VXO99" s="1062"/>
      <c r="VXP99" s="1061"/>
      <c r="VXQ99" s="1027"/>
      <c r="VXR99" s="2803"/>
      <c r="VXS99" s="2802"/>
      <c r="VXT99" s="2565"/>
      <c r="VXU99" s="2021"/>
      <c r="VXV99" s="1062"/>
      <c r="VXW99" s="1062"/>
      <c r="VXX99" s="1061"/>
      <c r="VXY99" s="1027"/>
      <c r="VXZ99" s="2803"/>
      <c r="VYA99" s="2802"/>
      <c r="VYB99" s="2565"/>
      <c r="VYC99" s="2021"/>
      <c r="VYD99" s="1062"/>
      <c r="VYE99" s="1062"/>
      <c r="VYF99" s="1061"/>
      <c r="VYG99" s="1027"/>
      <c r="VYH99" s="2803"/>
      <c r="VYI99" s="2802"/>
      <c r="VYJ99" s="2565"/>
      <c r="VYK99" s="2021"/>
      <c r="VYL99" s="1062"/>
      <c r="VYM99" s="1062"/>
      <c r="VYN99" s="1061"/>
      <c r="VYO99" s="1027"/>
      <c r="VYP99" s="2803"/>
      <c r="VYQ99" s="2802"/>
      <c r="VYR99" s="2565"/>
      <c r="VYS99" s="2021"/>
      <c r="VYT99" s="1062"/>
      <c r="VYU99" s="1062"/>
      <c r="VYV99" s="1061"/>
      <c r="VYW99" s="1027"/>
      <c r="VYX99" s="2803"/>
      <c r="VYY99" s="2802"/>
      <c r="VYZ99" s="2565"/>
      <c r="VZA99" s="2021"/>
      <c r="VZB99" s="1062"/>
      <c r="VZC99" s="1062"/>
      <c r="VZD99" s="1061"/>
      <c r="VZE99" s="1027"/>
      <c r="VZF99" s="2803"/>
      <c r="VZG99" s="2802"/>
      <c r="VZH99" s="2565"/>
      <c r="VZI99" s="2021"/>
      <c r="VZJ99" s="1062"/>
      <c r="VZK99" s="1062"/>
      <c r="VZL99" s="1061"/>
      <c r="VZM99" s="1027"/>
      <c r="VZN99" s="2803"/>
      <c r="VZO99" s="2802"/>
      <c r="VZP99" s="2565"/>
      <c r="VZQ99" s="2021"/>
      <c r="VZR99" s="1062"/>
      <c r="VZS99" s="1062"/>
      <c r="VZT99" s="1061"/>
      <c r="VZU99" s="1027"/>
      <c r="VZV99" s="2803"/>
      <c r="VZW99" s="2802"/>
      <c r="VZX99" s="2565"/>
      <c r="VZY99" s="2021"/>
      <c r="VZZ99" s="1062"/>
      <c r="WAA99" s="1062"/>
      <c r="WAB99" s="1061"/>
      <c r="WAC99" s="1027"/>
      <c r="WAD99" s="2803"/>
      <c r="WAE99" s="2802"/>
      <c r="WAF99" s="2565"/>
      <c r="WAG99" s="2021"/>
      <c r="WAH99" s="1062"/>
      <c r="WAI99" s="1062"/>
      <c r="WAJ99" s="1061"/>
      <c r="WAK99" s="1027"/>
      <c r="WAL99" s="2803"/>
      <c r="WAM99" s="2802"/>
      <c r="WAN99" s="2565"/>
      <c r="WAO99" s="2021"/>
      <c r="WAP99" s="1062"/>
      <c r="WAQ99" s="1062"/>
      <c r="WAR99" s="1061"/>
      <c r="WAS99" s="1027"/>
      <c r="WAT99" s="2803"/>
      <c r="WAU99" s="2802"/>
      <c r="WAV99" s="2565"/>
      <c r="WAW99" s="2021"/>
      <c r="WAX99" s="1062"/>
      <c r="WAY99" s="1062"/>
      <c r="WAZ99" s="1061"/>
      <c r="WBA99" s="1027"/>
      <c r="WBB99" s="2803"/>
      <c r="WBC99" s="2802"/>
      <c r="WBD99" s="2565"/>
      <c r="WBE99" s="2021"/>
      <c r="WBF99" s="1062"/>
      <c r="WBG99" s="1062"/>
      <c r="WBH99" s="1061"/>
      <c r="WBI99" s="1027"/>
      <c r="WBJ99" s="2803"/>
      <c r="WBK99" s="2802"/>
      <c r="WBL99" s="2565"/>
      <c r="WBM99" s="2021"/>
      <c r="WBN99" s="1062"/>
      <c r="WBO99" s="1062"/>
      <c r="WBP99" s="1061"/>
      <c r="WBQ99" s="1027"/>
      <c r="WBR99" s="2803"/>
      <c r="WBS99" s="2802"/>
      <c r="WBT99" s="2565"/>
      <c r="WBU99" s="2021"/>
      <c r="WBV99" s="1062"/>
      <c r="WBW99" s="1062"/>
      <c r="WBX99" s="1061"/>
      <c r="WBY99" s="1027"/>
      <c r="WBZ99" s="2803"/>
      <c r="WCA99" s="2802"/>
      <c r="WCB99" s="2565"/>
      <c r="WCC99" s="2021"/>
      <c r="WCD99" s="1062"/>
      <c r="WCE99" s="1062"/>
      <c r="WCF99" s="1061"/>
      <c r="WCG99" s="1027"/>
      <c r="WCH99" s="2803"/>
      <c r="WCI99" s="2802"/>
      <c r="WCJ99" s="2565"/>
      <c r="WCK99" s="2021"/>
      <c r="WCL99" s="1062"/>
      <c r="WCM99" s="1062"/>
      <c r="WCN99" s="1061"/>
      <c r="WCO99" s="1027"/>
      <c r="WCP99" s="2803"/>
      <c r="WCQ99" s="2802"/>
      <c r="WCR99" s="2565"/>
      <c r="WCS99" s="2021"/>
      <c r="WCT99" s="1062"/>
      <c r="WCU99" s="1062"/>
      <c r="WCV99" s="1061"/>
      <c r="WCW99" s="1027"/>
      <c r="WCX99" s="2803"/>
      <c r="WCY99" s="2802"/>
      <c r="WCZ99" s="2565"/>
      <c r="WDA99" s="2021"/>
      <c r="WDB99" s="1062"/>
      <c r="WDC99" s="1062"/>
      <c r="WDD99" s="1061"/>
      <c r="WDE99" s="1027"/>
      <c r="WDF99" s="2803"/>
      <c r="WDG99" s="2802"/>
      <c r="WDH99" s="2565"/>
      <c r="WDI99" s="2021"/>
      <c r="WDJ99" s="1062"/>
      <c r="WDK99" s="1062"/>
      <c r="WDL99" s="1061"/>
      <c r="WDM99" s="1027"/>
      <c r="WDN99" s="2803"/>
      <c r="WDO99" s="2802"/>
      <c r="WDP99" s="2565"/>
      <c r="WDQ99" s="2021"/>
      <c r="WDR99" s="1062"/>
      <c r="WDS99" s="1062"/>
      <c r="WDT99" s="1061"/>
      <c r="WDU99" s="1027"/>
      <c r="WDV99" s="2803"/>
      <c r="WDW99" s="2802"/>
      <c r="WDX99" s="2565"/>
      <c r="WDY99" s="2021"/>
      <c r="WDZ99" s="1062"/>
      <c r="WEA99" s="1062"/>
      <c r="WEB99" s="1061"/>
      <c r="WEC99" s="1027"/>
      <c r="WED99" s="2803"/>
      <c r="WEE99" s="2802"/>
      <c r="WEF99" s="2565"/>
      <c r="WEG99" s="2021"/>
      <c r="WEH99" s="1062"/>
      <c r="WEI99" s="1062"/>
      <c r="WEJ99" s="1061"/>
      <c r="WEK99" s="1027"/>
      <c r="WEL99" s="2803"/>
      <c r="WEM99" s="2802"/>
      <c r="WEN99" s="2565"/>
      <c r="WEO99" s="2021"/>
      <c r="WEP99" s="1062"/>
      <c r="WEQ99" s="1062"/>
      <c r="WER99" s="1061"/>
      <c r="WES99" s="1027"/>
      <c r="WET99" s="2803"/>
      <c r="WEU99" s="2802"/>
      <c r="WEV99" s="2565"/>
      <c r="WEW99" s="2021"/>
      <c r="WEX99" s="1062"/>
      <c r="WEY99" s="1062"/>
      <c r="WEZ99" s="1061"/>
      <c r="WFA99" s="1027"/>
      <c r="WFB99" s="2803"/>
      <c r="WFC99" s="2802"/>
      <c r="WFD99" s="2565"/>
      <c r="WFE99" s="2021"/>
      <c r="WFF99" s="1062"/>
      <c r="WFG99" s="1062"/>
      <c r="WFH99" s="1061"/>
      <c r="WFI99" s="1027"/>
      <c r="WFJ99" s="2803"/>
      <c r="WFK99" s="2802"/>
      <c r="WFL99" s="2565"/>
      <c r="WFM99" s="2021"/>
      <c r="WFN99" s="1062"/>
      <c r="WFO99" s="1062"/>
      <c r="WFP99" s="1061"/>
      <c r="WFQ99" s="1027"/>
      <c r="WFR99" s="2803"/>
      <c r="WFS99" s="2802"/>
      <c r="WFT99" s="2565"/>
      <c r="WFU99" s="2021"/>
      <c r="WFV99" s="1062"/>
      <c r="WFW99" s="1062"/>
      <c r="WFX99" s="1061"/>
      <c r="WFY99" s="1027"/>
      <c r="WFZ99" s="2803"/>
      <c r="WGA99" s="2802"/>
      <c r="WGB99" s="2565"/>
      <c r="WGC99" s="2021"/>
      <c r="WGD99" s="1062"/>
      <c r="WGE99" s="1062"/>
      <c r="WGF99" s="1061"/>
      <c r="WGG99" s="1027"/>
      <c r="WGH99" s="2803"/>
      <c r="WGI99" s="2802"/>
      <c r="WGJ99" s="2565"/>
      <c r="WGK99" s="2021"/>
      <c r="WGL99" s="1062"/>
      <c r="WGM99" s="1062"/>
      <c r="WGN99" s="1061"/>
      <c r="WGO99" s="1027"/>
      <c r="WGP99" s="2803"/>
      <c r="WGQ99" s="2802"/>
      <c r="WGR99" s="2565"/>
      <c r="WGS99" s="2021"/>
      <c r="WGT99" s="1062"/>
      <c r="WGU99" s="1062"/>
      <c r="WGV99" s="1061"/>
      <c r="WGW99" s="1027"/>
      <c r="WGX99" s="2803"/>
      <c r="WGY99" s="2802"/>
      <c r="WGZ99" s="2565"/>
      <c r="WHA99" s="2021"/>
      <c r="WHB99" s="1062"/>
      <c r="WHC99" s="1062"/>
      <c r="WHD99" s="1061"/>
      <c r="WHE99" s="1027"/>
      <c r="WHF99" s="2803"/>
      <c r="WHG99" s="2802"/>
      <c r="WHH99" s="2565"/>
      <c r="WHI99" s="2021"/>
      <c r="WHJ99" s="1062"/>
      <c r="WHK99" s="1062"/>
      <c r="WHL99" s="1061"/>
      <c r="WHM99" s="1027"/>
      <c r="WHN99" s="2803"/>
      <c r="WHO99" s="2802"/>
      <c r="WHP99" s="2565"/>
      <c r="WHQ99" s="2021"/>
      <c r="WHR99" s="1062"/>
      <c r="WHS99" s="1062"/>
      <c r="WHT99" s="1061"/>
      <c r="WHU99" s="1027"/>
      <c r="WHV99" s="2803"/>
      <c r="WHW99" s="2802"/>
      <c r="WHX99" s="2565"/>
      <c r="WHY99" s="2021"/>
      <c r="WHZ99" s="1062"/>
      <c r="WIA99" s="1062"/>
      <c r="WIB99" s="1061"/>
      <c r="WIC99" s="1027"/>
      <c r="WID99" s="2803"/>
      <c r="WIE99" s="2802"/>
      <c r="WIF99" s="2565"/>
      <c r="WIG99" s="2021"/>
      <c r="WIH99" s="1062"/>
      <c r="WII99" s="1062"/>
      <c r="WIJ99" s="1061"/>
      <c r="WIK99" s="1027"/>
      <c r="WIL99" s="2803"/>
      <c r="WIM99" s="2802"/>
      <c r="WIN99" s="2565"/>
      <c r="WIO99" s="2021"/>
      <c r="WIP99" s="1062"/>
      <c r="WIQ99" s="1062"/>
      <c r="WIR99" s="1061"/>
      <c r="WIS99" s="1027"/>
      <c r="WIT99" s="2803"/>
      <c r="WIU99" s="2802"/>
      <c r="WIV99" s="2565"/>
      <c r="WIW99" s="2021"/>
      <c r="WIX99" s="1062"/>
      <c r="WIY99" s="1062"/>
      <c r="WIZ99" s="1061"/>
      <c r="WJA99" s="1027"/>
      <c r="WJB99" s="2803"/>
      <c r="WJC99" s="2802"/>
      <c r="WJD99" s="2565"/>
      <c r="WJE99" s="2021"/>
      <c r="WJF99" s="1062"/>
      <c r="WJG99" s="1062"/>
      <c r="WJH99" s="1061"/>
      <c r="WJI99" s="1027"/>
      <c r="WJJ99" s="2803"/>
      <c r="WJK99" s="2802"/>
      <c r="WJL99" s="2565"/>
      <c r="WJM99" s="2021"/>
      <c r="WJN99" s="1062"/>
      <c r="WJO99" s="1062"/>
      <c r="WJP99" s="1061"/>
      <c r="WJQ99" s="1027"/>
      <c r="WJR99" s="2803"/>
      <c r="WJS99" s="2802"/>
      <c r="WJT99" s="2565"/>
      <c r="WJU99" s="2021"/>
      <c r="WJV99" s="1062"/>
      <c r="WJW99" s="1062"/>
      <c r="WJX99" s="1061"/>
      <c r="WJY99" s="1027"/>
      <c r="WJZ99" s="2803"/>
      <c r="WKA99" s="2802"/>
      <c r="WKB99" s="2565"/>
      <c r="WKC99" s="2021"/>
      <c r="WKD99" s="1062"/>
      <c r="WKE99" s="1062"/>
      <c r="WKF99" s="1061"/>
      <c r="WKG99" s="1027"/>
      <c r="WKH99" s="2803"/>
      <c r="WKI99" s="2802"/>
      <c r="WKJ99" s="2565"/>
      <c r="WKK99" s="2021"/>
      <c r="WKL99" s="1062"/>
      <c r="WKM99" s="1062"/>
      <c r="WKN99" s="1061"/>
      <c r="WKO99" s="1027"/>
      <c r="WKP99" s="2803"/>
      <c r="WKQ99" s="2802"/>
      <c r="WKR99" s="2565"/>
      <c r="WKS99" s="2021"/>
      <c r="WKT99" s="1062"/>
      <c r="WKU99" s="1062"/>
      <c r="WKV99" s="1061"/>
      <c r="WKW99" s="1027"/>
      <c r="WKX99" s="2803"/>
      <c r="WKY99" s="2802"/>
      <c r="WKZ99" s="2565"/>
      <c r="WLA99" s="2021"/>
      <c r="WLB99" s="1062"/>
      <c r="WLC99" s="1062"/>
      <c r="WLD99" s="1061"/>
      <c r="WLE99" s="1027"/>
      <c r="WLF99" s="2803"/>
      <c r="WLG99" s="2802"/>
      <c r="WLH99" s="2565"/>
      <c r="WLI99" s="2021"/>
      <c r="WLJ99" s="1062"/>
      <c r="WLK99" s="1062"/>
      <c r="WLL99" s="1061"/>
      <c r="WLM99" s="1027"/>
      <c r="WLN99" s="2803"/>
      <c r="WLO99" s="2802"/>
      <c r="WLP99" s="2565"/>
      <c r="WLQ99" s="2021"/>
      <c r="WLR99" s="1062"/>
      <c r="WLS99" s="1062"/>
      <c r="WLT99" s="1061"/>
      <c r="WLU99" s="1027"/>
      <c r="WLV99" s="2803"/>
      <c r="WLW99" s="2802"/>
      <c r="WLX99" s="2565"/>
      <c r="WLY99" s="2021"/>
      <c r="WLZ99" s="1062"/>
      <c r="WMA99" s="1062"/>
      <c r="WMB99" s="1061"/>
      <c r="WMC99" s="1027"/>
      <c r="WMD99" s="2803"/>
      <c r="WME99" s="2802"/>
      <c r="WMF99" s="2565"/>
      <c r="WMG99" s="2021"/>
      <c r="WMH99" s="1062"/>
      <c r="WMI99" s="1062"/>
      <c r="WMJ99" s="1061"/>
      <c r="WMK99" s="1027"/>
      <c r="WML99" s="2803"/>
      <c r="WMM99" s="2802"/>
      <c r="WMN99" s="2565"/>
      <c r="WMO99" s="2021"/>
      <c r="WMP99" s="1062"/>
      <c r="WMQ99" s="1062"/>
      <c r="WMR99" s="1061"/>
      <c r="WMS99" s="1027"/>
      <c r="WMT99" s="2803"/>
      <c r="WMU99" s="2802"/>
      <c r="WMV99" s="2565"/>
      <c r="WMW99" s="2021"/>
      <c r="WMX99" s="1062"/>
      <c r="WMY99" s="1062"/>
      <c r="WMZ99" s="1061"/>
      <c r="WNA99" s="1027"/>
      <c r="WNB99" s="2803"/>
      <c r="WNC99" s="2802"/>
      <c r="WND99" s="2565"/>
      <c r="WNE99" s="2021"/>
      <c r="WNF99" s="1062"/>
      <c r="WNG99" s="1062"/>
      <c r="WNH99" s="1061"/>
      <c r="WNI99" s="1027"/>
      <c r="WNJ99" s="2803"/>
      <c r="WNK99" s="2802"/>
      <c r="WNL99" s="2565"/>
      <c r="WNM99" s="2021"/>
      <c r="WNN99" s="1062"/>
      <c r="WNO99" s="1062"/>
      <c r="WNP99" s="1061"/>
      <c r="WNQ99" s="1027"/>
      <c r="WNR99" s="2803"/>
      <c r="WNS99" s="2802"/>
      <c r="WNT99" s="2565"/>
      <c r="WNU99" s="2021"/>
      <c r="WNV99" s="1062"/>
      <c r="WNW99" s="1062"/>
      <c r="WNX99" s="1061"/>
      <c r="WNY99" s="1027"/>
      <c r="WNZ99" s="2803"/>
      <c r="WOA99" s="2802"/>
      <c r="WOB99" s="2565"/>
      <c r="WOC99" s="2021"/>
      <c r="WOD99" s="1062"/>
      <c r="WOE99" s="1062"/>
      <c r="WOF99" s="1061"/>
      <c r="WOG99" s="1027"/>
      <c r="WOH99" s="2803"/>
      <c r="WOI99" s="2802"/>
      <c r="WOJ99" s="2565"/>
      <c r="WOK99" s="2021"/>
      <c r="WOL99" s="1062"/>
      <c r="WOM99" s="1062"/>
      <c r="WON99" s="1061"/>
      <c r="WOO99" s="1027"/>
      <c r="WOP99" s="2803"/>
      <c r="WOQ99" s="2802"/>
      <c r="WOR99" s="2565"/>
      <c r="WOS99" s="2021"/>
      <c r="WOT99" s="1062"/>
      <c r="WOU99" s="1062"/>
      <c r="WOV99" s="1061"/>
      <c r="WOW99" s="1027"/>
      <c r="WOX99" s="2803"/>
      <c r="WOY99" s="2802"/>
      <c r="WOZ99" s="2565"/>
      <c r="WPA99" s="2021"/>
      <c r="WPB99" s="1062"/>
      <c r="WPC99" s="1062"/>
      <c r="WPD99" s="1061"/>
      <c r="WPE99" s="1027"/>
      <c r="WPF99" s="2803"/>
      <c r="WPG99" s="2802"/>
      <c r="WPH99" s="2565"/>
      <c r="WPI99" s="2021"/>
      <c r="WPJ99" s="1062"/>
      <c r="WPK99" s="1062"/>
      <c r="WPL99" s="1061"/>
      <c r="WPM99" s="1027"/>
      <c r="WPN99" s="2803"/>
      <c r="WPO99" s="2802"/>
      <c r="WPP99" s="2565"/>
      <c r="WPQ99" s="2021"/>
      <c r="WPR99" s="1062"/>
      <c r="WPS99" s="1062"/>
      <c r="WPT99" s="1061"/>
      <c r="WPU99" s="1027"/>
      <c r="WPV99" s="2803"/>
      <c r="WPW99" s="2802"/>
      <c r="WPX99" s="2565"/>
      <c r="WPY99" s="2021"/>
      <c r="WPZ99" s="1062"/>
      <c r="WQA99" s="1062"/>
      <c r="WQB99" s="1061"/>
      <c r="WQC99" s="1027"/>
      <c r="WQD99" s="2803"/>
      <c r="WQE99" s="2802"/>
      <c r="WQF99" s="2565"/>
      <c r="WQG99" s="2021"/>
      <c r="WQH99" s="1062"/>
      <c r="WQI99" s="1062"/>
      <c r="WQJ99" s="1061"/>
      <c r="WQK99" s="1027"/>
      <c r="WQL99" s="2803"/>
      <c r="WQM99" s="2802"/>
      <c r="WQN99" s="2565"/>
      <c r="WQO99" s="2021"/>
      <c r="WQP99" s="1062"/>
      <c r="WQQ99" s="1062"/>
      <c r="WQR99" s="1061"/>
      <c r="WQS99" s="1027"/>
      <c r="WQT99" s="2803"/>
      <c r="WQU99" s="2802"/>
      <c r="WQV99" s="2565"/>
      <c r="WQW99" s="2021"/>
      <c r="WQX99" s="1062"/>
      <c r="WQY99" s="1062"/>
      <c r="WQZ99" s="1061"/>
      <c r="WRA99" s="1027"/>
      <c r="WRB99" s="2803"/>
      <c r="WRC99" s="2802"/>
      <c r="WRD99" s="2565"/>
      <c r="WRE99" s="2021"/>
      <c r="WRF99" s="1062"/>
      <c r="WRG99" s="1062"/>
      <c r="WRH99" s="1061"/>
      <c r="WRI99" s="1027"/>
      <c r="WRJ99" s="2803"/>
      <c r="WRK99" s="2802"/>
      <c r="WRL99" s="2565"/>
      <c r="WRM99" s="2021"/>
      <c r="WRN99" s="1062"/>
      <c r="WRO99" s="1062"/>
      <c r="WRP99" s="1061"/>
      <c r="WRQ99" s="1027"/>
      <c r="WRR99" s="2803"/>
      <c r="WRS99" s="2802"/>
      <c r="WRT99" s="2565"/>
      <c r="WRU99" s="2021"/>
      <c r="WRV99" s="1062"/>
      <c r="WRW99" s="1062"/>
      <c r="WRX99" s="1061"/>
      <c r="WRY99" s="1027"/>
      <c r="WRZ99" s="2803"/>
      <c r="WSA99" s="2802"/>
      <c r="WSB99" s="2565"/>
      <c r="WSC99" s="2021"/>
      <c r="WSD99" s="1062"/>
      <c r="WSE99" s="1062"/>
      <c r="WSF99" s="1061"/>
      <c r="WSG99" s="1027"/>
      <c r="WSH99" s="2803"/>
      <c r="WSI99" s="2802"/>
      <c r="WSJ99" s="2565"/>
      <c r="WSK99" s="2021"/>
      <c r="WSL99" s="1062"/>
      <c r="WSM99" s="1062"/>
      <c r="WSN99" s="1061"/>
      <c r="WSO99" s="1027"/>
      <c r="WSP99" s="2803"/>
      <c r="WSQ99" s="2802"/>
      <c r="WSR99" s="2565"/>
      <c r="WSS99" s="2021"/>
      <c r="WST99" s="1062"/>
      <c r="WSU99" s="1062"/>
      <c r="WSV99" s="1061"/>
      <c r="WSW99" s="1027"/>
      <c r="WSX99" s="2803"/>
      <c r="WSY99" s="2802"/>
      <c r="WSZ99" s="2565"/>
      <c r="WTA99" s="2021"/>
      <c r="WTB99" s="1062"/>
      <c r="WTC99" s="1062"/>
      <c r="WTD99" s="1061"/>
      <c r="WTE99" s="1027"/>
      <c r="WTF99" s="2803"/>
      <c r="WTG99" s="2802"/>
      <c r="WTH99" s="2565"/>
      <c r="WTI99" s="2021"/>
      <c r="WTJ99" s="1062"/>
      <c r="WTK99" s="1062"/>
      <c r="WTL99" s="1061"/>
      <c r="WTM99" s="1027"/>
      <c r="WTN99" s="2803"/>
      <c r="WTO99" s="2802"/>
      <c r="WTP99" s="2565"/>
      <c r="WTQ99" s="2021"/>
      <c r="WTR99" s="1062"/>
      <c r="WTS99" s="1062"/>
      <c r="WTT99" s="1061"/>
      <c r="WTU99" s="1027"/>
      <c r="WTV99" s="2803"/>
      <c r="WTW99" s="2802"/>
      <c r="WTX99" s="2565"/>
      <c r="WTY99" s="2021"/>
      <c r="WTZ99" s="1062"/>
      <c r="WUA99" s="1062"/>
      <c r="WUB99" s="1061"/>
      <c r="WUC99" s="1027"/>
      <c r="WUD99" s="2803"/>
      <c r="WUE99" s="2802"/>
      <c r="WUF99" s="2565"/>
      <c r="WUG99" s="2021"/>
      <c r="WUH99" s="1062"/>
      <c r="WUI99" s="1062"/>
      <c r="WUJ99" s="1061"/>
      <c r="WUK99" s="1027"/>
      <c r="WUL99" s="2803"/>
      <c r="WUM99" s="2802"/>
      <c r="WUN99" s="2565"/>
      <c r="WUO99" s="2021"/>
      <c r="WUP99" s="1062"/>
      <c r="WUQ99" s="1062"/>
      <c r="WUR99" s="1061"/>
      <c r="WUS99" s="1027"/>
      <c r="WUT99" s="2803"/>
      <c r="WUU99" s="2802"/>
      <c r="WUV99" s="2565"/>
      <c r="WUW99" s="2021"/>
      <c r="WUX99" s="1062"/>
      <c r="WUY99" s="1062"/>
      <c r="WUZ99" s="1061"/>
      <c r="WVA99" s="1027"/>
      <c r="WVB99" s="2803"/>
      <c r="WVC99" s="2802"/>
      <c r="WVD99" s="2565"/>
      <c r="WVE99" s="2021"/>
      <c r="WVF99" s="1062"/>
      <c r="WVG99" s="1062"/>
      <c r="WVH99" s="1061"/>
      <c r="WVI99" s="1027"/>
      <c r="WVJ99" s="2803"/>
      <c r="WVK99" s="2802"/>
      <c r="WVL99" s="2565"/>
      <c r="WVM99" s="2021"/>
      <c r="WVN99" s="1062"/>
      <c r="WVO99" s="1062"/>
      <c r="WVP99" s="1061"/>
      <c r="WVQ99" s="1027"/>
      <c r="WVR99" s="2803"/>
      <c r="WVS99" s="2802"/>
      <c r="WVT99" s="2565"/>
      <c r="WVU99" s="2021"/>
      <c r="WVV99" s="1062"/>
      <c r="WVW99" s="1062"/>
      <c r="WVX99" s="1061"/>
      <c r="WVY99" s="1027"/>
      <c r="WVZ99" s="2803"/>
      <c r="WWA99" s="2802"/>
      <c r="WWB99" s="2565"/>
      <c r="WWC99" s="2021"/>
      <c r="WWD99" s="1062"/>
      <c r="WWE99" s="1062"/>
      <c r="WWF99" s="1061"/>
      <c r="WWG99" s="1027"/>
      <c r="WWH99" s="2803"/>
      <c r="WWI99" s="2802"/>
      <c r="WWJ99" s="2565"/>
      <c r="WWK99" s="2021"/>
      <c r="WWL99" s="1062"/>
      <c r="WWM99" s="1062"/>
      <c r="WWN99" s="1061"/>
      <c r="WWO99" s="1027"/>
      <c r="WWP99" s="2803"/>
      <c r="WWQ99" s="2802"/>
      <c r="WWR99" s="2565"/>
      <c r="WWS99" s="2021"/>
      <c r="WWT99" s="1062"/>
      <c r="WWU99" s="1062"/>
      <c r="WWV99" s="1061"/>
      <c r="WWW99" s="1027"/>
      <c r="WWX99" s="2803"/>
      <c r="WWY99" s="2802"/>
      <c r="WWZ99" s="2565"/>
      <c r="WXA99" s="2021"/>
      <c r="WXB99" s="1062"/>
      <c r="WXC99" s="1062"/>
      <c r="WXD99" s="1061"/>
      <c r="WXE99" s="1027"/>
      <c r="WXF99" s="2803"/>
      <c r="WXG99" s="2802"/>
      <c r="WXH99" s="2565"/>
      <c r="WXI99" s="2021"/>
      <c r="WXJ99" s="1062"/>
      <c r="WXK99" s="1062"/>
      <c r="WXL99" s="1061"/>
      <c r="WXM99" s="1027"/>
      <c r="WXN99" s="2803"/>
      <c r="WXO99" s="2802"/>
      <c r="WXP99" s="2565"/>
      <c r="WXQ99" s="2021"/>
      <c r="WXR99" s="1062"/>
      <c r="WXS99" s="1062"/>
      <c r="WXT99" s="1061"/>
      <c r="WXU99" s="1027"/>
      <c r="WXV99" s="2803"/>
      <c r="WXW99" s="2802"/>
      <c r="WXX99" s="2565"/>
      <c r="WXY99" s="2021"/>
      <c r="WXZ99" s="1062"/>
      <c r="WYA99" s="1062"/>
      <c r="WYB99" s="1061"/>
      <c r="WYC99" s="1027"/>
      <c r="WYD99" s="2803"/>
      <c r="WYE99" s="2802"/>
      <c r="WYF99" s="2565"/>
      <c r="WYG99" s="2021"/>
      <c r="WYH99" s="1062"/>
      <c r="WYI99" s="1062"/>
      <c r="WYJ99" s="1061"/>
      <c r="WYK99" s="1027"/>
      <c r="WYL99" s="2803"/>
      <c r="WYM99" s="2802"/>
      <c r="WYN99" s="2565"/>
      <c r="WYO99" s="2021"/>
      <c r="WYP99" s="1062"/>
      <c r="WYQ99" s="1062"/>
      <c r="WYR99" s="1061"/>
      <c r="WYS99" s="1027"/>
      <c r="WYT99" s="2803"/>
      <c r="WYU99" s="2802"/>
      <c r="WYV99" s="2565"/>
      <c r="WYW99" s="2021"/>
      <c r="WYX99" s="1062"/>
      <c r="WYY99" s="1062"/>
      <c r="WYZ99" s="1061"/>
      <c r="WZA99" s="1027"/>
      <c r="WZB99" s="2803"/>
      <c r="WZC99" s="2802"/>
      <c r="WZD99" s="2565"/>
      <c r="WZE99" s="2021"/>
      <c r="WZF99" s="1062"/>
      <c r="WZG99" s="1062"/>
      <c r="WZH99" s="1061"/>
      <c r="WZI99" s="1027"/>
      <c r="WZJ99" s="2803"/>
      <c r="WZK99" s="2802"/>
      <c r="WZL99" s="2565"/>
      <c r="WZM99" s="2021"/>
      <c r="WZN99" s="1062"/>
      <c r="WZO99" s="1062"/>
      <c r="WZP99" s="1061"/>
      <c r="WZQ99" s="1027"/>
      <c r="WZR99" s="2803"/>
      <c r="WZS99" s="2802"/>
      <c r="WZT99" s="2565"/>
      <c r="WZU99" s="2021"/>
      <c r="WZV99" s="1062"/>
      <c r="WZW99" s="1062"/>
      <c r="WZX99" s="1061"/>
      <c r="WZY99" s="1027"/>
      <c r="WZZ99" s="2803"/>
      <c r="XAA99" s="2802"/>
      <c r="XAB99" s="2565"/>
      <c r="XAC99" s="2021"/>
      <c r="XAD99" s="1062"/>
      <c r="XAE99" s="1062"/>
      <c r="XAF99" s="1061"/>
      <c r="XAG99" s="1027"/>
      <c r="XAH99" s="2803"/>
      <c r="XAI99" s="2802"/>
      <c r="XAJ99" s="2565"/>
      <c r="XAK99" s="2021"/>
      <c r="XAL99" s="1062"/>
      <c r="XAM99" s="1062"/>
      <c r="XAN99" s="1061"/>
      <c r="XAO99" s="1027"/>
      <c r="XAP99" s="2803"/>
      <c r="XAQ99" s="2802"/>
      <c r="XAR99" s="2565"/>
      <c r="XAS99" s="2021"/>
      <c r="XAT99" s="1062"/>
      <c r="XAU99" s="1062"/>
      <c r="XAV99" s="1061"/>
      <c r="XAW99" s="1027"/>
      <c r="XAX99" s="2803"/>
      <c r="XAY99" s="2802"/>
      <c r="XAZ99" s="2565"/>
      <c r="XBA99" s="2021"/>
      <c r="XBB99" s="1062"/>
      <c r="XBC99" s="1062"/>
      <c r="XBD99" s="1061"/>
      <c r="XBE99" s="1027"/>
      <c r="XBF99" s="2803"/>
      <c r="XBG99" s="2802"/>
      <c r="XBH99" s="2565"/>
      <c r="XBI99" s="2021"/>
      <c r="XBJ99" s="1062"/>
      <c r="XBK99" s="1062"/>
      <c r="XBL99" s="1061"/>
      <c r="XBM99" s="1027"/>
      <c r="XBN99" s="2803"/>
      <c r="XBO99" s="2802"/>
      <c r="XBP99" s="2565"/>
      <c r="XBQ99" s="2021"/>
      <c r="XBR99" s="1062"/>
      <c r="XBS99" s="1062"/>
      <c r="XBT99" s="1061"/>
      <c r="XBU99" s="1027"/>
      <c r="XBV99" s="2803"/>
      <c r="XBW99" s="2802"/>
      <c r="XBX99" s="2565"/>
      <c r="XBY99" s="2021"/>
      <c r="XBZ99" s="1062"/>
      <c r="XCA99" s="1062"/>
      <c r="XCB99" s="1061"/>
      <c r="XCC99" s="1027"/>
      <c r="XCD99" s="2803"/>
      <c r="XCE99" s="2802"/>
      <c r="XCF99" s="2565"/>
      <c r="XCG99" s="2021"/>
      <c r="XCH99" s="1062"/>
      <c r="XCI99" s="1062"/>
      <c r="XCJ99" s="1061"/>
      <c r="XCK99" s="1027"/>
      <c r="XCL99" s="2803"/>
      <c r="XCM99" s="2802"/>
      <c r="XCN99" s="2565"/>
      <c r="XCO99" s="2021"/>
      <c r="XCP99" s="1062"/>
      <c r="XCQ99" s="1062"/>
      <c r="XCR99" s="1061"/>
      <c r="XCS99" s="1027"/>
      <c r="XCT99" s="2803"/>
      <c r="XCU99" s="2802"/>
      <c r="XCV99" s="2565"/>
      <c r="XCW99" s="2021"/>
      <c r="XCX99" s="1062"/>
      <c r="XCY99" s="1062"/>
      <c r="XCZ99" s="1061"/>
      <c r="XDA99" s="1027"/>
      <c r="XDB99" s="2803"/>
      <c r="XDC99" s="2802"/>
      <c r="XDD99" s="2565"/>
      <c r="XDE99" s="2021"/>
      <c r="XDF99" s="1062"/>
      <c r="XDG99" s="1062"/>
      <c r="XDH99" s="1061"/>
      <c r="XDI99" s="1027"/>
      <c r="XDJ99" s="2803"/>
      <c r="XDK99" s="2802"/>
      <c r="XDL99" s="2565"/>
      <c r="XDM99" s="2021"/>
      <c r="XDN99" s="1062"/>
      <c r="XDO99" s="1062"/>
      <c r="XDP99" s="1061"/>
      <c r="XDQ99" s="1027"/>
      <c r="XDR99" s="2803"/>
      <c r="XDS99" s="2802"/>
      <c r="XDT99" s="2565"/>
      <c r="XDU99" s="2021"/>
      <c r="XDV99" s="1062"/>
      <c r="XDW99" s="1062"/>
      <c r="XDX99" s="1061"/>
      <c r="XDY99" s="1027"/>
      <c r="XDZ99" s="2803"/>
      <c r="XEA99" s="2802"/>
      <c r="XEB99" s="2565"/>
      <c r="XEC99" s="2021"/>
      <c r="XED99" s="1062"/>
      <c r="XEE99" s="1062"/>
      <c r="XEF99" s="1061"/>
      <c r="XEG99" s="1027"/>
      <c r="XEH99" s="2803"/>
      <c r="XEI99" s="2802"/>
      <c r="XEJ99" s="2565"/>
      <c r="XEK99" s="2021"/>
      <c r="XEL99" s="1062"/>
      <c r="XEM99" s="1062"/>
      <c r="XEN99" s="1061"/>
      <c r="XEO99" s="1027"/>
      <c r="XEP99" s="2803"/>
      <c r="XEQ99" s="2802"/>
      <c r="XER99" s="2565"/>
      <c r="XES99" s="2021"/>
      <c r="XET99" s="1062"/>
      <c r="XEU99" s="1062"/>
      <c r="XEV99" s="1061"/>
      <c r="XEW99" s="1027"/>
      <c r="XEX99" s="2803"/>
      <c r="XEY99" s="2802"/>
      <c r="XEZ99" s="2565"/>
      <c r="XFA99" s="2021"/>
      <c r="XFB99" s="1062"/>
      <c r="XFC99" s="1062"/>
      <c r="XFD99" s="1061"/>
    </row>
    <row r="100" spans="1:16384" ht="15" hidden="1" x14ac:dyDescent="0.2">
      <c r="A100" s="1027"/>
      <c r="B100" s="2803"/>
      <c r="C100" s="2802" t="s">
        <v>906</v>
      </c>
      <c r="D100" s="2565" t="s">
        <v>1398</v>
      </c>
      <c r="E100" s="2021"/>
      <c r="F100" s="1062"/>
      <c r="G100" s="1062"/>
      <c r="H100" s="1061" t="e">
        <f t="shared" si="20"/>
        <v>#DIV/0!</v>
      </c>
      <c r="J100" s="1836"/>
      <c r="K100" s="1836"/>
      <c r="L100" s="1836"/>
    </row>
    <row r="101" spans="1:16384" ht="15" x14ac:dyDescent="0.2">
      <c r="A101" s="1027"/>
      <c r="B101" s="2803"/>
      <c r="C101" s="2802" t="s">
        <v>1394</v>
      </c>
      <c r="D101" s="2565" t="s">
        <v>1399</v>
      </c>
      <c r="E101" s="2021">
        <v>46028</v>
      </c>
      <c r="F101" s="1062">
        <v>50623</v>
      </c>
      <c r="G101" s="1022">
        <v>50623</v>
      </c>
      <c r="H101" s="1061">
        <f t="shared" si="20"/>
        <v>100</v>
      </c>
      <c r="J101" s="1836"/>
      <c r="K101" s="1836"/>
      <c r="L101" s="1836"/>
    </row>
    <row r="102" spans="1:16384" ht="15" x14ac:dyDescent="0.2">
      <c r="A102" s="1027"/>
      <c r="B102" s="2803"/>
      <c r="C102" s="2802" t="s">
        <v>994</v>
      </c>
      <c r="D102" s="2565" t="s">
        <v>1400</v>
      </c>
      <c r="E102" s="2021">
        <v>70354</v>
      </c>
      <c r="F102" s="1062">
        <v>78026</v>
      </c>
      <c r="G102" s="1022">
        <v>78026</v>
      </c>
      <c r="H102" s="1061">
        <f t="shared" si="20"/>
        <v>100</v>
      </c>
      <c r="J102" s="1836"/>
      <c r="K102" s="1836"/>
      <c r="L102" s="1836"/>
    </row>
    <row r="103" spans="1:16384" ht="15" x14ac:dyDescent="0.2">
      <c r="A103" s="1027"/>
      <c r="B103" s="2803"/>
      <c r="C103" s="2802" t="s">
        <v>993</v>
      </c>
      <c r="D103" s="2565" t="s">
        <v>1401</v>
      </c>
      <c r="E103" s="2021">
        <v>16384</v>
      </c>
      <c r="F103" s="1062">
        <v>16836</v>
      </c>
      <c r="G103" s="1022">
        <v>16836</v>
      </c>
      <c r="H103" s="1061">
        <f t="shared" si="20"/>
        <v>100</v>
      </c>
      <c r="J103" s="1836"/>
      <c r="K103" s="1836"/>
      <c r="L103" s="1836"/>
    </row>
    <row r="104" spans="1:16384" ht="15" x14ac:dyDescent="0.2">
      <c r="A104" s="1027"/>
      <c r="B104" s="2803"/>
      <c r="C104" s="2802" t="s">
        <v>1395</v>
      </c>
      <c r="D104" s="2565" t="s">
        <v>1402</v>
      </c>
      <c r="E104" s="2021">
        <v>350</v>
      </c>
      <c r="F104" s="1062">
        <v>1120</v>
      </c>
      <c r="G104" s="1022">
        <v>1120</v>
      </c>
      <c r="H104" s="1061">
        <f t="shared" si="20"/>
        <v>100</v>
      </c>
      <c r="J104" s="1836"/>
      <c r="K104" s="1836"/>
      <c r="L104" s="1836"/>
    </row>
    <row r="105" spans="1:16384" ht="15" x14ac:dyDescent="0.2">
      <c r="A105" s="1027"/>
      <c r="B105" s="2803"/>
      <c r="C105" s="2802" t="s">
        <v>1396</v>
      </c>
      <c r="D105" s="2565" t="s">
        <v>1403</v>
      </c>
      <c r="E105" s="2021">
        <v>1597</v>
      </c>
      <c r="F105" s="1062">
        <v>1659</v>
      </c>
      <c r="G105" s="1022">
        <v>1659</v>
      </c>
      <c r="H105" s="1061">
        <f t="shared" si="20"/>
        <v>100</v>
      </c>
      <c r="J105" s="1836"/>
      <c r="K105" s="1836"/>
      <c r="L105" s="1836"/>
    </row>
    <row r="106" spans="1:16384" ht="15.75" thickBot="1" x14ac:dyDescent="0.25">
      <c r="A106" s="1027"/>
      <c r="B106" s="2803"/>
      <c r="C106" s="2802" t="s">
        <v>1414</v>
      </c>
      <c r="D106" s="2565" t="s">
        <v>1621</v>
      </c>
      <c r="E106" s="2021">
        <v>200</v>
      </c>
      <c r="F106" s="1062">
        <v>200</v>
      </c>
      <c r="G106" s="1022">
        <v>180</v>
      </c>
      <c r="H106" s="1061">
        <f t="shared" si="20"/>
        <v>90</v>
      </c>
      <c r="J106" s="1836"/>
      <c r="K106" s="1836"/>
      <c r="L106" s="1836"/>
    </row>
    <row r="107" spans="1:16384" ht="19.5" thickTop="1" thickBot="1" x14ac:dyDescent="0.3">
      <c r="A107" s="1020" t="s">
        <v>108</v>
      </c>
      <c r="B107" s="1945"/>
      <c r="C107" s="1793"/>
      <c r="D107" s="1019"/>
      <c r="E107" s="1016">
        <f>E98</f>
        <v>134913</v>
      </c>
      <c r="F107" s="1016">
        <f>F98</f>
        <v>150375</v>
      </c>
      <c r="G107" s="1016">
        <f>G98</f>
        <v>150355</v>
      </c>
      <c r="H107" s="2019">
        <f t="shared" si="20"/>
        <v>99.986699916874471</v>
      </c>
      <c r="J107" s="1836"/>
      <c r="K107" s="1836"/>
      <c r="L107" s="1836"/>
    </row>
    <row r="108" spans="1:16384" ht="17.25" thickTop="1" x14ac:dyDescent="0.25">
      <c r="A108" s="1726"/>
      <c r="B108" s="2503">
        <v>6351</v>
      </c>
      <c r="C108" s="2451"/>
      <c r="D108" s="1796" t="s">
        <v>320</v>
      </c>
      <c r="E108" s="2505">
        <f>E109</f>
        <v>0</v>
      </c>
      <c r="F108" s="2505">
        <f t="shared" ref="F108:G108" si="21">F109</f>
        <v>6314</v>
      </c>
      <c r="G108" s="2505">
        <f t="shared" si="21"/>
        <v>6314</v>
      </c>
      <c r="H108" s="1919">
        <f t="shared" ref="H108:H110" si="22">G108/F108*100</f>
        <v>100</v>
      </c>
      <c r="J108" s="1836"/>
      <c r="K108" s="1836"/>
      <c r="L108" s="1836"/>
    </row>
    <row r="109" spans="1:16384" s="1879" customFormat="1" ht="15.75" customHeight="1" thickBot="1" x14ac:dyDescent="0.25">
      <c r="A109" s="2712"/>
      <c r="B109" s="2713"/>
      <c r="C109" s="2807" t="s">
        <v>956</v>
      </c>
      <c r="D109" s="2714" t="s">
        <v>1368</v>
      </c>
      <c r="E109" s="2530">
        <v>0</v>
      </c>
      <c r="F109" s="2530">
        <v>6314</v>
      </c>
      <c r="G109" s="2530">
        <v>6314</v>
      </c>
      <c r="H109" s="2531">
        <f t="shared" si="22"/>
        <v>100</v>
      </c>
      <c r="J109" s="2715"/>
      <c r="K109" s="2715"/>
      <c r="L109" s="2715"/>
    </row>
    <row r="110" spans="1:16384" ht="18" thickTop="1" thickBot="1" x14ac:dyDescent="0.3">
      <c r="A110" s="1020" t="s">
        <v>987</v>
      </c>
      <c r="B110" s="1717"/>
      <c r="C110" s="1716"/>
      <c r="D110" s="1715"/>
      <c r="E110" s="1714">
        <f>E108</f>
        <v>0</v>
      </c>
      <c r="F110" s="1714">
        <f t="shared" ref="F110:G110" si="23">F108</f>
        <v>6314</v>
      </c>
      <c r="G110" s="1714">
        <f t="shared" si="23"/>
        <v>6314</v>
      </c>
      <c r="H110" s="2507">
        <f t="shared" si="22"/>
        <v>100</v>
      </c>
      <c r="J110" s="1836"/>
      <c r="K110" s="1836"/>
      <c r="L110" s="1836"/>
    </row>
    <row r="111" spans="1:16384" ht="17.25" thickTop="1" x14ac:dyDescent="0.25">
      <c r="A111" s="1924"/>
      <c r="B111" s="1700"/>
      <c r="C111" s="1699"/>
      <c r="D111" s="1698"/>
      <c r="E111" s="1884"/>
      <c r="F111" s="1884"/>
      <c r="G111" s="1884"/>
      <c r="H111" s="1923"/>
      <c r="J111" s="1836"/>
      <c r="K111" s="1836"/>
      <c r="L111" s="1836"/>
    </row>
    <row r="112" spans="1:16384" ht="17.25" thickBot="1" x14ac:dyDescent="0.3">
      <c r="A112" s="1776" t="s">
        <v>1413</v>
      </c>
      <c r="B112" s="1766"/>
      <c r="C112" s="1765"/>
      <c r="D112" s="1764"/>
      <c r="E112" s="1880">
        <f>E107+E110</f>
        <v>134913</v>
      </c>
      <c r="F112" s="1880">
        <f t="shared" ref="F112:G112" si="24">F107+F110</f>
        <v>156689</v>
      </c>
      <c r="G112" s="1880">
        <f t="shared" si="24"/>
        <v>156669</v>
      </c>
      <c r="H112" s="1917">
        <f>(G112/F112)*100</f>
        <v>99.987235862121778</v>
      </c>
      <c r="J112" s="1836"/>
      <c r="K112" s="1836"/>
      <c r="L112" s="1836"/>
    </row>
    <row r="113" spans="1:12" ht="17.25" thickTop="1" x14ac:dyDescent="0.25">
      <c r="A113" s="1701"/>
      <c r="B113" s="1700"/>
      <c r="C113" s="1699"/>
      <c r="D113" s="1698"/>
      <c r="E113" s="1884"/>
      <c r="F113" s="1884"/>
      <c r="G113" s="1884"/>
      <c r="H113" s="1916"/>
      <c r="J113" s="1836"/>
      <c r="K113" s="1836"/>
      <c r="L113" s="1836"/>
    </row>
    <row r="114" spans="1:12" ht="16.5" x14ac:dyDescent="0.25">
      <c r="A114" s="1701"/>
      <c r="B114" s="1700"/>
      <c r="C114" s="1699"/>
      <c r="D114" s="1698"/>
      <c r="E114" s="1884"/>
      <c r="F114" s="1884"/>
      <c r="G114" s="1884"/>
      <c r="H114" s="1916"/>
      <c r="J114" s="1836"/>
      <c r="K114" s="1836"/>
      <c r="L114" s="1836"/>
    </row>
    <row r="115" spans="1:12" ht="15.75" x14ac:dyDescent="0.25">
      <c r="A115" s="1855" t="s">
        <v>1415</v>
      </c>
      <c r="C115" s="2020"/>
      <c r="D115" s="1783"/>
      <c r="E115" s="1851"/>
      <c r="F115" s="1852"/>
      <c r="G115" s="1851"/>
      <c r="H115" s="1674"/>
      <c r="J115" s="1836"/>
      <c r="K115" s="1836"/>
      <c r="L115" s="1836"/>
    </row>
    <row r="116" spans="1:12" ht="16.5" thickBot="1" x14ac:dyDescent="0.3">
      <c r="A116" s="1855"/>
      <c r="C116" s="2020"/>
      <c r="D116" s="1783"/>
      <c r="E116" s="1851"/>
      <c r="F116" s="1852"/>
      <c r="G116" s="1851"/>
      <c r="H116" s="1753" t="s">
        <v>92</v>
      </c>
      <c r="J116" s="1836"/>
      <c r="K116" s="1836"/>
      <c r="L116" s="1836"/>
    </row>
    <row r="117" spans="1:12" ht="14.25" thickTop="1" thickBot="1" x14ac:dyDescent="0.25">
      <c r="A117" s="1047" t="s">
        <v>93</v>
      </c>
      <c r="B117" s="1046" t="s">
        <v>94</v>
      </c>
      <c r="C117" s="1798" t="s">
        <v>364</v>
      </c>
      <c r="D117" s="1044" t="s">
        <v>95</v>
      </c>
      <c r="E117" s="1069" t="s">
        <v>328</v>
      </c>
      <c r="F117" s="1069" t="s">
        <v>329</v>
      </c>
      <c r="G117" s="1749" t="s">
        <v>448</v>
      </c>
      <c r="H117" s="1784" t="s">
        <v>449</v>
      </c>
      <c r="J117" s="1836"/>
      <c r="K117" s="1836"/>
      <c r="L117" s="1836"/>
    </row>
    <row r="118" spans="1:12" ht="14.25" thickTop="1" thickBot="1" x14ac:dyDescent="0.25">
      <c r="A118" s="1042">
        <v>1</v>
      </c>
      <c r="B118" s="1041">
        <v>2</v>
      </c>
      <c r="C118" s="1041">
        <v>3</v>
      </c>
      <c r="D118" s="1041">
        <v>4</v>
      </c>
      <c r="E118" s="1041">
        <v>5</v>
      </c>
      <c r="F118" s="1040">
        <v>6</v>
      </c>
      <c r="G118" s="1040">
        <v>7</v>
      </c>
      <c r="H118" s="1039" t="s">
        <v>33</v>
      </c>
      <c r="J118" s="1836"/>
      <c r="K118" s="1836"/>
      <c r="L118" s="1836"/>
    </row>
    <row r="119" spans="1:12" ht="15.75" thickTop="1" x14ac:dyDescent="0.25">
      <c r="A119" s="1027" t="s">
        <v>280</v>
      </c>
      <c r="B119" s="2498">
        <v>5331</v>
      </c>
      <c r="C119" s="2802"/>
      <c r="D119" s="1863" t="s">
        <v>465</v>
      </c>
      <c r="E119" s="1066">
        <f>SUM(E120:E126)</f>
        <v>238248</v>
      </c>
      <c r="F119" s="1066">
        <f>SUM(F120:F126)</f>
        <v>273449</v>
      </c>
      <c r="G119" s="1066">
        <f t="shared" ref="G119" si="25">SUM(G120:G126)</f>
        <v>273449</v>
      </c>
      <c r="H119" s="1058">
        <f t="shared" ref="H119:H127" si="26">(G119/F119)*100</f>
        <v>100</v>
      </c>
      <c r="J119" s="1836"/>
      <c r="K119" s="1836"/>
      <c r="L119" s="1836"/>
    </row>
    <row r="120" spans="1:12" s="1879" customFormat="1" ht="25.5" x14ac:dyDescent="0.2">
      <c r="A120" s="2716"/>
      <c r="B120" s="2498"/>
      <c r="C120" s="2806" t="s">
        <v>963</v>
      </c>
      <c r="D120" s="2714" t="s">
        <v>1355</v>
      </c>
      <c r="E120" s="2711">
        <v>0</v>
      </c>
      <c r="F120" s="2702">
        <v>1223</v>
      </c>
      <c r="G120" s="2702">
        <v>1223</v>
      </c>
      <c r="H120" s="2700">
        <f t="shared" si="26"/>
        <v>100</v>
      </c>
      <c r="J120" s="2715"/>
      <c r="K120" s="2715"/>
      <c r="L120" s="2715"/>
    </row>
    <row r="121" spans="1:12" ht="15" hidden="1" x14ac:dyDescent="0.2">
      <c r="A121" s="1027"/>
      <c r="B121" s="2803"/>
      <c r="C121" s="2802" t="s">
        <v>906</v>
      </c>
      <c r="D121" s="2565" t="s">
        <v>1398</v>
      </c>
      <c r="E121" s="2021"/>
      <c r="F121" s="1062"/>
      <c r="G121" s="1062"/>
      <c r="H121" s="1061" t="e">
        <f t="shared" si="26"/>
        <v>#DIV/0!</v>
      </c>
      <c r="J121" s="1836"/>
      <c r="K121" s="1836"/>
      <c r="L121" s="1836"/>
    </row>
    <row r="122" spans="1:12" ht="15" x14ac:dyDescent="0.2">
      <c r="A122" s="1027"/>
      <c r="B122" s="2803"/>
      <c r="C122" s="2802" t="s">
        <v>1394</v>
      </c>
      <c r="D122" s="2565" t="s">
        <v>1399</v>
      </c>
      <c r="E122" s="2021">
        <v>78578</v>
      </c>
      <c r="F122" s="1062">
        <v>94288</v>
      </c>
      <c r="G122" s="1022">
        <v>94288</v>
      </c>
      <c r="H122" s="1061">
        <f t="shared" si="26"/>
        <v>100</v>
      </c>
      <c r="J122" s="1836"/>
      <c r="K122" s="1836"/>
      <c r="L122" s="1836"/>
    </row>
    <row r="123" spans="1:12" ht="15" x14ac:dyDescent="0.2">
      <c r="A123" s="1027"/>
      <c r="B123" s="2803"/>
      <c r="C123" s="2802" t="s">
        <v>994</v>
      </c>
      <c r="D123" s="2565" t="s">
        <v>1400</v>
      </c>
      <c r="E123" s="2021">
        <v>136278</v>
      </c>
      <c r="F123" s="1062">
        <v>152266</v>
      </c>
      <c r="G123" s="1022">
        <v>152266</v>
      </c>
      <c r="H123" s="1061">
        <f t="shared" si="26"/>
        <v>100</v>
      </c>
      <c r="J123" s="1836"/>
      <c r="K123" s="1836"/>
      <c r="L123" s="1836"/>
    </row>
    <row r="124" spans="1:12" ht="15" x14ac:dyDescent="0.2">
      <c r="A124" s="1027"/>
      <c r="B124" s="2803"/>
      <c r="C124" s="2802" t="s">
        <v>993</v>
      </c>
      <c r="D124" s="2565" t="s">
        <v>1401</v>
      </c>
      <c r="E124" s="2021">
        <v>23392</v>
      </c>
      <c r="F124" s="1062">
        <v>25620</v>
      </c>
      <c r="G124" s="1022">
        <v>25620</v>
      </c>
      <c r="H124" s="1061">
        <f t="shared" si="26"/>
        <v>100</v>
      </c>
      <c r="J124" s="1836"/>
      <c r="K124" s="1836"/>
      <c r="L124" s="1836"/>
    </row>
    <row r="125" spans="1:12" ht="15" hidden="1" x14ac:dyDescent="0.2">
      <c r="A125" s="1027"/>
      <c r="B125" s="2803"/>
      <c r="C125" s="2802" t="s">
        <v>1395</v>
      </c>
      <c r="D125" s="2565" t="s">
        <v>1402</v>
      </c>
      <c r="E125" s="2021"/>
      <c r="F125" s="1062"/>
      <c r="G125" s="1022"/>
      <c r="H125" s="1061" t="e">
        <f t="shared" si="26"/>
        <v>#DIV/0!</v>
      </c>
      <c r="J125" s="1836"/>
      <c r="K125" s="1836"/>
      <c r="L125" s="1836"/>
    </row>
    <row r="126" spans="1:12" ht="15.75" thickBot="1" x14ac:dyDescent="0.25">
      <c r="A126" s="1027"/>
      <c r="B126" s="2803"/>
      <c r="C126" s="2802" t="s">
        <v>1397</v>
      </c>
      <c r="D126" s="2565" t="s">
        <v>1880</v>
      </c>
      <c r="E126" s="2021">
        <v>0</v>
      </c>
      <c r="F126" s="1062">
        <v>52</v>
      </c>
      <c r="G126" s="1022">
        <v>52</v>
      </c>
      <c r="H126" s="1061">
        <f t="shared" si="26"/>
        <v>100</v>
      </c>
      <c r="J126" s="1836"/>
      <c r="K126" s="1836"/>
      <c r="L126" s="1836"/>
    </row>
    <row r="127" spans="1:12" ht="19.5" thickTop="1" thickBot="1" x14ac:dyDescent="0.3">
      <c r="A127" s="1020" t="s">
        <v>108</v>
      </c>
      <c r="B127" s="1945"/>
      <c r="C127" s="1793"/>
      <c r="D127" s="1019"/>
      <c r="E127" s="1016">
        <f>E119</f>
        <v>238248</v>
      </c>
      <c r="F127" s="1016">
        <f t="shared" ref="F127:G127" si="27">F119</f>
        <v>273449</v>
      </c>
      <c r="G127" s="1016">
        <f t="shared" si="27"/>
        <v>273449</v>
      </c>
      <c r="H127" s="2019">
        <f t="shared" si="26"/>
        <v>100</v>
      </c>
      <c r="J127" s="1836"/>
      <c r="K127" s="1836"/>
      <c r="L127" s="1836"/>
    </row>
    <row r="128" spans="1:12" ht="17.25" thickTop="1" x14ac:dyDescent="0.25">
      <c r="A128" s="1726"/>
      <c r="B128" s="2503">
        <v>6351</v>
      </c>
      <c r="C128" s="2804"/>
      <c r="D128" s="1796" t="s">
        <v>320</v>
      </c>
      <c r="E128" s="2505">
        <f>E129</f>
        <v>0</v>
      </c>
      <c r="F128" s="2505">
        <f t="shared" ref="F128:G128" si="28">F129</f>
        <v>6179</v>
      </c>
      <c r="G128" s="2505">
        <f t="shared" si="28"/>
        <v>6179</v>
      </c>
      <c r="H128" s="1919">
        <f t="shared" ref="H128:H130" si="29">G128/F128*100</f>
        <v>100</v>
      </c>
      <c r="J128" s="1836"/>
      <c r="K128" s="1836"/>
      <c r="L128" s="1836"/>
    </row>
    <row r="129" spans="1:12" s="1879" customFormat="1" ht="26.25" thickBot="1" x14ac:dyDescent="0.25">
      <c r="A129" s="2712"/>
      <c r="B129" s="2805"/>
      <c r="C129" s="2807" t="s">
        <v>963</v>
      </c>
      <c r="D129" s="2714" t="s">
        <v>1355</v>
      </c>
      <c r="E129" s="2530">
        <v>0</v>
      </c>
      <c r="F129" s="2530">
        <v>6179</v>
      </c>
      <c r="G129" s="2530">
        <v>6179</v>
      </c>
      <c r="H129" s="2531">
        <f t="shared" si="29"/>
        <v>100</v>
      </c>
      <c r="J129" s="2715"/>
      <c r="K129" s="2715"/>
      <c r="L129" s="2715"/>
    </row>
    <row r="130" spans="1:12" ht="18" thickTop="1" thickBot="1" x14ac:dyDescent="0.3">
      <c r="A130" s="1020" t="s">
        <v>987</v>
      </c>
      <c r="B130" s="1717"/>
      <c r="C130" s="1716"/>
      <c r="D130" s="1715"/>
      <c r="E130" s="1714">
        <f>E128</f>
        <v>0</v>
      </c>
      <c r="F130" s="1714">
        <f t="shared" ref="F130:G130" si="30">F128</f>
        <v>6179</v>
      </c>
      <c r="G130" s="1714">
        <f t="shared" si="30"/>
        <v>6179</v>
      </c>
      <c r="H130" s="2507">
        <f t="shared" si="29"/>
        <v>100</v>
      </c>
      <c r="J130" s="1836"/>
      <c r="K130" s="1836"/>
      <c r="L130" s="1836"/>
    </row>
    <row r="131" spans="1:12" ht="17.25" thickTop="1" x14ac:dyDescent="0.25">
      <c r="A131" s="1924"/>
      <c r="B131" s="1700"/>
      <c r="C131" s="1699"/>
      <c r="D131" s="1698"/>
      <c r="E131" s="1884"/>
      <c r="F131" s="1884"/>
      <c r="G131" s="1884"/>
      <c r="H131" s="1923"/>
      <c r="J131" s="1836"/>
      <c r="K131" s="1836"/>
      <c r="L131" s="1836"/>
    </row>
    <row r="132" spans="1:12" ht="17.25" thickBot="1" x14ac:dyDescent="0.3">
      <c r="A132" s="1776" t="s">
        <v>1416</v>
      </c>
      <c r="B132" s="1766"/>
      <c r="C132" s="1765"/>
      <c r="D132" s="1764"/>
      <c r="E132" s="1880">
        <f>E127+E130</f>
        <v>238248</v>
      </c>
      <c r="F132" s="1880">
        <f t="shared" ref="F132:G132" si="31">F127+F130</f>
        <v>279628</v>
      </c>
      <c r="G132" s="1880">
        <f t="shared" si="31"/>
        <v>279628</v>
      </c>
      <c r="H132" s="1917">
        <f>(G132/F132)*100</f>
        <v>100</v>
      </c>
      <c r="J132" s="1836"/>
      <c r="K132" s="1836"/>
      <c r="L132" s="1836"/>
    </row>
    <row r="133" spans="1:12" ht="17.25" thickTop="1" x14ac:dyDescent="0.25">
      <c r="A133" s="1701"/>
      <c r="B133" s="1700"/>
      <c r="C133" s="1699"/>
      <c r="D133" s="1698"/>
      <c r="E133" s="1884"/>
      <c r="F133" s="1884"/>
      <c r="G133" s="1884"/>
      <c r="H133" s="1916"/>
      <c r="J133" s="1836"/>
      <c r="K133" s="1836"/>
      <c r="L133" s="1836"/>
    </row>
    <row r="134" spans="1:12" ht="16.5" x14ac:dyDescent="0.25">
      <c r="A134" s="1701"/>
      <c r="B134" s="1700"/>
      <c r="C134" s="1699"/>
      <c r="D134" s="1698"/>
      <c r="E134" s="1884"/>
      <c r="F134" s="1884"/>
      <c r="G134" s="1884"/>
      <c r="H134" s="1916"/>
      <c r="J134" s="1836"/>
      <c r="K134" s="1836"/>
      <c r="L134" s="1836"/>
    </row>
    <row r="135" spans="1:12" ht="15.75" x14ac:dyDescent="0.25">
      <c r="A135" s="1855" t="s">
        <v>1418</v>
      </c>
      <c r="C135" s="2020"/>
      <c r="D135" s="1783"/>
      <c r="E135" s="1851"/>
      <c r="F135" s="1852"/>
      <c r="G135" s="1851"/>
      <c r="H135" s="1674"/>
      <c r="J135" s="1836"/>
      <c r="K135" s="1836"/>
      <c r="L135" s="1836"/>
    </row>
    <row r="136" spans="1:12" ht="16.5" thickBot="1" x14ac:dyDescent="0.3">
      <c r="A136" s="1855"/>
      <c r="C136" s="2020"/>
      <c r="D136" s="1783"/>
      <c r="E136" s="1851"/>
      <c r="F136" s="1852"/>
      <c r="G136" s="1851"/>
      <c r="H136" s="1753" t="s">
        <v>92</v>
      </c>
      <c r="J136" s="1836"/>
      <c r="K136" s="1836"/>
      <c r="L136" s="1836"/>
    </row>
    <row r="137" spans="1:12" ht="14.25" thickTop="1" thickBot="1" x14ac:dyDescent="0.25">
      <c r="A137" s="1047" t="s">
        <v>93</v>
      </c>
      <c r="B137" s="1046" t="s">
        <v>94</v>
      </c>
      <c r="C137" s="1798" t="s">
        <v>364</v>
      </c>
      <c r="D137" s="1044" t="s">
        <v>95</v>
      </c>
      <c r="E137" s="1069" t="s">
        <v>328</v>
      </c>
      <c r="F137" s="1069" t="s">
        <v>329</v>
      </c>
      <c r="G137" s="1749" t="s">
        <v>448</v>
      </c>
      <c r="H137" s="1784" t="s">
        <v>449</v>
      </c>
      <c r="J137" s="1836"/>
      <c r="K137" s="1836"/>
      <c r="L137" s="1836"/>
    </row>
    <row r="138" spans="1:12" ht="14.25" thickTop="1" thickBot="1" x14ac:dyDescent="0.25">
      <c r="A138" s="1042">
        <v>1</v>
      </c>
      <c r="B138" s="1041">
        <v>2</v>
      </c>
      <c r="C138" s="1041">
        <v>3</v>
      </c>
      <c r="D138" s="1041">
        <v>4</v>
      </c>
      <c r="E138" s="1041">
        <v>5</v>
      </c>
      <c r="F138" s="1040">
        <v>6</v>
      </c>
      <c r="G138" s="1040">
        <v>7</v>
      </c>
      <c r="H138" s="1039" t="s">
        <v>33</v>
      </c>
      <c r="J138" s="1836"/>
      <c r="K138" s="1836"/>
      <c r="L138" s="1836"/>
    </row>
    <row r="139" spans="1:12" ht="15.75" thickTop="1" x14ac:dyDescent="0.25">
      <c r="A139" s="1027" t="s">
        <v>280</v>
      </c>
      <c r="B139" s="2498">
        <v>5331</v>
      </c>
      <c r="C139" s="2802"/>
      <c r="D139" s="1863" t="s">
        <v>465</v>
      </c>
      <c r="E139" s="1066">
        <f>SUM(E140)</f>
        <v>50000</v>
      </c>
      <c r="F139" s="1066">
        <f t="shared" ref="F139:G139" si="32">SUM(F140)</f>
        <v>0</v>
      </c>
      <c r="G139" s="1066">
        <f t="shared" si="32"/>
        <v>0</v>
      </c>
      <c r="H139" s="1058">
        <v>0</v>
      </c>
      <c r="J139" s="1836"/>
      <c r="K139" s="1836"/>
      <c r="L139" s="1836"/>
    </row>
    <row r="140" spans="1:12" ht="15" thickBot="1" x14ac:dyDescent="0.25">
      <c r="A140" s="1027"/>
      <c r="B140" s="2498"/>
      <c r="C140" s="2802" t="s">
        <v>1417</v>
      </c>
      <c r="D140" s="2714" t="s">
        <v>1536</v>
      </c>
      <c r="E140" s="2021">
        <v>50000</v>
      </c>
      <c r="F140" s="1062">
        <v>0</v>
      </c>
      <c r="G140" s="1062">
        <v>0</v>
      </c>
      <c r="H140" s="1061">
        <v>0</v>
      </c>
      <c r="J140" s="1836"/>
      <c r="K140" s="1836"/>
      <c r="L140" s="1836"/>
    </row>
    <row r="141" spans="1:12" ht="19.5" thickTop="1" thickBot="1" x14ac:dyDescent="0.3">
      <c r="A141" s="1020" t="s">
        <v>1419</v>
      </c>
      <c r="B141" s="1945"/>
      <c r="C141" s="1793"/>
      <c r="D141" s="1019"/>
      <c r="E141" s="1016">
        <f>E139</f>
        <v>50000</v>
      </c>
      <c r="F141" s="1016">
        <f t="shared" ref="F141:G141" si="33">F139</f>
        <v>0</v>
      </c>
      <c r="G141" s="1016">
        <f t="shared" si="33"/>
        <v>0</v>
      </c>
      <c r="H141" s="2019">
        <v>0</v>
      </c>
      <c r="J141" s="1836"/>
      <c r="K141" s="1836"/>
      <c r="L141" s="1836"/>
    </row>
    <row r="142" spans="1:12" ht="15.75" thickTop="1" x14ac:dyDescent="0.25">
      <c r="A142" s="1073"/>
      <c r="B142" s="1073"/>
      <c r="C142" s="1888"/>
      <c r="D142" s="1060"/>
      <c r="E142" s="2021"/>
      <c r="F142" s="1063"/>
      <c r="G142" s="1063"/>
      <c r="H142" s="2574"/>
      <c r="J142" s="1836"/>
      <c r="K142" s="1836"/>
      <c r="L142" s="1836"/>
    </row>
    <row r="143" spans="1:12" ht="15" x14ac:dyDescent="0.25">
      <c r="A143" s="1073"/>
      <c r="B143" s="1073"/>
      <c r="C143" s="1888"/>
      <c r="D143" s="1060"/>
      <c r="E143" s="2021"/>
      <c r="F143" s="1063"/>
      <c r="G143" s="1063"/>
      <c r="H143" s="2574"/>
      <c r="J143" s="1836"/>
      <c r="K143" s="1836"/>
      <c r="L143" s="1836"/>
    </row>
    <row r="144" spans="1:12" ht="16.5" x14ac:dyDescent="0.25">
      <c r="A144" s="1701"/>
      <c r="B144" s="1700"/>
      <c r="C144" s="1699"/>
      <c r="D144" s="1698"/>
      <c r="E144" s="1884"/>
      <c r="F144" s="1884"/>
      <c r="G144" s="1884"/>
      <c r="H144" s="1916"/>
      <c r="J144" s="1836"/>
      <c r="K144" s="1836"/>
      <c r="L144" s="1836"/>
    </row>
    <row r="145" spans="1:17" ht="15.75" x14ac:dyDescent="0.2">
      <c r="A145" s="3181" t="s">
        <v>1151</v>
      </c>
      <c r="B145" s="3181"/>
      <c r="C145" s="3181"/>
      <c r="D145" s="3181"/>
      <c r="E145" s="3181"/>
      <c r="F145" s="3181"/>
      <c r="G145" s="3181"/>
      <c r="H145" s="3181"/>
    </row>
    <row r="146" spans="1:17" x14ac:dyDescent="0.2">
      <c r="A146" s="3182" t="s">
        <v>1162</v>
      </c>
      <c r="B146" s="3182"/>
      <c r="C146" s="3182"/>
      <c r="D146" s="3182"/>
      <c r="E146" s="3182"/>
      <c r="F146" s="3182"/>
      <c r="G146" s="3182"/>
      <c r="H146" s="3182"/>
    </row>
    <row r="147" spans="1:17" ht="16.5" thickBot="1" x14ac:dyDescent="0.3">
      <c r="A147" s="33"/>
      <c r="B147" s="570"/>
      <c r="C147" s="571"/>
      <c r="D147" s="372"/>
      <c r="E147" s="373"/>
      <c r="F147" s="560"/>
      <c r="G147" s="373"/>
      <c r="H147" s="1568" t="s">
        <v>92</v>
      </c>
    </row>
    <row r="148" spans="1:17" ht="14.25" thickTop="1" thickBot="1" x14ac:dyDescent="0.25">
      <c r="A148" s="572" t="s">
        <v>93</v>
      </c>
      <c r="B148" s="573" t="s">
        <v>94</v>
      </c>
      <c r="C148" s="575" t="s">
        <v>364</v>
      </c>
      <c r="D148" s="639" t="s">
        <v>95</v>
      </c>
      <c r="E148" s="639" t="s">
        <v>328</v>
      </c>
      <c r="F148" s="639" t="s">
        <v>329</v>
      </c>
      <c r="G148" s="639" t="s">
        <v>448</v>
      </c>
      <c r="H148" s="576" t="s">
        <v>449</v>
      </c>
    </row>
    <row r="149" spans="1:17" ht="14.25" thickTop="1" thickBot="1" x14ac:dyDescent="0.25">
      <c r="A149" s="511">
        <v>1</v>
      </c>
      <c r="B149" s="512">
        <v>2</v>
      </c>
      <c r="C149" s="512">
        <v>3</v>
      </c>
      <c r="D149" s="512">
        <v>4</v>
      </c>
      <c r="E149" s="512">
        <v>5</v>
      </c>
      <c r="F149" s="499">
        <v>6</v>
      </c>
      <c r="G149" s="499">
        <v>7</v>
      </c>
      <c r="H149" s="577" t="s">
        <v>33</v>
      </c>
    </row>
    <row r="150" spans="1:17" ht="15.75" thickTop="1" x14ac:dyDescent="0.25">
      <c r="A150" s="2426">
        <v>3533</v>
      </c>
      <c r="B150" s="2492">
        <v>6351</v>
      </c>
      <c r="C150" s="2432"/>
      <c r="D150" s="1032" t="s">
        <v>320</v>
      </c>
      <c r="E150" s="3033">
        <v>0</v>
      </c>
      <c r="F150" s="1556">
        <v>349</v>
      </c>
      <c r="G150" s="429">
        <v>349</v>
      </c>
      <c r="H150" s="2533">
        <f>G150/F150*100</f>
        <v>100</v>
      </c>
    </row>
    <row r="151" spans="1:17" ht="26.25" thickBot="1" x14ac:dyDescent="0.25">
      <c r="A151" s="2426"/>
      <c r="B151" s="2492"/>
      <c r="C151" s="2534" t="s">
        <v>1091</v>
      </c>
      <c r="D151" s="2527" t="s">
        <v>1890</v>
      </c>
      <c r="E151" s="911">
        <v>0</v>
      </c>
      <c r="F151" s="894">
        <v>349</v>
      </c>
      <c r="G151" s="893">
        <v>349</v>
      </c>
      <c r="H151" s="2958">
        <f>G151/F151*100</f>
        <v>100</v>
      </c>
    </row>
    <row r="152" spans="1:17" ht="19.5" thickTop="1" thickBot="1" x14ac:dyDescent="0.3">
      <c r="A152" s="578" t="s">
        <v>1881</v>
      </c>
      <c r="B152" s="744"/>
      <c r="C152" s="580"/>
      <c r="D152" s="581"/>
      <c r="E152" s="582">
        <f>SUM(E150:E150)</f>
        <v>0</v>
      </c>
      <c r="F152" s="582">
        <f>SUM(F150:F150)</f>
        <v>349</v>
      </c>
      <c r="G152" s="582">
        <f>SUM(G150:G150)</f>
        <v>349</v>
      </c>
      <c r="H152" s="2509">
        <f t="shared" ref="H152" si="34">G152/F152*100</f>
        <v>100</v>
      </c>
      <c r="N152" s="372" t="s">
        <v>1938</v>
      </c>
      <c r="O152" s="373">
        <f>E150</f>
        <v>0</v>
      </c>
      <c r="P152" s="373">
        <f t="shared" ref="P152:Q152" si="35">F150</f>
        <v>349</v>
      </c>
      <c r="Q152" s="373">
        <f t="shared" si="35"/>
        <v>349</v>
      </c>
    </row>
    <row r="153" spans="1:17" ht="14.25" thickTop="1" thickBot="1" x14ac:dyDescent="0.25">
      <c r="N153" s="372"/>
      <c r="O153" s="373"/>
      <c r="P153" s="373"/>
      <c r="Q153" s="373"/>
    </row>
    <row r="154" spans="1:17" ht="19.5" thickTop="1" thickBot="1" x14ac:dyDescent="0.3">
      <c r="A154" s="578" t="s">
        <v>1152</v>
      </c>
      <c r="B154" s="744"/>
      <c r="C154" s="580"/>
      <c r="D154" s="581"/>
      <c r="E154" s="582">
        <f>E152</f>
        <v>0</v>
      </c>
      <c r="F154" s="582">
        <f t="shared" ref="F154:G154" si="36">F152</f>
        <v>349</v>
      </c>
      <c r="G154" s="582">
        <f t="shared" si="36"/>
        <v>349</v>
      </c>
      <c r="H154" s="2509">
        <f t="shared" ref="H154" si="37">G154/F154*100</f>
        <v>100</v>
      </c>
      <c r="J154" s="1836">
        <v>0</v>
      </c>
      <c r="K154" s="1836">
        <v>348631</v>
      </c>
      <c r="L154" s="1836">
        <v>348631</v>
      </c>
      <c r="N154" s="372"/>
      <c r="O154" s="526">
        <f>SUM(O152:O153)</f>
        <v>0</v>
      </c>
      <c r="P154" s="526">
        <f t="shared" ref="P154:Q154" si="38">SUM(P152:P153)</f>
        <v>349</v>
      </c>
      <c r="Q154" s="526">
        <f t="shared" si="38"/>
        <v>349</v>
      </c>
    </row>
    <row r="155" spans="1:17" ht="13.5" thickTop="1" x14ac:dyDescent="0.2"/>
    <row r="164" spans="1:14" ht="16.5" x14ac:dyDescent="0.25">
      <c r="A164" s="1701" t="s">
        <v>986</v>
      </c>
      <c r="B164" s="1700"/>
      <c r="C164" s="1699"/>
      <c r="D164" s="1698"/>
      <c r="E164" s="1151">
        <f>SUM(E165:E168)</f>
        <v>55678</v>
      </c>
      <c r="F164" s="1151">
        <f>SUM(F165:F168)</f>
        <v>60120</v>
      </c>
      <c r="G164" s="1151">
        <f>SUM(G165:G168)</f>
        <v>59964</v>
      </c>
      <c r="H164" s="1834">
        <f>(G164/F164)*100</f>
        <v>99.740518962075853</v>
      </c>
      <c r="J164" s="1688">
        <f>J165+J166+J167+J168</f>
        <v>55678000</v>
      </c>
      <c r="K164" s="1688">
        <f>K165+K166+K167+K168</f>
        <v>60119957.5</v>
      </c>
      <c r="L164" s="1688">
        <f>L165+L166+L167+L168</f>
        <v>59963538.280000001</v>
      </c>
      <c r="M164" s="1002"/>
      <c r="N164" s="1002"/>
    </row>
    <row r="165" spans="1:14" ht="15" x14ac:dyDescent="0.2">
      <c r="A165" s="1011" t="s">
        <v>147</v>
      </c>
      <c r="B165" s="1013"/>
      <c r="C165" s="1009"/>
      <c r="D165" s="1154"/>
      <c r="E165" s="1012">
        <f>E22</f>
        <v>55678</v>
      </c>
      <c r="F165" s="1012">
        <f>F22</f>
        <v>60120</v>
      </c>
      <c r="G165" s="1012">
        <f>G22</f>
        <v>59964</v>
      </c>
      <c r="H165" s="2018">
        <f>(G165/F165)*100</f>
        <v>99.740518962075853</v>
      </c>
      <c r="J165" s="1218">
        <f>J22</f>
        <v>55678000</v>
      </c>
      <c r="K165" s="1218">
        <f t="shared" ref="K165:L165" si="39">K22</f>
        <v>60119957.5</v>
      </c>
      <c r="L165" s="1218">
        <f t="shared" si="39"/>
        <v>59963538.280000001</v>
      </c>
      <c r="M165" s="1002"/>
      <c r="N165" s="1002"/>
    </row>
    <row r="166" spans="1:14" ht="15" x14ac:dyDescent="0.2">
      <c r="A166" s="1011" t="s">
        <v>148</v>
      </c>
      <c r="B166" s="1010"/>
      <c r="C166" s="1009"/>
      <c r="D166" s="1156"/>
      <c r="E166" s="1012">
        <v>0</v>
      </c>
      <c r="F166" s="1012">
        <v>0</v>
      </c>
      <c r="G166" s="1012">
        <v>0</v>
      </c>
      <c r="H166" s="2018">
        <v>0</v>
      </c>
      <c r="I166" s="1002"/>
      <c r="J166" s="1218">
        <v>0</v>
      </c>
      <c r="K166" s="1218">
        <v>0</v>
      </c>
      <c r="L166" s="1218">
        <v>0</v>
      </c>
      <c r="M166" s="1002"/>
      <c r="N166" s="1002"/>
    </row>
    <row r="167" spans="1:14" ht="15" x14ac:dyDescent="0.2">
      <c r="A167" s="1011" t="s">
        <v>119</v>
      </c>
      <c r="B167" s="1010"/>
      <c r="C167" s="1009"/>
      <c r="D167" s="1156"/>
      <c r="E167" s="1012">
        <v>0</v>
      </c>
      <c r="F167" s="1012">
        <v>0</v>
      </c>
      <c r="G167" s="1012">
        <v>0</v>
      </c>
      <c r="H167" s="2018">
        <v>0</v>
      </c>
      <c r="J167" s="1218">
        <v>0</v>
      </c>
      <c r="K167" s="1218">
        <v>0</v>
      </c>
      <c r="L167" s="1218">
        <v>0</v>
      </c>
      <c r="M167" s="1002"/>
      <c r="N167" s="1002"/>
    </row>
    <row r="168" spans="1:14" ht="15" x14ac:dyDescent="0.2">
      <c r="A168" s="1011" t="s">
        <v>537</v>
      </c>
      <c r="B168" s="1010"/>
      <c r="C168" s="1009"/>
      <c r="D168" s="1156"/>
      <c r="E168" s="1012">
        <v>0</v>
      </c>
      <c r="F168" s="1012">
        <v>0</v>
      </c>
      <c r="G168" s="1012">
        <v>0</v>
      </c>
      <c r="H168" s="2018">
        <v>0</v>
      </c>
      <c r="J168" s="1218">
        <v>0</v>
      </c>
      <c r="K168" s="1218">
        <v>0</v>
      </c>
      <c r="L168" s="1218">
        <v>0</v>
      </c>
      <c r="M168" s="1727"/>
      <c r="N168" s="1727"/>
    </row>
    <row r="169" spans="1:14" x14ac:dyDescent="0.2">
      <c r="J169" s="1218"/>
      <c r="K169" s="1218"/>
      <c r="L169" s="1218"/>
    </row>
    <row r="170" spans="1:14" x14ac:dyDescent="0.2">
      <c r="J170" s="1218"/>
      <c r="K170" s="1218"/>
      <c r="L170" s="1218"/>
    </row>
    <row r="171" spans="1:14" ht="16.5" x14ac:dyDescent="0.25">
      <c r="A171" s="1694" t="s">
        <v>149</v>
      </c>
      <c r="B171" s="1010"/>
      <c r="C171" s="1009"/>
      <c r="D171" s="1156"/>
      <c r="E171" s="1151">
        <f>SUM(E172:E175)</f>
        <v>2496931</v>
      </c>
      <c r="F171" s="1151">
        <f>SUM(F172:F175)</f>
        <v>2664789</v>
      </c>
      <c r="G171" s="1151">
        <f>SUM(G172:G175)</f>
        <v>2664635</v>
      </c>
      <c r="H171" s="1834">
        <f>(G171/F171)*100</f>
        <v>99.994220930812901</v>
      </c>
      <c r="J171" s="1688">
        <f>J172+J173+J174+J175</f>
        <v>2496931000</v>
      </c>
      <c r="K171" s="1688">
        <f>K172+K173+K174+K175</f>
        <v>2664789815</v>
      </c>
      <c r="L171" s="1688">
        <f>L172+L173+L174+L175</f>
        <v>2664635358.9299998</v>
      </c>
    </row>
    <row r="172" spans="1:14" ht="15" x14ac:dyDescent="0.2">
      <c r="A172" s="1011" t="s">
        <v>946</v>
      </c>
      <c r="B172" s="1010"/>
      <c r="C172" s="1009"/>
      <c r="D172" s="1156"/>
      <c r="E172" s="1012">
        <f>E127+E107+E86+E64+E46+E141</f>
        <v>2496931</v>
      </c>
      <c r="F172" s="1012">
        <f>F127+F107+F86+F64+F46+F141</f>
        <v>2611647</v>
      </c>
      <c r="G172" s="1012">
        <f>G127+G107+G86+G64+G46+G141</f>
        <v>2611596</v>
      </c>
      <c r="H172" s="2018">
        <f>(G172/F172)*100</f>
        <v>99.99804720928978</v>
      </c>
      <c r="J172" s="1218">
        <v>2496931000</v>
      </c>
      <c r="K172" s="1218">
        <f>2611493616.52+154018</f>
        <v>2611647634.52</v>
      </c>
      <c r="L172" s="1218">
        <f>2611473616.52+122601.93</f>
        <v>2611596218.4499998</v>
      </c>
      <c r="M172" s="1002"/>
      <c r="N172" s="1002"/>
    </row>
    <row r="173" spans="1:14" ht="15" x14ac:dyDescent="0.2">
      <c r="A173" s="1011" t="s">
        <v>945</v>
      </c>
      <c r="B173" s="1010"/>
      <c r="C173" s="1009"/>
      <c r="D173" s="1156"/>
      <c r="E173" s="1012">
        <f>E130+E110+E89+E67+E49</f>
        <v>0</v>
      </c>
      <c r="F173" s="1012">
        <f>F130+F110+F89+F67+F49</f>
        <v>53142</v>
      </c>
      <c r="G173" s="1012">
        <f>G130+G110+G89+G67+G49</f>
        <v>53039</v>
      </c>
      <c r="H173" s="2018">
        <f>(G173/F173)*100</f>
        <v>99.806179669564571</v>
      </c>
      <c r="J173" s="1218">
        <v>0</v>
      </c>
      <c r="K173" s="1218">
        <f>53490811.48-348631</f>
        <v>53142180.479999997</v>
      </c>
      <c r="L173" s="1218">
        <f>53387771.48-348631</f>
        <v>53039140.479999997</v>
      </c>
    </row>
    <row r="174" spans="1:14" ht="15" x14ac:dyDescent="0.2">
      <c r="A174" s="1011" t="s">
        <v>1064</v>
      </c>
      <c r="B174" s="1677"/>
      <c r="C174" s="1676"/>
      <c r="E174" s="1012">
        <v>0</v>
      </c>
      <c r="F174" s="1012">
        <v>0</v>
      </c>
      <c r="G174" s="1012">
        <v>0</v>
      </c>
      <c r="H174" s="2018">
        <v>0</v>
      </c>
      <c r="I174" s="1002"/>
      <c r="J174" s="1218">
        <v>0</v>
      </c>
      <c r="K174" s="1218">
        <v>0</v>
      </c>
      <c r="L174" s="1218">
        <v>0</v>
      </c>
    </row>
    <row r="175" spans="1:14" ht="15" x14ac:dyDescent="0.2">
      <c r="A175" s="1011" t="s">
        <v>1065</v>
      </c>
      <c r="B175" s="1677"/>
      <c r="C175" s="1676"/>
      <c r="E175" s="1012">
        <v>0</v>
      </c>
      <c r="F175" s="1012">
        <v>0</v>
      </c>
      <c r="G175" s="1012">
        <v>0</v>
      </c>
      <c r="H175" s="2018">
        <v>0</v>
      </c>
      <c r="J175" s="1218">
        <v>0</v>
      </c>
      <c r="K175" s="1218">
        <v>0</v>
      </c>
      <c r="L175" s="1218">
        <v>0</v>
      </c>
      <c r="M175" s="1002"/>
      <c r="N175" s="1002"/>
    </row>
    <row r="176" spans="1:14" ht="15" x14ac:dyDescent="0.2">
      <c r="A176" s="1011"/>
      <c r="B176" s="1677"/>
      <c r="C176" s="1676"/>
      <c r="E176" s="1012"/>
      <c r="F176" s="1012"/>
      <c r="G176" s="1012"/>
      <c r="H176" s="2018"/>
      <c r="J176" s="1218"/>
      <c r="K176" s="1218"/>
      <c r="L176" s="1218"/>
      <c r="M176" s="1002"/>
      <c r="N176" s="1002"/>
    </row>
    <row r="177" spans="1:12" ht="16.5" x14ac:dyDescent="0.25">
      <c r="A177" s="1694" t="s">
        <v>1151</v>
      </c>
      <c r="B177" s="1677"/>
      <c r="C177" s="1676"/>
      <c r="E177" s="1151">
        <f>E154</f>
        <v>0</v>
      </c>
      <c r="F177" s="1151">
        <f t="shared" ref="F177:G177" si="40">F154</f>
        <v>349</v>
      </c>
      <c r="G177" s="1151">
        <f t="shared" si="40"/>
        <v>349</v>
      </c>
      <c r="H177" s="1907">
        <f t="shared" ref="H177" si="41">G177/F177*100</f>
        <v>100</v>
      </c>
      <c r="J177" s="1688">
        <f>J154</f>
        <v>0</v>
      </c>
      <c r="K177" s="1688">
        <f t="shared" ref="K177:L177" si="42">K154</f>
        <v>348631</v>
      </c>
      <c r="L177" s="1688">
        <f t="shared" si="42"/>
        <v>348631</v>
      </c>
    </row>
    <row r="178" spans="1:12" ht="18" x14ac:dyDescent="0.25">
      <c r="A178" s="1971"/>
      <c r="B178" s="1971"/>
      <c r="C178" s="1970"/>
      <c r="D178" s="1969"/>
      <c r="E178" s="1968"/>
      <c r="F178" s="1967"/>
      <c r="G178" s="1966"/>
      <c r="H178" s="1965"/>
      <c r="I178" s="1002"/>
      <c r="J178" s="1836"/>
      <c r="K178" s="1836"/>
      <c r="L178" s="1836"/>
    </row>
    <row r="179" spans="1:12" s="1961" customFormat="1" ht="40.9" customHeight="1" thickBot="1" x14ac:dyDescent="0.4">
      <c r="A179" s="3298" t="s">
        <v>2013</v>
      </c>
      <c r="B179" s="3299"/>
      <c r="C179" s="3299"/>
      <c r="D179" s="3299"/>
      <c r="E179" s="1964">
        <f>E164+E171+E177</f>
        <v>2552609</v>
      </c>
      <c r="F179" s="1964">
        <f t="shared" ref="F179:G179" si="43">F164+F171+F177</f>
        <v>2725258</v>
      </c>
      <c r="G179" s="1964">
        <f t="shared" si="43"/>
        <v>2724948</v>
      </c>
      <c r="H179" s="1963">
        <f>(G179/F179)*100</f>
        <v>99.988624930190099</v>
      </c>
      <c r="I179" s="1962"/>
      <c r="J179" s="2014">
        <f>J164+J171+J177</f>
        <v>2552609000</v>
      </c>
      <c r="K179" s="2014">
        <f t="shared" ref="K179:L179" si="44">K164+K171+K177</f>
        <v>2725258403.5</v>
      </c>
      <c r="L179" s="2014">
        <f t="shared" si="44"/>
        <v>2724947528.21</v>
      </c>
    </row>
    <row r="180" spans="1:12" ht="13.5" thickTop="1" x14ac:dyDescent="0.2"/>
  </sheetData>
  <mergeCells count="5">
    <mergeCell ref="A179:D179"/>
    <mergeCell ref="A145:H145"/>
    <mergeCell ref="A146:H146"/>
    <mergeCell ref="D17:D18"/>
    <mergeCell ref="D34:D35"/>
  </mergeCells>
  <pageMargins left="0.98425196850393704" right="0.98425196850393704" top="0.98425196850393704" bottom="0.98425196850393704" header="0.31496062992125984" footer="0.31496062992125984"/>
  <pageSetup paperSize="9" scale="60" firstPageNumber="101" orientation="portrait" useFirstPageNumber="1" r:id="rId1"/>
  <headerFooter>
    <oddFooter>&amp;L&amp;"Arial,Kurzíva"Zastupitelstvo Olomouckého kraje 25. 6. 2018
5. - Rozpočet Olomouckého kraje 2017 - závěrečný  účet 
Příloha č. 3: Plnění rozpočtu výdajů Olomouckého kraje k 31. 12. 2017&amp;R&amp;"Arial,Kurzíva"Strana &amp;P (celkem 478)</oddFooter>
  </headerFooter>
  <rowBreaks count="2" manualBreakCount="2">
    <brk id="71" max="7" man="1"/>
    <brk id="134" max="7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FF"/>
  </sheetPr>
  <dimension ref="A1:AA1914"/>
  <sheetViews>
    <sheetView showGridLines="0" zoomScaleNormal="100" zoomScaleSheetLayoutView="100" workbookViewId="0">
      <selection activeCell="I1362" sqref="I1362"/>
    </sheetView>
  </sheetViews>
  <sheetFormatPr defaultRowHeight="12.75" x14ac:dyDescent="0.2"/>
  <cols>
    <col min="1" max="1" width="5" style="997" customWidth="1"/>
    <col min="2" max="2" width="5" style="1829" customWidth="1"/>
    <col min="3" max="3" width="5.28515625" style="997" customWidth="1"/>
    <col min="4" max="4" width="9.5703125" style="1841" customWidth="1"/>
    <col min="5" max="5" width="47.28515625" style="997" customWidth="1"/>
    <col min="6" max="6" width="14.5703125" style="1002" customWidth="1"/>
    <col min="7" max="7" width="14.28515625" style="1002" customWidth="1"/>
    <col min="8" max="8" width="11.85546875" style="1002" customWidth="1"/>
    <col min="9" max="9" width="7.42578125" style="2071" customWidth="1"/>
    <col min="10" max="15" width="0" style="997" hidden="1" customWidth="1"/>
    <col min="16" max="16" width="2.28515625" style="997" customWidth="1"/>
    <col min="17" max="17" width="9.140625" style="997"/>
    <col min="18" max="18" width="9.7109375" style="2688" customWidth="1"/>
    <col min="19" max="19" width="9.5703125" style="2688" customWidth="1"/>
    <col min="20" max="20" width="15.85546875" style="2688" customWidth="1"/>
    <col min="21" max="21" width="13.7109375" style="997" bestFit="1" customWidth="1"/>
    <col min="22" max="256" width="9.140625" style="997"/>
    <col min="257" max="259" width="4.7109375" style="997" customWidth="1"/>
    <col min="260" max="260" width="9" style="997" customWidth="1"/>
    <col min="261" max="261" width="47.28515625" style="997" customWidth="1"/>
    <col min="262" max="262" width="11.5703125" style="997" customWidth="1"/>
    <col min="263" max="264" width="13.5703125" style="997" customWidth="1"/>
    <col min="265" max="265" width="7.42578125" style="997" customWidth="1"/>
    <col min="266" max="271" width="0" style="997" hidden="1" customWidth="1"/>
    <col min="272" max="272" width="2.28515625" style="997" customWidth="1"/>
    <col min="273" max="273" width="9.140625" style="997"/>
    <col min="274" max="274" width="9.7109375" style="997" customWidth="1"/>
    <col min="275" max="275" width="9.5703125" style="997" customWidth="1"/>
    <col min="276" max="276" width="10.140625" style="997" customWidth="1"/>
    <col min="277" max="512" width="9.140625" style="997"/>
    <col min="513" max="515" width="4.7109375" style="997" customWidth="1"/>
    <col min="516" max="516" width="9" style="997" customWidth="1"/>
    <col min="517" max="517" width="47.28515625" style="997" customWidth="1"/>
    <col min="518" max="518" width="11.5703125" style="997" customWidth="1"/>
    <col min="519" max="520" width="13.5703125" style="997" customWidth="1"/>
    <col min="521" max="521" width="7.42578125" style="997" customWidth="1"/>
    <col min="522" max="527" width="0" style="997" hidden="1" customWidth="1"/>
    <col min="528" max="528" width="2.28515625" style="997" customWidth="1"/>
    <col min="529" max="529" width="9.140625" style="997"/>
    <col min="530" max="530" width="9.7109375" style="997" customWidth="1"/>
    <col min="531" max="531" width="9.5703125" style="997" customWidth="1"/>
    <col min="532" max="532" width="10.140625" style="997" customWidth="1"/>
    <col min="533" max="768" width="9.140625" style="997"/>
    <col min="769" max="771" width="4.7109375" style="997" customWidth="1"/>
    <col min="772" max="772" width="9" style="997" customWidth="1"/>
    <col min="773" max="773" width="47.28515625" style="997" customWidth="1"/>
    <col min="774" max="774" width="11.5703125" style="997" customWidth="1"/>
    <col min="775" max="776" width="13.5703125" style="997" customWidth="1"/>
    <col min="777" max="777" width="7.42578125" style="997" customWidth="1"/>
    <col min="778" max="783" width="0" style="997" hidden="1" customWidth="1"/>
    <col min="784" max="784" width="2.28515625" style="997" customWidth="1"/>
    <col min="785" max="785" width="9.140625" style="997"/>
    <col min="786" max="786" width="9.7109375" style="997" customWidth="1"/>
    <col min="787" max="787" width="9.5703125" style="997" customWidth="1"/>
    <col min="788" max="788" width="10.140625" style="997" customWidth="1"/>
    <col min="789" max="1024" width="9.140625" style="997"/>
    <col min="1025" max="1027" width="4.7109375" style="997" customWidth="1"/>
    <col min="1028" max="1028" width="9" style="997" customWidth="1"/>
    <col min="1029" max="1029" width="47.28515625" style="997" customWidth="1"/>
    <col min="1030" max="1030" width="11.5703125" style="997" customWidth="1"/>
    <col min="1031" max="1032" width="13.5703125" style="997" customWidth="1"/>
    <col min="1033" max="1033" width="7.42578125" style="997" customWidth="1"/>
    <col min="1034" max="1039" width="0" style="997" hidden="1" customWidth="1"/>
    <col min="1040" max="1040" width="2.28515625" style="997" customWidth="1"/>
    <col min="1041" max="1041" width="9.140625" style="997"/>
    <col min="1042" max="1042" width="9.7109375" style="997" customWidth="1"/>
    <col min="1043" max="1043" width="9.5703125" style="997" customWidth="1"/>
    <col min="1044" max="1044" width="10.140625" style="997" customWidth="1"/>
    <col min="1045" max="1280" width="9.140625" style="997"/>
    <col min="1281" max="1283" width="4.7109375" style="997" customWidth="1"/>
    <col min="1284" max="1284" width="9" style="997" customWidth="1"/>
    <col min="1285" max="1285" width="47.28515625" style="997" customWidth="1"/>
    <col min="1286" max="1286" width="11.5703125" style="997" customWidth="1"/>
    <col min="1287" max="1288" width="13.5703125" style="997" customWidth="1"/>
    <col min="1289" max="1289" width="7.42578125" style="997" customWidth="1"/>
    <col min="1290" max="1295" width="0" style="997" hidden="1" customWidth="1"/>
    <col min="1296" max="1296" width="2.28515625" style="997" customWidth="1"/>
    <col min="1297" max="1297" width="9.140625" style="997"/>
    <col min="1298" max="1298" width="9.7109375" style="997" customWidth="1"/>
    <col min="1299" max="1299" width="9.5703125" style="997" customWidth="1"/>
    <col min="1300" max="1300" width="10.140625" style="997" customWidth="1"/>
    <col min="1301" max="1536" width="9.140625" style="997"/>
    <col min="1537" max="1539" width="4.7109375" style="997" customWidth="1"/>
    <col min="1540" max="1540" width="9" style="997" customWidth="1"/>
    <col min="1541" max="1541" width="47.28515625" style="997" customWidth="1"/>
    <col min="1542" max="1542" width="11.5703125" style="997" customWidth="1"/>
    <col min="1543" max="1544" width="13.5703125" style="997" customWidth="1"/>
    <col min="1545" max="1545" width="7.42578125" style="997" customWidth="1"/>
    <col min="1546" max="1551" width="0" style="997" hidden="1" customWidth="1"/>
    <col min="1552" max="1552" width="2.28515625" style="997" customWidth="1"/>
    <col min="1553" max="1553" width="9.140625" style="997"/>
    <col min="1554" max="1554" width="9.7109375" style="997" customWidth="1"/>
    <col min="1555" max="1555" width="9.5703125" style="997" customWidth="1"/>
    <col min="1556" max="1556" width="10.140625" style="997" customWidth="1"/>
    <col min="1557" max="1792" width="9.140625" style="997"/>
    <col min="1793" max="1795" width="4.7109375" style="997" customWidth="1"/>
    <col min="1796" max="1796" width="9" style="997" customWidth="1"/>
    <col min="1797" max="1797" width="47.28515625" style="997" customWidth="1"/>
    <col min="1798" max="1798" width="11.5703125" style="997" customWidth="1"/>
    <col min="1799" max="1800" width="13.5703125" style="997" customWidth="1"/>
    <col min="1801" max="1801" width="7.42578125" style="997" customWidth="1"/>
    <col min="1802" max="1807" width="0" style="997" hidden="1" customWidth="1"/>
    <col min="1808" max="1808" width="2.28515625" style="997" customWidth="1"/>
    <col min="1809" max="1809" width="9.140625" style="997"/>
    <col min="1810" max="1810" width="9.7109375" style="997" customWidth="1"/>
    <col min="1811" max="1811" width="9.5703125" style="997" customWidth="1"/>
    <col min="1812" max="1812" width="10.140625" style="997" customWidth="1"/>
    <col min="1813" max="2048" width="9.140625" style="997"/>
    <col min="2049" max="2051" width="4.7109375" style="997" customWidth="1"/>
    <col min="2052" max="2052" width="9" style="997" customWidth="1"/>
    <col min="2053" max="2053" width="47.28515625" style="997" customWidth="1"/>
    <col min="2054" max="2054" width="11.5703125" style="997" customWidth="1"/>
    <col min="2055" max="2056" width="13.5703125" style="997" customWidth="1"/>
    <col min="2057" max="2057" width="7.42578125" style="997" customWidth="1"/>
    <col min="2058" max="2063" width="0" style="997" hidden="1" customWidth="1"/>
    <col min="2064" max="2064" width="2.28515625" style="997" customWidth="1"/>
    <col min="2065" max="2065" width="9.140625" style="997"/>
    <col min="2066" max="2066" width="9.7109375" style="997" customWidth="1"/>
    <col min="2067" max="2067" width="9.5703125" style="997" customWidth="1"/>
    <col min="2068" max="2068" width="10.140625" style="997" customWidth="1"/>
    <col min="2069" max="2304" width="9.140625" style="997"/>
    <col min="2305" max="2307" width="4.7109375" style="997" customWidth="1"/>
    <col min="2308" max="2308" width="9" style="997" customWidth="1"/>
    <col min="2309" max="2309" width="47.28515625" style="997" customWidth="1"/>
    <col min="2310" max="2310" width="11.5703125" style="997" customWidth="1"/>
    <col min="2311" max="2312" width="13.5703125" style="997" customWidth="1"/>
    <col min="2313" max="2313" width="7.42578125" style="997" customWidth="1"/>
    <col min="2314" max="2319" width="0" style="997" hidden="1" customWidth="1"/>
    <col min="2320" max="2320" width="2.28515625" style="997" customWidth="1"/>
    <col min="2321" max="2321" width="9.140625" style="997"/>
    <col min="2322" max="2322" width="9.7109375" style="997" customWidth="1"/>
    <col min="2323" max="2323" width="9.5703125" style="997" customWidth="1"/>
    <col min="2324" max="2324" width="10.140625" style="997" customWidth="1"/>
    <col min="2325" max="2560" width="9.140625" style="997"/>
    <col min="2561" max="2563" width="4.7109375" style="997" customWidth="1"/>
    <col min="2564" max="2564" width="9" style="997" customWidth="1"/>
    <col min="2565" max="2565" width="47.28515625" style="997" customWidth="1"/>
    <col min="2566" max="2566" width="11.5703125" style="997" customWidth="1"/>
    <col min="2567" max="2568" width="13.5703125" style="997" customWidth="1"/>
    <col min="2569" max="2569" width="7.42578125" style="997" customWidth="1"/>
    <col min="2570" max="2575" width="0" style="997" hidden="1" customWidth="1"/>
    <col min="2576" max="2576" width="2.28515625" style="997" customWidth="1"/>
    <col min="2577" max="2577" width="9.140625" style="997"/>
    <col min="2578" max="2578" width="9.7109375" style="997" customWidth="1"/>
    <col min="2579" max="2579" width="9.5703125" style="997" customWidth="1"/>
    <col min="2580" max="2580" width="10.140625" style="997" customWidth="1"/>
    <col min="2581" max="2816" width="9.140625" style="997"/>
    <col min="2817" max="2819" width="4.7109375" style="997" customWidth="1"/>
    <col min="2820" max="2820" width="9" style="997" customWidth="1"/>
    <col min="2821" max="2821" width="47.28515625" style="997" customWidth="1"/>
    <col min="2822" max="2822" width="11.5703125" style="997" customWidth="1"/>
    <col min="2823" max="2824" width="13.5703125" style="997" customWidth="1"/>
    <col min="2825" max="2825" width="7.42578125" style="997" customWidth="1"/>
    <col min="2826" max="2831" width="0" style="997" hidden="1" customWidth="1"/>
    <col min="2832" max="2832" width="2.28515625" style="997" customWidth="1"/>
    <col min="2833" max="2833" width="9.140625" style="997"/>
    <col min="2834" max="2834" width="9.7109375" style="997" customWidth="1"/>
    <col min="2835" max="2835" width="9.5703125" style="997" customWidth="1"/>
    <col min="2836" max="2836" width="10.140625" style="997" customWidth="1"/>
    <col min="2837" max="3072" width="9.140625" style="997"/>
    <col min="3073" max="3075" width="4.7109375" style="997" customWidth="1"/>
    <col min="3076" max="3076" width="9" style="997" customWidth="1"/>
    <col min="3077" max="3077" width="47.28515625" style="997" customWidth="1"/>
    <col min="3078" max="3078" width="11.5703125" style="997" customWidth="1"/>
    <col min="3079" max="3080" width="13.5703125" style="997" customWidth="1"/>
    <col min="3081" max="3081" width="7.42578125" style="997" customWidth="1"/>
    <col min="3082" max="3087" width="0" style="997" hidden="1" customWidth="1"/>
    <col min="3088" max="3088" width="2.28515625" style="997" customWidth="1"/>
    <col min="3089" max="3089" width="9.140625" style="997"/>
    <col min="3090" max="3090" width="9.7109375" style="997" customWidth="1"/>
    <col min="3091" max="3091" width="9.5703125" style="997" customWidth="1"/>
    <col min="3092" max="3092" width="10.140625" style="997" customWidth="1"/>
    <col min="3093" max="3328" width="9.140625" style="997"/>
    <col min="3329" max="3331" width="4.7109375" style="997" customWidth="1"/>
    <col min="3332" max="3332" width="9" style="997" customWidth="1"/>
    <col min="3333" max="3333" width="47.28515625" style="997" customWidth="1"/>
    <col min="3334" max="3334" width="11.5703125" style="997" customWidth="1"/>
    <col min="3335" max="3336" width="13.5703125" style="997" customWidth="1"/>
    <col min="3337" max="3337" width="7.42578125" style="997" customWidth="1"/>
    <col min="3338" max="3343" width="0" style="997" hidden="1" customWidth="1"/>
    <col min="3344" max="3344" width="2.28515625" style="997" customWidth="1"/>
    <col min="3345" max="3345" width="9.140625" style="997"/>
    <col min="3346" max="3346" width="9.7109375" style="997" customWidth="1"/>
    <col min="3347" max="3347" width="9.5703125" style="997" customWidth="1"/>
    <col min="3348" max="3348" width="10.140625" style="997" customWidth="1"/>
    <col min="3349" max="3584" width="9.140625" style="997"/>
    <col min="3585" max="3587" width="4.7109375" style="997" customWidth="1"/>
    <col min="3588" max="3588" width="9" style="997" customWidth="1"/>
    <col min="3589" max="3589" width="47.28515625" style="997" customWidth="1"/>
    <col min="3590" max="3590" width="11.5703125" style="997" customWidth="1"/>
    <col min="3591" max="3592" width="13.5703125" style="997" customWidth="1"/>
    <col min="3593" max="3593" width="7.42578125" style="997" customWidth="1"/>
    <col min="3594" max="3599" width="0" style="997" hidden="1" customWidth="1"/>
    <col min="3600" max="3600" width="2.28515625" style="997" customWidth="1"/>
    <col min="3601" max="3601" width="9.140625" style="997"/>
    <col min="3602" max="3602" width="9.7109375" style="997" customWidth="1"/>
    <col min="3603" max="3603" width="9.5703125" style="997" customWidth="1"/>
    <col min="3604" max="3604" width="10.140625" style="997" customWidth="1"/>
    <col min="3605" max="3840" width="9.140625" style="997"/>
    <col min="3841" max="3843" width="4.7109375" style="997" customWidth="1"/>
    <col min="3844" max="3844" width="9" style="997" customWidth="1"/>
    <col min="3845" max="3845" width="47.28515625" style="997" customWidth="1"/>
    <col min="3846" max="3846" width="11.5703125" style="997" customWidth="1"/>
    <col min="3847" max="3848" width="13.5703125" style="997" customWidth="1"/>
    <col min="3849" max="3849" width="7.42578125" style="997" customWidth="1"/>
    <col min="3850" max="3855" width="0" style="997" hidden="1" customWidth="1"/>
    <col min="3856" max="3856" width="2.28515625" style="997" customWidth="1"/>
    <col min="3857" max="3857" width="9.140625" style="997"/>
    <col min="3858" max="3858" width="9.7109375" style="997" customWidth="1"/>
    <col min="3859" max="3859" width="9.5703125" style="997" customWidth="1"/>
    <col min="3860" max="3860" width="10.140625" style="997" customWidth="1"/>
    <col min="3861" max="4096" width="9.140625" style="997"/>
    <col min="4097" max="4099" width="4.7109375" style="997" customWidth="1"/>
    <col min="4100" max="4100" width="9" style="997" customWidth="1"/>
    <col min="4101" max="4101" width="47.28515625" style="997" customWidth="1"/>
    <col min="4102" max="4102" width="11.5703125" style="997" customWidth="1"/>
    <col min="4103" max="4104" width="13.5703125" style="997" customWidth="1"/>
    <col min="4105" max="4105" width="7.42578125" style="997" customWidth="1"/>
    <col min="4106" max="4111" width="0" style="997" hidden="1" customWidth="1"/>
    <col min="4112" max="4112" width="2.28515625" style="997" customWidth="1"/>
    <col min="4113" max="4113" width="9.140625" style="997"/>
    <col min="4114" max="4114" width="9.7109375" style="997" customWidth="1"/>
    <col min="4115" max="4115" width="9.5703125" style="997" customWidth="1"/>
    <col min="4116" max="4116" width="10.140625" style="997" customWidth="1"/>
    <col min="4117" max="4352" width="9.140625" style="997"/>
    <col min="4353" max="4355" width="4.7109375" style="997" customWidth="1"/>
    <col min="4356" max="4356" width="9" style="997" customWidth="1"/>
    <col min="4357" max="4357" width="47.28515625" style="997" customWidth="1"/>
    <col min="4358" max="4358" width="11.5703125" style="997" customWidth="1"/>
    <col min="4359" max="4360" width="13.5703125" style="997" customWidth="1"/>
    <col min="4361" max="4361" width="7.42578125" style="997" customWidth="1"/>
    <col min="4362" max="4367" width="0" style="997" hidden="1" customWidth="1"/>
    <col min="4368" max="4368" width="2.28515625" style="997" customWidth="1"/>
    <col min="4369" max="4369" width="9.140625" style="997"/>
    <col min="4370" max="4370" width="9.7109375" style="997" customWidth="1"/>
    <col min="4371" max="4371" width="9.5703125" style="997" customWidth="1"/>
    <col min="4372" max="4372" width="10.140625" style="997" customWidth="1"/>
    <col min="4373" max="4608" width="9.140625" style="997"/>
    <col min="4609" max="4611" width="4.7109375" style="997" customWidth="1"/>
    <col min="4612" max="4612" width="9" style="997" customWidth="1"/>
    <col min="4613" max="4613" width="47.28515625" style="997" customWidth="1"/>
    <col min="4614" max="4614" width="11.5703125" style="997" customWidth="1"/>
    <col min="4615" max="4616" width="13.5703125" style="997" customWidth="1"/>
    <col min="4617" max="4617" width="7.42578125" style="997" customWidth="1"/>
    <col min="4618" max="4623" width="0" style="997" hidden="1" customWidth="1"/>
    <col min="4624" max="4624" width="2.28515625" style="997" customWidth="1"/>
    <col min="4625" max="4625" width="9.140625" style="997"/>
    <col min="4626" max="4626" width="9.7109375" style="997" customWidth="1"/>
    <col min="4627" max="4627" width="9.5703125" style="997" customWidth="1"/>
    <col min="4628" max="4628" width="10.140625" style="997" customWidth="1"/>
    <col min="4629" max="4864" width="9.140625" style="997"/>
    <col min="4865" max="4867" width="4.7109375" style="997" customWidth="1"/>
    <col min="4868" max="4868" width="9" style="997" customWidth="1"/>
    <col min="4869" max="4869" width="47.28515625" style="997" customWidth="1"/>
    <col min="4870" max="4870" width="11.5703125" style="997" customWidth="1"/>
    <col min="4871" max="4872" width="13.5703125" style="997" customWidth="1"/>
    <col min="4873" max="4873" width="7.42578125" style="997" customWidth="1"/>
    <col min="4874" max="4879" width="0" style="997" hidden="1" customWidth="1"/>
    <col min="4880" max="4880" width="2.28515625" style="997" customWidth="1"/>
    <col min="4881" max="4881" width="9.140625" style="997"/>
    <col min="4882" max="4882" width="9.7109375" style="997" customWidth="1"/>
    <col min="4883" max="4883" width="9.5703125" style="997" customWidth="1"/>
    <col min="4884" max="4884" width="10.140625" style="997" customWidth="1"/>
    <col min="4885" max="5120" width="9.140625" style="997"/>
    <col min="5121" max="5123" width="4.7109375" style="997" customWidth="1"/>
    <col min="5124" max="5124" width="9" style="997" customWidth="1"/>
    <col min="5125" max="5125" width="47.28515625" style="997" customWidth="1"/>
    <col min="5126" max="5126" width="11.5703125" style="997" customWidth="1"/>
    <col min="5127" max="5128" width="13.5703125" style="997" customWidth="1"/>
    <col min="5129" max="5129" width="7.42578125" style="997" customWidth="1"/>
    <col min="5130" max="5135" width="0" style="997" hidden="1" customWidth="1"/>
    <col min="5136" max="5136" width="2.28515625" style="997" customWidth="1"/>
    <col min="5137" max="5137" width="9.140625" style="997"/>
    <col min="5138" max="5138" width="9.7109375" style="997" customWidth="1"/>
    <col min="5139" max="5139" width="9.5703125" style="997" customWidth="1"/>
    <col min="5140" max="5140" width="10.140625" style="997" customWidth="1"/>
    <col min="5141" max="5376" width="9.140625" style="997"/>
    <col min="5377" max="5379" width="4.7109375" style="997" customWidth="1"/>
    <col min="5380" max="5380" width="9" style="997" customWidth="1"/>
    <col min="5381" max="5381" width="47.28515625" style="997" customWidth="1"/>
    <col min="5382" max="5382" width="11.5703125" style="997" customWidth="1"/>
    <col min="5383" max="5384" width="13.5703125" style="997" customWidth="1"/>
    <col min="5385" max="5385" width="7.42578125" style="997" customWidth="1"/>
    <col min="5386" max="5391" width="0" style="997" hidden="1" customWidth="1"/>
    <col min="5392" max="5392" width="2.28515625" style="997" customWidth="1"/>
    <col min="5393" max="5393" width="9.140625" style="997"/>
    <col min="5394" max="5394" width="9.7109375" style="997" customWidth="1"/>
    <col min="5395" max="5395" width="9.5703125" style="997" customWidth="1"/>
    <col min="5396" max="5396" width="10.140625" style="997" customWidth="1"/>
    <col min="5397" max="5632" width="9.140625" style="997"/>
    <col min="5633" max="5635" width="4.7109375" style="997" customWidth="1"/>
    <col min="5636" max="5636" width="9" style="997" customWidth="1"/>
    <col min="5637" max="5637" width="47.28515625" style="997" customWidth="1"/>
    <col min="5638" max="5638" width="11.5703125" style="997" customWidth="1"/>
    <col min="5639" max="5640" width="13.5703125" style="997" customWidth="1"/>
    <col min="5641" max="5641" width="7.42578125" style="997" customWidth="1"/>
    <col min="5642" max="5647" width="0" style="997" hidden="1" customWidth="1"/>
    <col min="5648" max="5648" width="2.28515625" style="997" customWidth="1"/>
    <col min="5649" max="5649" width="9.140625" style="997"/>
    <col min="5650" max="5650" width="9.7109375" style="997" customWidth="1"/>
    <col min="5651" max="5651" width="9.5703125" style="997" customWidth="1"/>
    <col min="5652" max="5652" width="10.140625" style="997" customWidth="1"/>
    <col min="5653" max="5888" width="9.140625" style="997"/>
    <col min="5889" max="5891" width="4.7109375" style="997" customWidth="1"/>
    <col min="5892" max="5892" width="9" style="997" customWidth="1"/>
    <col min="5893" max="5893" width="47.28515625" style="997" customWidth="1"/>
    <col min="5894" max="5894" width="11.5703125" style="997" customWidth="1"/>
    <col min="5895" max="5896" width="13.5703125" style="997" customWidth="1"/>
    <col min="5897" max="5897" width="7.42578125" style="997" customWidth="1"/>
    <col min="5898" max="5903" width="0" style="997" hidden="1" customWidth="1"/>
    <col min="5904" max="5904" width="2.28515625" style="997" customWidth="1"/>
    <col min="5905" max="5905" width="9.140625" style="997"/>
    <col min="5906" max="5906" width="9.7109375" style="997" customWidth="1"/>
    <col min="5907" max="5907" width="9.5703125" style="997" customWidth="1"/>
    <col min="5908" max="5908" width="10.140625" style="997" customWidth="1"/>
    <col min="5909" max="6144" width="9.140625" style="997"/>
    <col min="6145" max="6147" width="4.7109375" style="997" customWidth="1"/>
    <col min="6148" max="6148" width="9" style="997" customWidth="1"/>
    <col min="6149" max="6149" width="47.28515625" style="997" customWidth="1"/>
    <col min="6150" max="6150" width="11.5703125" style="997" customWidth="1"/>
    <col min="6151" max="6152" width="13.5703125" style="997" customWidth="1"/>
    <col min="6153" max="6153" width="7.42578125" style="997" customWidth="1"/>
    <col min="6154" max="6159" width="0" style="997" hidden="1" customWidth="1"/>
    <col min="6160" max="6160" width="2.28515625" style="997" customWidth="1"/>
    <col min="6161" max="6161" width="9.140625" style="997"/>
    <col min="6162" max="6162" width="9.7109375" style="997" customWidth="1"/>
    <col min="6163" max="6163" width="9.5703125" style="997" customWidth="1"/>
    <col min="6164" max="6164" width="10.140625" style="997" customWidth="1"/>
    <col min="6165" max="6400" width="9.140625" style="997"/>
    <col min="6401" max="6403" width="4.7109375" style="997" customWidth="1"/>
    <col min="6404" max="6404" width="9" style="997" customWidth="1"/>
    <col min="6405" max="6405" width="47.28515625" style="997" customWidth="1"/>
    <col min="6406" max="6406" width="11.5703125" style="997" customWidth="1"/>
    <col min="6407" max="6408" width="13.5703125" style="997" customWidth="1"/>
    <col min="6409" max="6409" width="7.42578125" style="997" customWidth="1"/>
    <col min="6410" max="6415" width="0" style="997" hidden="1" customWidth="1"/>
    <col min="6416" max="6416" width="2.28515625" style="997" customWidth="1"/>
    <col min="6417" max="6417" width="9.140625" style="997"/>
    <col min="6418" max="6418" width="9.7109375" style="997" customWidth="1"/>
    <col min="6419" max="6419" width="9.5703125" style="997" customWidth="1"/>
    <col min="6420" max="6420" width="10.140625" style="997" customWidth="1"/>
    <col min="6421" max="6656" width="9.140625" style="997"/>
    <col min="6657" max="6659" width="4.7109375" style="997" customWidth="1"/>
    <col min="6660" max="6660" width="9" style="997" customWidth="1"/>
    <col min="6661" max="6661" width="47.28515625" style="997" customWidth="1"/>
    <col min="6662" max="6662" width="11.5703125" style="997" customWidth="1"/>
    <col min="6663" max="6664" width="13.5703125" style="997" customWidth="1"/>
    <col min="6665" max="6665" width="7.42578125" style="997" customWidth="1"/>
    <col min="6666" max="6671" width="0" style="997" hidden="1" customWidth="1"/>
    <col min="6672" max="6672" width="2.28515625" style="997" customWidth="1"/>
    <col min="6673" max="6673" width="9.140625" style="997"/>
    <col min="6674" max="6674" width="9.7109375" style="997" customWidth="1"/>
    <col min="6675" max="6675" width="9.5703125" style="997" customWidth="1"/>
    <col min="6676" max="6676" width="10.140625" style="997" customWidth="1"/>
    <col min="6677" max="6912" width="9.140625" style="997"/>
    <col min="6913" max="6915" width="4.7109375" style="997" customWidth="1"/>
    <col min="6916" max="6916" width="9" style="997" customWidth="1"/>
    <col min="6917" max="6917" width="47.28515625" style="997" customWidth="1"/>
    <col min="6918" max="6918" width="11.5703125" style="997" customWidth="1"/>
    <col min="6919" max="6920" width="13.5703125" style="997" customWidth="1"/>
    <col min="6921" max="6921" width="7.42578125" style="997" customWidth="1"/>
    <col min="6922" max="6927" width="0" style="997" hidden="1" customWidth="1"/>
    <col min="6928" max="6928" width="2.28515625" style="997" customWidth="1"/>
    <col min="6929" max="6929" width="9.140625" style="997"/>
    <col min="6930" max="6930" width="9.7109375" style="997" customWidth="1"/>
    <col min="6931" max="6931" width="9.5703125" style="997" customWidth="1"/>
    <col min="6932" max="6932" width="10.140625" style="997" customWidth="1"/>
    <col min="6933" max="7168" width="9.140625" style="997"/>
    <col min="7169" max="7171" width="4.7109375" style="997" customWidth="1"/>
    <col min="7172" max="7172" width="9" style="997" customWidth="1"/>
    <col min="7173" max="7173" width="47.28515625" style="997" customWidth="1"/>
    <col min="7174" max="7174" width="11.5703125" style="997" customWidth="1"/>
    <col min="7175" max="7176" width="13.5703125" style="997" customWidth="1"/>
    <col min="7177" max="7177" width="7.42578125" style="997" customWidth="1"/>
    <col min="7178" max="7183" width="0" style="997" hidden="1" customWidth="1"/>
    <col min="7184" max="7184" width="2.28515625" style="997" customWidth="1"/>
    <col min="7185" max="7185" width="9.140625" style="997"/>
    <col min="7186" max="7186" width="9.7109375" style="997" customWidth="1"/>
    <col min="7187" max="7187" width="9.5703125" style="997" customWidth="1"/>
    <col min="7188" max="7188" width="10.140625" style="997" customWidth="1"/>
    <col min="7189" max="7424" width="9.140625" style="997"/>
    <col min="7425" max="7427" width="4.7109375" style="997" customWidth="1"/>
    <col min="7428" max="7428" width="9" style="997" customWidth="1"/>
    <col min="7429" max="7429" width="47.28515625" style="997" customWidth="1"/>
    <col min="7430" max="7430" width="11.5703125" style="997" customWidth="1"/>
    <col min="7431" max="7432" width="13.5703125" style="997" customWidth="1"/>
    <col min="7433" max="7433" width="7.42578125" style="997" customWidth="1"/>
    <col min="7434" max="7439" width="0" style="997" hidden="1" customWidth="1"/>
    <col min="7440" max="7440" width="2.28515625" style="997" customWidth="1"/>
    <col min="7441" max="7441" width="9.140625" style="997"/>
    <col min="7442" max="7442" width="9.7109375" style="997" customWidth="1"/>
    <col min="7443" max="7443" width="9.5703125" style="997" customWidth="1"/>
    <col min="7444" max="7444" width="10.140625" style="997" customWidth="1"/>
    <col min="7445" max="7680" width="9.140625" style="997"/>
    <col min="7681" max="7683" width="4.7109375" style="997" customWidth="1"/>
    <col min="7684" max="7684" width="9" style="997" customWidth="1"/>
    <col min="7685" max="7685" width="47.28515625" style="997" customWidth="1"/>
    <col min="7686" max="7686" width="11.5703125" style="997" customWidth="1"/>
    <col min="7687" max="7688" width="13.5703125" style="997" customWidth="1"/>
    <col min="7689" max="7689" width="7.42578125" style="997" customWidth="1"/>
    <col min="7690" max="7695" width="0" style="997" hidden="1" customWidth="1"/>
    <col min="7696" max="7696" width="2.28515625" style="997" customWidth="1"/>
    <col min="7697" max="7697" width="9.140625" style="997"/>
    <col min="7698" max="7698" width="9.7109375" style="997" customWidth="1"/>
    <col min="7699" max="7699" width="9.5703125" style="997" customWidth="1"/>
    <col min="7700" max="7700" width="10.140625" style="997" customWidth="1"/>
    <col min="7701" max="7936" width="9.140625" style="997"/>
    <col min="7937" max="7939" width="4.7109375" style="997" customWidth="1"/>
    <col min="7940" max="7940" width="9" style="997" customWidth="1"/>
    <col min="7941" max="7941" width="47.28515625" style="997" customWidth="1"/>
    <col min="7942" max="7942" width="11.5703125" style="997" customWidth="1"/>
    <col min="7943" max="7944" width="13.5703125" style="997" customWidth="1"/>
    <col min="7945" max="7945" width="7.42578125" style="997" customWidth="1"/>
    <col min="7946" max="7951" width="0" style="997" hidden="1" customWidth="1"/>
    <col min="7952" max="7952" width="2.28515625" style="997" customWidth="1"/>
    <col min="7953" max="7953" width="9.140625" style="997"/>
    <col min="7954" max="7954" width="9.7109375" style="997" customWidth="1"/>
    <col min="7955" max="7955" width="9.5703125" style="997" customWidth="1"/>
    <col min="7956" max="7956" width="10.140625" style="997" customWidth="1"/>
    <col min="7957" max="8192" width="9.140625" style="997"/>
    <col min="8193" max="8195" width="4.7109375" style="997" customWidth="1"/>
    <col min="8196" max="8196" width="9" style="997" customWidth="1"/>
    <col min="8197" max="8197" width="47.28515625" style="997" customWidth="1"/>
    <col min="8198" max="8198" width="11.5703125" style="997" customWidth="1"/>
    <col min="8199" max="8200" width="13.5703125" style="997" customWidth="1"/>
    <col min="8201" max="8201" width="7.42578125" style="997" customWidth="1"/>
    <col min="8202" max="8207" width="0" style="997" hidden="1" customWidth="1"/>
    <col min="8208" max="8208" width="2.28515625" style="997" customWidth="1"/>
    <col min="8209" max="8209" width="9.140625" style="997"/>
    <col min="8210" max="8210" width="9.7109375" style="997" customWidth="1"/>
    <col min="8211" max="8211" width="9.5703125" style="997" customWidth="1"/>
    <col min="8212" max="8212" width="10.140625" style="997" customWidth="1"/>
    <col min="8213" max="8448" width="9.140625" style="997"/>
    <col min="8449" max="8451" width="4.7109375" style="997" customWidth="1"/>
    <col min="8452" max="8452" width="9" style="997" customWidth="1"/>
    <col min="8453" max="8453" width="47.28515625" style="997" customWidth="1"/>
    <col min="8454" max="8454" width="11.5703125" style="997" customWidth="1"/>
    <col min="8455" max="8456" width="13.5703125" style="997" customWidth="1"/>
    <col min="8457" max="8457" width="7.42578125" style="997" customWidth="1"/>
    <col min="8458" max="8463" width="0" style="997" hidden="1" customWidth="1"/>
    <col min="8464" max="8464" width="2.28515625" style="997" customWidth="1"/>
    <col min="8465" max="8465" width="9.140625" style="997"/>
    <col min="8466" max="8466" width="9.7109375" style="997" customWidth="1"/>
    <col min="8467" max="8467" width="9.5703125" style="997" customWidth="1"/>
    <col min="8468" max="8468" width="10.140625" style="997" customWidth="1"/>
    <col min="8469" max="8704" width="9.140625" style="997"/>
    <col min="8705" max="8707" width="4.7109375" style="997" customWidth="1"/>
    <col min="8708" max="8708" width="9" style="997" customWidth="1"/>
    <col min="8709" max="8709" width="47.28515625" style="997" customWidth="1"/>
    <col min="8710" max="8710" width="11.5703125" style="997" customWidth="1"/>
    <col min="8711" max="8712" width="13.5703125" style="997" customWidth="1"/>
    <col min="8713" max="8713" width="7.42578125" style="997" customWidth="1"/>
    <col min="8714" max="8719" width="0" style="997" hidden="1" customWidth="1"/>
    <col min="8720" max="8720" width="2.28515625" style="997" customWidth="1"/>
    <col min="8721" max="8721" width="9.140625" style="997"/>
    <col min="8722" max="8722" width="9.7109375" style="997" customWidth="1"/>
    <col min="8723" max="8723" width="9.5703125" style="997" customWidth="1"/>
    <col min="8724" max="8724" width="10.140625" style="997" customWidth="1"/>
    <col min="8725" max="8960" width="9.140625" style="997"/>
    <col min="8961" max="8963" width="4.7109375" style="997" customWidth="1"/>
    <col min="8964" max="8964" width="9" style="997" customWidth="1"/>
    <col min="8965" max="8965" width="47.28515625" style="997" customWidth="1"/>
    <col min="8966" max="8966" width="11.5703125" style="997" customWidth="1"/>
    <col min="8967" max="8968" width="13.5703125" style="997" customWidth="1"/>
    <col min="8969" max="8969" width="7.42578125" style="997" customWidth="1"/>
    <col min="8970" max="8975" width="0" style="997" hidden="1" customWidth="1"/>
    <col min="8976" max="8976" width="2.28515625" style="997" customWidth="1"/>
    <col min="8977" max="8977" width="9.140625" style="997"/>
    <col min="8978" max="8978" width="9.7109375" style="997" customWidth="1"/>
    <col min="8979" max="8979" width="9.5703125" style="997" customWidth="1"/>
    <col min="8980" max="8980" width="10.140625" style="997" customWidth="1"/>
    <col min="8981" max="9216" width="9.140625" style="997"/>
    <col min="9217" max="9219" width="4.7109375" style="997" customWidth="1"/>
    <col min="9220" max="9220" width="9" style="997" customWidth="1"/>
    <col min="9221" max="9221" width="47.28515625" style="997" customWidth="1"/>
    <col min="9222" max="9222" width="11.5703125" style="997" customWidth="1"/>
    <col min="9223" max="9224" width="13.5703125" style="997" customWidth="1"/>
    <col min="9225" max="9225" width="7.42578125" style="997" customWidth="1"/>
    <col min="9226" max="9231" width="0" style="997" hidden="1" customWidth="1"/>
    <col min="9232" max="9232" width="2.28515625" style="997" customWidth="1"/>
    <col min="9233" max="9233" width="9.140625" style="997"/>
    <col min="9234" max="9234" width="9.7109375" style="997" customWidth="1"/>
    <col min="9235" max="9235" width="9.5703125" style="997" customWidth="1"/>
    <col min="9236" max="9236" width="10.140625" style="997" customWidth="1"/>
    <col min="9237" max="9472" width="9.140625" style="997"/>
    <col min="9473" max="9475" width="4.7109375" style="997" customWidth="1"/>
    <col min="9476" max="9476" width="9" style="997" customWidth="1"/>
    <col min="9477" max="9477" width="47.28515625" style="997" customWidth="1"/>
    <col min="9478" max="9478" width="11.5703125" style="997" customWidth="1"/>
    <col min="9479" max="9480" width="13.5703125" style="997" customWidth="1"/>
    <col min="9481" max="9481" width="7.42578125" style="997" customWidth="1"/>
    <col min="9482" max="9487" width="0" style="997" hidden="1" customWidth="1"/>
    <col min="9488" max="9488" width="2.28515625" style="997" customWidth="1"/>
    <col min="9489" max="9489" width="9.140625" style="997"/>
    <col min="9490" max="9490" width="9.7109375" style="997" customWidth="1"/>
    <col min="9491" max="9491" width="9.5703125" style="997" customWidth="1"/>
    <col min="9492" max="9492" width="10.140625" style="997" customWidth="1"/>
    <col min="9493" max="9728" width="9.140625" style="997"/>
    <col min="9729" max="9731" width="4.7109375" style="997" customWidth="1"/>
    <col min="9732" max="9732" width="9" style="997" customWidth="1"/>
    <col min="9733" max="9733" width="47.28515625" style="997" customWidth="1"/>
    <col min="9734" max="9734" width="11.5703125" style="997" customWidth="1"/>
    <col min="9735" max="9736" width="13.5703125" style="997" customWidth="1"/>
    <col min="9737" max="9737" width="7.42578125" style="997" customWidth="1"/>
    <col min="9738" max="9743" width="0" style="997" hidden="1" customWidth="1"/>
    <col min="9744" max="9744" width="2.28515625" style="997" customWidth="1"/>
    <col min="9745" max="9745" width="9.140625" style="997"/>
    <col min="9746" max="9746" width="9.7109375" style="997" customWidth="1"/>
    <col min="9747" max="9747" width="9.5703125" style="997" customWidth="1"/>
    <col min="9748" max="9748" width="10.140625" style="997" customWidth="1"/>
    <col min="9749" max="9984" width="9.140625" style="997"/>
    <col min="9985" max="9987" width="4.7109375" style="997" customWidth="1"/>
    <col min="9988" max="9988" width="9" style="997" customWidth="1"/>
    <col min="9989" max="9989" width="47.28515625" style="997" customWidth="1"/>
    <col min="9990" max="9990" width="11.5703125" style="997" customWidth="1"/>
    <col min="9991" max="9992" width="13.5703125" style="997" customWidth="1"/>
    <col min="9993" max="9993" width="7.42578125" style="997" customWidth="1"/>
    <col min="9994" max="9999" width="0" style="997" hidden="1" customWidth="1"/>
    <col min="10000" max="10000" width="2.28515625" style="997" customWidth="1"/>
    <col min="10001" max="10001" width="9.140625" style="997"/>
    <col min="10002" max="10002" width="9.7109375" style="997" customWidth="1"/>
    <col min="10003" max="10003" width="9.5703125" style="997" customWidth="1"/>
    <col min="10004" max="10004" width="10.140625" style="997" customWidth="1"/>
    <col min="10005" max="10240" width="9.140625" style="997"/>
    <col min="10241" max="10243" width="4.7109375" style="997" customWidth="1"/>
    <col min="10244" max="10244" width="9" style="997" customWidth="1"/>
    <col min="10245" max="10245" width="47.28515625" style="997" customWidth="1"/>
    <col min="10246" max="10246" width="11.5703125" style="997" customWidth="1"/>
    <col min="10247" max="10248" width="13.5703125" style="997" customWidth="1"/>
    <col min="10249" max="10249" width="7.42578125" style="997" customWidth="1"/>
    <col min="10250" max="10255" width="0" style="997" hidden="1" customWidth="1"/>
    <col min="10256" max="10256" width="2.28515625" style="997" customWidth="1"/>
    <col min="10257" max="10257" width="9.140625" style="997"/>
    <col min="10258" max="10258" width="9.7109375" style="997" customWidth="1"/>
    <col min="10259" max="10259" width="9.5703125" style="997" customWidth="1"/>
    <col min="10260" max="10260" width="10.140625" style="997" customWidth="1"/>
    <col min="10261" max="10496" width="9.140625" style="997"/>
    <col min="10497" max="10499" width="4.7109375" style="997" customWidth="1"/>
    <col min="10500" max="10500" width="9" style="997" customWidth="1"/>
    <col min="10501" max="10501" width="47.28515625" style="997" customWidth="1"/>
    <col min="10502" max="10502" width="11.5703125" style="997" customWidth="1"/>
    <col min="10503" max="10504" width="13.5703125" style="997" customWidth="1"/>
    <col min="10505" max="10505" width="7.42578125" style="997" customWidth="1"/>
    <col min="10506" max="10511" width="0" style="997" hidden="1" customWidth="1"/>
    <col min="10512" max="10512" width="2.28515625" style="997" customWidth="1"/>
    <col min="10513" max="10513" width="9.140625" style="997"/>
    <col min="10514" max="10514" width="9.7109375" style="997" customWidth="1"/>
    <col min="10515" max="10515" width="9.5703125" style="997" customWidth="1"/>
    <col min="10516" max="10516" width="10.140625" style="997" customWidth="1"/>
    <col min="10517" max="10752" width="9.140625" style="997"/>
    <col min="10753" max="10755" width="4.7109375" style="997" customWidth="1"/>
    <col min="10756" max="10756" width="9" style="997" customWidth="1"/>
    <col min="10757" max="10757" width="47.28515625" style="997" customWidth="1"/>
    <col min="10758" max="10758" width="11.5703125" style="997" customWidth="1"/>
    <col min="10759" max="10760" width="13.5703125" style="997" customWidth="1"/>
    <col min="10761" max="10761" width="7.42578125" style="997" customWidth="1"/>
    <col min="10762" max="10767" width="0" style="997" hidden="1" customWidth="1"/>
    <col min="10768" max="10768" width="2.28515625" style="997" customWidth="1"/>
    <col min="10769" max="10769" width="9.140625" style="997"/>
    <col min="10770" max="10770" width="9.7109375" style="997" customWidth="1"/>
    <col min="10771" max="10771" width="9.5703125" style="997" customWidth="1"/>
    <col min="10772" max="10772" width="10.140625" style="997" customWidth="1"/>
    <col min="10773" max="11008" width="9.140625" style="997"/>
    <col min="11009" max="11011" width="4.7109375" style="997" customWidth="1"/>
    <col min="11012" max="11012" width="9" style="997" customWidth="1"/>
    <col min="11013" max="11013" width="47.28515625" style="997" customWidth="1"/>
    <col min="11014" max="11014" width="11.5703125" style="997" customWidth="1"/>
    <col min="11015" max="11016" width="13.5703125" style="997" customWidth="1"/>
    <col min="11017" max="11017" width="7.42578125" style="997" customWidth="1"/>
    <col min="11018" max="11023" width="0" style="997" hidden="1" customWidth="1"/>
    <col min="11024" max="11024" width="2.28515625" style="997" customWidth="1"/>
    <col min="11025" max="11025" width="9.140625" style="997"/>
    <col min="11026" max="11026" width="9.7109375" style="997" customWidth="1"/>
    <col min="11027" max="11027" width="9.5703125" style="997" customWidth="1"/>
    <col min="11028" max="11028" width="10.140625" style="997" customWidth="1"/>
    <col min="11029" max="11264" width="9.140625" style="997"/>
    <col min="11265" max="11267" width="4.7109375" style="997" customWidth="1"/>
    <col min="11268" max="11268" width="9" style="997" customWidth="1"/>
    <col min="11269" max="11269" width="47.28515625" style="997" customWidth="1"/>
    <col min="11270" max="11270" width="11.5703125" style="997" customWidth="1"/>
    <col min="11271" max="11272" width="13.5703125" style="997" customWidth="1"/>
    <col min="11273" max="11273" width="7.42578125" style="997" customWidth="1"/>
    <col min="11274" max="11279" width="0" style="997" hidden="1" customWidth="1"/>
    <col min="11280" max="11280" width="2.28515625" style="997" customWidth="1"/>
    <col min="11281" max="11281" width="9.140625" style="997"/>
    <col min="11282" max="11282" width="9.7109375" style="997" customWidth="1"/>
    <col min="11283" max="11283" width="9.5703125" style="997" customWidth="1"/>
    <col min="11284" max="11284" width="10.140625" style="997" customWidth="1"/>
    <col min="11285" max="11520" width="9.140625" style="997"/>
    <col min="11521" max="11523" width="4.7109375" style="997" customWidth="1"/>
    <col min="11524" max="11524" width="9" style="997" customWidth="1"/>
    <col min="11525" max="11525" width="47.28515625" style="997" customWidth="1"/>
    <col min="11526" max="11526" width="11.5703125" style="997" customWidth="1"/>
    <col min="11527" max="11528" width="13.5703125" style="997" customWidth="1"/>
    <col min="11529" max="11529" width="7.42578125" style="997" customWidth="1"/>
    <col min="11530" max="11535" width="0" style="997" hidden="1" customWidth="1"/>
    <col min="11536" max="11536" width="2.28515625" style="997" customWidth="1"/>
    <col min="11537" max="11537" width="9.140625" style="997"/>
    <col min="11538" max="11538" width="9.7109375" style="997" customWidth="1"/>
    <col min="11539" max="11539" width="9.5703125" style="997" customWidth="1"/>
    <col min="11540" max="11540" width="10.140625" style="997" customWidth="1"/>
    <col min="11541" max="11776" width="9.140625" style="997"/>
    <col min="11777" max="11779" width="4.7109375" style="997" customWidth="1"/>
    <col min="11780" max="11780" width="9" style="997" customWidth="1"/>
    <col min="11781" max="11781" width="47.28515625" style="997" customWidth="1"/>
    <col min="11782" max="11782" width="11.5703125" style="997" customWidth="1"/>
    <col min="11783" max="11784" width="13.5703125" style="997" customWidth="1"/>
    <col min="11785" max="11785" width="7.42578125" style="997" customWidth="1"/>
    <col min="11786" max="11791" width="0" style="997" hidden="1" customWidth="1"/>
    <col min="11792" max="11792" width="2.28515625" style="997" customWidth="1"/>
    <col min="11793" max="11793" width="9.140625" style="997"/>
    <col min="11794" max="11794" width="9.7109375" style="997" customWidth="1"/>
    <col min="11795" max="11795" width="9.5703125" style="997" customWidth="1"/>
    <col min="11796" max="11796" width="10.140625" style="997" customWidth="1"/>
    <col min="11797" max="12032" width="9.140625" style="997"/>
    <col min="12033" max="12035" width="4.7109375" style="997" customWidth="1"/>
    <col min="12036" max="12036" width="9" style="997" customWidth="1"/>
    <col min="12037" max="12037" width="47.28515625" style="997" customWidth="1"/>
    <col min="12038" max="12038" width="11.5703125" style="997" customWidth="1"/>
    <col min="12039" max="12040" width="13.5703125" style="997" customWidth="1"/>
    <col min="12041" max="12041" width="7.42578125" style="997" customWidth="1"/>
    <col min="12042" max="12047" width="0" style="997" hidden="1" customWidth="1"/>
    <col min="12048" max="12048" width="2.28515625" style="997" customWidth="1"/>
    <col min="12049" max="12049" width="9.140625" style="997"/>
    <col min="12050" max="12050" width="9.7109375" style="997" customWidth="1"/>
    <col min="12051" max="12051" width="9.5703125" style="997" customWidth="1"/>
    <col min="12052" max="12052" width="10.140625" style="997" customWidth="1"/>
    <col min="12053" max="12288" width="9.140625" style="997"/>
    <col min="12289" max="12291" width="4.7109375" style="997" customWidth="1"/>
    <col min="12292" max="12292" width="9" style="997" customWidth="1"/>
    <col min="12293" max="12293" width="47.28515625" style="997" customWidth="1"/>
    <col min="12294" max="12294" width="11.5703125" style="997" customWidth="1"/>
    <col min="12295" max="12296" width="13.5703125" style="997" customWidth="1"/>
    <col min="12297" max="12297" width="7.42578125" style="997" customWidth="1"/>
    <col min="12298" max="12303" width="0" style="997" hidden="1" customWidth="1"/>
    <col min="12304" max="12304" width="2.28515625" style="997" customWidth="1"/>
    <col min="12305" max="12305" width="9.140625" style="997"/>
    <col min="12306" max="12306" width="9.7109375" style="997" customWidth="1"/>
    <col min="12307" max="12307" width="9.5703125" style="997" customWidth="1"/>
    <col min="12308" max="12308" width="10.140625" style="997" customWidth="1"/>
    <col min="12309" max="12544" width="9.140625" style="997"/>
    <col min="12545" max="12547" width="4.7109375" style="997" customWidth="1"/>
    <col min="12548" max="12548" width="9" style="997" customWidth="1"/>
    <col min="12549" max="12549" width="47.28515625" style="997" customWidth="1"/>
    <col min="12550" max="12550" width="11.5703125" style="997" customWidth="1"/>
    <col min="12551" max="12552" width="13.5703125" style="997" customWidth="1"/>
    <col min="12553" max="12553" width="7.42578125" style="997" customWidth="1"/>
    <col min="12554" max="12559" width="0" style="997" hidden="1" customWidth="1"/>
    <col min="12560" max="12560" width="2.28515625" style="997" customWidth="1"/>
    <col min="12561" max="12561" width="9.140625" style="997"/>
    <col min="12562" max="12562" width="9.7109375" style="997" customWidth="1"/>
    <col min="12563" max="12563" width="9.5703125" style="997" customWidth="1"/>
    <col min="12564" max="12564" width="10.140625" style="997" customWidth="1"/>
    <col min="12565" max="12800" width="9.140625" style="997"/>
    <col min="12801" max="12803" width="4.7109375" style="997" customWidth="1"/>
    <col min="12804" max="12804" width="9" style="997" customWidth="1"/>
    <col min="12805" max="12805" width="47.28515625" style="997" customWidth="1"/>
    <col min="12806" max="12806" width="11.5703125" style="997" customWidth="1"/>
    <col min="12807" max="12808" width="13.5703125" style="997" customWidth="1"/>
    <col min="12809" max="12809" width="7.42578125" style="997" customWidth="1"/>
    <col min="12810" max="12815" width="0" style="997" hidden="1" customWidth="1"/>
    <col min="12816" max="12816" width="2.28515625" style="997" customWidth="1"/>
    <col min="12817" max="12817" width="9.140625" style="997"/>
    <col min="12818" max="12818" width="9.7109375" style="997" customWidth="1"/>
    <col min="12819" max="12819" width="9.5703125" style="997" customWidth="1"/>
    <col min="12820" max="12820" width="10.140625" style="997" customWidth="1"/>
    <col min="12821" max="13056" width="9.140625" style="997"/>
    <col min="13057" max="13059" width="4.7109375" style="997" customWidth="1"/>
    <col min="13060" max="13060" width="9" style="997" customWidth="1"/>
    <col min="13061" max="13061" width="47.28515625" style="997" customWidth="1"/>
    <col min="13062" max="13062" width="11.5703125" style="997" customWidth="1"/>
    <col min="13063" max="13064" width="13.5703125" style="997" customWidth="1"/>
    <col min="13065" max="13065" width="7.42578125" style="997" customWidth="1"/>
    <col min="13066" max="13071" width="0" style="997" hidden="1" customWidth="1"/>
    <col min="13072" max="13072" width="2.28515625" style="997" customWidth="1"/>
    <col min="13073" max="13073" width="9.140625" style="997"/>
    <col min="13074" max="13074" width="9.7109375" style="997" customWidth="1"/>
    <col min="13075" max="13075" width="9.5703125" style="997" customWidth="1"/>
    <col min="13076" max="13076" width="10.140625" style="997" customWidth="1"/>
    <col min="13077" max="13312" width="9.140625" style="997"/>
    <col min="13313" max="13315" width="4.7109375" style="997" customWidth="1"/>
    <col min="13316" max="13316" width="9" style="997" customWidth="1"/>
    <col min="13317" max="13317" width="47.28515625" style="997" customWidth="1"/>
    <col min="13318" max="13318" width="11.5703125" style="997" customWidth="1"/>
    <col min="13319" max="13320" width="13.5703125" style="997" customWidth="1"/>
    <col min="13321" max="13321" width="7.42578125" style="997" customWidth="1"/>
    <col min="13322" max="13327" width="0" style="997" hidden="1" customWidth="1"/>
    <col min="13328" max="13328" width="2.28515625" style="997" customWidth="1"/>
    <col min="13329" max="13329" width="9.140625" style="997"/>
    <col min="13330" max="13330" width="9.7109375" style="997" customWidth="1"/>
    <col min="13331" max="13331" width="9.5703125" style="997" customWidth="1"/>
    <col min="13332" max="13332" width="10.140625" style="997" customWidth="1"/>
    <col min="13333" max="13568" width="9.140625" style="997"/>
    <col min="13569" max="13571" width="4.7109375" style="997" customWidth="1"/>
    <col min="13572" max="13572" width="9" style="997" customWidth="1"/>
    <col min="13573" max="13573" width="47.28515625" style="997" customWidth="1"/>
    <col min="13574" max="13574" width="11.5703125" style="997" customWidth="1"/>
    <col min="13575" max="13576" width="13.5703125" style="997" customWidth="1"/>
    <col min="13577" max="13577" width="7.42578125" style="997" customWidth="1"/>
    <col min="13578" max="13583" width="0" style="997" hidden="1" customWidth="1"/>
    <col min="13584" max="13584" width="2.28515625" style="997" customWidth="1"/>
    <col min="13585" max="13585" width="9.140625" style="997"/>
    <col min="13586" max="13586" width="9.7109375" style="997" customWidth="1"/>
    <col min="13587" max="13587" width="9.5703125" style="997" customWidth="1"/>
    <col min="13588" max="13588" width="10.140625" style="997" customWidth="1"/>
    <col min="13589" max="13824" width="9.140625" style="997"/>
    <col min="13825" max="13827" width="4.7109375" style="997" customWidth="1"/>
    <col min="13828" max="13828" width="9" style="997" customWidth="1"/>
    <col min="13829" max="13829" width="47.28515625" style="997" customWidth="1"/>
    <col min="13830" max="13830" width="11.5703125" style="997" customWidth="1"/>
    <col min="13831" max="13832" width="13.5703125" style="997" customWidth="1"/>
    <col min="13833" max="13833" width="7.42578125" style="997" customWidth="1"/>
    <col min="13834" max="13839" width="0" style="997" hidden="1" customWidth="1"/>
    <col min="13840" max="13840" width="2.28515625" style="997" customWidth="1"/>
    <col min="13841" max="13841" width="9.140625" style="997"/>
    <col min="13842" max="13842" width="9.7109375" style="997" customWidth="1"/>
    <col min="13843" max="13843" width="9.5703125" style="997" customWidth="1"/>
    <col min="13844" max="13844" width="10.140625" style="997" customWidth="1"/>
    <col min="13845" max="14080" width="9.140625" style="997"/>
    <col min="14081" max="14083" width="4.7109375" style="997" customWidth="1"/>
    <col min="14084" max="14084" width="9" style="997" customWidth="1"/>
    <col min="14085" max="14085" width="47.28515625" style="997" customWidth="1"/>
    <col min="14086" max="14086" width="11.5703125" style="997" customWidth="1"/>
    <col min="14087" max="14088" width="13.5703125" style="997" customWidth="1"/>
    <col min="14089" max="14089" width="7.42578125" style="997" customWidth="1"/>
    <col min="14090" max="14095" width="0" style="997" hidden="1" customWidth="1"/>
    <col min="14096" max="14096" width="2.28515625" style="997" customWidth="1"/>
    <col min="14097" max="14097" width="9.140625" style="997"/>
    <col min="14098" max="14098" width="9.7109375" style="997" customWidth="1"/>
    <col min="14099" max="14099" width="9.5703125" style="997" customWidth="1"/>
    <col min="14100" max="14100" width="10.140625" style="997" customWidth="1"/>
    <col min="14101" max="14336" width="9.140625" style="997"/>
    <col min="14337" max="14339" width="4.7109375" style="997" customWidth="1"/>
    <col min="14340" max="14340" width="9" style="997" customWidth="1"/>
    <col min="14341" max="14341" width="47.28515625" style="997" customWidth="1"/>
    <col min="14342" max="14342" width="11.5703125" style="997" customWidth="1"/>
    <col min="14343" max="14344" width="13.5703125" style="997" customWidth="1"/>
    <col min="14345" max="14345" width="7.42578125" style="997" customWidth="1"/>
    <col min="14346" max="14351" width="0" style="997" hidden="1" customWidth="1"/>
    <col min="14352" max="14352" width="2.28515625" style="997" customWidth="1"/>
    <col min="14353" max="14353" width="9.140625" style="997"/>
    <col min="14354" max="14354" width="9.7109375" style="997" customWidth="1"/>
    <col min="14355" max="14355" width="9.5703125" style="997" customWidth="1"/>
    <col min="14356" max="14356" width="10.140625" style="997" customWidth="1"/>
    <col min="14357" max="14592" width="9.140625" style="997"/>
    <col min="14593" max="14595" width="4.7109375" style="997" customWidth="1"/>
    <col min="14596" max="14596" width="9" style="997" customWidth="1"/>
    <col min="14597" max="14597" width="47.28515625" style="997" customWidth="1"/>
    <col min="14598" max="14598" width="11.5703125" style="997" customWidth="1"/>
    <col min="14599" max="14600" width="13.5703125" style="997" customWidth="1"/>
    <col min="14601" max="14601" width="7.42578125" style="997" customWidth="1"/>
    <col min="14602" max="14607" width="0" style="997" hidden="1" customWidth="1"/>
    <col min="14608" max="14608" width="2.28515625" style="997" customWidth="1"/>
    <col min="14609" max="14609" width="9.140625" style="997"/>
    <col min="14610" max="14610" width="9.7109375" style="997" customWidth="1"/>
    <col min="14611" max="14611" width="9.5703125" style="997" customWidth="1"/>
    <col min="14612" max="14612" width="10.140625" style="997" customWidth="1"/>
    <col min="14613" max="14848" width="9.140625" style="997"/>
    <col min="14849" max="14851" width="4.7109375" style="997" customWidth="1"/>
    <col min="14852" max="14852" width="9" style="997" customWidth="1"/>
    <col min="14853" max="14853" width="47.28515625" style="997" customWidth="1"/>
    <col min="14854" max="14854" width="11.5703125" style="997" customWidth="1"/>
    <col min="14855" max="14856" width="13.5703125" style="997" customWidth="1"/>
    <col min="14857" max="14857" width="7.42578125" style="997" customWidth="1"/>
    <col min="14858" max="14863" width="0" style="997" hidden="1" customWidth="1"/>
    <col min="14864" max="14864" width="2.28515625" style="997" customWidth="1"/>
    <col min="14865" max="14865" width="9.140625" style="997"/>
    <col min="14866" max="14866" width="9.7109375" style="997" customWidth="1"/>
    <col min="14867" max="14867" width="9.5703125" style="997" customWidth="1"/>
    <col min="14868" max="14868" width="10.140625" style="997" customWidth="1"/>
    <col min="14869" max="15104" width="9.140625" style="997"/>
    <col min="15105" max="15107" width="4.7109375" style="997" customWidth="1"/>
    <col min="15108" max="15108" width="9" style="997" customWidth="1"/>
    <col min="15109" max="15109" width="47.28515625" style="997" customWidth="1"/>
    <col min="15110" max="15110" width="11.5703125" style="997" customWidth="1"/>
    <col min="15111" max="15112" width="13.5703125" style="997" customWidth="1"/>
    <col min="15113" max="15113" width="7.42578125" style="997" customWidth="1"/>
    <col min="15114" max="15119" width="0" style="997" hidden="1" customWidth="1"/>
    <col min="15120" max="15120" width="2.28515625" style="997" customWidth="1"/>
    <col min="15121" max="15121" width="9.140625" style="997"/>
    <col min="15122" max="15122" width="9.7109375" style="997" customWidth="1"/>
    <col min="15123" max="15123" width="9.5703125" style="997" customWidth="1"/>
    <col min="15124" max="15124" width="10.140625" style="997" customWidth="1"/>
    <col min="15125" max="15360" width="9.140625" style="997"/>
    <col min="15361" max="15363" width="4.7109375" style="997" customWidth="1"/>
    <col min="15364" max="15364" width="9" style="997" customWidth="1"/>
    <col min="15365" max="15365" width="47.28515625" style="997" customWidth="1"/>
    <col min="15366" max="15366" width="11.5703125" style="997" customWidth="1"/>
    <col min="15367" max="15368" width="13.5703125" style="997" customWidth="1"/>
    <col min="15369" max="15369" width="7.42578125" style="997" customWidth="1"/>
    <col min="15370" max="15375" width="0" style="997" hidden="1" customWidth="1"/>
    <col min="15376" max="15376" width="2.28515625" style="997" customWidth="1"/>
    <col min="15377" max="15377" width="9.140625" style="997"/>
    <col min="15378" max="15378" width="9.7109375" style="997" customWidth="1"/>
    <col min="15379" max="15379" width="9.5703125" style="997" customWidth="1"/>
    <col min="15380" max="15380" width="10.140625" style="997" customWidth="1"/>
    <col min="15381" max="15616" width="9.140625" style="997"/>
    <col min="15617" max="15619" width="4.7109375" style="997" customWidth="1"/>
    <col min="15620" max="15620" width="9" style="997" customWidth="1"/>
    <col min="15621" max="15621" width="47.28515625" style="997" customWidth="1"/>
    <col min="15622" max="15622" width="11.5703125" style="997" customWidth="1"/>
    <col min="15623" max="15624" width="13.5703125" style="997" customWidth="1"/>
    <col min="15625" max="15625" width="7.42578125" style="997" customWidth="1"/>
    <col min="15626" max="15631" width="0" style="997" hidden="1" customWidth="1"/>
    <col min="15632" max="15632" width="2.28515625" style="997" customWidth="1"/>
    <col min="15633" max="15633" width="9.140625" style="997"/>
    <col min="15634" max="15634" width="9.7109375" style="997" customWidth="1"/>
    <col min="15635" max="15635" width="9.5703125" style="997" customWidth="1"/>
    <col min="15636" max="15636" width="10.140625" style="997" customWidth="1"/>
    <col min="15637" max="15872" width="9.140625" style="997"/>
    <col min="15873" max="15875" width="4.7109375" style="997" customWidth="1"/>
    <col min="15876" max="15876" width="9" style="997" customWidth="1"/>
    <col min="15877" max="15877" width="47.28515625" style="997" customWidth="1"/>
    <col min="15878" max="15878" width="11.5703125" style="997" customWidth="1"/>
    <col min="15879" max="15880" width="13.5703125" style="997" customWidth="1"/>
    <col min="15881" max="15881" width="7.42578125" style="997" customWidth="1"/>
    <col min="15882" max="15887" width="0" style="997" hidden="1" customWidth="1"/>
    <col min="15888" max="15888" width="2.28515625" style="997" customWidth="1"/>
    <col min="15889" max="15889" width="9.140625" style="997"/>
    <col min="15890" max="15890" width="9.7109375" style="997" customWidth="1"/>
    <col min="15891" max="15891" width="9.5703125" style="997" customWidth="1"/>
    <col min="15892" max="15892" width="10.140625" style="997" customWidth="1"/>
    <col min="15893" max="16128" width="9.140625" style="997"/>
    <col min="16129" max="16131" width="4.7109375" style="997" customWidth="1"/>
    <col min="16132" max="16132" width="9" style="997" customWidth="1"/>
    <col min="16133" max="16133" width="47.28515625" style="997" customWidth="1"/>
    <col min="16134" max="16134" width="11.5703125" style="997" customWidth="1"/>
    <col min="16135" max="16136" width="13.5703125" style="997" customWidth="1"/>
    <col min="16137" max="16137" width="7.42578125" style="997" customWidth="1"/>
    <col min="16138" max="16143" width="0" style="997" hidden="1" customWidth="1"/>
    <col min="16144" max="16144" width="2.28515625" style="997" customWidth="1"/>
    <col min="16145" max="16145" width="9.140625" style="997"/>
    <col min="16146" max="16146" width="9.7109375" style="997" customWidth="1"/>
    <col min="16147" max="16147" width="9.5703125" style="997" customWidth="1"/>
    <col min="16148" max="16148" width="10.140625" style="997" customWidth="1"/>
    <col min="16149" max="16384" width="9.140625" style="997"/>
  </cols>
  <sheetData>
    <row r="1" spans="1:20" ht="18.75" thickBot="1" x14ac:dyDescent="0.3">
      <c r="A1" s="1082" t="s">
        <v>991</v>
      </c>
      <c r="B1" s="1081"/>
      <c r="C1" s="2182"/>
      <c r="D1" s="2181"/>
      <c r="E1" s="2010"/>
      <c r="F1" s="1079"/>
      <c r="G1" s="1078" t="s">
        <v>990</v>
      </c>
      <c r="J1" s="1052"/>
    </row>
    <row r="2" spans="1:20" ht="12.75" customHeight="1" x14ac:dyDescent="0.25">
      <c r="B2" s="1075"/>
      <c r="C2" s="1056"/>
      <c r="D2" s="2180"/>
      <c r="E2" s="1074"/>
      <c r="F2" s="1053"/>
      <c r="G2" s="1053"/>
      <c r="H2" s="2179"/>
      <c r="I2" s="2129"/>
      <c r="J2" s="1052"/>
    </row>
    <row r="3" spans="1:20" ht="12.75" customHeight="1" x14ac:dyDescent="0.2">
      <c r="A3" s="1077" t="s">
        <v>201</v>
      </c>
      <c r="B3" s="1056"/>
      <c r="C3" s="2005" t="s">
        <v>948</v>
      </c>
      <c r="D3" s="1076"/>
      <c r="E3" s="1053"/>
      <c r="F3" s="2179"/>
      <c r="G3" s="2130"/>
      <c r="H3" s="2130"/>
    </row>
    <row r="4" spans="1:20" ht="12.75" customHeight="1" x14ac:dyDescent="0.25">
      <c r="A4" s="1075"/>
      <c r="B4" s="1056"/>
      <c r="C4" s="1697" t="s">
        <v>989</v>
      </c>
      <c r="D4" s="1002"/>
      <c r="E4" s="1053"/>
      <c r="F4" s="2179"/>
      <c r="G4" s="2130"/>
      <c r="H4" s="2130"/>
    </row>
    <row r="5" spans="1:20" ht="12.75" customHeight="1" x14ac:dyDescent="0.25">
      <c r="A5" s="1075"/>
      <c r="B5" s="1056"/>
      <c r="C5" s="1933"/>
      <c r="D5" s="1002"/>
      <c r="E5" s="1053"/>
      <c r="F5" s="2179"/>
      <c r="G5" s="2130"/>
      <c r="H5" s="2130"/>
    </row>
    <row r="6" spans="1:20" ht="12.75" customHeight="1" x14ac:dyDescent="0.25">
      <c r="B6" s="1075"/>
      <c r="C6" s="1056"/>
      <c r="D6" s="2180"/>
      <c r="E6" s="1074"/>
      <c r="F6" s="1053"/>
      <c r="G6" s="1053"/>
      <c r="H6" s="2179"/>
      <c r="I6" s="2129"/>
      <c r="J6" s="1052"/>
    </row>
    <row r="7" spans="1:20" ht="18" x14ac:dyDescent="0.25">
      <c r="A7" s="1057" t="s">
        <v>323</v>
      </c>
      <c r="B7" s="1057"/>
      <c r="C7" s="1056"/>
      <c r="D7" s="2180"/>
      <c r="E7" s="1074"/>
      <c r="F7" s="1053"/>
      <c r="G7" s="1053"/>
      <c r="H7" s="2179"/>
      <c r="I7" s="2129"/>
      <c r="J7" s="1052"/>
    </row>
    <row r="8" spans="1:20" ht="18" x14ac:dyDescent="0.25">
      <c r="A8" s="1057"/>
      <c r="B8" s="1057"/>
      <c r="C8" s="1056"/>
      <c r="D8" s="2180"/>
      <c r="E8" s="1074"/>
      <c r="F8" s="1053"/>
      <c r="G8" s="1053"/>
      <c r="H8" s="2179"/>
      <c r="I8" s="2129"/>
      <c r="J8" s="1052"/>
    </row>
    <row r="9" spans="1:20" ht="18" x14ac:dyDescent="0.25">
      <c r="A9" s="2686" t="s">
        <v>1596</v>
      </c>
      <c r="B9" s="1057"/>
      <c r="C9" s="1056"/>
      <c r="D9" s="2180"/>
      <c r="E9" s="1074"/>
      <c r="F9" s="1053"/>
      <c r="G9" s="1053"/>
      <c r="H9" s="2179"/>
      <c r="I9" s="2129"/>
      <c r="J9" s="1052"/>
    </row>
    <row r="10" spans="1:20" ht="13.5" thickBot="1" x14ac:dyDescent="0.25">
      <c r="A10" s="1719" t="s">
        <v>1536</v>
      </c>
      <c r="B10" s="1050"/>
      <c r="C10" s="1050"/>
      <c r="D10" s="2178"/>
      <c r="E10" s="1070"/>
      <c r="H10" s="1048"/>
      <c r="I10" s="2071" t="s">
        <v>92</v>
      </c>
    </row>
    <row r="11" spans="1:20" s="1043" customFormat="1" ht="14.25" customHeight="1" thickTop="1" thickBot="1" x14ac:dyDescent="0.25">
      <c r="A11" s="1047" t="s">
        <v>324</v>
      </c>
      <c r="B11" s="1044" t="s">
        <v>93</v>
      </c>
      <c r="C11" s="1046" t="s">
        <v>94</v>
      </c>
      <c r="D11" s="1069" t="s">
        <v>364</v>
      </c>
      <c r="E11" s="1069" t="s">
        <v>95</v>
      </c>
      <c r="F11" s="1069" t="s">
        <v>328</v>
      </c>
      <c r="G11" s="1069" t="s">
        <v>329</v>
      </c>
      <c r="H11" s="1749" t="s">
        <v>448</v>
      </c>
      <c r="I11" s="1784" t="s">
        <v>449</v>
      </c>
      <c r="R11" s="2689"/>
      <c r="S11" s="2689"/>
      <c r="T11" s="2689"/>
    </row>
    <row r="12" spans="1:20" s="1037" customFormat="1" ht="13.5" thickTop="1" thickBot="1" x14ac:dyDescent="0.25">
      <c r="A12" s="1042">
        <v>1</v>
      </c>
      <c r="B12" s="1041">
        <v>2</v>
      </c>
      <c r="C12" s="1041">
        <v>3</v>
      </c>
      <c r="D12" s="1041">
        <v>4</v>
      </c>
      <c r="E12" s="1041">
        <v>5</v>
      </c>
      <c r="F12" s="1040">
        <v>6</v>
      </c>
      <c r="G12" s="1040">
        <v>7</v>
      </c>
      <c r="H12" s="1164">
        <v>8</v>
      </c>
      <c r="I12" s="1039" t="s">
        <v>393</v>
      </c>
      <c r="R12" s="2690"/>
      <c r="S12" s="2690"/>
      <c r="T12" s="2690"/>
    </row>
    <row r="13" spans="1:20" ht="20.25" customHeight="1" thickTop="1" x14ac:dyDescent="0.25">
      <c r="A13" s="2138"/>
      <c r="B13" s="2137">
        <v>6409</v>
      </c>
      <c r="C13" s="2137">
        <v>5331</v>
      </c>
      <c r="D13" s="2136"/>
      <c r="E13" s="2135" t="s">
        <v>481</v>
      </c>
      <c r="F13" s="2134">
        <f>F14+F15+F16</f>
        <v>50000</v>
      </c>
      <c r="G13" s="2134">
        <f>G14+G15+G16</f>
        <v>0</v>
      </c>
      <c r="H13" s="2134">
        <f>H14+H15+H16</f>
        <v>0</v>
      </c>
      <c r="I13" s="2133">
        <v>0</v>
      </c>
    </row>
    <row r="14" spans="1:20" ht="15" thickBot="1" x14ac:dyDescent="0.25">
      <c r="A14" s="2080"/>
      <c r="B14" s="2079"/>
      <c r="C14" s="2079"/>
      <c r="D14" s="1744" t="s">
        <v>1417</v>
      </c>
      <c r="E14" s="2082" t="s">
        <v>1536</v>
      </c>
      <c r="F14" s="2077">
        <v>50000</v>
      </c>
      <c r="G14" s="2077">
        <v>0</v>
      </c>
      <c r="H14" s="2077">
        <v>0</v>
      </c>
      <c r="I14" s="2076">
        <v>0</v>
      </c>
    </row>
    <row r="15" spans="1:20" ht="14.25" hidden="1" x14ac:dyDescent="0.2">
      <c r="A15" s="2080"/>
      <c r="B15" s="2079"/>
      <c r="C15" s="2079"/>
      <c r="D15" s="1738"/>
      <c r="E15" s="2078"/>
      <c r="F15" s="2077"/>
      <c r="G15" s="2077"/>
      <c r="H15" s="2077"/>
      <c r="I15" s="2076" t="e">
        <f>(H15/G15)*100</f>
        <v>#DIV/0!</v>
      </c>
    </row>
    <row r="16" spans="1:20" ht="15" hidden="1" thickBot="1" x14ac:dyDescent="0.25">
      <c r="A16" s="2080"/>
      <c r="B16" s="2093"/>
      <c r="C16" s="2093"/>
      <c r="D16" s="1738"/>
      <c r="E16" s="2140"/>
      <c r="F16" s="2091"/>
      <c r="G16" s="2091"/>
      <c r="H16" s="2091"/>
      <c r="I16" s="2076" t="e">
        <f>(H16/G16)*100</f>
        <v>#DIV/0!</v>
      </c>
    </row>
    <row r="17" spans="1:20" ht="17.25" thickTop="1" thickBot="1" x14ac:dyDescent="0.3">
      <c r="A17" s="3301" t="s">
        <v>522</v>
      </c>
      <c r="B17" s="3302"/>
      <c r="C17" s="3302"/>
      <c r="D17" s="3302"/>
      <c r="E17" s="3302"/>
      <c r="F17" s="2177">
        <f>SUM(F13)</f>
        <v>50000</v>
      </c>
      <c r="G17" s="2177">
        <f>G13</f>
        <v>0</v>
      </c>
      <c r="H17" s="2177">
        <f>H13</f>
        <v>0</v>
      </c>
      <c r="I17" s="2176">
        <v>0</v>
      </c>
      <c r="R17" s="2691">
        <f>F17</f>
        <v>50000</v>
      </c>
      <c r="S17" s="2691">
        <f>G17</f>
        <v>0</v>
      </c>
      <c r="T17" s="2691">
        <f>H17</f>
        <v>0</v>
      </c>
    </row>
    <row r="18" spans="1:20" ht="18.75" thickTop="1" x14ac:dyDescent="0.25">
      <c r="A18" s="1057"/>
      <c r="B18" s="1057"/>
      <c r="C18" s="1056"/>
      <c r="D18" s="2180"/>
      <c r="E18" s="1074"/>
      <c r="F18" s="1053"/>
      <c r="G18" s="1053"/>
      <c r="H18" s="2179"/>
      <c r="I18" s="2129"/>
      <c r="J18" s="1052"/>
    </row>
    <row r="19" spans="1:20" ht="18" hidden="1" x14ac:dyDescent="0.25">
      <c r="A19" s="1057"/>
      <c r="B19" s="1057"/>
      <c r="C19" s="1056"/>
      <c r="D19" s="2180"/>
      <c r="E19" s="1074"/>
      <c r="F19" s="1053"/>
      <c r="G19" s="1053"/>
      <c r="H19" s="2179"/>
      <c r="I19" s="2129"/>
      <c r="J19" s="1052"/>
    </row>
    <row r="20" spans="1:20" ht="13.5" thickBot="1" x14ac:dyDescent="0.25">
      <c r="A20" s="1719" t="s">
        <v>475</v>
      </c>
      <c r="B20" s="1050"/>
      <c r="C20" s="1050"/>
      <c r="D20" s="2178"/>
      <c r="E20" s="1070"/>
      <c r="H20" s="1048"/>
      <c r="I20" s="2071" t="s">
        <v>92</v>
      </c>
    </row>
    <row r="21" spans="1:20" s="1043" customFormat="1" ht="14.25" customHeight="1" thickTop="1" thickBot="1" x14ac:dyDescent="0.25">
      <c r="A21" s="1047" t="s">
        <v>324</v>
      </c>
      <c r="B21" s="1044" t="s">
        <v>93</v>
      </c>
      <c r="C21" s="1046" t="s">
        <v>94</v>
      </c>
      <c r="D21" s="1069" t="s">
        <v>364</v>
      </c>
      <c r="E21" s="1069" t="s">
        <v>95</v>
      </c>
      <c r="F21" s="1069" t="s">
        <v>328</v>
      </c>
      <c r="G21" s="1069" t="s">
        <v>329</v>
      </c>
      <c r="H21" s="1749" t="s">
        <v>448</v>
      </c>
      <c r="I21" s="1784" t="s">
        <v>449</v>
      </c>
      <c r="R21" s="2689"/>
      <c r="S21" s="2689"/>
      <c r="T21" s="2689"/>
    </row>
    <row r="22" spans="1:20" s="1037" customFormat="1" ht="13.5" thickTop="1" thickBot="1" x14ac:dyDescent="0.25">
      <c r="A22" s="1042">
        <v>1</v>
      </c>
      <c r="B22" s="1041">
        <v>2</v>
      </c>
      <c r="C22" s="1041">
        <v>3</v>
      </c>
      <c r="D22" s="1041">
        <v>4</v>
      </c>
      <c r="E22" s="1041">
        <v>5</v>
      </c>
      <c r="F22" s="1040">
        <v>6</v>
      </c>
      <c r="G22" s="1040">
        <v>7</v>
      </c>
      <c r="H22" s="1164">
        <v>8</v>
      </c>
      <c r="I22" s="1039" t="s">
        <v>393</v>
      </c>
      <c r="R22" s="2690"/>
      <c r="S22" s="2690"/>
      <c r="T22" s="2690"/>
    </row>
    <row r="23" spans="1:20" ht="20.25" customHeight="1" thickTop="1" x14ac:dyDescent="0.25">
      <c r="A23" s="2138">
        <v>1001</v>
      </c>
      <c r="B23" s="2137">
        <v>3112</v>
      </c>
      <c r="C23" s="2137">
        <v>5331</v>
      </c>
      <c r="D23" s="2136"/>
      <c r="E23" s="2135" t="s">
        <v>481</v>
      </c>
      <c r="F23" s="2134">
        <f>F25+F26+F27+F24</f>
        <v>557</v>
      </c>
      <c r="G23" s="2134">
        <f t="shared" ref="G23:H23" si="0">G25+G26+G27+G24</f>
        <v>654</v>
      </c>
      <c r="H23" s="2134">
        <f t="shared" si="0"/>
        <v>654</v>
      </c>
      <c r="I23" s="2133">
        <f t="shared" ref="I23:I28" si="1">(H23/G23)*100</f>
        <v>100</v>
      </c>
    </row>
    <row r="24" spans="1:20" ht="27" customHeight="1" x14ac:dyDescent="0.2">
      <c r="A24" s="2080"/>
      <c r="B24" s="2079"/>
      <c r="C24" s="2079"/>
      <c r="D24" s="2634" t="s">
        <v>972</v>
      </c>
      <c r="E24" s="2951" t="s">
        <v>1540</v>
      </c>
      <c r="F24" s="2148">
        <v>0</v>
      </c>
      <c r="G24" s="2148">
        <v>97</v>
      </c>
      <c r="H24" s="2148">
        <v>97</v>
      </c>
      <c r="I24" s="2147">
        <f t="shared" si="1"/>
        <v>100</v>
      </c>
    </row>
    <row r="25" spans="1:20" ht="14.25" x14ac:dyDescent="0.2">
      <c r="A25" s="2080"/>
      <c r="B25" s="2079"/>
      <c r="C25" s="2079"/>
      <c r="D25" s="1744" t="s">
        <v>1394</v>
      </c>
      <c r="E25" s="2082" t="s">
        <v>1537</v>
      </c>
      <c r="F25" s="2077">
        <v>510</v>
      </c>
      <c r="G25" s="2077">
        <v>510</v>
      </c>
      <c r="H25" s="2077">
        <v>510</v>
      </c>
      <c r="I25" s="2076">
        <f t="shared" si="1"/>
        <v>100</v>
      </c>
    </row>
    <row r="26" spans="1:20" ht="15" thickBot="1" x14ac:dyDescent="0.25">
      <c r="A26" s="2080"/>
      <c r="B26" s="2079"/>
      <c r="C26" s="2079"/>
      <c r="D26" s="1738" t="s">
        <v>993</v>
      </c>
      <c r="E26" s="2078" t="s">
        <v>1538</v>
      </c>
      <c r="F26" s="2077">
        <v>47</v>
      </c>
      <c r="G26" s="2077">
        <v>47</v>
      </c>
      <c r="H26" s="2077">
        <v>47</v>
      </c>
      <c r="I26" s="2076">
        <f t="shared" si="1"/>
        <v>100</v>
      </c>
    </row>
    <row r="27" spans="1:20" ht="15" hidden="1" thickBot="1" x14ac:dyDescent="0.25">
      <c r="A27" s="2080"/>
      <c r="B27" s="2093"/>
      <c r="C27" s="2093"/>
      <c r="D27" s="1738" t="s">
        <v>1395</v>
      </c>
      <c r="E27" s="2140" t="s">
        <v>1539</v>
      </c>
      <c r="F27" s="2091"/>
      <c r="G27" s="2091"/>
      <c r="H27" s="2091"/>
      <c r="I27" s="2076" t="e">
        <f t="shared" si="1"/>
        <v>#DIV/0!</v>
      </c>
    </row>
    <row r="28" spans="1:20" ht="17.25" thickTop="1" thickBot="1" x14ac:dyDescent="0.3">
      <c r="A28" s="3301" t="s">
        <v>522</v>
      </c>
      <c r="B28" s="3302"/>
      <c r="C28" s="3302"/>
      <c r="D28" s="3302"/>
      <c r="E28" s="3302"/>
      <c r="F28" s="2177">
        <f>SUM(F23)</f>
        <v>557</v>
      </c>
      <c r="G28" s="2177">
        <f>G23</f>
        <v>654</v>
      </c>
      <c r="H28" s="2177">
        <f>H23</f>
        <v>654</v>
      </c>
      <c r="I28" s="2176">
        <f t="shared" si="1"/>
        <v>100</v>
      </c>
      <c r="R28" s="2691">
        <f>F28</f>
        <v>557</v>
      </c>
      <c r="S28" s="2691">
        <f>G28</f>
        <v>654</v>
      </c>
      <c r="T28" s="2691">
        <f>H28</f>
        <v>654</v>
      </c>
    </row>
    <row r="29" spans="1:20" ht="13.5" thickTop="1" x14ac:dyDescent="0.2"/>
    <row r="31" spans="1:20" hidden="1" x14ac:dyDescent="0.2"/>
    <row r="32" spans="1:20" ht="13.5" hidden="1" thickBot="1" x14ac:dyDescent="0.25">
      <c r="A32" s="1719" t="s">
        <v>384</v>
      </c>
      <c r="I32" s="2071" t="s">
        <v>92</v>
      </c>
    </row>
    <row r="33" spans="1:20" s="1043" customFormat="1" hidden="1" thickTop="1" thickBot="1" x14ac:dyDescent="0.25">
      <c r="A33" s="1047" t="s">
        <v>324</v>
      </c>
      <c r="B33" s="1044" t="s">
        <v>93</v>
      </c>
      <c r="C33" s="1046" t="s">
        <v>94</v>
      </c>
      <c r="D33" s="1069" t="s">
        <v>364</v>
      </c>
      <c r="E33" s="1069" t="s">
        <v>95</v>
      </c>
      <c r="F33" s="1069" t="s">
        <v>328</v>
      </c>
      <c r="G33" s="1069" t="s">
        <v>329</v>
      </c>
      <c r="H33" s="1749" t="s">
        <v>448</v>
      </c>
      <c r="I33" s="1784" t="s">
        <v>449</v>
      </c>
      <c r="R33" s="2689"/>
      <c r="S33" s="2689"/>
      <c r="T33" s="2689"/>
    </row>
    <row r="34" spans="1:20" s="1037" customFormat="1" ht="13.5" hidden="1" thickTop="1" thickBot="1" x14ac:dyDescent="0.25">
      <c r="A34" s="1042">
        <v>1</v>
      </c>
      <c r="B34" s="1041">
        <v>2</v>
      </c>
      <c r="C34" s="1041">
        <v>3</v>
      </c>
      <c r="D34" s="1041">
        <v>4</v>
      </c>
      <c r="E34" s="1041">
        <v>5</v>
      </c>
      <c r="F34" s="1040">
        <v>6</v>
      </c>
      <c r="G34" s="1040">
        <v>7</v>
      </c>
      <c r="H34" s="1164">
        <v>8</v>
      </c>
      <c r="I34" s="1039" t="s">
        <v>393</v>
      </c>
      <c r="R34" s="2690"/>
      <c r="S34" s="2690"/>
      <c r="T34" s="2690"/>
    </row>
    <row r="35" spans="1:20" ht="15.75" hidden="1" thickTop="1" x14ac:dyDescent="0.25">
      <c r="A35" s="2080">
        <v>1010</v>
      </c>
      <c r="B35" s="2093">
        <v>3114</v>
      </c>
      <c r="C35" s="2092">
        <v>5331</v>
      </c>
      <c r="D35" s="2111"/>
      <c r="E35" s="1739" t="s">
        <v>481</v>
      </c>
      <c r="F35" s="2106">
        <f>F36</f>
        <v>0</v>
      </c>
      <c r="G35" s="2106">
        <f t="shared" ref="G35:H35" si="2">G36</f>
        <v>0</v>
      </c>
      <c r="H35" s="2106">
        <f t="shared" si="2"/>
        <v>0</v>
      </c>
      <c r="I35" s="2105" t="e">
        <f>(H35/G35)*100</f>
        <v>#DIV/0!</v>
      </c>
    </row>
    <row r="36" spans="1:20" ht="15" hidden="1" thickBot="1" x14ac:dyDescent="0.25">
      <c r="A36" s="2080"/>
      <c r="B36" s="2079"/>
      <c r="C36" s="1743"/>
      <c r="D36" s="2630" t="s">
        <v>1394</v>
      </c>
      <c r="E36" s="923" t="s">
        <v>1537</v>
      </c>
      <c r="F36" s="2077"/>
      <c r="G36" s="2077"/>
      <c r="H36" s="2077"/>
      <c r="I36" s="2076" t="e">
        <f>(H36/G36)*100</f>
        <v>#DIV/0!</v>
      </c>
    </row>
    <row r="37" spans="1:20" ht="15.75" hidden="1" customHeight="1" thickTop="1" thickBot="1" x14ac:dyDescent="0.3">
      <c r="A37" s="3301" t="s">
        <v>522</v>
      </c>
      <c r="B37" s="3302"/>
      <c r="C37" s="3302"/>
      <c r="D37" s="3302"/>
      <c r="E37" s="3302"/>
      <c r="F37" s="2075">
        <f>F35</f>
        <v>0</v>
      </c>
      <c r="G37" s="2075">
        <f>G35</f>
        <v>0</v>
      </c>
      <c r="H37" s="2075">
        <f>H35</f>
        <v>0</v>
      </c>
      <c r="I37" s="2074" t="e">
        <f>(H37/G37)*100</f>
        <v>#DIV/0!</v>
      </c>
      <c r="R37" s="2691">
        <f>F37</f>
        <v>0</v>
      </c>
      <c r="S37" s="2691">
        <f>G37</f>
        <v>0</v>
      </c>
      <c r="T37" s="2691">
        <f>H37</f>
        <v>0</v>
      </c>
    </row>
    <row r="38" spans="1:20" ht="15.75" hidden="1" customHeight="1" thickTop="1" x14ac:dyDescent="0.25">
      <c r="A38" s="1137"/>
      <c r="B38" s="1137"/>
      <c r="C38" s="1137"/>
      <c r="D38" s="1137"/>
      <c r="E38" s="1137"/>
      <c r="F38" s="2073"/>
      <c r="G38" s="2073"/>
      <c r="H38" s="2073"/>
      <c r="I38" s="2072"/>
      <c r="R38" s="2691"/>
      <c r="S38" s="2691"/>
      <c r="T38" s="2691"/>
    </row>
    <row r="39" spans="1:20" ht="15.75" hidden="1" customHeight="1" x14ac:dyDescent="0.25">
      <c r="A39" s="1137"/>
      <c r="B39" s="1137"/>
      <c r="C39" s="1137"/>
      <c r="D39" s="1137"/>
      <c r="E39" s="1137"/>
      <c r="F39" s="2073"/>
      <c r="G39" s="2073"/>
      <c r="H39" s="2073"/>
      <c r="I39" s="2072"/>
      <c r="R39" s="2691"/>
      <c r="S39" s="2691"/>
      <c r="T39" s="2691"/>
    </row>
    <row r="40" spans="1:20" ht="15.75" hidden="1" customHeight="1" x14ac:dyDescent="0.25">
      <c r="A40" s="1137"/>
      <c r="B40" s="1137"/>
      <c r="C40" s="1137"/>
      <c r="D40" s="1137"/>
      <c r="E40" s="1137"/>
      <c r="F40" s="2073"/>
      <c r="G40" s="2073"/>
      <c r="H40" s="2073"/>
      <c r="I40" s="2072"/>
      <c r="R40" s="2691"/>
      <c r="S40" s="2691"/>
      <c r="T40" s="2691"/>
    </row>
    <row r="41" spans="1:20" ht="13.5" thickBot="1" x14ac:dyDescent="0.25">
      <c r="A41" s="1719" t="s">
        <v>409</v>
      </c>
      <c r="I41" s="2071" t="s">
        <v>92</v>
      </c>
    </row>
    <row r="42" spans="1:20" s="1043" customFormat="1" ht="20.25" customHeight="1" thickTop="1" thickBot="1" x14ac:dyDescent="0.25">
      <c r="A42" s="1047" t="s">
        <v>324</v>
      </c>
      <c r="B42" s="1044" t="s">
        <v>93</v>
      </c>
      <c r="C42" s="1046" t="s">
        <v>94</v>
      </c>
      <c r="D42" s="1069" t="s">
        <v>364</v>
      </c>
      <c r="E42" s="1069" t="s">
        <v>95</v>
      </c>
      <c r="F42" s="1069" t="s">
        <v>328</v>
      </c>
      <c r="G42" s="1069" t="s">
        <v>329</v>
      </c>
      <c r="H42" s="1749" t="s">
        <v>448</v>
      </c>
      <c r="I42" s="1784" t="s">
        <v>449</v>
      </c>
      <c r="R42" s="2689"/>
      <c r="S42" s="2689"/>
      <c r="T42" s="2689"/>
    </row>
    <row r="43" spans="1:20" s="1037" customFormat="1" ht="13.5" thickTop="1" thickBot="1" x14ac:dyDescent="0.25">
      <c r="A43" s="1042">
        <v>1</v>
      </c>
      <c r="B43" s="1041">
        <v>2</v>
      </c>
      <c r="C43" s="1041">
        <v>3</v>
      </c>
      <c r="D43" s="1041">
        <v>4</v>
      </c>
      <c r="E43" s="1041">
        <v>5</v>
      </c>
      <c r="F43" s="1040">
        <v>6</v>
      </c>
      <c r="G43" s="1040">
        <v>7</v>
      </c>
      <c r="H43" s="1164">
        <v>8</v>
      </c>
      <c r="I43" s="1039" t="s">
        <v>393</v>
      </c>
      <c r="R43" s="2690"/>
      <c r="S43" s="2690"/>
      <c r="T43" s="2690"/>
    </row>
    <row r="44" spans="1:20" ht="15.75" thickTop="1" x14ac:dyDescent="0.25">
      <c r="A44" s="2080">
        <v>1012</v>
      </c>
      <c r="B44" s="2079">
        <v>3114</v>
      </c>
      <c r="C44" s="2079">
        <v>5331</v>
      </c>
      <c r="D44" s="2099"/>
      <c r="E44" s="1739" t="s">
        <v>481</v>
      </c>
      <c r="F44" s="2106">
        <f>F45+F46+F47+F48+F49</f>
        <v>4652</v>
      </c>
      <c r="G44" s="2106">
        <f>G45+G46+G47+G48+G49</f>
        <v>4702</v>
      </c>
      <c r="H44" s="2106">
        <f>H45+H46+H47+H48+H49</f>
        <v>4702</v>
      </c>
      <c r="I44" s="2098">
        <f t="shared" ref="I44:I50" si="3">(H44/G44)*100</f>
        <v>100</v>
      </c>
    </row>
    <row r="45" spans="1:20" ht="14.25" x14ac:dyDescent="0.2">
      <c r="A45" s="2080"/>
      <c r="B45" s="2079"/>
      <c r="C45" s="2079"/>
      <c r="D45" s="2630" t="s">
        <v>1394</v>
      </c>
      <c r="E45" s="923" t="s">
        <v>1537</v>
      </c>
      <c r="F45" s="2077">
        <v>3841</v>
      </c>
      <c r="G45" s="2077">
        <v>3841</v>
      </c>
      <c r="H45" s="2077">
        <v>3841</v>
      </c>
      <c r="I45" s="2076">
        <f t="shared" si="3"/>
        <v>100</v>
      </c>
    </row>
    <row r="46" spans="1:20" ht="15" thickBot="1" x14ac:dyDescent="0.25">
      <c r="A46" s="2080"/>
      <c r="B46" s="2079"/>
      <c r="C46" s="2079"/>
      <c r="D46" s="811" t="s">
        <v>993</v>
      </c>
      <c r="E46" s="2627" t="s">
        <v>1538</v>
      </c>
      <c r="F46" s="2145">
        <v>811</v>
      </c>
      <c r="G46" s="2077">
        <v>861</v>
      </c>
      <c r="H46" s="2077">
        <v>861</v>
      </c>
      <c r="I46" s="2144">
        <f t="shared" si="3"/>
        <v>100</v>
      </c>
    </row>
    <row r="47" spans="1:20" ht="14.25" hidden="1" x14ac:dyDescent="0.2">
      <c r="A47" s="2080"/>
      <c r="B47" s="2079"/>
      <c r="C47" s="1743"/>
      <c r="D47" s="1738"/>
      <c r="E47" s="2078"/>
      <c r="F47" s="2077"/>
      <c r="G47" s="2077"/>
      <c r="H47" s="2077"/>
      <c r="I47" s="2076" t="e">
        <f t="shared" si="3"/>
        <v>#DIV/0!</v>
      </c>
    </row>
    <row r="48" spans="1:20" ht="14.25" hidden="1" x14ac:dyDescent="0.2">
      <c r="A48" s="2080"/>
      <c r="B48" s="2093"/>
      <c r="C48" s="2092"/>
      <c r="D48" s="2124"/>
      <c r="E48" s="2078"/>
      <c r="F48" s="2091"/>
      <c r="G48" s="2091"/>
      <c r="H48" s="2091"/>
      <c r="I48" s="2090" t="e">
        <f t="shared" si="3"/>
        <v>#DIV/0!</v>
      </c>
    </row>
    <row r="49" spans="1:20" ht="15" hidden="1" thickBot="1" x14ac:dyDescent="0.25">
      <c r="A49" s="2080"/>
      <c r="B49" s="2093"/>
      <c r="C49" s="2092"/>
      <c r="D49" s="1813"/>
      <c r="E49" s="2112"/>
      <c r="F49" s="2132"/>
      <c r="G49" s="2132"/>
      <c r="H49" s="2132"/>
      <c r="I49" s="2131" t="e">
        <f t="shared" si="3"/>
        <v>#DIV/0!</v>
      </c>
    </row>
    <row r="50" spans="1:20" ht="16.5" thickTop="1" thickBot="1" x14ac:dyDescent="0.3">
      <c r="A50" s="3301" t="s">
        <v>522</v>
      </c>
      <c r="B50" s="3302"/>
      <c r="C50" s="3302"/>
      <c r="D50" s="3302"/>
      <c r="E50" s="3302"/>
      <c r="F50" s="2175">
        <f>F44</f>
        <v>4652</v>
      </c>
      <c r="G50" s="2075">
        <f>G44</f>
        <v>4702</v>
      </c>
      <c r="H50" s="2075">
        <f>H44</f>
        <v>4702</v>
      </c>
      <c r="I50" s="2174">
        <f t="shared" si="3"/>
        <v>100</v>
      </c>
      <c r="R50" s="2691">
        <f>F50</f>
        <v>4652</v>
      </c>
      <c r="S50" s="2691">
        <f>G50</f>
        <v>4702</v>
      </c>
      <c r="T50" s="2691">
        <f>H50</f>
        <v>4702</v>
      </c>
    </row>
    <row r="51" spans="1:20" ht="15.75" hidden="1" thickTop="1" x14ac:dyDescent="0.25">
      <c r="A51" s="2640">
        <v>1012</v>
      </c>
      <c r="B51" s="19">
        <v>3114</v>
      </c>
      <c r="C51" s="151">
        <v>6351</v>
      </c>
      <c r="D51" s="2641"/>
      <c r="E51" s="845" t="s">
        <v>551</v>
      </c>
      <c r="F51" s="2642">
        <f>F52</f>
        <v>0</v>
      </c>
      <c r="G51" s="2642">
        <f t="shared" ref="G51:H51" si="4">G52</f>
        <v>0</v>
      </c>
      <c r="H51" s="2642">
        <f t="shared" si="4"/>
        <v>0</v>
      </c>
      <c r="I51" s="2643">
        <v>100</v>
      </c>
    </row>
    <row r="52" spans="1:20" ht="29.25" hidden="1" thickBot="1" x14ac:dyDescent="0.25">
      <c r="A52" s="2644"/>
      <c r="B52" s="822"/>
      <c r="C52" s="2645"/>
      <c r="D52" s="2634" t="s">
        <v>972</v>
      </c>
      <c r="E52" s="2632" t="s">
        <v>1540</v>
      </c>
      <c r="F52" s="2646"/>
      <c r="G52" s="2646"/>
      <c r="H52" s="2646"/>
      <c r="I52" s="2647">
        <v>100</v>
      </c>
    </row>
    <row r="53" spans="1:20" ht="16.5" hidden="1" thickTop="1" thickBot="1" x14ac:dyDescent="0.3">
      <c r="A53" s="3241" t="s">
        <v>523</v>
      </c>
      <c r="B53" s="3242"/>
      <c r="C53" s="3242"/>
      <c r="D53" s="3242"/>
      <c r="E53" s="3243"/>
      <c r="F53" s="2648">
        <f>F51</f>
        <v>0</v>
      </c>
      <c r="G53" s="2648">
        <f t="shared" ref="G53:H53" si="5">G51</f>
        <v>0</v>
      </c>
      <c r="H53" s="2648">
        <f t="shared" si="5"/>
        <v>0</v>
      </c>
      <c r="I53" s="2649">
        <v>100</v>
      </c>
      <c r="R53" s="2691">
        <f>F53</f>
        <v>0</v>
      </c>
      <c r="S53" s="2691">
        <f t="shared" ref="S53:T53" si="6">G53</f>
        <v>0</v>
      </c>
      <c r="T53" s="2691">
        <f t="shared" si="6"/>
        <v>0</v>
      </c>
    </row>
    <row r="54" spans="1:20" ht="13.5" thickTop="1" x14ac:dyDescent="0.2">
      <c r="R54" s="2691">
        <f>R50+R53</f>
        <v>4652</v>
      </c>
      <c r="S54" s="2691">
        <f t="shared" ref="S54:T54" si="7">S50+S53</f>
        <v>4702</v>
      </c>
      <c r="T54" s="2691">
        <f t="shared" si="7"/>
        <v>4702</v>
      </c>
    </row>
    <row r="55" spans="1:20" s="1879" customFormat="1" ht="18" customHeight="1" x14ac:dyDescent="0.2">
      <c r="A55" s="2173"/>
      <c r="B55" s="2173"/>
      <c r="C55" s="2173"/>
      <c r="D55" s="2173"/>
      <c r="E55" s="2173"/>
      <c r="F55" s="2172"/>
      <c r="G55" s="2172"/>
      <c r="H55" s="2172"/>
      <c r="I55" s="2171"/>
      <c r="R55" s="2692"/>
      <c r="S55" s="2692"/>
      <c r="T55" s="2692"/>
    </row>
    <row r="56" spans="1:20" ht="13.5" thickBot="1" x14ac:dyDescent="0.25">
      <c r="A56" s="1719" t="s">
        <v>1600</v>
      </c>
      <c r="I56" s="2071" t="s">
        <v>92</v>
      </c>
    </row>
    <row r="57" spans="1:20" s="1043" customFormat="1" ht="20.25" customHeight="1" thickTop="1" thickBot="1" x14ac:dyDescent="0.25">
      <c r="A57" s="1047" t="s">
        <v>324</v>
      </c>
      <c r="B57" s="1044" t="s">
        <v>93</v>
      </c>
      <c r="C57" s="1046" t="s">
        <v>94</v>
      </c>
      <c r="D57" s="1069" t="s">
        <v>364</v>
      </c>
      <c r="E57" s="1069" t="s">
        <v>95</v>
      </c>
      <c r="F57" s="1069" t="s">
        <v>328</v>
      </c>
      <c r="G57" s="1069" t="s">
        <v>329</v>
      </c>
      <c r="H57" s="1749" t="s">
        <v>448</v>
      </c>
      <c r="I57" s="1784" t="s">
        <v>449</v>
      </c>
      <c r="R57" s="2689"/>
      <c r="S57" s="2689"/>
      <c r="T57" s="2689"/>
    </row>
    <row r="58" spans="1:20" s="1037" customFormat="1" ht="13.5" thickTop="1" thickBot="1" x14ac:dyDescent="0.25">
      <c r="A58" s="1042">
        <v>1</v>
      </c>
      <c r="B58" s="1041">
        <v>2</v>
      </c>
      <c r="C58" s="1041">
        <v>3</v>
      </c>
      <c r="D58" s="1041">
        <v>4</v>
      </c>
      <c r="E58" s="1041">
        <v>5</v>
      </c>
      <c r="F58" s="1040">
        <v>6</v>
      </c>
      <c r="G58" s="1040">
        <v>7</v>
      </c>
      <c r="H58" s="1164">
        <v>8</v>
      </c>
      <c r="I58" s="1039" t="s">
        <v>393</v>
      </c>
      <c r="R58" s="2690"/>
      <c r="S58" s="2690"/>
      <c r="T58" s="2690"/>
    </row>
    <row r="59" spans="1:20" s="1879" customFormat="1" ht="15.75" thickTop="1" x14ac:dyDescent="0.2">
      <c r="A59" s="2157">
        <v>1014</v>
      </c>
      <c r="B59" s="2156">
        <v>3114</v>
      </c>
      <c r="C59" s="2156">
        <v>5331</v>
      </c>
      <c r="D59" s="2155"/>
      <c r="E59" s="2154" t="s">
        <v>481</v>
      </c>
      <c r="F59" s="2153">
        <f>SUM(F60:F62)</f>
        <v>2613</v>
      </c>
      <c r="G59" s="2153">
        <f>SUM(G60:G62)</f>
        <v>3084</v>
      </c>
      <c r="H59" s="2153">
        <f>SUM(H60:H62)</f>
        <v>3084</v>
      </c>
      <c r="I59" s="2152">
        <f>(H59/G59)*100</f>
        <v>100</v>
      </c>
      <c r="R59" s="2692"/>
      <c r="S59" s="2692"/>
      <c r="T59" s="2692"/>
    </row>
    <row r="60" spans="1:20" ht="28.5" x14ac:dyDescent="0.2">
      <c r="A60" s="2080"/>
      <c r="B60" s="2079"/>
      <c r="C60" s="2079"/>
      <c r="D60" s="3034" t="s">
        <v>972</v>
      </c>
      <c r="E60" s="2632" t="s">
        <v>1540</v>
      </c>
      <c r="F60" s="3035">
        <v>0</v>
      </c>
      <c r="G60" s="3035">
        <v>471</v>
      </c>
      <c r="H60" s="3036">
        <v>471</v>
      </c>
      <c r="I60" s="2147">
        <f>(H60/G60)*100</f>
        <v>100</v>
      </c>
    </row>
    <row r="61" spans="1:20" ht="14.25" x14ac:dyDescent="0.2">
      <c r="A61" s="2080"/>
      <c r="B61" s="2079"/>
      <c r="C61" s="2079"/>
      <c r="D61" s="2630" t="s">
        <v>1394</v>
      </c>
      <c r="E61" s="923" t="s">
        <v>1537</v>
      </c>
      <c r="F61" s="2077">
        <v>2594</v>
      </c>
      <c r="G61" s="2077">
        <v>2594</v>
      </c>
      <c r="H61" s="2077">
        <v>2594</v>
      </c>
      <c r="I61" s="2076">
        <f>(H61/G61)*100</f>
        <v>100</v>
      </c>
    </row>
    <row r="62" spans="1:20" ht="15" thickBot="1" x14ac:dyDescent="0.25">
      <c r="A62" s="2080"/>
      <c r="B62" s="2079"/>
      <c r="C62" s="2079"/>
      <c r="D62" s="811" t="s">
        <v>993</v>
      </c>
      <c r="E62" s="2627" t="s">
        <v>1538</v>
      </c>
      <c r="F62" s="2077">
        <v>19</v>
      </c>
      <c r="G62" s="2077">
        <v>19</v>
      </c>
      <c r="H62" s="2077">
        <v>19</v>
      </c>
      <c r="I62" s="2076">
        <f>(H62/G62)*100</f>
        <v>100</v>
      </c>
    </row>
    <row r="63" spans="1:20" ht="16.5" thickTop="1" thickBot="1" x14ac:dyDescent="0.3">
      <c r="A63" s="3301" t="s">
        <v>522</v>
      </c>
      <c r="B63" s="3302"/>
      <c r="C63" s="3302"/>
      <c r="D63" s="3302"/>
      <c r="E63" s="3302"/>
      <c r="F63" s="2075">
        <f>F59</f>
        <v>2613</v>
      </c>
      <c r="G63" s="2075">
        <f>G59</f>
        <v>3084</v>
      </c>
      <c r="H63" s="2075">
        <f>H59</f>
        <v>3084</v>
      </c>
      <c r="I63" s="2074">
        <f>(H63/G63)*100</f>
        <v>100</v>
      </c>
      <c r="R63" s="2691">
        <f>F63</f>
        <v>2613</v>
      </c>
      <c r="S63" s="2691">
        <f>G63</f>
        <v>3084</v>
      </c>
      <c r="T63" s="2691">
        <f>H63</f>
        <v>3084</v>
      </c>
    </row>
    <row r="64" spans="1:20" ht="13.5" thickTop="1" x14ac:dyDescent="0.2"/>
    <row r="65" spans="1:20" hidden="1" x14ac:dyDescent="0.2"/>
    <row r="67" spans="1:20" ht="14.25" customHeight="1" thickBot="1" x14ac:dyDescent="0.25">
      <c r="A67" s="1719" t="s">
        <v>914</v>
      </c>
      <c r="I67" s="2071" t="s">
        <v>92</v>
      </c>
    </row>
    <row r="68" spans="1:20" s="1043" customFormat="1" thickTop="1" thickBot="1" x14ac:dyDescent="0.25">
      <c r="A68" s="1047" t="s">
        <v>324</v>
      </c>
      <c r="B68" s="1044" t="s">
        <v>93</v>
      </c>
      <c r="C68" s="1046" t="s">
        <v>94</v>
      </c>
      <c r="D68" s="1069" t="s">
        <v>364</v>
      </c>
      <c r="E68" s="1069" t="s">
        <v>95</v>
      </c>
      <c r="F68" s="1069" t="s">
        <v>328</v>
      </c>
      <c r="G68" s="1069" t="s">
        <v>329</v>
      </c>
      <c r="H68" s="1749" t="s">
        <v>448</v>
      </c>
      <c r="I68" s="1784" t="s">
        <v>449</v>
      </c>
      <c r="R68" s="2689"/>
      <c r="S68" s="2689"/>
      <c r="T68" s="2689"/>
    </row>
    <row r="69" spans="1:20" s="1037" customFormat="1" ht="13.5" thickTop="1" thickBot="1" x14ac:dyDescent="0.25">
      <c r="A69" s="1042">
        <v>1</v>
      </c>
      <c r="B69" s="1041">
        <v>2</v>
      </c>
      <c r="C69" s="1041">
        <v>3</v>
      </c>
      <c r="D69" s="1041">
        <v>4</v>
      </c>
      <c r="E69" s="1041">
        <v>5</v>
      </c>
      <c r="F69" s="1040">
        <v>6</v>
      </c>
      <c r="G69" s="1040">
        <v>7</v>
      </c>
      <c r="H69" s="1164">
        <v>8</v>
      </c>
      <c r="I69" s="1039" t="s">
        <v>393</v>
      </c>
      <c r="R69" s="2690"/>
      <c r="S69" s="2690"/>
      <c r="T69" s="2690"/>
    </row>
    <row r="70" spans="1:20" s="1037" customFormat="1" ht="15.75" thickTop="1" x14ac:dyDescent="0.25">
      <c r="A70" s="2138">
        <v>1015</v>
      </c>
      <c r="B70" s="2137">
        <v>3124</v>
      </c>
      <c r="C70" s="2137">
        <v>5331</v>
      </c>
      <c r="D70" s="2136"/>
      <c r="E70" s="2135" t="s">
        <v>481</v>
      </c>
      <c r="F70" s="1795">
        <f>F71+F72+F73+F74+F76+F75</f>
        <v>9177</v>
      </c>
      <c r="G70" s="1795">
        <f>G71+G72+G73+G74+G76+G75</f>
        <v>9183</v>
      </c>
      <c r="H70" s="1795">
        <f>H71+H72+H73+H74+H76+H75</f>
        <v>9183</v>
      </c>
      <c r="I70" s="2098">
        <f t="shared" ref="I70:I77" si="8">(H70/G70)*100</f>
        <v>100</v>
      </c>
      <c r="R70" s="2690"/>
      <c r="S70" s="2690"/>
      <c r="T70" s="2690"/>
    </row>
    <row r="71" spans="1:20" s="1037" customFormat="1" ht="28.5" hidden="1" x14ac:dyDescent="0.2">
      <c r="A71" s="2080"/>
      <c r="B71" s="2079"/>
      <c r="C71" s="2079"/>
      <c r="D71" s="2634" t="s">
        <v>972</v>
      </c>
      <c r="E71" s="2632" t="s">
        <v>1540</v>
      </c>
      <c r="F71" s="1794"/>
      <c r="G71" s="1794"/>
      <c r="H71" s="2170"/>
      <c r="I71" s="2076" t="e">
        <f t="shared" si="8"/>
        <v>#DIV/0!</v>
      </c>
      <c r="R71" s="2690"/>
      <c r="S71" s="2690"/>
      <c r="T71" s="2690"/>
    </row>
    <row r="72" spans="1:20" s="1037" customFormat="1" ht="14.25" x14ac:dyDescent="0.2">
      <c r="A72" s="2080"/>
      <c r="B72" s="2079"/>
      <c r="C72" s="2079"/>
      <c r="D72" s="2630" t="s">
        <v>1394</v>
      </c>
      <c r="E72" s="923" t="s">
        <v>1537</v>
      </c>
      <c r="F72" s="2077">
        <v>5210</v>
      </c>
      <c r="G72" s="2077">
        <v>5207</v>
      </c>
      <c r="H72" s="2077">
        <v>5207</v>
      </c>
      <c r="I72" s="2076">
        <f t="shared" si="8"/>
        <v>100</v>
      </c>
      <c r="R72" s="2690"/>
      <c r="S72" s="2690"/>
      <c r="T72" s="2690"/>
    </row>
    <row r="73" spans="1:20" s="1037" customFormat="1" ht="14.25" x14ac:dyDescent="0.2">
      <c r="A73" s="2080"/>
      <c r="B73" s="2079"/>
      <c r="C73" s="2079"/>
      <c r="D73" s="1738" t="s">
        <v>994</v>
      </c>
      <c r="E73" s="2078" t="s">
        <v>1541</v>
      </c>
      <c r="F73" s="1794">
        <v>30</v>
      </c>
      <c r="G73" s="1794">
        <v>33</v>
      </c>
      <c r="H73" s="2170">
        <v>33</v>
      </c>
      <c r="I73" s="2076">
        <f t="shared" si="8"/>
        <v>100</v>
      </c>
      <c r="R73" s="2690"/>
      <c r="S73" s="2690"/>
      <c r="T73" s="2690"/>
    </row>
    <row r="74" spans="1:20" s="1037" customFormat="1" ht="15" thickBot="1" x14ac:dyDescent="0.25">
      <c r="A74" s="2080"/>
      <c r="B74" s="2079"/>
      <c r="C74" s="2079"/>
      <c r="D74" s="811" t="s">
        <v>993</v>
      </c>
      <c r="E74" s="2627" t="s">
        <v>1538</v>
      </c>
      <c r="F74" s="2091">
        <v>3937</v>
      </c>
      <c r="G74" s="2091">
        <v>3943</v>
      </c>
      <c r="H74" s="2091">
        <v>3943</v>
      </c>
      <c r="I74" s="2076">
        <f t="shared" si="8"/>
        <v>100</v>
      </c>
      <c r="R74" s="2690"/>
      <c r="S74" s="2690"/>
      <c r="T74" s="2690"/>
    </row>
    <row r="75" spans="1:20" s="1037" customFormat="1" ht="14.25" hidden="1" x14ac:dyDescent="0.2">
      <c r="A75" s="2080"/>
      <c r="B75" s="2079"/>
      <c r="C75" s="2079"/>
      <c r="D75" s="811" t="s">
        <v>1395</v>
      </c>
      <c r="E75" s="2627" t="s">
        <v>1539</v>
      </c>
      <c r="F75" s="2091"/>
      <c r="G75" s="2091"/>
      <c r="H75" s="2091"/>
      <c r="I75" s="2076" t="e">
        <f t="shared" si="8"/>
        <v>#DIV/0!</v>
      </c>
      <c r="R75" s="2690"/>
      <c r="S75" s="2690"/>
      <c r="T75" s="2690"/>
    </row>
    <row r="76" spans="1:20" s="1037" customFormat="1" ht="15" hidden="1" thickBot="1" x14ac:dyDescent="0.25">
      <c r="A76" s="2080"/>
      <c r="B76" s="2079"/>
      <c r="C76" s="2079"/>
      <c r="D76" s="1813" t="s">
        <v>1397</v>
      </c>
      <c r="E76" s="2112" t="s">
        <v>1542</v>
      </c>
      <c r="F76" s="2132"/>
      <c r="G76" s="2132"/>
      <c r="H76" s="2132"/>
      <c r="I76" s="2131" t="e">
        <f t="shared" si="8"/>
        <v>#DIV/0!</v>
      </c>
      <c r="R76" s="2690"/>
      <c r="S76" s="2690"/>
      <c r="T76" s="2690"/>
    </row>
    <row r="77" spans="1:20" ht="16.5" thickTop="1" thickBot="1" x14ac:dyDescent="0.3">
      <c r="A77" s="3301" t="s">
        <v>522</v>
      </c>
      <c r="B77" s="3302"/>
      <c r="C77" s="3302"/>
      <c r="D77" s="3302"/>
      <c r="E77" s="3302"/>
      <c r="F77" s="2075">
        <f>F70</f>
        <v>9177</v>
      </c>
      <c r="G77" s="2075">
        <f>G70</f>
        <v>9183</v>
      </c>
      <c r="H77" s="2075">
        <f>H70</f>
        <v>9183</v>
      </c>
      <c r="I77" s="2074">
        <f t="shared" si="8"/>
        <v>100</v>
      </c>
      <c r="R77" s="2691">
        <f>F77</f>
        <v>9177</v>
      </c>
      <c r="S77" s="2691">
        <f>G77</f>
        <v>9183</v>
      </c>
      <c r="T77" s="2691">
        <f>H77</f>
        <v>9183</v>
      </c>
    </row>
    <row r="78" spans="1:20" ht="13.5" hidden="1" customHeight="1" thickTop="1" x14ac:dyDescent="0.25">
      <c r="A78" s="2640">
        <v>1015</v>
      </c>
      <c r="B78" s="19">
        <v>3124</v>
      </c>
      <c r="C78" s="151">
        <v>6351</v>
      </c>
      <c r="D78" s="2641"/>
      <c r="E78" s="845" t="s">
        <v>551</v>
      </c>
      <c r="F78" s="2642">
        <f>F79</f>
        <v>0</v>
      </c>
      <c r="G78" s="2642">
        <f t="shared" ref="G78:H78" si="9">G79</f>
        <v>0</v>
      </c>
      <c r="H78" s="2642">
        <f t="shared" si="9"/>
        <v>0</v>
      </c>
      <c r="I78" s="2643">
        <v>100</v>
      </c>
      <c r="R78" s="2691">
        <f>F80</f>
        <v>0</v>
      </c>
      <c r="S78" s="2691">
        <f t="shared" ref="S78:T78" si="10">G80</f>
        <v>0</v>
      </c>
      <c r="T78" s="2691">
        <f t="shared" si="10"/>
        <v>0</v>
      </c>
    </row>
    <row r="79" spans="1:20" ht="29.25" hidden="1" customHeight="1" thickBot="1" x14ac:dyDescent="0.25">
      <c r="A79" s="2644"/>
      <c r="B79" s="822"/>
      <c r="C79" s="2645"/>
      <c r="D79" s="2634" t="s">
        <v>972</v>
      </c>
      <c r="E79" s="2632" t="s">
        <v>1540</v>
      </c>
      <c r="F79" s="2646"/>
      <c r="G79" s="2646"/>
      <c r="H79" s="2646"/>
      <c r="I79" s="2647">
        <v>100</v>
      </c>
      <c r="R79" s="2691">
        <f>R77+R78</f>
        <v>9177</v>
      </c>
      <c r="S79" s="2691">
        <f t="shared" ref="S79:T79" si="11">S77+S78</f>
        <v>9183</v>
      </c>
      <c r="T79" s="2691">
        <f t="shared" si="11"/>
        <v>9183</v>
      </c>
    </row>
    <row r="80" spans="1:20" ht="16.5" hidden="1" thickTop="1" thickBot="1" x14ac:dyDescent="0.3">
      <c r="A80" s="3241" t="s">
        <v>523</v>
      </c>
      <c r="B80" s="3242"/>
      <c r="C80" s="3242"/>
      <c r="D80" s="3242"/>
      <c r="E80" s="3243"/>
      <c r="F80" s="2648">
        <f>F78</f>
        <v>0</v>
      </c>
      <c r="G80" s="2648">
        <f t="shared" ref="G80:H80" si="12">G78</f>
        <v>0</v>
      </c>
      <c r="H80" s="2648">
        <f t="shared" si="12"/>
        <v>0</v>
      </c>
      <c r="I80" s="2649">
        <v>100</v>
      </c>
      <c r="R80" s="2691"/>
      <c r="S80" s="2691"/>
      <c r="T80" s="2691"/>
    </row>
    <row r="81" spans="1:20" ht="13.5" customHeight="1" thickTop="1" x14ac:dyDescent="0.25">
      <c r="A81" s="1137"/>
      <c r="B81" s="1137"/>
      <c r="C81" s="1137"/>
      <c r="D81" s="1137"/>
      <c r="E81" s="1137"/>
      <c r="F81" s="2073"/>
      <c r="G81" s="2073"/>
      <c r="H81" s="2073"/>
      <c r="I81" s="2072"/>
      <c r="R81" s="2691"/>
      <c r="S81" s="2691"/>
      <c r="T81" s="2691"/>
    </row>
    <row r="82" spans="1:20" ht="13.5" customHeight="1" x14ac:dyDescent="0.25">
      <c r="A82" s="1137"/>
      <c r="B82" s="1137"/>
      <c r="C82" s="1137"/>
      <c r="D82" s="1137"/>
      <c r="E82" s="1137"/>
      <c r="F82" s="2073"/>
      <c r="G82" s="2073"/>
      <c r="H82" s="2073"/>
      <c r="I82" s="2072"/>
      <c r="R82" s="2691"/>
      <c r="S82" s="2691"/>
      <c r="T82" s="2691"/>
    </row>
    <row r="83" spans="1:20" ht="13.5" customHeight="1" x14ac:dyDescent="0.25">
      <c r="A83" s="1137"/>
      <c r="B83" s="1137"/>
      <c r="C83" s="1137"/>
      <c r="D83" s="1137"/>
      <c r="E83" s="1137"/>
      <c r="F83" s="2073"/>
      <c r="G83" s="2073"/>
      <c r="H83" s="2073"/>
      <c r="I83" s="2072"/>
      <c r="R83" s="2691"/>
      <c r="S83" s="2691"/>
      <c r="T83" s="2691"/>
    </row>
    <row r="84" spans="1:20" ht="13.5" thickBot="1" x14ac:dyDescent="0.25">
      <c r="A84" s="1719" t="s">
        <v>385</v>
      </c>
      <c r="I84" s="2071" t="s">
        <v>92</v>
      </c>
    </row>
    <row r="85" spans="1:20" s="1043" customFormat="1" thickTop="1" thickBot="1" x14ac:dyDescent="0.25">
      <c r="A85" s="1892" t="s">
        <v>324</v>
      </c>
      <c r="B85" s="1890" t="s">
        <v>93</v>
      </c>
      <c r="C85" s="1891" t="s">
        <v>94</v>
      </c>
      <c r="D85" s="2143" t="s">
        <v>364</v>
      </c>
      <c r="E85" s="1069" t="s">
        <v>95</v>
      </c>
      <c r="F85" s="1069" t="s">
        <v>328</v>
      </c>
      <c r="G85" s="1069" t="s">
        <v>329</v>
      </c>
      <c r="H85" s="1749" t="s">
        <v>448</v>
      </c>
      <c r="I85" s="1784" t="s">
        <v>449</v>
      </c>
      <c r="R85" s="2689"/>
      <c r="S85" s="2689"/>
      <c r="T85" s="2689"/>
    </row>
    <row r="86" spans="1:20" s="1037" customFormat="1" ht="13.5" thickTop="1" thickBot="1" x14ac:dyDescent="0.25">
      <c r="A86" s="1042">
        <v>1</v>
      </c>
      <c r="B86" s="1041">
        <v>2</v>
      </c>
      <c r="C86" s="1041">
        <v>3</v>
      </c>
      <c r="D86" s="1041">
        <v>4</v>
      </c>
      <c r="E86" s="1041">
        <v>5</v>
      </c>
      <c r="F86" s="1040">
        <v>6</v>
      </c>
      <c r="G86" s="1040">
        <v>7</v>
      </c>
      <c r="H86" s="1164">
        <v>8</v>
      </c>
      <c r="I86" s="1039" t="s">
        <v>393</v>
      </c>
      <c r="R86" s="2690"/>
      <c r="S86" s="2690"/>
      <c r="T86" s="2690"/>
    </row>
    <row r="87" spans="1:20" ht="15.75" thickTop="1" x14ac:dyDescent="0.25">
      <c r="A87" s="2080">
        <v>1016</v>
      </c>
      <c r="B87" s="2093">
        <v>3114</v>
      </c>
      <c r="C87" s="2093">
        <v>5331</v>
      </c>
      <c r="D87" s="2107"/>
      <c r="E87" s="1739" t="s">
        <v>481</v>
      </c>
      <c r="F87" s="2123">
        <f>SUM(F88:F90)</f>
        <v>3092</v>
      </c>
      <c r="G87" s="2123">
        <f>SUM(G88:G90)</f>
        <v>3464</v>
      </c>
      <c r="H87" s="2123">
        <f>SUM(H88:H90)</f>
        <v>3464</v>
      </c>
      <c r="I87" s="2128">
        <f>(H87/G87)*100</f>
        <v>100</v>
      </c>
    </row>
    <row r="88" spans="1:20" ht="14.25" x14ac:dyDescent="0.2">
      <c r="A88" s="2080"/>
      <c r="B88" s="2093"/>
      <c r="C88" s="2093"/>
      <c r="D88" s="2630" t="s">
        <v>1394</v>
      </c>
      <c r="E88" s="923" t="s">
        <v>1537</v>
      </c>
      <c r="F88" s="2122">
        <v>2736</v>
      </c>
      <c r="G88" s="2122">
        <v>2856</v>
      </c>
      <c r="H88" s="2122">
        <v>2856</v>
      </c>
      <c r="I88" s="2127">
        <f>(H88/G88)*100</f>
        <v>100</v>
      </c>
    </row>
    <row r="89" spans="1:20" ht="14.25" x14ac:dyDescent="0.2">
      <c r="A89" s="2080"/>
      <c r="B89" s="2093"/>
      <c r="C89" s="2093"/>
      <c r="D89" s="811" t="s">
        <v>993</v>
      </c>
      <c r="E89" s="2627" t="s">
        <v>1538</v>
      </c>
      <c r="F89" s="2077">
        <v>356</v>
      </c>
      <c r="G89" s="2077">
        <v>448</v>
      </c>
      <c r="H89" s="2077">
        <v>448</v>
      </c>
      <c r="I89" s="2076">
        <f>(H89/G89)*100</f>
        <v>100</v>
      </c>
    </row>
    <row r="90" spans="1:20" ht="15" thickBot="1" x14ac:dyDescent="0.25">
      <c r="A90" s="2146"/>
      <c r="B90" s="2169"/>
      <c r="C90" s="2169"/>
      <c r="D90" s="811" t="s">
        <v>1395</v>
      </c>
      <c r="E90" s="2627" t="s">
        <v>1539</v>
      </c>
      <c r="F90" s="2168">
        <v>0</v>
      </c>
      <c r="G90" s="2168">
        <v>160</v>
      </c>
      <c r="H90" s="2168">
        <v>160</v>
      </c>
      <c r="I90" s="3037">
        <f>(H90/G90)*100</f>
        <v>100</v>
      </c>
    </row>
    <row r="91" spans="1:20" ht="16.5" thickTop="1" thickBot="1" x14ac:dyDescent="0.3">
      <c r="A91" s="3301" t="s">
        <v>522</v>
      </c>
      <c r="B91" s="3302"/>
      <c r="C91" s="3302"/>
      <c r="D91" s="3302"/>
      <c r="E91" s="3302"/>
      <c r="F91" s="2114">
        <f>F87</f>
        <v>3092</v>
      </c>
      <c r="G91" s="2114">
        <f>G87</f>
        <v>3464</v>
      </c>
      <c r="H91" s="2114">
        <f>H87</f>
        <v>3464</v>
      </c>
      <c r="I91" s="2167">
        <f>(H91/G91)*100</f>
        <v>100</v>
      </c>
      <c r="R91" s="2691">
        <f>F91</f>
        <v>3092</v>
      </c>
      <c r="S91" s="2691">
        <f>G91</f>
        <v>3464</v>
      </c>
      <c r="T91" s="2691">
        <f>H91</f>
        <v>3464</v>
      </c>
    </row>
    <row r="92" spans="1:20" ht="15.75" thickTop="1" x14ac:dyDescent="0.25">
      <c r="A92" s="1137"/>
      <c r="B92" s="1137"/>
      <c r="C92" s="1137"/>
      <c r="D92" s="1137"/>
      <c r="E92" s="1137"/>
      <c r="F92" s="2126"/>
      <c r="G92" s="2126"/>
      <c r="H92" s="2126"/>
      <c r="I92" s="2125"/>
      <c r="R92" s="2691"/>
      <c r="S92" s="2691"/>
      <c r="T92" s="2691"/>
    </row>
    <row r="93" spans="1:20" ht="15" x14ac:dyDescent="0.25">
      <c r="A93" s="1137"/>
      <c r="B93" s="1137"/>
      <c r="C93" s="1137"/>
      <c r="D93" s="1137"/>
      <c r="E93" s="1137"/>
      <c r="F93" s="2126"/>
      <c r="G93" s="2126"/>
      <c r="H93" s="2126"/>
      <c r="I93" s="2125"/>
      <c r="R93" s="2691"/>
      <c r="S93" s="2691"/>
      <c r="T93" s="2691"/>
    </row>
    <row r="94" spans="1:20" ht="15" hidden="1" x14ac:dyDescent="0.25">
      <c r="A94" s="1137"/>
      <c r="B94" s="1137"/>
      <c r="C94" s="1137"/>
      <c r="D94" s="1137"/>
      <c r="E94" s="1137"/>
      <c r="F94" s="2126"/>
      <c r="G94" s="2126"/>
      <c r="H94" s="2126"/>
      <c r="I94" s="2125"/>
      <c r="R94" s="2691"/>
      <c r="S94" s="2691"/>
      <c r="T94" s="2691"/>
    </row>
    <row r="95" spans="1:20" ht="15" hidden="1" x14ac:dyDescent="0.25">
      <c r="A95" s="1137"/>
      <c r="B95" s="1137"/>
      <c r="C95" s="1137"/>
      <c r="D95" s="1137"/>
      <c r="E95" s="1137"/>
      <c r="F95" s="2126"/>
      <c r="G95" s="2126"/>
      <c r="H95" s="2126"/>
      <c r="I95" s="2125"/>
      <c r="R95" s="2691"/>
      <c r="S95" s="2691"/>
      <c r="T95" s="2691"/>
    </row>
    <row r="96" spans="1:20" ht="13.5" thickBot="1" x14ac:dyDescent="0.25">
      <c r="A96" s="1719" t="s">
        <v>1002</v>
      </c>
      <c r="I96" s="2071" t="s">
        <v>92</v>
      </c>
    </row>
    <row r="97" spans="1:20" s="1043" customFormat="1" thickTop="1" thickBot="1" x14ac:dyDescent="0.25">
      <c r="A97" s="1047" t="s">
        <v>324</v>
      </c>
      <c r="B97" s="1044" t="s">
        <v>93</v>
      </c>
      <c r="C97" s="1046" t="s">
        <v>94</v>
      </c>
      <c r="D97" s="1069" t="s">
        <v>364</v>
      </c>
      <c r="E97" s="1069" t="s">
        <v>95</v>
      </c>
      <c r="F97" s="1069" t="s">
        <v>328</v>
      </c>
      <c r="G97" s="1069" t="s">
        <v>329</v>
      </c>
      <c r="H97" s="1749" t="s">
        <v>448</v>
      </c>
      <c r="I97" s="1784" t="s">
        <v>449</v>
      </c>
      <c r="R97" s="2689"/>
      <c r="S97" s="2689"/>
      <c r="T97" s="2689"/>
    </row>
    <row r="98" spans="1:20" s="1037" customFormat="1" ht="15.75" customHeight="1" thickTop="1" thickBot="1" x14ac:dyDescent="0.25">
      <c r="A98" s="1042">
        <v>1</v>
      </c>
      <c r="B98" s="1041">
        <v>2</v>
      </c>
      <c r="C98" s="1041">
        <v>3</v>
      </c>
      <c r="D98" s="1041">
        <v>4</v>
      </c>
      <c r="E98" s="1041">
        <v>5</v>
      </c>
      <c r="F98" s="1040">
        <v>6</v>
      </c>
      <c r="G98" s="1040">
        <v>7</v>
      </c>
      <c r="H98" s="1164">
        <v>8</v>
      </c>
      <c r="I98" s="1039" t="s">
        <v>393</v>
      </c>
      <c r="R98" s="2690"/>
      <c r="S98" s="2690"/>
      <c r="T98" s="2690"/>
    </row>
    <row r="99" spans="1:20" ht="15.75" customHeight="1" thickTop="1" x14ac:dyDescent="0.25">
      <c r="A99" s="2138">
        <v>1017</v>
      </c>
      <c r="B99" s="2137">
        <v>3133</v>
      </c>
      <c r="C99" s="2137">
        <v>5331</v>
      </c>
      <c r="D99" s="2136"/>
      <c r="E99" s="2085" t="s">
        <v>481</v>
      </c>
      <c r="F99" s="2134">
        <f>F100+F102+F103+F101</f>
        <v>4381</v>
      </c>
      <c r="G99" s="2134">
        <f t="shared" ref="G99:H99" si="13">G100+G102+G103+G101</f>
        <v>4400</v>
      </c>
      <c r="H99" s="2134">
        <f t="shared" si="13"/>
        <v>4400</v>
      </c>
      <c r="I99" s="2133">
        <f>(H99/G99)*100</f>
        <v>100</v>
      </c>
    </row>
    <row r="100" spans="1:20" ht="15.75" customHeight="1" x14ac:dyDescent="0.2">
      <c r="A100" s="2080"/>
      <c r="B100" s="2079"/>
      <c r="C100" s="2079"/>
      <c r="D100" s="2630" t="s">
        <v>1394</v>
      </c>
      <c r="E100" s="923" t="s">
        <v>1537</v>
      </c>
      <c r="F100" s="2122">
        <v>3530</v>
      </c>
      <c r="G100" s="2122">
        <v>3602</v>
      </c>
      <c r="H100" s="2122">
        <v>3602</v>
      </c>
      <c r="I100" s="2127">
        <f>(H100/G100)*100</f>
        <v>100</v>
      </c>
    </row>
    <row r="101" spans="1:20" ht="15.75" customHeight="1" x14ac:dyDescent="0.2">
      <c r="A101" s="2080"/>
      <c r="B101" s="2079"/>
      <c r="C101" s="2079"/>
      <c r="D101" s="811" t="s">
        <v>994</v>
      </c>
      <c r="E101" s="2627" t="s">
        <v>1541</v>
      </c>
      <c r="F101" s="2122">
        <v>52</v>
      </c>
      <c r="G101" s="2122">
        <v>52</v>
      </c>
      <c r="H101" s="2122">
        <v>52</v>
      </c>
      <c r="I101" s="2127">
        <f t="shared" ref="I101:I102" si="14">(H101/G101)*100</f>
        <v>100</v>
      </c>
    </row>
    <row r="102" spans="1:20" ht="15.75" customHeight="1" thickBot="1" x14ac:dyDescent="0.25">
      <c r="A102" s="2080"/>
      <c r="B102" s="2079"/>
      <c r="C102" s="2079"/>
      <c r="D102" s="811" t="s">
        <v>993</v>
      </c>
      <c r="E102" s="2627" t="s">
        <v>1538</v>
      </c>
      <c r="F102" s="2077">
        <v>799</v>
      </c>
      <c r="G102" s="2077">
        <v>746</v>
      </c>
      <c r="H102" s="2077">
        <v>746</v>
      </c>
      <c r="I102" s="2127">
        <f t="shared" si="14"/>
        <v>100</v>
      </c>
    </row>
    <row r="103" spans="1:20" ht="15.75" hidden="1" customHeight="1" thickBot="1" x14ac:dyDescent="0.25">
      <c r="A103" s="2080"/>
      <c r="B103" s="2093"/>
      <c r="C103" s="2093"/>
      <c r="D103" s="811" t="s">
        <v>1395</v>
      </c>
      <c r="E103" s="2627" t="s">
        <v>1539</v>
      </c>
      <c r="F103" s="2091"/>
      <c r="G103" s="2091"/>
      <c r="H103" s="2091"/>
      <c r="I103" s="2076" t="e">
        <f>(H103/G103)*100</f>
        <v>#DIV/0!</v>
      </c>
    </row>
    <row r="104" spans="1:20" s="1879" customFormat="1" ht="15.75" customHeight="1" thickTop="1" thickBot="1" x14ac:dyDescent="0.25">
      <c r="A104" s="3303" t="s">
        <v>522</v>
      </c>
      <c r="B104" s="3304"/>
      <c r="C104" s="3304"/>
      <c r="D104" s="3304"/>
      <c r="E104" s="3304"/>
      <c r="F104" s="2142">
        <f>F99</f>
        <v>4381</v>
      </c>
      <c r="G104" s="2142">
        <f>G99</f>
        <v>4400</v>
      </c>
      <c r="H104" s="2142">
        <f>H99</f>
        <v>4400</v>
      </c>
      <c r="I104" s="2141">
        <f>(H104/G104)*100</f>
        <v>100</v>
      </c>
      <c r="R104" s="2693">
        <f>F104</f>
        <v>4381</v>
      </c>
      <c r="S104" s="2693">
        <f>G104</f>
        <v>4400</v>
      </c>
      <c r="T104" s="2693">
        <f>H104</f>
        <v>4400</v>
      </c>
    </row>
    <row r="105" spans="1:20" s="1879" customFormat="1" ht="15.75" customHeight="1" thickTop="1" x14ac:dyDescent="0.2">
      <c r="B105" s="2121"/>
      <c r="D105" s="2120"/>
      <c r="F105" s="2119"/>
      <c r="G105" s="2119"/>
      <c r="H105" s="2119"/>
      <c r="I105" s="2118"/>
      <c r="R105" s="2692"/>
      <c r="S105" s="2692"/>
      <c r="T105" s="2692"/>
    </row>
    <row r="106" spans="1:20" s="1879" customFormat="1" ht="15.75" customHeight="1" x14ac:dyDescent="0.2">
      <c r="B106" s="2121"/>
      <c r="D106" s="2120"/>
      <c r="F106" s="2119"/>
      <c r="G106" s="2119"/>
      <c r="H106" s="2119"/>
      <c r="I106" s="2118"/>
      <c r="R106" s="2692"/>
      <c r="S106" s="2692"/>
      <c r="T106" s="2692"/>
    </row>
    <row r="107" spans="1:20" s="1879" customFormat="1" ht="15.75" hidden="1" customHeight="1" x14ac:dyDescent="0.2">
      <c r="B107" s="2121"/>
      <c r="D107" s="2120"/>
      <c r="F107" s="2119"/>
      <c r="G107" s="2119"/>
      <c r="H107" s="2119"/>
      <c r="I107" s="2118"/>
      <c r="R107" s="2692"/>
      <c r="S107" s="2692"/>
      <c r="T107" s="2692"/>
    </row>
    <row r="108" spans="1:20" ht="18" customHeight="1" thickBot="1" x14ac:dyDescent="0.25">
      <c r="A108" s="1719" t="s">
        <v>285</v>
      </c>
      <c r="I108" s="2071" t="s">
        <v>92</v>
      </c>
    </row>
    <row r="109" spans="1:20" s="1043" customFormat="1" thickTop="1" thickBot="1" x14ac:dyDescent="0.25">
      <c r="A109" s="1047" t="s">
        <v>324</v>
      </c>
      <c r="B109" s="1044" t="s">
        <v>93</v>
      </c>
      <c r="C109" s="1046" t="s">
        <v>94</v>
      </c>
      <c r="D109" s="1069" t="s">
        <v>364</v>
      </c>
      <c r="E109" s="1069" t="s">
        <v>95</v>
      </c>
      <c r="F109" s="1069" t="s">
        <v>328</v>
      </c>
      <c r="G109" s="1069" t="s">
        <v>329</v>
      </c>
      <c r="H109" s="1749" t="s">
        <v>448</v>
      </c>
      <c r="I109" s="1784" t="s">
        <v>449</v>
      </c>
      <c r="R109" s="2689"/>
      <c r="S109" s="2689"/>
      <c r="T109" s="2689"/>
    </row>
    <row r="110" spans="1:20" s="1037" customFormat="1" ht="13.5" thickTop="1" thickBot="1" x14ac:dyDescent="0.25">
      <c r="A110" s="1042">
        <v>1</v>
      </c>
      <c r="B110" s="1041">
        <v>2</v>
      </c>
      <c r="C110" s="1041">
        <v>3</v>
      </c>
      <c r="D110" s="1041">
        <v>4</v>
      </c>
      <c r="E110" s="1041">
        <v>5</v>
      </c>
      <c r="F110" s="1040">
        <v>6</v>
      </c>
      <c r="G110" s="1040">
        <v>7</v>
      </c>
      <c r="H110" s="1164">
        <v>8</v>
      </c>
      <c r="I110" s="1039" t="s">
        <v>393</v>
      </c>
      <c r="R110" s="2690"/>
      <c r="S110" s="2690"/>
      <c r="T110" s="2690"/>
    </row>
    <row r="111" spans="1:20" ht="15" customHeight="1" thickTop="1" x14ac:dyDescent="0.25">
      <c r="A111" s="2080">
        <v>1021</v>
      </c>
      <c r="B111" s="2079">
        <v>3114</v>
      </c>
      <c r="C111" s="1743">
        <v>5331</v>
      </c>
      <c r="D111" s="2166"/>
      <c r="E111" s="1739" t="s">
        <v>481</v>
      </c>
      <c r="F111" s="2095">
        <f>F112</f>
        <v>399</v>
      </c>
      <c r="G111" s="2095">
        <f t="shared" ref="G111:H111" si="15">G112</f>
        <v>200</v>
      </c>
      <c r="H111" s="2095">
        <f t="shared" si="15"/>
        <v>200</v>
      </c>
      <c r="I111" s="2094">
        <f>(H111/G111)*100</f>
        <v>100</v>
      </c>
    </row>
    <row r="112" spans="1:20" ht="15" customHeight="1" thickBot="1" x14ac:dyDescent="0.25">
      <c r="A112" s="2080"/>
      <c r="B112" s="2079"/>
      <c r="C112" s="1743"/>
      <c r="D112" s="2630" t="s">
        <v>1394</v>
      </c>
      <c r="E112" s="923" t="s">
        <v>1537</v>
      </c>
      <c r="F112" s="2077">
        <v>399</v>
      </c>
      <c r="G112" s="2077">
        <v>200</v>
      </c>
      <c r="H112" s="2077">
        <v>200</v>
      </c>
      <c r="I112" s="2076">
        <f>(H112/G112)*100</f>
        <v>100</v>
      </c>
    </row>
    <row r="113" spans="1:20" s="1879" customFormat="1" ht="16.5" thickTop="1" thickBot="1" x14ac:dyDescent="0.25">
      <c r="A113" s="3303" t="s">
        <v>522</v>
      </c>
      <c r="B113" s="3304"/>
      <c r="C113" s="3304"/>
      <c r="D113" s="3304"/>
      <c r="E113" s="3304"/>
      <c r="F113" s="2142">
        <f>SUM(F111)</f>
        <v>399</v>
      </c>
      <c r="G113" s="2142">
        <f>G111</f>
        <v>200</v>
      </c>
      <c r="H113" s="2142">
        <f>H111</f>
        <v>200</v>
      </c>
      <c r="I113" s="2141">
        <f>(H113/G113)*100</f>
        <v>100</v>
      </c>
      <c r="R113" s="2693">
        <f>F113</f>
        <v>399</v>
      </c>
      <c r="S113" s="2693">
        <f>G113</f>
        <v>200</v>
      </c>
      <c r="T113" s="2693">
        <f>H113</f>
        <v>200</v>
      </c>
    </row>
    <row r="114" spans="1:20" s="1879" customFormat="1" ht="13.5" thickTop="1" x14ac:dyDescent="0.2">
      <c r="B114" s="2121"/>
      <c r="D114" s="2120"/>
      <c r="F114" s="2119"/>
      <c r="G114" s="2119"/>
      <c r="H114" s="2119"/>
      <c r="I114" s="2118"/>
      <c r="R114" s="2692"/>
      <c r="S114" s="2692"/>
      <c r="T114" s="2692"/>
    </row>
    <row r="115" spans="1:20" s="1879" customFormat="1" hidden="1" x14ac:dyDescent="0.2">
      <c r="B115" s="2121"/>
      <c r="D115" s="2120"/>
      <c r="F115" s="2119"/>
      <c r="G115" s="2119"/>
      <c r="H115" s="2119"/>
      <c r="I115" s="2118"/>
      <c r="R115" s="2692"/>
      <c r="S115" s="2692"/>
      <c r="T115" s="2692"/>
    </row>
    <row r="116" spans="1:20" s="1879" customFormat="1" x14ac:dyDescent="0.2">
      <c r="B116" s="2121"/>
      <c r="D116" s="2120"/>
      <c r="F116" s="2119"/>
      <c r="G116" s="2119"/>
      <c r="H116" s="2119"/>
      <c r="I116" s="2118"/>
      <c r="R116" s="2692"/>
      <c r="S116" s="2692"/>
      <c r="T116" s="2692"/>
    </row>
    <row r="117" spans="1:20" ht="13.5" thickBot="1" x14ac:dyDescent="0.25">
      <c r="A117" s="1719" t="s">
        <v>245</v>
      </c>
      <c r="I117" s="2071" t="s">
        <v>92</v>
      </c>
    </row>
    <row r="118" spans="1:20" s="1043" customFormat="1" thickTop="1" thickBot="1" x14ac:dyDescent="0.25">
      <c r="A118" s="1047" t="s">
        <v>324</v>
      </c>
      <c r="B118" s="1044" t="s">
        <v>93</v>
      </c>
      <c r="C118" s="1046" t="s">
        <v>94</v>
      </c>
      <c r="D118" s="1069" t="s">
        <v>364</v>
      </c>
      <c r="E118" s="1069" t="s">
        <v>95</v>
      </c>
      <c r="F118" s="1069" t="s">
        <v>328</v>
      </c>
      <c r="G118" s="1069" t="s">
        <v>329</v>
      </c>
      <c r="H118" s="1749" t="s">
        <v>448</v>
      </c>
      <c r="I118" s="1784" t="s">
        <v>449</v>
      </c>
      <c r="R118" s="2689"/>
      <c r="S118" s="2689"/>
      <c r="T118" s="2689"/>
    </row>
    <row r="119" spans="1:20" s="1037" customFormat="1" ht="18" customHeight="1" thickTop="1" thickBot="1" x14ac:dyDescent="0.25">
      <c r="A119" s="1042">
        <v>1</v>
      </c>
      <c r="B119" s="1041">
        <v>2</v>
      </c>
      <c r="C119" s="1041">
        <v>3</v>
      </c>
      <c r="D119" s="1041">
        <v>4</v>
      </c>
      <c r="E119" s="1041">
        <v>5</v>
      </c>
      <c r="F119" s="1040">
        <v>6</v>
      </c>
      <c r="G119" s="1040">
        <v>7</v>
      </c>
      <c r="H119" s="1164">
        <v>8</v>
      </c>
      <c r="I119" s="1039" t="s">
        <v>393</v>
      </c>
      <c r="R119" s="2690"/>
      <c r="S119" s="2690"/>
      <c r="T119" s="2690"/>
    </row>
    <row r="120" spans="1:20" ht="15.75" thickTop="1" x14ac:dyDescent="0.25">
      <c r="A120" s="2080">
        <v>1022</v>
      </c>
      <c r="B120" s="2093">
        <v>3114</v>
      </c>
      <c r="C120" s="2093">
        <v>5331</v>
      </c>
      <c r="D120" s="2107"/>
      <c r="E120" s="1739" t="s">
        <v>481</v>
      </c>
      <c r="F120" s="2123">
        <f>F121</f>
        <v>281</v>
      </c>
      <c r="G120" s="2123">
        <f t="shared" ref="G120:H120" si="16">G121</f>
        <v>281</v>
      </c>
      <c r="H120" s="2123">
        <f t="shared" si="16"/>
        <v>281</v>
      </c>
      <c r="I120" s="2128">
        <f>(H120/G120)*100</f>
        <v>100</v>
      </c>
    </row>
    <row r="121" spans="1:20" ht="15" thickBot="1" x14ac:dyDescent="0.25">
      <c r="A121" s="2080"/>
      <c r="B121" s="2093"/>
      <c r="C121" s="2093"/>
      <c r="D121" s="2630" t="s">
        <v>1394</v>
      </c>
      <c r="E121" s="923" t="s">
        <v>1537</v>
      </c>
      <c r="F121" s="2122">
        <v>281</v>
      </c>
      <c r="G121" s="2122">
        <v>281</v>
      </c>
      <c r="H121" s="2122">
        <v>281</v>
      </c>
      <c r="I121" s="2127">
        <f>(H121/G121)*100</f>
        <v>100</v>
      </c>
    </row>
    <row r="122" spans="1:20" ht="15.75" customHeight="1" thickTop="1" thickBot="1" x14ac:dyDescent="0.3">
      <c r="A122" s="3301" t="s">
        <v>522</v>
      </c>
      <c r="B122" s="3302"/>
      <c r="C122" s="3302"/>
      <c r="D122" s="3302"/>
      <c r="E122" s="3302"/>
      <c r="F122" s="2114">
        <f>F120</f>
        <v>281</v>
      </c>
      <c r="G122" s="2114">
        <f>G120</f>
        <v>281</v>
      </c>
      <c r="H122" s="2114">
        <f>H120</f>
        <v>281</v>
      </c>
      <c r="I122" s="2113">
        <f>(H122/G122)*100</f>
        <v>100</v>
      </c>
      <c r="R122" s="2691">
        <f>F122</f>
        <v>281</v>
      </c>
      <c r="S122" s="2691">
        <f>G122</f>
        <v>281</v>
      </c>
      <c r="T122" s="2691">
        <f>H122</f>
        <v>281</v>
      </c>
    </row>
    <row r="123" spans="1:20" ht="15.75" customHeight="1" thickTop="1" x14ac:dyDescent="0.2"/>
    <row r="124" spans="1:20" ht="15.75" customHeight="1" x14ac:dyDescent="0.2"/>
    <row r="125" spans="1:20" ht="15.75" hidden="1" customHeight="1" x14ac:dyDescent="0.2"/>
    <row r="126" spans="1:20" ht="15.75" customHeight="1" thickBot="1" x14ac:dyDescent="0.25">
      <c r="A126" s="1719" t="s">
        <v>246</v>
      </c>
      <c r="I126" s="2071" t="s">
        <v>92</v>
      </c>
    </row>
    <row r="127" spans="1:20" s="1043" customFormat="1" ht="15.75" customHeight="1" thickTop="1" thickBot="1" x14ac:dyDescent="0.25">
      <c r="A127" s="1047" t="s">
        <v>324</v>
      </c>
      <c r="B127" s="1044" t="s">
        <v>93</v>
      </c>
      <c r="C127" s="1046" t="s">
        <v>94</v>
      </c>
      <c r="D127" s="1069" t="s">
        <v>364</v>
      </c>
      <c r="E127" s="1069" t="s">
        <v>95</v>
      </c>
      <c r="F127" s="1069" t="s">
        <v>328</v>
      </c>
      <c r="G127" s="1069" t="s">
        <v>329</v>
      </c>
      <c r="H127" s="1749" t="s">
        <v>448</v>
      </c>
      <c r="I127" s="1784" t="s">
        <v>449</v>
      </c>
      <c r="R127" s="2689"/>
      <c r="S127" s="2689"/>
      <c r="T127" s="2689"/>
    </row>
    <row r="128" spans="1:20" s="1037" customFormat="1" ht="15.75" customHeight="1" thickTop="1" thickBot="1" x14ac:dyDescent="0.25">
      <c r="A128" s="1042">
        <v>1</v>
      </c>
      <c r="B128" s="1041">
        <v>2</v>
      </c>
      <c r="C128" s="1041">
        <v>3</v>
      </c>
      <c r="D128" s="1041">
        <v>4</v>
      </c>
      <c r="E128" s="1041">
        <v>5</v>
      </c>
      <c r="F128" s="1040">
        <v>6</v>
      </c>
      <c r="G128" s="1040">
        <v>7</v>
      </c>
      <c r="H128" s="1164">
        <v>8</v>
      </c>
      <c r="I128" s="1039" t="s">
        <v>393</v>
      </c>
      <c r="R128" s="2690"/>
      <c r="S128" s="2690"/>
      <c r="T128" s="2690"/>
    </row>
    <row r="129" spans="1:27" ht="14.25" customHeight="1" thickTop="1" x14ac:dyDescent="0.25">
      <c r="A129" s="2080">
        <v>1024</v>
      </c>
      <c r="B129" s="2093">
        <v>3114</v>
      </c>
      <c r="C129" s="2092">
        <v>5331</v>
      </c>
      <c r="D129" s="2111"/>
      <c r="E129" s="1739" t="s">
        <v>481</v>
      </c>
      <c r="F129" s="2106">
        <f>F130+F131</f>
        <v>1372</v>
      </c>
      <c r="G129" s="2106">
        <f>G130+G131</f>
        <v>1372</v>
      </c>
      <c r="H129" s="2106">
        <f>H130+H131</f>
        <v>1372</v>
      </c>
      <c r="I129" s="2105">
        <f>(H129/G129)*100</f>
        <v>100</v>
      </c>
    </row>
    <row r="130" spans="1:27" ht="15.75" customHeight="1" x14ac:dyDescent="0.2">
      <c r="A130" s="2080"/>
      <c r="B130" s="2093"/>
      <c r="C130" s="2092"/>
      <c r="D130" s="2630" t="s">
        <v>1394</v>
      </c>
      <c r="E130" s="923" t="s">
        <v>1537</v>
      </c>
      <c r="F130" s="2091">
        <v>1255</v>
      </c>
      <c r="G130" s="2091">
        <v>1255</v>
      </c>
      <c r="H130" s="2091">
        <v>1255</v>
      </c>
      <c r="I130" s="2090">
        <f>(H130/G130)*100</f>
        <v>100</v>
      </c>
    </row>
    <row r="131" spans="1:27" ht="13.5" customHeight="1" thickBot="1" x14ac:dyDescent="0.25">
      <c r="A131" s="2080"/>
      <c r="B131" s="2093"/>
      <c r="C131" s="2092"/>
      <c r="D131" s="811" t="s">
        <v>993</v>
      </c>
      <c r="E131" s="2627" t="s">
        <v>1538</v>
      </c>
      <c r="F131" s="2091">
        <v>117</v>
      </c>
      <c r="G131" s="2091">
        <v>117</v>
      </c>
      <c r="H131" s="2091">
        <v>117</v>
      </c>
      <c r="I131" s="2090">
        <f>(H131/G131)*100</f>
        <v>100</v>
      </c>
    </row>
    <row r="132" spans="1:27" s="1879" customFormat="1" ht="15.75" customHeight="1" thickTop="1" thickBot="1" x14ac:dyDescent="0.25">
      <c r="A132" s="3303" t="s">
        <v>522</v>
      </c>
      <c r="B132" s="3304"/>
      <c r="C132" s="3304"/>
      <c r="D132" s="3304"/>
      <c r="E132" s="3304"/>
      <c r="F132" s="2142">
        <f>F129</f>
        <v>1372</v>
      </c>
      <c r="G132" s="2142">
        <f>G129</f>
        <v>1372</v>
      </c>
      <c r="H132" s="2142">
        <f>H129</f>
        <v>1372</v>
      </c>
      <c r="I132" s="2141">
        <f>(H132/G132)*100</f>
        <v>100</v>
      </c>
      <c r="R132" s="2693">
        <f>F132</f>
        <v>1372</v>
      </c>
      <c r="S132" s="2693">
        <f>G132</f>
        <v>1372</v>
      </c>
      <c r="T132" s="2693">
        <f>H132</f>
        <v>1372</v>
      </c>
    </row>
    <row r="133" spans="1:27" s="1879" customFormat="1" ht="15.75" customHeight="1" thickTop="1" x14ac:dyDescent="0.2">
      <c r="B133" s="2121"/>
      <c r="D133" s="2120"/>
      <c r="F133" s="2119"/>
      <c r="G133" s="2119"/>
      <c r="H133" s="2119"/>
      <c r="I133" s="2118"/>
      <c r="R133" s="2692"/>
      <c r="S133" s="2692"/>
      <c r="T133" s="2692"/>
    </row>
    <row r="134" spans="1:27" s="1879" customFormat="1" ht="15.75" customHeight="1" x14ac:dyDescent="0.2">
      <c r="B134" s="2121"/>
      <c r="D134" s="2120"/>
      <c r="F134" s="2119"/>
      <c r="G134" s="2119"/>
      <c r="H134" s="2119"/>
      <c r="I134" s="2118"/>
      <c r="R134" s="2692"/>
      <c r="S134" s="2692"/>
      <c r="T134" s="2692"/>
    </row>
    <row r="135" spans="1:27" ht="15.75" customHeight="1" thickBot="1" x14ac:dyDescent="0.25">
      <c r="A135" s="1719" t="s">
        <v>598</v>
      </c>
      <c r="I135" s="2071" t="s">
        <v>92</v>
      </c>
    </row>
    <row r="136" spans="1:27" s="1043" customFormat="1" thickTop="1" thickBot="1" x14ac:dyDescent="0.25">
      <c r="A136" s="1047" t="s">
        <v>324</v>
      </c>
      <c r="B136" s="1044" t="s">
        <v>93</v>
      </c>
      <c r="C136" s="1046" t="s">
        <v>94</v>
      </c>
      <c r="D136" s="1069" t="s">
        <v>364</v>
      </c>
      <c r="E136" s="1069" t="s">
        <v>95</v>
      </c>
      <c r="F136" s="1069" t="s">
        <v>328</v>
      </c>
      <c r="G136" s="1069" t="s">
        <v>329</v>
      </c>
      <c r="H136" s="1749" t="s">
        <v>448</v>
      </c>
      <c r="I136" s="1784" t="s">
        <v>449</v>
      </c>
      <c r="R136" s="2689"/>
      <c r="S136" s="2689"/>
      <c r="T136" s="2689"/>
    </row>
    <row r="137" spans="1:27" s="1037" customFormat="1" ht="20.25" customHeight="1" thickTop="1" thickBot="1" x14ac:dyDescent="0.25">
      <c r="A137" s="1042">
        <v>1</v>
      </c>
      <c r="B137" s="1041">
        <v>2</v>
      </c>
      <c r="C137" s="1041">
        <v>3</v>
      </c>
      <c r="D137" s="1041">
        <v>4</v>
      </c>
      <c r="E137" s="1041">
        <v>5</v>
      </c>
      <c r="F137" s="1040">
        <v>6</v>
      </c>
      <c r="G137" s="1040">
        <v>7</v>
      </c>
      <c r="H137" s="1164">
        <v>8</v>
      </c>
      <c r="I137" s="1039" t="s">
        <v>393</v>
      </c>
      <c r="R137" s="2690"/>
      <c r="S137" s="2690"/>
      <c r="T137" s="2690"/>
    </row>
    <row r="138" spans="1:27" ht="15.75" customHeight="1" thickTop="1" x14ac:dyDescent="0.25">
      <c r="A138" s="2108">
        <v>1025</v>
      </c>
      <c r="B138" s="2079">
        <v>3114</v>
      </c>
      <c r="C138" s="2092">
        <v>5331</v>
      </c>
      <c r="D138" s="2111"/>
      <c r="E138" s="1739" t="s">
        <v>481</v>
      </c>
      <c r="F138" s="2106">
        <f>SUM(F139:F140)</f>
        <v>497</v>
      </c>
      <c r="G138" s="2106">
        <f>SUM(G139:G140)</f>
        <v>497</v>
      </c>
      <c r="H138" s="2106">
        <f>SUM(H139:H140)</f>
        <v>497</v>
      </c>
      <c r="I138" s="2105">
        <f>(H138/G138)*100</f>
        <v>100</v>
      </c>
    </row>
    <row r="139" spans="1:27" ht="15.75" customHeight="1" x14ac:dyDescent="0.2">
      <c r="A139" s="2108"/>
      <c r="B139" s="2079"/>
      <c r="C139" s="2092"/>
      <c r="D139" s="2630" t="s">
        <v>1394</v>
      </c>
      <c r="E139" s="923" t="s">
        <v>1537</v>
      </c>
      <c r="F139" s="2091">
        <v>494</v>
      </c>
      <c r="G139" s="2091">
        <v>494</v>
      </c>
      <c r="H139" s="2091">
        <v>494</v>
      </c>
      <c r="I139" s="2090">
        <f>(H139/G139)*100</f>
        <v>100</v>
      </c>
    </row>
    <row r="140" spans="1:27" ht="15.75" customHeight="1" thickBot="1" x14ac:dyDescent="0.25">
      <c r="A140" s="2108"/>
      <c r="B140" s="2079"/>
      <c r="C140" s="2092"/>
      <c r="D140" s="811" t="s">
        <v>993</v>
      </c>
      <c r="E140" s="2627" t="s">
        <v>1538</v>
      </c>
      <c r="F140" s="2091">
        <v>3</v>
      </c>
      <c r="G140" s="2091">
        <v>3</v>
      </c>
      <c r="H140" s="2091">
        <v>3</v>
      </c>
      <c r="I140" s="2090">
        <f>(H140/G140)*100</f>
        <v>100</v>
      </c>
    </row>
    <row r="141" spans="1:27" s="1879" customFormat="1" ht="16.5" thickTop="1" thickBot="1" x14ac:dyDescent="0.25">
      <c r="A141" s="3303" t="s">
        <v>522</v>
      </c>
      <c r="B141" s="3304"/>
      <c r="C141" s="3304"/>
      <c r="D141" s="3304"/>
      <c r="E141" s="3304"/>
      <c r="F141" s="2142">
        <f>F138</f>
        <v>497</v>
      </c>
      <c r="G141" s="2142">
        <f>G138</f>
        <v>497</v>
      </c>
      <c r="H141" s="2142">
        <f>H138</f>
        <v>497</v>
      </c>
      <c r="I141" s="2141">
        <f>(H141/G141)*100</f>
        <v>100</v>
      </c>
      <c r="J141" s="2119" t="e">
        <f>F141+#REF!</f>
        <v>#REF!</v>
      </c>
      <c r="K141" s="2119" t="e">
        <f>G141+#REF!</f>
        <v>#REF!</v>
      </c>
      <c r="L141" s="2119" t="e">
        <f>H141+#REF!</f>
        <v>#REF!</v>
      </c>
      <c r="R141" s="2693">
        <f>F141</f>
        <v>497</v>
      </c>
      <c r="S141" s="2693">
        <f>G141</f>
        <v>497</v>
      </c>
      <c r="T141" s="2693">
        <f>H141</f>
        <v>497</v>
      </c>
      <c r="V141" s="2119"/>
      <c r="W141" s="2119"/>
      <c r="Y141" s="2119"/>
      <c r="Z141" s="2119"/>
      <c r="AA141" s="2119"/>
    </row>
    <row r="142" spans="1:27" ht="20.25" customHeight="1" thickTop="1" x14ac:dyDescent="0.2"/>
    <row r="143" spans="1:27" ht="16.899999999999999" hidden="1" customHeight="1" x14ac:dyDescent="0.2"/>
    <row r="144" spans="1:27" ht="15" customHeight="1" x14ac:dyDescent="0.2"/>
    <row r="145" spans="1:20" ht="13.5" thickBot="1" x14ac:dyDescent="0.25">
      <c r="A145" s="1719" t="s">
        <v>171</v>
      </c>
      <c r="I145" s="2071" t="s">
        <v>92</v>
      </c>
    </row>
    <row r="146" spans="1:20" s="1043" customFormat="1" thickTop="1" thickBot="1" x14ac:dyDescent="0.25">
      <c r="A146" s="1047" t="s">
        <v>324</v>
      </c>
      <c r="B146" s="1044" t="s">
        <v>93</v>
      </c>
      <c r="C146" s="1046" t="s">
        <v>94</v>
      </c>
      <c r="D146" s="1069" t="s">
        <v>364</v>
      </c>
      <c r="E146" s="1069" t="s">
        <v>95</v>
      </c>
      <c r="F146" s="1069" t="s">
        <v>328</v>
      </c>
      <c r="G146" s="1069" t="s">
        <v>329</v>
      </c>
      <c r="H146" s="1749" t="s">
        <v>448</v>
      </c>
      <c r="I146" s="1784" t="s">
        <v>449</v>
      </c>
      <c r="R146" s="2689"/>
      <c r="S146" s="2689"/>
      <c r="T146" s="2689"/>
    </row>
    <row r="147" spans="1:20" s="1037" customFormat="1" ht="13.5" thickTop="1" thickBot="1" x14ac:dyDescent="0.25">
      <c r="A147" s="1042">
        <v>1</v>
      </c>
      <c r="B147" s="1041">
        <v>2</v>
      </c>
      <c r="C147" s="1041">
        <v>3</v>
      </c>
      <c r="D147" s="1041">
        <v>4</v>
      </c>
      <c r="E147" s="1041">
        <v>5</v>
      </c>
      <c r="F147" s="1040">
        <v>6</v>
      </c>
      <c r="G147" s="1040">
        <v>7</v>
      </c>
      <c r="H147" s="1164">
        <v>8</v>
      </c>
      <c r="I147" s="1039" t="s">
        <v>393</v>
      </c>
      <c r="R147" s="2690"/>
      <c r="S147" s="2690"/>
      <c r="T147" s="2690"/>
    </row>
    <row r="148" spans="1:20" ht="15.75" customHeight="1" thickTop="1" x14ac:dyDescent="0.25">
      <c r="A148" s="2080">
        <v>1026</v>
      </c>
      <c r="B148" s="2093">
        <v>3114</v>
      </c>
      <c r="C148" s="2092">
        <v>5331</v>
      </c>
      <c r="D148" s="2111"/>
      <c r="E148" s="1739" t="s">
        <v>481</v>
      </c>
      <c r="F148" s="2106">
        <f>F149</f>
        <v>442</v>
      </c>
      <c r="G148" s="2106">
        <f t="shared" ref="G148:H148" si="17">G149</f>
        <v>442</v>
      </c>
      <c r="H148" s="2106">
        <f t="shared" si="17"/>
        <v>442</v>
      </c>
      <c r="I148" s="2105">
        <f>(H148/G148)*100</f>
        <v>100</v>
      </c>
    </row>
    <row r="149" spans="1:20" ht="15.75" customHeight="1" thickBot="1" x14ac:dyDescent="0.25">
      <c r="A149" s="2080"/>
      <c r="B149" s="2093"/>
      <c r="C149" s="2092"/>
      <c r="D149" s="2630" t="s">
        <v>1394</v>
      </c>
      <c r="E149" s="923" t="s">
        <v>1537</v>
      </c>
      <c r="F149" s="2091">
        <v>442</v>
      </c>
      <c r="G149" s="2091">
        <v>442</v>
      </c>
      <c r="H149" s="2091">
        <v>442</v>
      </c>
      <c r="I149" s="2090">
        <f>(H149/G149)*100</f>
        <v>100</v>
      </c>
    </row>
    <row r="150" spans="1:20" s="1879" customFormat="1" ht="18" customHeight="1" thickTop="1" thickBot="1" x14ac:dyDescent="0.25">
      <c r="A150" s="3303" t="s">
        <v>522</v>
      </c>
      <c r="B150" s="3304"/>
      <c r="C150" s="3304"/>
      <c r="D150" s="3304"/>
      <c r="E150" s="3304"/>
      <c r="F150" s="2142">
        <f>F148</f>
        <v>442</v>
      </c>
      <c r="G150" s="2142">
        <f>G148</f>
        <v>442</v>
      </c>
      <c r="H150" s="2142">
        <f>H148</f>
        <v>442</v>
      </c>
      <c r="I150" s="2141">
        <f>(H150/G150)*100</f>
        <v>100</v>
      </c>
      <c r="R150" s="2693">
        <f>F150</f>
        <v>442</v>
      </c>
      <c r="S150" s="2693">
        <f>G150</f>
        <v>442</v>
      </c>
      <c r="T150" s="2693">
        <f>H150</f>
        <v>442</v>
      </c>
    </row>
    <row r="151" spans="1:20" ht="13.5" thickTop="1" x14ac:dyDescent="0.2"/>
    <row r="154" spans="1:20" ht="20.25" customHeight="1" thickBot="1" x14ac:dyDescent="0.25">
      <c r="A154" s="1719" t="s">
        <v>172</v>
      </c>
      <c r="I154" s="2071" t="s">
        <v>92</v>
      </c>
    </row>
    <row r="155" spans="1:20" s="1043" customFormat="1" thickTop="1" thickBot="1" x14ac:dyDescent="0.25">
      <c r="A155" s="1047" t="s">
        <v>324</v>
      </c>
      <c r="B155" s="1044" t="s">
        <v>93</v>
      </c>
      <c r="C155" s="1046" t="s">
        <v>94</v>
      </c>
      <c r="D155" s="1069" t="s">
        <v>364</v>
      </c>
      <c r="E155" s="1069" t="s">
        <v>95</v>
      </c>
      <c r="F155" s="1069" t="s">
        <v>328</v>
      </c>
      <c r="G155" s="1069" t="s">
        <v>329</v>
      </c>
      <c r="H155" s="1749" t="s">
        <v>448</v>
      </c>
      <c r="I155" s="1784" t="s">
        <v>449</v>
      </c>
      <c r="R155" s="2689"/>
      <c r="S155" s="2689"/>
      <c r="T155" s="2689"/>
    </row>
    <row r="156" spans="1:20" s="1037" customFormat="1" ht="13.5" thickTop="1" thickBot="1" x14ac:dyDescent="0.25">
      <c r="A156" s="1042">
        <v>1</v>
      </c>
      <c r="B156" s="1041">
        <v>2</v>
      </c>
      <c r="C156" s="1041">
        <v>3</v>
      </c>
      <c r="D156" s="1041">
        <v>4</v>
      </c>
      <c r="E156" s="1041">
        <v>5</v>
      </c>
      <c r="F156" s="1040">
        <v>6</v>
      </c>
      <c r="G156" s="1040">
        <v>7</v>
      </c>
      <c r="H156" s="1164">
        <v>8</v>
      </c>
      <c r="I156" s="1039" t="s">
        <v>393</v>
      </c>
      <c r="R156" s="2690"/>
      <c r="S156" s="2690"/>
      <c r="T156" s="2690"/>
    </row>
    <row r="157" spans="1:20" ht="15.75" thickTop="1" x14ac:dyDescent="0.25">
      <c r="A157" s="2138">
        <v>1032</v>
      </c>
      <c r="B157" s="2137">
        <v>3114</v>
      </c>
      <c r="C157" s="2137">
        <v>5331</v>
      </c>
      <c r="D157" s="2136"/>
      <c r="E157" s="2135" t="s">
        <v>481</v>
      </c>
      <c r="F157" s="2134">
        <f>F158+F160+F159</f>
        <v>1034</v>
      </c>
      <c r="G157" s="2134">
        <f t="shared" ref="G157:H157" si="18">G158+G160+G159</f>
        <v>1034</v>
      </c>
      <c r="H157" s="2134">
        <f t="shared" si="18"/>
        <v>1034</v>
      </c>
      <c r="I157" s="2133">
        <f>(H157/G157)*100</f>
        <v>100</v>
      </c>
    </row>
    <row r="158" spans="1:20" ht="14.25" x14ac:dyDescent="0.2">
      <c r="A158" s="2080"/>
      <c r="B158" s="2079"/>
      <c r="C158" s="2079"/>
      <c r="D158" s="2630" t="s">
        <v>1394</v>
      </c>
      <c r="E158" s="923" t="s">
        <v>1537</v>
      </c>
      <c r="F158" s="2077">
        <v>863</v>
      </c>
      <c r="G158" s="2077">
        <v>863</v>
      </c>
      <c r="H158" s="2077">
        <v>863</v>
      </c>
      <c r="I158" s="2076">
        <f>(H158/G158)*100</f>
        <v>100</v>
      </c>
    </row>
    <row r="159" spans="1:20" ht="15" thickBot="1" x14ac:dyDescent="0.25">
      <c r="A159" s="2080"/>
      <c r="B159" s="2079"/>
      <c r="C159" s="2079"/>
      <c r="D159" s="811" t="s">
        <v>993</v>
      </c>
      <c r="E159" s="2627" t="s">
        <v>1538</v>
      </c>
      <c r="F159" s="2077">
        <v>171</v>
      </c>
      <c r="G159" s="2077">
        <v>171</v>
      </c>
      <c r="H159" s="2077">
        <v>171</v>
      </c>
      <c r="I159" s="2076">
        <f>(H159/G159)*100</f>
        <v>100</v>
      </c>
    </row>
    <row r="160" spans="1:20" ht="15" hidden="1" thickBot="1" x14ac:dyDescent="0.25">
      <c r="A160" s="2080"/>
      <c r="B160" s="2079"/>
      <c r="C160" s="2079"/>
      <c r="D160" s="811" t="s">
        <v>1395</v>
      </c>
      <c r="E160" s="2627" t="s">
        <v>1539</v>
      </c>
      <c r="F160" s="2077"/>
      <c r="G160" s="2077"/>
      <c r="H160" s="2077"/>
      <c r="I160" s="2076" t="e">
        <f>(H160/G160)*100</f>
        <v>#DIV/0!</v>
      </c>
    </row>
    <row r="161" spans="1:20" s="1879" customFormat="1" ht="16.5" thickTop="1" thickBot="1" x14ac:dyDescent="0.25">
      <c r="A161" s="3303" t="s">
        <v>522</v>
      </c>
      <c r="B161" s="3304"/>
      <c r="C161" s="3304"/>
      <c r="D161" s="3304"/>
      <c r="E161" s="3304"/>
      <c r="F161" s="2142">
        <f>F157</f>
        <v>1034</v>
      </c>
      <c r="G161" s="2142">
        <f>G157</f>
        <v>1034</v>
      </c>
      <c r="H161" s="2142">
        <f>H157</f>
        <v>1034</v>
      </c>
      <c r="I161" s="2141">
        <f>(H161/G161)*100</f>
        <v>100</v>
      </c>
      <c r="R161" s="2693">
        <f>F161</f>
        <v>1034</v>
      </c>
      <c r="S161" s="2693">
        <f>G161</f>
        <v>1034</v>
      </c>
      <c r="T161" s="2693">
        <f>H161</f>
        <v>1034</v>
      </c>
    </row>
    <row r="162" spans="1:20" ht="13.5" thickTop="1" x14ac:dyDescent="0.2">
      <c r="S162" s="2691"/>
      <c r="T162" s="2691"/>
    </row>
    <row r="163" spans="1:20" hidden="1" x14ac:dyDescent="0.2"/>
    <row r="164" spans="1:20" ht="13.5" thickBot="1" x14ac:dyDescent="0.25">
      <c r="A164" s="1719" t="s">
        <v>173</v>
      </c>
      <c r="I164" s="2071" t="s">
        <v>92</v>
      </c>
    </row>
    <row r="165" spans="1:20" s="1043" customFormat="1" ht="20.25" customHeight="1" thickTop="1" thickBot="1" x14ac:dyDescent="0.25">
      <c r="A165" s="1047" t="s">
        <v>324</v>
      </c>
      <c r="B165" s="1044" t="s">
        <v>93</v>
      </c>
      <c r="C165" s="1046" t="s">
        <v>94</v>
      </c>
      <c r="D165" s="1069" t="s">
        <v>364</v>
      </c>
      <c r="E165" s="1069" t="s">
        <v>95</v>
      </c>
      <c r="F165" s="1069" t="s">
        <v>328</v>
      </c>
      <c r="G165" s="1069" t="s">
        <v>329</v>
      </c>
      <c r="H165" s="1749" t="s">
        <v>448</v>
      </c>
      <c r="I165" s="1784" t="s">
        <v>449</v>
      </c>
      <c r="R165" s="2689"/>
      <c r="S165" s="2689"/>
      <c r="T165" s="2689"/>
    </row>
    <row r="166" spans="1:20" s="1037" customFormat="1" ht="13.5" thickTop="1" thickBot="1" x14ac:dyDescent="0.25">
      <c r="A166" s="1042">
        <v>1</v>
      </c>
      <c r="B166" s="1041">
        <v>2</v>
      </c>
      <c r="C166" s="1041">
        <v>3</v>
      </c>
      <c r="D166" s="1041">
        <v>4</v>
      </c>
      <c r="E166" s="1041">
        <v>5</v>
      </c>
      <c r="F166" s="1040">
        <v>6</v>
      </c>
      <c r="G166" s="1040">
        <v>7</v>
      </c>
      <c r="H166" s="1164">
        <v>8</v>
      </c>
      <c r="I166" s="1039" t="s">
        <v>393</v>
      </c>
      <c r="R166" s="2690"/>
      <c r="S166" s="2690"/>
      <c r="T166" s="2690"/>
    </row>
    <row r="167" spans="1:20" ht="15.75" thickTop="1" x14ac:dyDescent="0.25">
      <c r="A167" s="2138">
        <v>1033</v>
      </c>
      <c r="B167" s="2137">
        <v>3114</v>
      </c>
      <c r="C167" s="2137">
        <v>5331</v>
      </c>
      <c r="D167" s="2136"/>
      <c r="E167" s="2135" t="s">
        <v>481</v>
      </c>
      <c r="F167" s="2134">
        <f>F169+F170+F171+F168</f>
        <v>991</v>
      </c>
      <c r="G167" s="2134">
        <f t="shared" ref="G167:H167" si="19">G169+G170+G171+G168</f>
        <v>1206</v>
      </c>
      <c r="H167" s="2134">
        <f t="shared" si="19"/>
        <v>1206</v>
      </c>
      <c r="I167" s="2133">
        <f t="shared" ref="I167:I172" si="20">(H167/G167)*100</f>
        <v>100</v>
      </c>
    </row>
    <row r="168" spans="1:20" ht="28.5" x14ac:dyDescent="0.2">
      <c r="A168" s="2080"/>
      <c r="B168" s="2079"/>
      <c r="C168" s="2079"/>
      <c r="D168" s="3034" t="s">
        <v>972</v>
      </c>
      <c r="E168" s="2951" t="s">
        <v>1540</v>
      </c>
      <c r="F168" s="3038">
        <v>0</v>
      </c>
      <c r="G168" s="3038">
        <v>80</v>
      </c>
      <c r="H168" s="3038">
        <v>80</v>
      </c>
      <c r="I168" s="2147">
        <f t="shared" si="20"/>
        <v>100</v>
      </c>
    </row>
    <row r="169" spans="1:20" ht="14.25" x14ac:dyDescent="0.2">
      <c r="A169" s="2080"/>
      <c r="B169" s="2079"/>
      <c r="C169" s="2079"/>
      <c r="D169" s="2630" t="s">
        <v>1394</v>
      </c>
      <c r="E169" s="923" t="s">
        <v>1537</v>
      </c>
      <c r="F169" s="2077">
        <v>943</v>
      </c>
      <c r="G169" s="2077">
        <v>943</v>
      </c>
      <c r="H169" s="2077">
        <v>943</v>
      </c>
      <c r="I169" s="2076">
        <f t="shared" si="20"/>
        <v>100</v>
      </c>
    </row>
    <row r="170" spans="1:20" ht="14.25" x14ac:dyDescent="0.2">
      <c r="A170" s="2080"/>
      <c r="B170" s="2079"/>
      <c r="C170" s="2079"/>
      <c r="D170" s="811" t="s">
        <v>993</v>
      </c>
      <c r="E170" s="2627" t="s">
        <v>1538</v>
      </c>
      <c r="F170" s="2077">
        <v>48</v>
      </c>
      <c r="G170" s="2077">
        <v>140</v>
      </c>
      <c r="H170" s="2077">
        <v>140</v>
      </c>
      <c r="I170" s="2076">
        <f t="shared" si="20"/>
        <v>100</v>
      </c>
    </row>
    <row r="171" spans="1:20" ht="15" thickBot="1" x14ac:dyDescent="0.25">
      <c r="A171" s="2080"/>
      <c r="B171" s="2079"/>
      <c r="C171" s="2079"/>
      <c r="D171" s="1738" t="s">
        <v>1397</v>
      </c>
      <c r="E171" s="2078" t="s">
        <v>1542</v>
      </c>
      <c r="F171" s="2077">
        <v>0</v>
      </c>
      <c r="G171" s="2077">
        <v>43</v>
      </c>
      <c r="H171" s="2077">
        <v>43</v>
      </c>
      <c r="I171" s="2076">
        <f t="shared" si="20"/>
        <v>100</v>
      </c>
    </row>
    <row r="172" spans="1:20" s="1879" customFormat="1" ht="16.5" thickTop="1" thickBot="1" x14ac:dyDescent="0.25">
      <c r="A172" s="3303" t="s">
        <v>522</v>
      </c>
      <c r="B172" s="3304"/>
      <c r="C172" s="3304"/>
      <c r="D172" s="3304"/>
      <c r="E172" s="3304"/>
      <c r="F172" s="2142">
        <f>F167</f>
        <v>991</v>
      </c>
      <c r="G172" s="2142">
        <f>G167</f>
        <v>1206</v>
      </c>
      <c r="H172" s="2142">
        <f>H167</f>
        <v>1206</v>
      </c>
      <c r="I172" s="2141">
        <f t="shared" si="20"/>
        <v>100</v>
      </c>
      <c r="R172" s="2693">
        <f>F172</f>
        <v>991</v>
      </c>
      <c r="S172" s="2693">
        <f>G172</f>
        <v>1206</v>
      </c>
      <c r="T172" s="2693">
        <f>H172</f>
        <v>1206</v>
      </c>
    </row>
    <row r="173" spans="1:20" s="1879" customFormat="1" ht="15.75" thickTop="1" x14ac:dyDescent="0.25">
      <c r="A173" s="2640">
        <v>1033</v>
      </c>
      <c r="B173" s="19">
        <v>3114</v>
      </c>
      <c r="C173" s="151">
        <v>6351</v>
      </c>
      <c r="D173" s="2641"/>
      <c r="E173" s="845" t="s">
        <v>551</v>
      </c>
      <c r="F173" s="2642">
        <f>F174</f>
        <v>0</v>
      </c>
      <c r="G173" s="2642">
        <f t="shared" ref="G173:H173" si="21">G174</f>
        <v>810</v>
      </c>
      <c r="H173" s="2642">
        <f t="shared" si="21"/>
        <v>810</v>
      </c>
      <c r="I173" s="2643">
        <v>100</v>
      </c>
      <c r="R173" s="2693">
        <f>F175</f>
        <v>0</v>
      </c>
      <c r="S173" s="2693">
        <f t="shared" ref="S173:T173" si="22">G175</f>
        <v>810</v>
      </c>
      <c r="T173" s="2693">
        <f t="shared" si="22"/>
        <v>810</v>
      </c>
    </row>
    <row r="174" spans="1:20" s="1879" customFormat="1" ht="29.25" thickBot="1" x14ac:dyDescent="0.25">
      <c r="A174" s="2644"/>
      <c r="B174" s="822"/>
      <c r="C174" s="2645"/>
      <c r="D174" s="3034" t="s">
        <v>972</v>
      </c>
      <c r="E174" s="2632" t="s">
        <v>1540</v>
      </c>
      <c r="F174" s="3039">
        <v>0</v>
      </c>
      <c r="G174" s="3039">
        <v>810</v>
      </c>
      <c r="H174" s="3039">
        <v>810</v>
      </c>
      <c r="I174" s="3040">
        <v>100</v>
      </c>
      <c r="R174" s="2693">
        <f>R172+R173</f>
        <v>991</v>
      </c>
      <c r="S174" s="2693">
        <f t="shared" ref="S174:T174" si="23">S172+S173</f>
        <v>2016</v>
      </c>
      <c r="T174" s="2693">
        <f t="shared" si="23"/>
        <v>2016</v>
      </c>
    </row>
    <row r="175" spans="1:20" s="1879" customFormat="1" ht="16.5" thickTop="1" thickBot="1" x14ac:dyDescent="0.3">
      <c r="A175" s="3241" t="s">
        <v>523</v>
      </c>
      <c r="B175" s="3242"/>
      <c r="C175" s="3242"/>
      <c r="D175" s="3242"/>
      <c r="E175" s="3243"/>
      <c r="F175" s="2648">
        <f>F173</f>
        <v>0</v>
      </c>
      <c r="G175" s="2648">
        <f t="shared" ref="G175:H175" si="24">G173</f>
        <v>810</v>
      </c>
      <c r="H175" s="2648">
        <f t="shared" si="24"/>
        <v>810</v>
      </c>
      <c r="I175" s="2649">
        <v>100</v>
      </c>
      <c r="R175" s="2693"/>
      <c r="S175" s="2693"/>
      <c r="T175" s="2693"/>
    </row>
    <row r="176" spans="1:20" s="1879" customFormat="1" ht="15.75" thickTop="1" x14ac:dyDescent="0.2">
      <c r="A176" s="2173"/>
      <c r="B176" s="2173"/>
      <c r="C176" s="2173"/>
      <c r="D176" s="2173"/>
      <c r="E176" s="2173"/>
      <c r="F176" s="2650"/>
      <c r="G176" s="2650"/>
      <c r="H176" s="2650"/>
      <c r="I176" s="2651"/>
      <c r="R176" s="2693"/>
      <c r="S176" s="2693"/>
      <c r="T176" s="2693"/>
    </row>
    <row r="177" spans="1:20" hidden="1" x14ac:dyDescent="0.2"/>
    <row r="178" spans="1:20" ht="13.5" thickBot="1" x14ac:dyDescent="0.25">
      <c r="A178" s="1719" t="s">
        <v>276</v>
      </c>
      <c r="I178" s="2071" t="s">
        <v>92</v>
      </c>
    </row>
    <row r="179" spans="1:20" s="1043" customFormat="1" thickTop="1" thickBot="1" x14ac:dyDescent="0.25">
      <c r="A179" s="1047" t="s">
        <v>324</v>
      </c>
      <c r="B179" s="1044" t="s">
        <v>93</v>
      </c>
      <c r="C179" s="1046" t="s">
        <v>94</v>
      </c>
      <c r="D179" s="1069" t="s">
        <v>364</v>
      </c>
      <c r="E179" s="1069" t="s">
        <v>95</v>
      </c>
      <c r="F179" s="1069" t="s">
        <v>328</v>
      </c>
      <c r="G179" s="1069" t="s">
        <v>329</v>
      </c>
      <c r="H179" s="1749" t="s">
        <v>448</v>
      </c>
      <c r="I179" s="1784" t="s">
        <v>449</v>
      </c>
      <c r="R179" s="2689"/>
      <c r="S179" s="2689"/>
      <c r="T179" s="2689"/>
    </row>
    <row r="180" spans="1:20" s="1037" customFormat="1" ht="20.25" customHeight="1" thickTop="1" thickBot="1" x14ac:dyDescent="0.25">
      <c r="A180" s="1042">
        <v>1</v>
      </c>
      <c r="B180" s="1041">
        <v>2</v>
      </c>
      <c r="C180" s="1041">
        <v>3</v>
      </c>
      <c r="D180" s="1041">
        <v>4</v>
      </c>
      <c r="E180" s="1041">
        <v>5</v>
      </c>
      <c r="F180" s="1040">
        <v>6</v>
      </c>
      <c r="G180" s="1040">
        <v>7</v>
      </c>
      <c r="H180" s="1164">
        <v>8</v>
      </c>
      <c r="I180" s="1039" t="s">
        <v>393</v>
      </c>
      <c r="R180" s="2690"/>
      <c r="S180" s="2690"/>
      <c r="T180" s="2690"/>
    </row>
    <row r="181" spans="1:20" ht="15.75" thickTop="1" x14ac:dyDescent="0.25">
      <c r="A181" s="2138">
        <v>1034</v>
      </c>
      <c r="B181" s="2137">
        <v>3133</v>
      </c>
      <c r="C181" s="2137">
        <v>5331</v>
      </c>
      <c r="D181" s="2136"/>
      <c r="E181" s="2135" t="s">
        <v>481</v>
      </c>
      <c r="F181" s="2134">
        <f>F182+F183</f>
        <v>1797</v>
      </c>
      <c r="G181" s="2134">
        <f>G182+G183</f>
        <v>1896</v>
      </c>
      <c r="H181" s="2134">
        <f>H182+H183</f>
        <v>1896</v>
      </c>
      <c r="I181" s="2133">
        <f>(H181/G181)*100</f>
        <v>100</v>
      </c>
    </row>
    <row r="182" spans="1:20" ht="14.25" x14ac:dyDescent="0.2">
      <c r="A182" s="2080"/>
      <c r="B182" s="2079"/>
      <c r="C182" s="2079"/>
      <c r="D182" s="2630" t="s">
        <v>1394</v>
      </c>
      <c r="E182" s="923" t="s">
        <v>1537</v>
      </c>
      <c r="F182" s="2077">
        <v>1672</v>
      </c>
      <c r="G182" s="2077">
        <v>1768</v>
      </c>
      <c r="H182" s="2077">
        <v>1768</v>
      </c>
      <c r="I182" s="2076">
        <f>(H182/G182)*100</f>
        <v>100</v>
      </c>
    </row>
    <row r="183" spans="1:20" ht="15" thickBot="1" x14ac:dyDescent="0.25">
      <c r="A183" s="2080"/>
      <c r="B183" s="2079"/>
      <c r="C183" s="2079"/>
      <c r="D183" s="811" t="s">
        <v>993</v>
      </c>
      <c r="E183" s="2627" t="s">
        <v>1538</v>
      </c>
      <c r="F183" s="2077">
        <v>125</v>
      </c>
      <c r="G183" s="2077">
        <v>128</v>
      </c>
      <c r="H183" s="2077">
        <v>128</v>
      </c>
      <c r="I183" s="2076">
        <f>(H183/G183)*100</f>
        <v>100</v>
      </c>
    </row>
    <row r="184" spans="1:20" s="1879" customFormat="1" ht="16.5" thickTop="1" thickBot="1" x14ac:dyDescent="0.25">
      <c r="A184" s="3303" t="s">
        <v>522</v>
      </c>
      <c r="B184" s="3304"/>
      <c r="C184" s="3304"/>
      <c r="D184" s="3304"/>
      <c r="E184" s="3304"/>
      <c r="F184" s="2142">
        <f>F181</f>
        <v>1797</v>
      </c>
      <c r="G184" s="2142">
        <f>G181</f>
        <v>1896</v>
      </c>
      <c r="H184" s="2142">
        <f>H181</f>
        <v>1896</v>
      </c>
      <c r="I184" s="2141">
        <f>(H184/G184)*100</f>
        <v>100</v>
      </c>
      <c r="R184" s="2693">
        <f>F184</f>
        <v>1797</v>
      </c>
      <c r="S184" s="2693">
        <f>G184</f>
        <v>1896</v>
      </c>
      <c r="T184" s="2693">
        <f>H184</f>
        <v>1896</v>
      </c>
    </row>
    <row r="185" spans="1:20" s="1879" customFormat="1" ht="15.75" thickTop="1" x14ac:dyDescent="0.25">
      <c r="A185" s="2640">
        <v>1034</v>
      </c>
      <c r="B185" s="19">
        <v>3133</v>
      </c>
      <c r="C185" s="151">
        <v>6351</v>
      </c>
      <c r="D185" s="2641"/>
      <c r="E185" s="845" t="s">
        <v>551</v>
      </c>
      <c r="F185" s="2642">
        <f>F186</f>
        <v>0</v>
      </c>
      <c r="G185" s="2642">
        <f t="shared" ref="G185:H185" si="25">G186</f>
        <v>350</v>
      </c>
      <c r="H185" s="2642">
        <f t="shared" si="25"/>
        <v>350</v>
      </c>
      <c r="I185" s="2643">
        <v>100</v>
      </c>
      <c r="R185" s="2693"/>
      <c r="S185" s="2693"/>
      <c r="T185" s="2693"/>
    </row>
    <row r="186" spans="1:20" s="1879" customFormat="1" ht="29.25" thickBot="1" x14ac:dyDescent="0.25">
      <c r="A186" s="2644"/>
      <c r="B186" s="822"/>
      <c r="C186" s="2645"/>
      <c r="D186" s="3034" t="s">
        <v>972</v>
      </c>
      <c r="E186" s="2952" t="s">
        <v>1540</v>
      </c>
      <c r="F186" s="3039">
        <v>0</v>
      </c>
      <c r="G186" s="3039">
        <v>350</v>
      </c>
      <c r="H186" s="3039">
        <v>350</v>
      </c>
      <c r="I186" s="3040">
        <v>100</v>
      </c>
      <c r="R186" s="2693"/>
      <c r="S186" s="2693"/>
      <c r="T186" s="2693"/>
    </row>
    <row r="187" spans="1:20" s="1879" customFormat="1" ht="16.5" thickTop="1" thickBot="1" x14ac:dyDescent="0.3">
      <c r="A187" s="3241" t="s">
        <v>523</v>
      </c>
      <c r="B187" s="3242"/>
      <c r="C187" s="3242"/>
      <c r="D187" s="3242"/>
      <c r="E187" s="3243"/>
      <c r="F187" s="2648">
        <f>F185</f>
        <v>0</v>
      </c>
      <c r="G187" s="2648">
        <f t="shared" ref="G187:H187" si="26">G185</f>
        <v>350</v>
      </c>
      <c r="H187" s="2648">
        <f t="shared" si="26"/>
        <v>350</v>
      </c>
      <c r="I187" s="2649">
        <v>100</v>
      </c>
      <c r="R187" s="2693"/>
      <c r="S187" s="2693"/>
      <c r="T187" s="2693"/>
    </row>
    <row r="188" spans="1:20" ht="13.5" thickTop="1" x14ac:dyDescent="0.2"/>
    <row r="189" spans="1:20" ht="13.5" thickBot="1" x14ac:dyDescent="0.25">
      <c r="A189" s="1719" t="s">
        <v>527</v>
      </c>
      <c r="I189" s="2071" t="s">
        <v>92</v>
      </c>
    </row>
    <row r="190" spans="1:20" s="1043" customFormat="1" thickTop="1" thickBot="1" x14ac:dyDescent="0.25">
      <c r="A190" s="1047" t="s">
        <v>324</v>
      </c>
      <c r="B190" s="1044" t="s">
        <v>93</v>
      </c>
      <c r="C190" s="1046" t="s">
        <v>94</v>
      </c>
      <c r="D190" s="1069" t="s">
        <v>364</v>
      </c>
      <c r="E190" s="1069" t="s">
        <v>95</v>
      </c>
      <c r="F190" s="1069" t="s">
        <v>328</v>
      </c>
      <c r="G190" s="1069" t="s">
        <v>329</v>
      </c>
      <c r="H190" s="1749" t="s">
        <v>448</v>
      </c>
      <c r="I190" s="1784" t="s">
        <v>449</v>
      </c>
      <c r="R190" s="2689"/>
      <c r="S190" s="2689"/>
      <c r="T190" s="2689"/>
    </row>
    <row r="191" spans="1:20" s="1037" customFormat="1" ht="14.25" customHeight="1" thickTop="1" thickBot="1" x14ac:dyDescent="0.25">
      <c r="A191" s="1042">
        <v>1</v>
      </c>
      <c r="B191" s="1041">
        <v>2</v>
      </c>
      <c r="C191" s="1041">
        <v>3</v>
      </c>
      <c r="D191" s="1041">
        <v>4</v>
      </c>
      <c r="E191" s="1041">
        <v>5</v>
      </c>
      <c r="F191" s="1040">
        <v>6</v>
      </c>
      <c r="G191" s="1040">
        <v>7</v>
      </c>
      <c r="H191" s="1164">
        <v>8</v>
      </c>
      <c r="I191" s="1039" t="s">
        <v>393</v>
      </c>
      <c r="R191" s="2690"/>
      <c r="S191" s="2690"/>
      <c r="T191" s="2690"/>
    </row>
    <row r="192" spans="1:20" ht="15.75" thickTop="1" x14ac:dyDescent="0.25">
      <c r="A192" s="2138">
        <v>1035</v>
      </c>
      <c r="B192" s="2137">
        <v>3114</v>
      </c>
      <c r="C192" s="2137">
        <v>5331</v>
      </c>
      <c r="D192" s="2136"/>
      <c r="E192" s="2135" t="s">
        <v>481</v>
      </c>
      <c r="F192" s="2134">
        <f>F193+F194+F195</f>
        <v>560</v>
      </c>
      <c r="G192" s="2134">
        <f t="shared" ref="G192:H192" si="27">G193+G194+G195</f>
        <v>230</v>
      </c>
      <c r="H192" s="2134">
        <f t="shared" si="27"/>
        <v>230</v>
      </c>
      <c r="I192" s="2133">
        <f>(H192/G192)*100</f>
        <v>100</v>
      </c>
    </row>
    <row r="193" spans="1:20" ht="15" thickBot="1" x14ac:dyDescent="0.25">
      <c r="A193" s="2080"/>
      <c r="B193" s="2079"/>
      <c r="C193" s="2079"/>
      <c r="D193" s="2630" t="s">
        <v>1394</v>
      </c>
      <c r="E193" s="923" t="s">
        <v>1537</v>
      </c>
      <c r="F193" s="2081">
        <v>560</v>
      </c>
      <c r="G193" s="2081">
        <v>230</v>
      </c>
      <c r="H193" s="2081">
        <v>230</v>
      </c>
      <c r="I193" s="2076">
        <f t="shared" ref="I193:I194" si="28">(H193/G193)*100</f>
        <v>100</v>
      </c>
    </row>
    <row r="194" spans="1:20" ht="14.25" hidden="1" x14ac:dyDescent="0.2">
      <c r="A194" s="2080"/>
      <c r="B194" s="2079"/>
      <c r="C194" s="2079"/>
      <c r="D194" s="811" t="s">
        <v>1395</v>
      </c>
      <c r="E194" s="2627" t="s">
        <v>1539</v>
      </c>
      <c r="F194" s="2081"/>
      <c r="G194" s="2081"/>
      <c r="H194" s="2081"/>
      <c r="I194" s="2076" t="e">
        <f t="shared" si="28"/>
        <v>#DIV/0!</v>
      </c>
    </row>
    <row r="195" spans="1:20" ht="15" hidden="1" thickBot="1" x14ac:dyDescent="0.25">
      <c r="A195" s="2080"/>
      <c r="B195" s="2079"/>
      <c r="C195" s="2079"/>
      <c r="D195" s="2636" t="s">
        <v>1397</v>
      </c>
      <c r="E195" s="2637" t="s">
        <v>1542</v>
      </c>
      <c r="F195" s="2081"/>
      <c r="G195" s="2077"/>
      <c r="H195" s="2077"/>
      <c r="I195" s="2076" t="e">
        <f>(H195/G195)*100</f>
        <v>#DIV/0!</v>
      </c>
    </row>
    <row r="196" spans="1:20" s="1879" customFormat="1" ht="16.5" thickTop="1" thickBot="1" x14ac:dyDescent="0.25">
      <c r="A196" s="2165" t="s">
        <v>522</v>
      </c>
      <c r="B196" s="2164"/>
      <c r="C196" s="2164"/>
      <c r="D196" s="2164"/>
      <c r="E196" s="2164"/>
      <c r="F196" s="2142">
        <f>F192</f>
        <v>560</v>
      </c>
      <c r="G196" s="2142">
        <f>G192</f>
        <v>230</v>
      </c>
      <c r="H196" s="2142">
        <f>H192</f>
        <v>230</v>
      </c>
      <c r="I196" s="2141">
        <f>(H196/G196)*100</f>
        <v>100</v>
      </c>
      <c r="K196" s="2119" t="e">
        <f>SUM(F196,F184,F172,F161,#REF!,#REF!,F150,#REF!,F132,#REF!,F122,F113,#REF!,F104,F91,F77,F63,#REF!,F50,#REF!,F37,#REF!,#REF!,F28,#REF!)</f>
        <v>#REF!</v>
      </c>
      <c r="L196" s="2119" t="e">
        <f>SUM(G196,G184,G172,G161,#REF!,#REF!,G150,#REF!,G132,#REF!,G122,G113,#REF!,G104,G91,G77,G63,#REF!,G50,#REF!,G37,#REF!,#REF!,G28,#REF!)</f>
        <v>#REF!</v>
      </c>
      <c r="M196" s="2119" t="e">
        <f>SUM(H196,H184,H172,H161,#REF!,#REF!,H150,#REF!,H132,#REF!,H122,H113,#REF!,H104,H91,H77,H63,#REF!,H50,#REF!,H37,#REF!,#REF!,H28,#REF!)</f>
        <v>#REF!</v>
      </c>
      <c r="R196" s="2693">
        <f>F196</f>
        <v>560</v>
      </c>
      <c r="S196" s="2693">
        <f>G196</f>
        <v>230</v>
      </c>
      <c r="T196" s="2693">
        <f>H196</f>
        <v>230</v>
      </c>
    </row>
    <row r="197" spans="1:20" ht="13.5" thickTop="1" x14ac:dyDescent="0.2"/>
    <row r="198" spans="1:20" ht="13.5" thickBot="1" x14ac:dyDescent="0.25">
      <c r="A198" s="1719" t="s">
        <v>700</v>
      </c>
      <c r="I198" s="2071" t="s">
        <v>92</v>
      </c>
    </row>
    <row r="199" spans="1:20" s="1043" customFormat="1" ht="20.25" customHeight="1" thickTop="1" thickBot="1" x14ac:dyDescent="0.25">
      <c r="A199" s="1047" t="s">
        <v>324</v>
      </c>
      <c r="B199" s="1044" t="s">
        <v>93</v>
      </c>
      <c r="C199" s="1046" t="s">
        <v>94</v>
      </c>
      <c r="D199" s="1069" t="s">
        <v>364</v>
      </c>
      <c r="E199" s="1069" t="s">
        <v>95</v>
      </c>
      <c r="F199" s="1069" t="s">
        <v>328</v>
      </c>
      <c r="G199" s="1069" t="s">
        <v>329</v>
      </c>
      <c r="H199" s="1749" t="s">
        <v>448</v>
      </c>
      <c r="I199" s="1784" t="s">
        <v>449</v>
      </c>
      <c r="R199" s="2689"/>
      <c r="S199" s="2689"/>
      <c r="T199" s="2689"/>
    </row>
    <row r="200" spans="1:20" s="1037" customFormat="1" ht="13.5" thickTop="1" thickBot="1" x14ac:dyDescent="0.25">
      <c r="A200" s="1042">
        <v>1</v>
      </c>
      <c r="B200" s="1041">
        <v>2</v>
      </c>
      <c r="C200" s="1041">
        <v>3</v>
      </c>
      <c r="D200" s="1041">
        <v>4</v>
      </c>
      <c r="E200" s="1041">
        <v>5</v>
      </c>
      <c r="F200" s="1040">
        <v>6</v>
      </c>
      <c r="G200" s="1040">
        <v>7</v>
      </c>
      <c r="H200" s="1164">
        <v>8</v>
      </c>
      <c r="I200" s="1039" t="s">
        <v>393</v>
      </c>
      <c r="R200" s="2690"/>
      <c r="S200" s="2690"/>
      <c r="T200" s="2690"/>
    </row>
    <row r="201" spans="1:20" ht="15.75" thickTop="1" x14ac:dyDescent="0.25">
      <c r="A201" s="2080">
        <v>1036</v>
      </c>
      <c r="B201" s="2079">
        <v>3114</v>
      </c>
      <c r="C201" s="2079">
        <v>5331</v>
      </c>
      <c r="D201" s="2099"/>
      <c r="E201" s="2096" t="s">
        <v>481</v>
      </c>
      <c r="F201" s="2095">
        <f>SUM(F202:F204)</f>
        <v>2059</v>
      </c>
      <c r="G201" s="2095">
        <f t="shared" ref="G201:H201" si="29">SUM(G202:G204)</f>
        <v>2042</v>
      </c>
      <c r="H201" s="2095">
        <f t="shared" si="29"/>
        <v>2042</v>
      </c>
      <c r="I201" s="2098">
        <f>(H201/G201)*100</f>
        <v>100</v>
      </c>
    </row>
    <row r="202" spans="1:20" ht="14.25" x14ac:dyDescent="0.2">
      <c r="A202" s="2080"/>
      <c r="B202" s="2079"/>
      <c r="C202" s="2079"/>
      <c r="D202" s="2630" t="s">
        <v>1394</v>
      </c>
      <c r="E202" s="923" t="s">
        <v>1537</v>
      </c>
      <c r="F202" s="2077">
        <v>1470</v>
      </c>
      <c r="G202" s="2077">
        <v>1470</v>
      </c>
      <c r="H202" s="2077">
        <v>1470</v>
      </c>
      <c r="I202" s="2076">
        <f>(H202/G202)*100</f>
        <v>100</v>
      </c>
    </row>
    <row r="203" spans="1:20" ht="14.25" x14ac:dyDescent="0.2">
      <c r="A203" s="2080"/>
      <c r="B203" s="2079"/>
      <c r="C203" s="2079"/>
      <c r="D203" s="811" t="s">
        <v>993</v>
      </c>
      <c r="E203" s="2627" t="s">
        <v>1538</v>
      </c>
      <c r="F203" s="2077">
        <v>589</v>
      </c>
      <c r="G203" s="2077">
        <v>456</v>
      </c>
      <c r="H203" s="2077">
        <v>456</v>
      </c>
      <c r="I203" s="2076">
        <f>(H203/G203)*100</f>
        <v>100</v>
      </c>
    </row>
    <row r="204" spans="1:20" ht="15" thickBot="1" x14ac:dyDescent="0.25">
      <c r="A204" s="2080"/>
      <c r="B204" s="2079"/>
      <c r="C204" s="2079"/>
      <c r="D204" s="811" t="s">
        <v>1395</v>
      </c>
      <c r="E204" s="2627" t="s">
        <v>1539</v>
      </c>
      <c r="F204" s="2077">
        <v>0</v>
      </c>
      <c r="G204" s="2077">
        <v>116</v>
      </c>
      <c r="H204" s="2077">
        <v>116</v>
      </c>
      <c r="I204" s="2076">
        <f>(H204/G204)*100</f>
        <v>100</v>
      </c>
    </row>
    <row r="205" spans="1:20" ht="16.5" thickTop="1" thickBot="1" x14ac:dyDescent="0.3">
      <c r="A205" s="3301" t="s">
        <v>522</v>
      </c>
      <c r="B205" s="3302"/>
      <c r="C205" s="3302"/>
      <c r="D205" s="3302"/>
      <c r="E205" s="3302"/>
      <c r="F205" s="2075">
        <f>F201</f>
        <v>2059</v>
      </c>
      <c r="G205" s="2075">
        <f>G201</f>
        <v>2042</v>
      </c>
      <c r="H205" s="2075">
        <f>H201</f>
        <v>2042</v>
      </c>
      <c r="I205" s="2074">
        <f>(H205/G205)*100</f>
        <v>100</v>
      </c>
      <c r="R205" s="2691">
        <f>F205</f>
        <v>2059</v>
      </c>
      <c r="S205" s="2691">
        <f>G205</f>
        <v>2042</v>
      </c>
      <c r="T205" s="2691">
        <f>H205</f>
        <v>2042</v>
      </c>
    </row>
    <row r="206" spans="1:20" ht="15.75" thickTop="1" x14ac:dyDescent="0.25">
      <c r="A206" s="2640">
        <v>1036</v>
      </c>
      <c r="B206" s="19">
        <v>3114</v>
      </c>
      <c r="C206" s="151">
        <v>6351</v>
      </c>
      <c r="D206" s="2641"/>
      <c r="E206" s="845" t="s">
        <v>551</v>
      </c>
      <c r="F206" s="2642">
        <f>F207</f>
        <v>0</v>
      </c>
      <c r="G206" s="2642">
        <f t="shared" ref="G206:H206" si="30">G207</f>
        <v>367</v>
      </c>
      <c r="H206" s="2642">
        <f t="shared" si="30"/>
        <v>367</v>
      </c>
      <c r="I206" s="2643">
        <v>100</v>
      </c>
      <c r="R206" s="2691"/>
      <c r="S206" s="2691"/>
      <c r="T206" s="2691"/>
    </row>
    <row r="207" spans="1:20" ht="29.25" thickBot="1" x14ac:dyDescent="0.25">
      <c r="A207" s="2644"/>
      <c r="B207" s="822"/>
      <c r="C207" s="2645"/>
      <c r="D207" s="3034" t="s">
        <v>972</v>
      </c>
      <c r="E207" s="2952" t="s">
        <v>1540</v>
      </c>
      <c r="F207" s="3039">
        <v>0</v>
      </c>
      <c r="G207" s="3039">
        <v>367</v>
      </c>
      <c r="H207" s="3039">
        <v>367</v>
      </c>
      <c r="I207" s="3040">
        <v>100</v>
      </c>
      <c r="R207" s="2691"/>
      <c r="S207" s="2691"/>
      <c r="T207" s="2691"/>
    </row>
    <row r="208" spans="1:20" ht="16.5" thickTop="1" thickBot="1" x14ac:dyDescent="0.3">
      <c r="A208" s="3241" t="s">
        <v>523</v>
      </c>
      <c r="B208" s="3242"/>
      <c r="C208" s="3242"/>
      <c r="D208" s="3242"/>
      <c r="E208" s="3243"/>
      <c r="F208" s="2648">
        <f>F206</f>
        <v>0</v>
      </c>
      <c r="G208" s="2648">
        <f t="shared" ref="G208:H208" si="31">G206</f>
        <v>367</v>
      </c>
      <c r="H208" s="2648">
        <f t="shared" si="31"/>
        <v>367</v>
      </c>
      <c r="I208" s="2649">
        <v>100</v>
      </c>
      <c r="R208" s="2691"/>
      <c r="S208" s="2691"/>
      <c r="T208" s="2691"/>
    </row>
    <row r="209" spans="1:20" ht="12.75" customHeight="1" thickTop="1" x14ac:dyDescent="0.25">
      <c r="A209" s="1137"/>
      <c r="B209" s="1137"/>
      <c r="C209" s="1137"/>
      <c r="D209" s="1137"/>
      <c r="E209" s="1137"/>
      <c r="F209" s="2073"/>
      <c r="G209" s="2073"/>
      <c r="H209" s="2073"/>
      <c r="I209" s="2072"/>
      <c r="R209" s="2691"/>
      <c r="S209" s="2691"/>
      <c r="T209" s="2691"/>
    </row>
    <row r="210" spans="1:20" ht="13.5" thickBot="1" x14ac:dyDescent="0.25">
      <c r="A210" s="1719" t="s">
        <v>44</v>
      </c>
      <c r="I210" s="2071" t="s">
        <v>92</v>
      </c>
    </row>
    <row r="211" spans="1:20" s="1043" customFormat="1" ht="20.25" customHeight="1" thickTop="1" thickBot="1" x14ac:dyDescent="0.25">
      <c r="A211" s="1047" t="s">
        <v>324</v>
      </c>
      <c r="B211" s="1044" t="s">
        <v>93</v>
      </c>
      <c r="C211" s="1046" t="s">
        <v>94</v>
      </c>
      <c r="D211" s="1069" t="s">
        <v>364</v>
      </c>
      <c r="E211" s="1069" t="s">
        <v>95</v>
      </c>
      <c r="F211" s="1069" t="s">
        <v>328</v>
      </c>
      <c r="G211" s="1069" t="s">
        <v>329</v>
      </c>
      <c r="H211" s="1749" t="s">
        <v>448</v>
      </c>
      <c r="I211" s="1784" t="s">
        <v>449</v>
      </c>
      <c r="R211" s="2689"/>
      <c r="S211" s="2689"/>
      <c r="T211" s="2689"/>
    </row>
    <row r="212" spans="1:20" s="1037" customFormat="1" ht="13.5" thickTop="1" thickBot="1" x14ac:dyDescent="0.25">
      <c r="A212" s="1042">
        <v>1</v>
      </c>
      <c r="B212" s="1041">
        <v>2</v>
      </c>
      <c r="C212" s="1041">
        <v>3</v>
      </c>
      <c r="D212" s="1041">
        <v>4</v>
      </c>
      <c r="E212" s="1041">
        <v>5</v>
      </c>
      <c r="F212" s="1040">
        <v>6</v>
      </c>
      <c r="G212" s="1040">
        <v>7</v>
      </c>
      <c r="H212" s="1164">
        <v>8</v>
      </c>
      <c r="I212" s="1039" t="s">
        <v>393</v>
      </c>
      <c r="R212" s="2690"/>
      <c r="S212" s="2690"/>
      <c r="T212" s="2690"/>
    </row>
    <row r="213" spans="1:20" ht="15.75" thickTop="1" x14ac:dyDescent="0.25">
      <c r="A213" s="2080">
        <v>1037</v>
      </c>
      <c r="B213" s="2093">
        <v>3114</v>
      </c>
      <c r="C213" s="2093">
        <v>5331</v>
      </c>
      <c r="D213" s="2107"/>
      <c r="E213" s="1739" t="s">
        <v>481</v>
      </c>
      <c r="F213" s="2106">
        <f>F214+F215+F216</f>
        <v>1951</v>
      </c>
      <c r="G213" s="2106">
        <f>G214+G215+G216</f>
        <v>1951</v>
      </c>
      <c r="H213" s="2106">
        <f>H214+H215+H216</f>
        <v>1951</v>
      </c>
      <c r="I213" s="2105">
        <f>(H213/G213)*100</f>
        <v>100</v>
      </c>
    </row>
    <row r="214" spans="1:20" ht="14.25" x14ac:dyDescent="0.2">
      <c r="A214" s="2080"/>
      <c r="B214" s="2093"/>
      <c r="C214" s="2093"/>
      <c r="D214" s="2630" t="s">
        <v>1394</v>
      </c>
      <c r="E214" s="923" t="s">
        <v>1537</v>
      </c>
      <c r="F214" s="2077">
        <v>1932</v>
      </c>
      <c r="G214" s="2077">
        <v>1932</v>
      </c>
      <c r="H214" s="2077">
        <v>1932</v>
      </c>
      <c r="I214" s="2076">
        <f>(H214/G214)*100</f>
        <v>100</v>
      </c>
    </row>
    <row r="215" spans="1:20" ht="14.25" hidden="1" x14ac:dyDescent="0.2">
      <c r="A215" s="2080"/>
      <c r="B215" s="2093"/>
      <c r="C215" s="2093"/>
      <c r="D215" s="1744" t="s">
        <v>972</v>
      </c>
      <c r="E215" s="2100" t="s">
        <v>368</v>
      </c>
      <c r="F215" s="2077"/>
      <c r="G215" s="2077"/>
      <c r="H215" s="2077"/>
      <c r="I215" s="2076" t="e">
        <f>(H215/G215)*100</f>
        <v>#DIV/0!</v>
      </c>
    </row>
    <row r="216" spans="1:20" ht="15" thickBot="1" x14ac:dyDescent="0.25">
      <c r="A216" s="2080"/>
      <c r="B216" s="2093"/>
      <c r="C216" s="2093"/>
      <c r="D216" s="811" t="s">
        <v>993</v>
      </c>
      <c r="E216" s="2627" t="s">
        <v>1538</v>
      </c>
      <c r="F216" s="2091">
        <v>19</v>
      </c>
      <c r="G216" s="2091">
        <v>19</v>
      </c>
      <c r="H216" s="2091">
        <v>19</v>
      </c>
      <c r="I216" s="2090">
        <f>(H216/G216)*100</f>
        <v>100</v>
      </c>
    </row>
    <row r="217" spans="1:20" ht="18" customHeight="1" thickTop="1" thickBot="1" x14ac:dyDescent="0.3">
      <c r="A217" s="3301" t="s">
        <v>522</v>
      </c>
      <c r="B217" s="3302"/>
      <c r="C217" s="3302"/>
      <c r="D217" s="3302"/>
      <c r="E217" s="3302"/>
      <c r="F217" s="2075">
        <f>F213</f>
        <v>1951</v>
      </c>
      <c r="G217" s="2075">
        <f>G213</f>
        <v>1951</v>
      </c>
      <c r="H217" s="2075">
        <f>H213</f>
        <v>1951</v>
      </c>
      <c r="I217" s="2074">
        <f>(H217/G217)*100</f>
        <v>100</v>
      </c>
      <c r="R217" s="2691">
        <f>F217</f>
        <v>1951</v>
      </c>
      <c r="S217" s="2691">
        <f>G217</f>
        <v>1951</v>
      </c>
      <c r="T217" s="2691">
        <f>H217</f>
        <v>1951</v>
      </c>
    </row>
    <row r="218" spans="1:20" ht="12" customHeight="1" thickTop="1" x14ac:dyDescent="0.25">
      <c r="A218" s="1137"/>
      <c r="B218" s="1137"/>
      <c r="C218" s="1137"/>
      <c r="D218" s="1137"/>
      <c r="E218" s="1137"/>
      <c r="F218" s="2073"/>
      <c r="G218" s="2073"/>
      <c r="H218" s="2073"/>
      <c r="I218" s="2072"/>
      <c r="R218" s="2691"/>
      <c r="S218" s="2691"/>
      <c r="T218" s="2691"/>
    </row>
    <row r="219" spans="1:20" ht="16.5" customHeight="1" thickBot="1" x14ac:dyDescent="0.25">
      <c r="A219" s="1719" t="s">
        <v>701</v>
      </c>
      <c r="I219" s="2071" t="s">
        <v>92</v>
      </c>
    </row>
    <row r="220" spans="1:20" s="1043" customFormat="1" thickTop="1" thickBot="1" x14ac:dyDescent="0.25">
      <c r="A220" s="1047" t="s">
        <v>324</v>
      </c>
      <c r="B220" s="1044" t="s">
        <v>93</v>
      </c>
      <c r="C220" s="1046" t="s">
        <v>94</v>
      </c>
      <c r="D220" s="1069" t="s">
        <v>364</v>
      </c>
      <c r="E220" s="1069" t="s">
        <v>95</v>
      </c>
      <c r="F220" s="1069" t="s">
        <v>328</v>
      </c>
      <c r="G220" s="1069" t="s">
        <v>329</v>
      </c>
      <c r="H220" s="1749" t="s">
        <v>448</v>
      </c>
      <c r="I220" s="1784" t="s">
        <v>449</v>
      </c>
      <c r="R220" s="2689"/>
      <c r="S220" s="2689"/>
      <c r="T220" s="2689"/>
    </row>
    <row r="221" spans="1:20" s="2158" customFormat="1" ht="13.5" thickTop="1" thickBot="1" x14ac:dyDescent="0.25">
      <c r="A221" s="2163">
        <v>1</v>
      </c>
      <c r="B221" s="2162">
        <v>2</v>
      </c>
      <c r="C221" s="2162">
        <v>3</v>
      </c>
      <c r="D221" s="2162">
        <v>4</v>
      </c>
      <c r="E221" s="2162">
        <v>5</v>
      </c>
      <c r="F221" s="2161">
        <v>6</v>
      </c>
      <c r="G221" s="2161">
        <v>7</v>
      </c>
      <c r="H221" s="2160">
        <v>8</v>
      </c>
      <c r="I221" s="2159" t="s">
        <v>393</v>
      </c>
      <c r="R221" s="2694"/>
      <c r="S221" s="2694"/>
      <c r="T221" s="2694"/>
    </row>
    <row r="222" spans="1:20" s="1879" customFormat="1" ht="15.75" thickTop="1" x14ac:dyDescent="0.2">
      <c r="A222" s="2157">
        <v>1038</v>
      </c>
      <c r="B222" s="2156">
        <v>3114</v>
      </c>
      <c r="C222" s="2156">
        <v>5331</v>
      </c>
      <c r="D222" s="2155"/>
      <c r="E222" s="2154" t="s">
        <v>481</v>
      </c>
      <c r="F222" s="2153">
        <f>F223+F225+F226+F224</f>
        <v>866</v>
      </c>
      <c r="G222" s="2153">
        <f t="shared" ref="G222:H222" si="32">G223+G225+G226+G224</f>
        <v>968</v>
      </c>
      <c r="H222" s="2153">
        <f t="shared" si="32"/>
        <v>968</v>
      </c>
      <c r="I222" s="2152">
        <f>(H222/G222)*100</f>
        <v>100</v>
      </c>
      <c r="R222" s="2692"/>
      <c r="S222" s="2692"/>
      <c r="T222" s="2692"/>
    </row>
    <row r="223" spans="1:20" s="1879" customFormat="1" ht="28.5" x14ac:dyDescent="0.2">
      <c r="A223" s="2151"/>
      <c r="B223" s="2150"/>
      <c r="C223" s="2150"/>
      <c r="D223" s="3034" t="s">
        <v>972</v>
      </c>
      <c r="E223" s="2632" t="s">
        <v>1540</v>
      </c>
      <c r="F223" s="2148">
        <v>0</v>
      </c>
      <c r="G223" s="2148">
        <v>113</v>
      </c>
      <c r="H223" s="2148">
        <v>113</v>
      </c>
      <c r="I223" s="2147">
        <f>(H223/G223)*100</f>
        <v>100</v>
      </c>
      <c r="R223" s="2692"/>
      <c r="S223" s="2692"/>
      <c r="T223" s="2692"/>
    </row>
    <row r="224" spans="1:20" s="1879" customFormat="1" ht="14.25" x14ac:dyDescent="0.2">
      <c r="A224" s="2151"/>
      <c r="B224" s="2150"/>
      <c r="C224" s="2150"/>
      <c r="D224" s="2630" t="s">
        <v>1394</v>
      </c>
      <c r="E224" s="923" t="s">
        <v>1537</v>
      </c>
      <c r="F224" s="2638">
        <v>543</v>
      </c>
      <c r="G224" s="2638">
        <v>543</v>
      </c>
      <c r="H224" s="2638">
        <v>543</v>
      </c>
      <c r="I224" s="2635">
        <f t="shared" ref="I224:I226" si="33">(H224/G224)*100</f>
        <v>100</v>
      </c>
      <c r="R224" s="2692"/>
      <c r="S224" s="2692"/>
      <c r="T224" s="2692"/>
    </row>
    <row r="225" spans="1:20" s="1879" customFormat="1" ht="14.25" hidden="1" x14ac:dyDescent="0.2">
      <c r="A225" s="2151"/>
      <c r="B225" s="2150"/>
      <c r="C225" s="2150"/>
      <c r="D225" s="811" t="s">
        <v>994</v>
      </c>
      <c r="E225" s="2627" t="s">
        <v>1541</v>
      </c>
      <c r="F225" s="2077"/>
      <c r="G225" s="2077"/>
      <c r="H225" s="2077"/>
      <c r="I225" s="2635" t="e">
        <f t="shared" si="33"/>
        <v>#DIV/0!</v>
      </c>
      <c r="R225" s="2692"/>
      <c r="S225" s="2692"/>
      <c r="T225" s="2692"/>
    </row>
    <row r="226" spans="1:20" ht="15" thickBot="1" x14ac:dyDescent="0.25">
      <c r="A226" s="2080"/>
      <c r="B226" s="2079"/>
      <c r="C226" s="2109"/>
      <c r="D226" s="811" t="s">
        <v>993</v>
      </c>
      <c r="E226" s="2627" t="s">
        <v>1538</v>
      </c>
      <c r="F226" s="2077">
        <v>323</v>
      </c>
      <c r="G226" s="2077">
        <v>312</v>
      </c>
      <c r="H226" s="2077">
        <v>312</v>
      </c>
      <c r="I226" s="2635">
        <f t="shared" si="33"/>
        <v>100</v>
      </c>
    </row>
    <row r="227" spans="1:20" ht="16.5" thickTop="1" thickBot="1" x14ac:dyDescent="0.3">
      <c r="A227" s="3301" t="s">
        <v>522</v>
      </c>
      <c r="B227" s="3302"/>
      <c r="C227" s="3302"/>
      <c r="D227" s="3302"/>
      <c r="E227" s="3302"/>
      <c r="F227" s="2075">
        <f>F222</f>
        <v>866</v>
      </c>
      <c r="G227" s="2075">
        <f>G222</f>
        <v>968</v>
      </c>
      <c r="H227" s="2075">
        <f>H222</f>
        <v>968</v>
      </c>
      <c r="I227" s="2074">
        <f>(H227/G227)*100</f>
        <v>100</v>
      </c>
      <c r="R227" s="2691">
        <f>F227</f>
        <v>866</v>
      </c>
      <c r="S227" s="2691">
        <f>G227</f>
        <v>968</v>
      </c>
      <c r="T227" s="2691">
        <f>H227</f>
        <v>968</v>
      </c>
    </row>
    <row r="228" spans="1:20" s="1879" customFormat="1" ht="13.5" thickTop="1" x14ac:dyDescent="0.2">
      <c r="B228" s="2121"/>
      <c r="D228" s="2120"/>
      <c r="F228" s="2119"/>
      <c r="G228" s="2119"/>
      <c r="H228" s="2119"/>
      <c r="I228" s="2118"/>
      <c r="R228" s="2692"/>
      <c r="S228" s="2692"/>
      <c r="T228" s="2692"/>
    </row>
    <row r="229" spans="1:20" ht="13.5" thickBot="1" x14ac:dyDescent="0.25">
      <c r="A229" s="1719" t="s">
        <v>27</v>
      </c>
      <c r="I229" s="2071" t="s">
        <v>92</v>
      </c>
    </row>
    <row r="230" spans="1:20" s="1043" customFormat="1" thickTop="1" thickBot="1" x14ac:dyDescent="0.25">
      <c r="A230" s="1047" t="s">
        <v>324</v>
      </c>
      <c r="B230" s="1044" t="s">
        <v>93</v>
      </c>
      <c r="C230" s="1046" t="s">
        <v>94</v>
      </c>
      <c r="D230" s="1069" t="s">
        <v>364</v>
      </c>
      <c r="E230" s="1069" t="s">
        <v>95</v>
      </c>
      <c r="F230" s="1069" t="s">
        <v>328</v>
      </c>
      <c r="G230" s="1069" t="s">
        <v>329</v>
      </c>
      <c r="H230" s="1749" t="s">
        <v>448</v>
      </c>
      <c r="I230" s="1784" t="s">
        <v>449</v>
      </c>
      <c r="R230" s="2689"/>
      <c r="S230" s="2689"/>
      <c r="T230" s="2689"/>
    </row>
    <row r="231" spans="1:20" s="1037" customFormat="1" ht="13.5" thickTop="1" thickBot="1" x14ac:dyDescent="0.25">
      <c r="A231" s="1042">
        <v>1</v>
      </c>
      <c r="B231" s="1041">
        <v>2</v>
      </c>
      <c r="C231" s="1041">
        <v>3</v>
      </c>
      <c r="D231" s="1041">
        <v>4</v>
      </c>
      <c r="E231" s="1041">
        <v>5</v>
      </c>
      <c r="F231" s="1040">
        <v>6</v>
      </c>
      <c r="G231" s="1040">
        <v>7</v>
      </c>
      <c r="H231" s="1164">
        <v>8</v>
      </c>
      <c r="I231" s="1039" t="s">
        <v>393</v>
      </c>
      <c r="R231" s="2690"/>
      <c r="S231" s="2690"/>
      <c r="T231" s="2690"/>
    </row>
    <row r="232" spans="1:20" ht="15.75" thickTop="1" x14ac:dyDescent="0.25">
      <c r="A232" s="2138">
        <v>1040</v>
      </c>
      <c r="B232" s="2137">
        <v>3114</v>
      </c>
      <c r="C232" s="2137">
        <v>5331</v>
      </c>
      <c r="D232" s="2136"/>
      <c r="E232" s="2135" t="s">
        <v>481</v>
      </c>
      <c r="F232" s="2134">
        <f>F233+F234+F235</f>
        <v>1917</v>
      </c>
      <c r="G232" s="2134">
        <f t="shared" ref="G232:H232" si="34">G233+G234+G235</f>
        <v>2119</v>
      </c>
      <c r="H232" s="2134">
        <f t="shared" si="34"/>
        <v>2119</v>
      </c>
      <c r="I232" s="2133">
        <f>(H232/G232)*100</f>
        <v>100</v>
      </c>
    </row>
    <row r="233" spans="1:20" ht="28.5" hidden="1" x14ac:dyDescent="0.2">
      <c r="A233" s="2080"/>
      <c r="B233" s="2079"/>
      <c r="C233" s="2079"/>
      <c r="D233" s="2634" t="s">
        <v>972</v>
      </c>
      <c r="E233" s="2632" t="s">
        <v>1540</v>
      </c>
      <c r="F233" s="2638"/>
      <c r="G233" s="2638"/>
      <c r="H233" s="2638"/>
      <c r="I233" s="2635" t="e">
        <f>(H233/G233)*100</f>
        <v>#DIV/0!</v>
      </c>
    </row>
    <row r="234" spans="1:20" ht="14.25" x14ac:dyDescent="0.2">
      <c r="A234" s="2080"/>
      <c r="B234" s="2079"/>
      <c r="C234" s="2079"/>
      <c r="D234" s="2630" t="s">
        <v>1394</v>
      </c>
      <c r="E234" s="923" t="s">
        <v>1537</v>
      </c>
      <c r="F234" s="2148">
        <v>1870</v>
      </c>
      <c r="G234" s="2148">
        <v>2069</v>
      </c>
      <c r="H234" s="2148">
        <v>2069</v>
      </c>
      <c r="I234" s="2147">
        <f>(H234/G234)*100</f>
        <v>100</v>
      </c>
    </row>
    <row r="235" spans="1:20" ht="15" thickBot="1" x14ac:dyDescent="0.25">
      <c r="A235" s="2080"/>
      <c r="B235" s="2079"/>
      <c r="C235" s="2079"/>
      <c r="D235" s="811" t="s">
        <v>993</v>
      </c>
      <c r="E235" s="2627" t="s">
        <v>1538</v>
      </c>
      <c r="F235" s="2081">
        <v>47</v>
      </c>
      <c r="G235" s="2081">
        <v>50</v>
      </c>
      <c r="H235" s="2081">
        <v>50</v>
      </c>
      <c r="I235" s="2076">
        <f>(H235/G235)*100</f>
        <v>100</v>
      </c>
    </row>
    <row r="236" spans="1:20" ht="16.5" thickTop="1" thickBot="1" x14ac:dyDescent="0.3">
      <c r="A236" s="3301" t="s">
        <v>522</v>
      </c>
      <c r="B236" s="3302"/>
      <c r="C236" s="3302"/>
      <c r="D236" s="3302"/>
      <c r="E236" s="3302"/>
      <c r="F236" s="2075">
        <f>F232</f>
        <v>1917</v>
      </c>
      <c r="G236" s="2075">
        <f>G232</f>
        <v>2119</v>
      </c>
      <c r="H236" s="2075">
        <f>H232</f>
        <v>2119</v>
      </c>
      <c r="I236" s="2074">
        <f>(H236/G236)*100</f>
        <v>100</v>
      </c>
      <c r="R236" s="2691">
        <f>F236</f>
        <v>1917</v>
      </c>
      <c r="S236" s="2691">
        <f>G236</f>
        <v>2119</v>
      </c>
      <c r="T236" s="2691">
        <f>H236</f>
        <v>2119</v>
      </c>
    </row>
    <row r="237" spans="1:20" ht="15.75" thickTop="1" x14ac:dyDescent="0.25">
      <c r="A237" s="2640">
        <v>1040</v>
      </c>
      <c r="B237" s="19">
        <v>3114</v>
      </c>
      <c r="C237" s="151">
        <v>6351</v>
      </c>
      <c r="D237" s="2641"/>
      <c r="E237" s="845" t="s">
        <v>551</v>
      </c>
      <c r="F237" s="2642">
        <f>F238</f>
        <v>0</v>
      </c>
      <c r="G237" s="2642">
        <f t="shared" ref="G237:H237" si="35">G238</f>
        <v>104</v>
      </c>
      <c r="H237" s="2642">
        <f t="shared" si="35"/>
        <v>104</v>
      </c>
      <c r="I237" s="2643">
        <v>100</v>
      </c>
      <c r="R237" s="2691"/>
      <c r="S237" s="2691"/>
      <c r="T237" s="2691"/>
    </row>
    <row r="238" spans="1:20" ht="29.25" thickBot="1" x14ac:dyDescent="0.25">
      <c r="A238" s="2644"/>
      <c r="B238" s="822"/>
      <c r="C238" s="2645"/>
      <c r="D238" s="3034" t="s">
        <v>972</v>
      </c>
      <c r="E238" s="2952" t="s">
        <v>1540</v>
      </c>
      <c r="F238" s="3039">
        <v>0</v>
      </c>
      <c r="G238" s="3039">
        <v>104</v>
      </c>
      <c r="H238" s="3039">
        <v>104</v>
      </c>
      <c r="I238" s="3040">
        <v>100</v>
      </c>
      <c r="R238" s="2691"/>
      <c r="S238" s="2691"/>
      <c r="T238" s="2691"/>
    </row>
    <row r="239" spans="1:20" ht="16.5" thickTop="1" thickBot="1" x14ac:dyDescent="0.3">
      <c r="A239" s="3241" t="s">
        <v>523</v>
      </c>
      <c r="B239" s="3242"/>
      <c r="C239" s="3242"/>
      <c r="D239" s="3242"/>
      <c r="E239" s="3243"/>
      <c r="F239" s="2648">
        <f>F237</f>
        <v>0</v>
      </c>
      <c r="G239" s="2648">
        <f t="shared" ref="G239:H239" si="36">G237</f>
        <v>104</v>
      </c>
      <c r="H239" s="2648">
        <f t="shared" si="36"/>
        <v>104</v>
      </c>
      <c r="I239" s="2649">
        <v>100</v>
      </c>
      <c r="R239" s="2691"/>
      <c r="S239" s="2691"/>
      <c r="T239" s="2691"/>
    </row>
    <row r="240" spans="1:20" ht="11.25" customHeight="1" thickTop="1" x14ac:dyDescent="0.2"/>
    <row r="241" spans="1:20" ht="20.25" customHeight="1" thickBot="1" x14ac:dyDescent="0.25">
      <c r="A241" s="1719" t="s">
        <v>859</v>
      </c>
      <c r="I241" s="2071" t="s">
        <v>92</v>
      </c>
    </row>
    <row r="242" spans="1:20" s="1043" customFormat="1" thickTop="1" thickBot="1" x14ac:dyDescent="0.25">
      <c r="A242" s="1047" t="s">
        <v>324</v>
      </c>
      <c r="B242" s="1044" t="s">
        <v>93</v>
      </c>
      <c r="C242" s="1046" t="s">
        <v>94</v>
      </c>
      <c r="D242" s="1069" t="s">
        <v>364</v>
      </c>
      <c r="E242" s="1069" t="s">
        <v>95</v>
      </c>
      <c r="F242" s="1069" t="s">
        <v>328</v>
      </c>
      <c r="G242" s="1069" t="s">
        <v>329</v>
      </c>
      <c r="H242" s="1749" t="s">
        <v>448</v>
      </c>
      <c r="I242" s="1784" t="s">
        <v>449</v>
      </c>
      <c r="R242" s="2689"/>
      <c r="S242" s="2689"/>
      <c r="T242" s="2689"/>
    </row>
    <row r="243" spans="1:20" s="1037" customFormat="1" ht="13.5" thickTop="1" thickBot="1" x14ac:dyDescent="0.25">
      <c r="A243" s="1042">
        <v>1</v>
      </c>
      <c r="B243" s="1041">
        <v>2</v>
      </c>
      <c r="C243" s="1041">
        <v>3</v>
      </c>
      <c r="D243" s="1041">
        <v>4</v>
      </c>
      <c r="E243" s="1041">
        <v>5</v>
      </c>
      <c r="F243" s="1040">
        <v>6</v>
      </c>
      <c r="G243" s="1040">
        <v>7</v>
      </c>
      <c r="H243" s="1164">
        <v>8</v>
      </c>
      <c r="I243" s="1039" t="s">
        <v>393</v>
      </c>
      <c r="R243" s="2690"/>
      <c r="S243" s="2690"/>
      <c r="T243" s="2690"/>
    </row>
    <row r="244" spans="1:20" ht="15.75" thickTop="1" x14ac:dyDescent="0.25">
      <c r="A244" s="2080">
        <v>1041</v>
      </c>
      <c r="B244" s="2079">
        <v>3114</v>
      </c>
      <c r="C244" s="2079">
        <v>5331</v>
      </c>
      <c r="D244" s="2099"/>
      <c r="E244" s="2096" t="s">
        <v>481</v>
      </c>
      <c r="F244" s="2095">
        <f>F245+F246+F247+F248+F249</f>
        <v>7030</v>
      </c>
      <c r="G244" s="2095">
        <f>G248+G249+G245+G246+G247</f>
        <v>9392</v>
      </c>
      <c r="H244" s="2095">
        <f>H248+H249+H245+H246+H247</f>
        <v>9392</v>
      </c>
      <c r="I244" s="2098">
        <f>(H244/G244)*100</f>
        <v>100</v>
      </c>
    </row>
    <row r="245" spans="1:20" ht="28.5" x14ac:dyDescent="0.2">
      <c r="A245" s="2080"/>
      <c r="B245" s="2079"/>
      <c r="C245" s="2079"/>
      <c r="D245" s="3034" t="s">
        <v>972</v>
      </c>
      <c r="E245" s="2632" t="s">
        <v>1540</v>
      </c>
      <c r="F245" s="3038">
        <v>0</v>
      </c>
      <c r="G245" s="3038">
        <v>2000</v>
      </c>
      <c r="H245" s="3038">
        <v>2000</v>
      </c>
      <c r="I245" s="2147">
        <f t="shared" ref="I245:I247" si="37">(H245/G245)*100</f>
        <v>100</v>
      </c>
    </row>
    <row r="246" spans="1:20" ht="14.25" x14ac:dyDescent="0.2">
      <c r="A246" s="2080"/>
      <c r="B246" s="2079"/>
      <c r="C246" s="2079"/>
      <c r="D246" s="2630" t="s">
        <v>1394</v>
      </c>
      <c r="E246" s="923" t="s">
        <v>1537</v>
      </c>
      <c r="F246" s="2081">
        <v>5788</v>
      </c>
      <c r="G246" s="2081">
        <v>6044</v>
      </c>
      <c r="H246" s="2081">
        <v>6044</v>
      </c>
      <c r="I246" s="2076">
        <f t="shared" si="37"/>
        <v>100</v>
      </c>
    </row>
    <row r="247" spans="1:20" ht="14.25" x14ac:dyDescent="0.2">
      <c r="A247" s="2080"/>
      <c r="B247" s="2079"/>
      <c r="C247" s="2079"/>
      <c r="D247" s="811" t="s">
        <v>993</v>
      </c>
      <c r="E247" s="2627" t="s">
        <v>1538</v>
      </c>
      <c r="F247" s="2081">
        <v>1242</v>
      </c>
      <c r="G247" s="2081">
        <v>1301</v>
      </c>
      <c r="H247" s="2081">
        <v>1301</v>
      </c>
      <c r="I247" s="2076">
        <f t="shared" si="37"/>
        <v>100</v>
      </c>
    </row>
    <row r="248" spans="1:20" ht="14.25" hidden="1" x14ac:dyDescent="0.2">
      <c r="A248" s="2080"/>
      <c r="B248" s="2079"/>
      <c r="C248" s="2079"/>
      <c r="D248" s="811" t="s">
        <v>1395</v>
      </c>
      <c r="E248" s="2627" t="s">
        <v>1539</v>
      </c>
      <c r="F248" s="2081"/>
      <c r="G248" s="2077"/>
      <c r="H248" s="2077"/>
      <c r="I248" s="2076" t="e">
        <f>(H248/G248)*100</f>
        <v>#DIV/0!</v>
      </c>
    </row>
    <row r="249" spans="1:20" ht="15" thickBot="1" x14ac:dyDescent="0.25">
      <c r="A249" s="2080"/>
      <c r="B249" s="2079"/>
      <c r="C249" s="2079"/>
      <c r="D249" s="2636" t="s">
        <v>1397</v>
      </c>
      <c r="E249" s="2637" t="s">
        <v>1542</v>
      </c>
      <c r="F249" s="2081">
        <v>0</v>
      </c>
      <c r="G249" s="2077">
        <v>47</v>
      </c>
      <c r="H249" s="2077">
        <v>47</v>
      </c>
      <c r="I249" s="2076">
        <f>(H249/G249)*100</f>
        <v>100</v>
      </c>
    </row>
    <row r="250" spans="1:20" ht="16.5" thickTop="1" thickBot="1" x14ac:dyDescent="0.3">
      <c r="A250" s="3301" t="s">
        <v>522</v>
      </c>
      <c r="B250" s="3302"/>
      <c r="C250" s="3302"/>
      <c r="D250" s="3302"/>
      <c r="E250" s="3302"/>
      <c r="F250" s="2075">
        <f>F244</f>
        <v>7030</v>
      </c>
      <c r="G250" s="2075">
        <f>G244</f>
        <v>9392</v>
      </c>
      <c r="H250" s="2075">
        <f>H244</f>
        <v>9392</v>
      </c>
      <c r="I250" s="2074">
        <f>(H250/G250)*100</f>
        <v>100</v>
      </c>
      <c r="R250" s="2691">
        <f>F250</f>
        <v>7030</v>
      </c>
      <c r="S250" s="2691">
        <f>G250</f>
        <v>9392</v>
      </c>
      <c r="T250" s="2691">
        <f>H250</f>
        <v>9392</v>
      </c>
    </row>
    <row r="251" spans="1:20" ht="15.75" thickTop="1" x14ac:dyDescent="0.25">
      <c r="A251" s="2640">
        <v>1041</v>
      </c>
      <c r="B251" s="19">
        <v>3114</v>
      </c>
      <c r="C251" s="151">
        <v>6351</v>
      </c>
      <c r="D251" s="2641"/>
      <c r="E251" s="845" t="s">
        <v>551</v>
      </c>
      <c r="F251" s="2642">
        <f>F252</f>
        <v>0</v>
      </c>
      <c r="G251" s="2642">
        <f t="shared" ref="G251:H251" si="38">G252</f>
        <v>1143</v>
      </c>
      <c r="H251" s="2642">
        <f t="shared" si="38"/>
        <v>1143</v>
      </c>
      <c r="I251" s="2643">
        <v>100</v>
      </c>
      <c r="R251" s="2691"/>
      <c r="S251" s="2691"/>
      <c r="T251" s="2691"/>
    </row>
    <row r="252" spans="1:20" ht="29.25" thickBot="1" x14ac:dyDescent="0.25">
      <c r="A252" s="2644"/>
      <c r="B252" s="822"/>
      <c r="C252" s="2645"/>
      <c r="D252" s="3034" t="s">
        <v>972</v>
      </c>
      <c r="E252" s="2952" t="s">
        <v>1540</v>
      </c>
      <c r="F252" s="3039">
        <v>0</v>
      </c>
      <c r="G252" s="3039">
        <v>1143</v>
      </c>
      <c r="H252" s="3039">
        <v>1143</v>
      </c>
      <c r="I252" s="3040">
        <v>100</v>
      </c>
      <c r="R252" s="2691"/>
      <c r="S252" s="2691"/>
      <c r="T252" s="2691"/>
    </row>
    <row r="253" spans="1:20" ht="16.5" thickTop="1" thickBot="1" x14ac:dyDescent="0.3">
      <c r="A253" s="3241" t="s">
        <v>523</v>
      </c>
      <c r="B253" s="3242"/>
      <c r="C253" s="3242"/>
      <c r="D253" s="3242"/>
      <c r="E253" s="3243"/>
      <c r="F253" s="2648">
        <f>F251</f>
        <v>0</v>
      </c>
      <c r="G253" s="2648">
        <f t="shared" ref="G253:H253" si="39">G251</f>
        <v>1143</v>
      </c>
      <c r="H253" s="2648">
        <f t="shared" si="39"/>
        <v>1143</v>
      </c>
      <c r="I253" s="2649">
        <v>100</v>
      </c>
      <c r="R253" s="2691"/>
      <c r="S253" s="2691"/>
      <c r="T253" s="2691"/>
    </row>
    <row r="254" spans="1:20" s="1879" customFormat="1" ht="13.5" thickTop="1" x14ac:dyDescent="0.2">
      <c r="B254" s="2121"/>
      <c r="D254" s="2120"/>
      <c r="F254" s="2119"/>
      <c r="G254" s="2119"/>
      <c r="H254" s="2119"/>
      <c r="I254" s="2118"/>
      <c r="R254" s="2692"/>
      <c r="S254" s="2692"/>
      <c r="T254" s="2692"/>
    </row>
    <row r="255" spans="1:20" ht="13.5" thickBot="1" x14ac:dyDescent="0.25">
      <c r="A255" s="1719" t="s">
        <v>42</v>
      </c>
      <c r="I255" s="2071" t="s">
        <v>92</v>
      </c>
    </row>
    <row r="256" spans="1:20" s="1043" customFormat="1" thickTop="1" thickBot="1" x14ac:dyDescent="0.25">
      <c r="A256" s="1047" t="s">
        <v>324</v>
      </c>
      <c r="B256" s="1044" t="s">
        <v>93</v>
      </c>
      <c r="C256" s="1046" t="s">
        <v>94</v>
      </c>
      <c r="D256" s="1069" t="s">
        <v>364</v>
      </c>
      <c r="E256" s="1069" t="s">
        <v>95</v>
      </c>
      <c r="F256" s="1069" t="s">
        <v>328</v>
      </c>
      <c r="G256" s="1069" t="s">
        <v>329</v>
      </c>
      <c r="H256" s="1749" t="s">
        <v>448</v>
      </c>
      <c r="I256" s="1784" t="s">
        <v>449</v>
      </c>
      <c r="R256" s="2689"/>
      <c r="S256" s="2689"/>
      <c r="T256" s="2689"/>
    </row>
    <row r="257" spans="1:20" s="1037" customFormat="1" ht="20.25" customHeight="1" thickTop="1" thickBot="1" x14ac:dyDescent="0.25">
      <c r="A257" s="1042">
        <v>1</v>
      </c>
      <c r="B257" s="1041">
        <v>2</v>
      </c>
      <c r="C257" s="1041">
        <v>3</v>
      </c>
      <c r="D257" s="1041">
        <v>4</v>
      </c>
      <c r="E257" s="1041">
        <v>5</v>
      </c>
      <c r="F257" s="1040">
        <v>6</v>
      </c>
      <c r="G257" s="1040">
        <v>7</v>
      </c>
      <c r="H257" s="1164">
        <v>8</v>
      </c>
      <c r="I257" s="1039" t="s">
        <v>393</v>
      </c>
      <c r="R257" s="2690"/>
      <c r="S257" s="2690"/>
      <c r="T257" s="2690"/>
    </row>
    <row r="258" spans="1:20" ht="15.75" thickTop="1" x14ac:dyDescent="0.25">
      <c r="A258" s="2138">
        <v>1043</v>
      </c>
      <c r="B258" s="2137">
        <v>3114</v>
      </c>
      <c r="C258" s="2137">
        <v>5331</v>
      </c>
      <c r="D258" s="2136"/>
      <c r="E258" s="2135" t="s">
        <v>481</v>
      </c>
      <c r="F258" s="2134">
        <f>F259+F260</f>
        <v>2036</v>
      </c>
      <c r="G258" s="2134">
        <f>G259+G260</f>
        <v>2043</v>
      </c>
      <c r="H258" s="2134">
        <f>H259+H260</f>
        <v>2043</v>
      </c>
      <c r="I258" s="2133">
        <f>(H258/G258)*100</f>
        <v>100</v>
      </c>
    </row>
    <row r="259" spans="1:20" ht="14.25" x14ac:dyDescent="0.2">
      <c r="A259" s="2080"/>
      <c r="B259" s="2079"/>
      <c r="C259" s="2079"/>
      <c r="D259" s="2630" t="s">
        <v>1394</v>
      </c>
      <c r="E259" s="923" t="s">
        <v>1537</v>
      </c>
      <c r="F259" s="2077">
        <v>1738</v>
      </c>
      <c r="G259" s="2077">
        <v>1738</v>
      </c>
      <c r="H259" s="2077">
        <v>1738</v>
      </c>
      <c r="I259" s="2076">
        <f>(H259/G259)*100</f>
        <v>100</v>
      </c>
    </row>
    <row r="260" spans="1:20" ht="15" thickBot="1" x14ac:dyDescent="0.25">
      <c r="A260" s="2080"/>
      <c r="B260" s="2079"/>
      <c r="C260" s="2079"/>
      <c r="D260" s="811" t="s">
        <v>993</v>
      </c>
      <c r="E260" s="2627" t="s">
        <v>1538</v>
      </c>
      <c r="F260" s="2077">
        <v>298</v>
      </c>
      <c r="G260" s="2077">
        <v>305</v>
      </c>
      <c r="H260" s="2077">
        <v>305</v>
      </c>
      <c r="I260" s="2076">
        <f>(H260/G260)*100</f>
        <v>100</v>
      </c>
    </row>
    <row r="261" spans="1:20" ht="16.5" thickTop="1" thickBot="1" x14ac:dyDescent="0.3">
      <c r="A261" s="3301" t="s">
        <v>522</v>
      </c>
      <c r="B261" s="3302"/>
      <c r="C261" s="3302"/>
      <c r="D261" s="3302"/>
      <c r="E261" s="3302"/>
      <c r="F261" s="2075">
        <f>F258</f>
        <v>2036</v>
      </c>
      <c r="G261" s="2075">
        <f>G258</f>
        <v>2043</v>
      </c>
      <c r="H261" s="2075">
        <f>H258</f>
        <v>2043</v>
      </c>
      <c r="I261" s="2074">
        <f>(H261/G261)*100</f>
        <v>100</v>
      </c>
      <c r="R261" s="2691">
        <f>F261</f>
        <v>2036</v>
      </c>
      <c r="S261" s="2691">
        <f>G261</f>
        <v>2043</v>
      </c>
      <c r="T261" s="2691">
        <f>H261</f>
        <v>2043</v>
      </c>
    </row>
    <row r="262" spans="1:20" ht="15.75" thickTop="1" x14ac:dyDescent="0.25">
      <c r="A262" s="1137"/>
      <c r="B262" s="1137"/>
      <c r="C262" s="1137"/>
      <c r="D262" s="1137"/>
      <c r="E262" s="1137"/>
      <c r="F262" s="2073"/>
      <c r="G262" s="2073"/>
      <c r="H262" s="2073"/>
      <c r="I262" s="2072"/>
      <c r="R262" s="2691"/>
      <c r="S262" s="2691"/>
      <c r="T262" s="2691"/>
    </row>
    <row r="263" spans="1:20" ht="20.25" customHeight="1" thickBot="1" x14ac:dyDescent="0.25">
      <c r="A263" s="1719" t="s">
        <v>623</v>
      </c>
      <c r="I263" s="2071" t="s">
        <v>92</v>
      </c>
    </row>
    <row r="264" spans="1:20" s="1043" customFormat="1" thickTop="1" thickBot="1" x14ac:dyDescent="0.25">
      <c r="A264" s="1047" t="s">
        <v>324</v>
      </c>
      <c r="B264" s="1044" t="s">
        <v>93</v>
      </c>
      <c r="C264" s="1046" t="s">
        <v>94</v>
      </c>
      <c r="D264" s="1069" t="s">
        <v>364</v>
      </c>
      <c r="E264" s="1069" t="s">
        <v>95</v>
      </c>
      <c r="F264" s="1069" t="s">
        <v>328</v>
      </c>
      <c r="G264" s="1069" t="s">
        <v>329</v>
      </c>
      <c r="H264" s="1749" t="s">
        <v>448</v>
      </c>
      <c r="I264" s="1784" t="s">
        <v>449</v>
      </c>
      <c r="R264" s="2689"/>
      <c r="S264" s="2689"/>
      <c r="T264" s="2689"/>
    </row>
    <row r="265" spans="1:20" s="1037" customFormat="1" ht="13.5" thickTop="1" thickBot="1" x14ac:dyDescent="0.25">
      <c r="A265" s="1042">
        <v>1</v>
      </c>
      <c r="B265" s="1041">
        <v>2</v>
      </c>
      <c r="C265" s="1041">
        <v>3</v>
      </c>
      <c r="D265" s="1041">
        <v>4</v>
      </c>
      <c r="E265" s="1041">
        <v>5</v>
      </c>
      <c r="F265" s="1040">
        <v>6</v>
      </c>
      <c r="G265" s="1040">
        <v>7</v>
      </c>
      <c r="H265" s="1164">
        <v>8</v>
      </c>
      <c r="I265" s="1039" t="s">
        <v>393</v>
      </c>
      <c r="R265" s="2690"/>
      <c r="S265" s="2690"/>
      <c r="T265" s="2690"/>
    </row>
    <row r="266" spans="1:20" ht="15.75" thickTop="1" x14ac:dyDescent="0.25">
      <c r="A266" s="2138">
        <v>1100</v>
      </c>
      <c r="B266" s="2137">
        <v>3121</v>
      </c>
      <c r="C266" s="2137">
        <v>5331</v>
      </c>
      <c r="D266" s="2136"/>
      <c r="E266" s="2135" t="s">
        <v>481</v>
      </c>
      <c r="F266" s="2134">
        <f>F267+F268+F269+F270</f>
        <v>2920</v>
      </c>
      <c r="G266" s="2134">
        <f>G267+G268+G269+G270</f>
        <v>2920</v>
      </c>
      <c r="H266" s="2134">
        <f>H267+H268+H269+H270</f>
        <v>2920</v>
      </c>
      <c r="I266" s="2133">
        <f t="shared" ref="I266:I271" si="40">(H266/G266)*100</f>
        <v>100</v>
      </c>
    </row>
    <row r="267" spans="1:20" ht="14.25" x14ac:dyDescent="0.2">
      <c r="A267" s="2080"/>
      <c r="B267" s="2079"/>
      <c r="C267" s="2079"/>
      <c r="D267" s="2630" t="s">
        <v>1394</v>
      </c>
      <c r="E267" s="923" t="s">
        <v>1537</v>
      </c>
      <c r="F267" s="2077">
        <v>2888</v>
      </c>
      <c r="G267" s="2077">
        <v>2888</v>
      </c>
      <c r="H267" s="2077">
        <v>2888</v>
      </c>
      <c r="I267" s="2076">
        <f t="shared" si="40"/>
        <v>100</v>
      </c>
    </row>
    <row r="268" spans="1:20" ht="15" thickBot="1" x14ac:dyDescent="0.25">
      <c r="A268" s="2080"/>
      <c r="B268" s="2079"/>
      <c r="C268" s="2079"/>
      <c r="D268" s="811" t="s">
        <v>993</v>
      </c>
      <c r="E268" s="2627" t="s">
        <v>1538</v>
      </c>
      <c r="F268" s="2077">
        <v>32</v>
      </c>
      <c r="G268" s="2077">
        <v>32</v>
      </c>
      <c r="H268" s="2077">
        <v>32</v>
      </c>
      <c r="I268" s="2076">
        <f t="shared" si="40"/>
        <v>100</v>
      </c>
    </row>
    <row r="269" spans="1:20" ht="14.25" hidden="1" x14ac:dyDescent="0.2">
      <c r="A269" s="2080"/>
      <c r="B269" s="2079"/>
      <c r="C269" s="2079"/>
      <c r="D269" s="1738"/>
      <c r="E269" s="2078"/>
      <c r="F269" s="2091"/>
      <c r="G269" s="2077"/>
      <c r="H269" s="2077"/>
      <c r="I269" s="2076" t="e">
        <f t="shared" si="40"/>
        <v>#DIV/0!</v>
      </c>
    </row>
    <row r="270" spans="1:20" ht="15" hidden="1" thickBot="1" x14ac:dyDescent="0.25">
      <c r="A270" s="2080"/>
      <c r="B270" s="2093"/>
      <c r="C270" s="2079"/>
      <c r="D270" s="1813"/>
      <c r="E270" s="2112"/>
      <c r="F270" s="2132"/>
      <c r="G270" s="2132"/>
      <c r="H270" s="2132"/>
      <c r="I270" s="2131" t="e">
        <f t="shared" si="40"/>
        <v>#DIV/0!</v>
      </c>
    </row>
    <row r="271" spans="1:20" ht="16.5" thickTop="1" thickBot="1" x14ac:dyDescent="0.3">
      <c r="A271" s="3301" t="s">
        <v>522</v>
      </c>
      <c r="B271" s="3302"/>
      <c r="C271" s="3302"/>
      <c r="D271" s="3302"/>
      <c r="E271" s="3302"/>
      <c r="F271" s="2075">
        <f>F266</f>
        <v>2920</v>
      </c>
      <c r="G271" s="2075">
        <f>G266</f>
        <v>2920</v>
      </c>
      <c r="H271" s="2075">
        <f>H266</f>
        <v>2920</v>
      </c>
      <c r="I271" s="2074">
        <f t="shared" si="40"/>
        <v>100</v>
      </c>
      <c r="R271" s="2691">
        <f>F271</f>
        <v>2920</v>
      </c>
      <c r="S271" s="2691">
        <f>G271</f>
        <v>2920</v>
      </c>
      <c r="T271" s="2691">
        <f>H271</f>
        <v>2920</v>
      </c>
    </row>
    <row r="272" spans="1:20" ht="14.25" customHeight="1" thickTop="1" x14ac:dyDescent="0.2"/>
    <row r="273" spans="1:20" ht="16.5" customHeight="1" thickBot="1" x14ac:dyDescent="0.25">
      <c r="A273" s="1719" t="s">
        <v>624</v>
      </c>
      <c r="I273" s="2071" t="s">
        <v>92</v>
      </c>
    </row>
    <row r="274" spans="1:20" s="1043" customFormat="1" thickTop="1" thickBot="1" x14ac:dyDescent="0.25">
      <c r="A274" s="1047" t="s">
        <v>324</v>
      </c>
      <c r="B274" s="1044" t="s">
        <v>93</v>
      </c>
      <c r="C274" s="1046" t="s">
        <v>94</v>
      </c>
      <c r="D274" s="1069" t="s">
        <v>364</v>
      </c>
      <c r="E274" s="1069" t="s">
        <v>95</v>
      </c>
      <c r="F274" s="1069" t="s">
        <v>328</v>
      </c>
      <c r="G274" s="1069" t="s">
        <v>329</v>
      </c>
      <c r="H274" s="1749" t="s">
        <v>448</v>
      </c>
      <c r="I274" s="1784" t="s">
        <v>449</v>
      </c>
      <c r="R274" s="2689"/>
      <c r="S274" s="2689"/>
      <c r="T274" s="2689"/>
    </row>
    <row r="275" spans="1:20" s="1037" customFormat="1" ht="13.5" thickTop="1" thickBot="1" x14ac:dyDescent="0.25">
      <c r="A275" s="1042">
        <v>1</v>
      </c>
      <c r="B275" s="1041">
        <v>2</v>
      </c>
      <c r="C275" s="1041">
        <v>3</v>
      </c>
      <c r="D275" s="1041">
        <v>4</v>
      </c>
      <c r="E275" s="1041">
        <v>5</v>
      </c>
      <c r="F275" s="1040">
        <v>6</v>
      </c>
      <c r="G275" s="1040">
        <v>7</v>
      </c>
      <c r="H275" s="1164">
        <v>8</v>
      </c>
      <c r="I275" s="1039" t="s">
        <v>393</v>
      </c>
      <c r="R275" s="2690"/>
      <c r="S275" s="2690"/>
      <c r="T275" s="2690"/>
    </row>
    <row r="276" spans="1:20" ht="15.75" thickTop="1" x14ac:dyDescent="0.25">
      <c r="A276" s="2138">
        <v>1101</v>
      </c>
      <c r="B276" s="2137">
        <v>3121</v>
      </c>
      <c r="C276" s="2137">
        <v>5331</v>
      </c>
      <c r="D276" s="2136"/>
      <c r="E276" s="2135" t="s">
        <v>481</v>
      </c>
      <c r="F276" s="2134">
        <f>F277+F278+F279</f>
        <v>3970</v>
      </c>
      <c r="G276" s="2134">
        <f>G277+G278+G279</f>
        <v>3948</v>
      </c>
      <c r="H276" s="2134">
        <f>H277+H278+H279</f>
        <v>3948</v>
      </c>
      <c r="I276" s="2133">
        <f>(H276/G276)*100</f>
        <v>100</v>
      </c>
    </row>
    <row r="277" spans="1:20" ht="14.25" x14ac:dyDescent="0.2">
      <c r="A277" s="2080"/>
      <c r="B277" s="2079"/>
      <c r="C277" s="2079"/>
      <c r="D277" s="2630" t="s">
        <v>1394</v>
      </c>
      <c r="E277" s="923" t="s">
        <v>1537</v>
      </c>
      <c r="F277" s="2077">
        <v>2950</v>
      </c>
      <c r="G277" s="2077">
        <v>2950</v>
      </c>
      <c r="H277" s="2077">
        <v>2950</v>
      </c>
      <c r="I277" s="2076">
        <f>(H277/G277)*100</f>
        <v>100</v>
      </c>
    </row>
    <row r="278" spans="1:20" ht="15" thickBot="1" x14ac:dyDescent="0.25">
      <c r="A278" s="2080"/>
      <c r="B278" s="2079"/>
      <c r="C278" s="2079"/>
      <c r="D278" s="811" t="s">
        <v>993</v>
      </c>
      <c r="E278" s="2627" t="s">
        <v>1538</v>
      </c>
      <c r="F278" s="2077">
        <v>1020</v>
      </c>
      <c r="G278" s="2077">
        <v>998</v>
      </c>
      <c r="H278" s="2077">
        <v>998</v>
      </c>
      <c r="I278" s="2076">
        <f>(H278/G278)*100</f>
        <v>100</v>
      </c>
    </row>
    <row r="279" spans="1:20" ht="15" hidden="1" thickBot="1" x14ac:dyDescent="0.25">
      <c r="A279" s="2146"/>
      <c r="B279" s="2103"/>
      <c r="C279" s="2103"/>
      <c r="D279" s="811" t="s">
        <v>1395</v>
      </c>
      <c r="E279" s="2627" t="s">
        <v>1539</v>
      </c>
      <c r="F279" s="2077"/>
      <c r="G279" s="2077"/>
      <c r="H279" s="2077"/>
      <c r="I279" s="2144" t="e">
        <f>(H279/G279)*100</f>
        <v>#DIV/0!</v>
      </c>
    </row>
    <row r="280" spans="1:20" ht="16.5" thickTop="1" thickBot="1" x14ac:dyDescent="0.3">
      <c r="A280" s="3301" t="s">
        <v>522</v>
      </c>
      <c r="B280" s="3302"/>
      <c r="C280" s="3302"/>
      <c r="D280" s="3302"/>
      <c r="E280" s="3302"/>
      <c r="F280" s="2075">
        <f>F276</f>
        <v>3970</v>
      </c>
      <c r="G280" s="2075">
        <f>G276</f>
        <v>3948</v>
      </c>
      <c r="H280" s="2075">
        <f>H276</f>
        <v>3948</v>
      </c>
      <c r="I280" s="2074">
        <f>(H280/G280)*100</f>
        <v>100</v>
      </c>
      <c r="R280" s="2691">
        <f>F280</f>
        <v>3970</v>
      </c>
      <c r="S280" s="2691">
        <f>G280</f>
        <v>3948</v>
      </c>
      <c r="T280" s="2691">
        <f>H280</f>
        <v>3948</v>
      </c>
    </row>
    <row r="281" spans="1:20" ht="15.75" thickTop="1" x14ac:dyDescent="0.25">
      <c r="A281" s="2640">
        <v>1101</v>
      </c>
      <c r="B281" s="19">
        <v>3121</v>
      </c>
      <c r="C281" s="151">
        <v>6351</v>
      </c>
      <c r="D281" s="2641"/>
      <c r="E281" s="845" t="s">
        <v>551</v>
      </c>
      <c r="F281" s="2642">
        <f>F282</f>
        <v>0</v>
      </c>
      <c r="G281" s="2642">
        <f t="shared" ref="G281:H281" si="41">G282</f>
        <v>2904</v>
      </c>
      <c r="H281" s="2642">
        <f t="shared" si="41"/>
        <v>2904</v>
      </c>
      <c r="I281" s="2643">
        <v>100</v>
      </c>
      <c r="R281" s="2691"/>
      <c r="S281" s="2691"/>
      <c r="T281" s="2691"/>
    </row>
    <row r="282" spans="1:20" ht="29.25" thickBot="1" x14ac:dyDescent="0.25">
      <c r="A282" s="2644"/>
      <c r="B282" s="822"/>
      <c r="C282" s="2645"/>
      <c r="D282" s="3034" t="s">
        <v>972</v>
      </c>
      <c r="E282" s="2952" t="s">
        <v>1540</v>
      </c>
      <c r="F282" s="3039">
        <v>0</v>
      </c>
      <c r="G282" s="3039">
        <v>2904</v>
      </c>
      <c r="H282" s="3039">
        <v>2904</v>
      </c>
      <c r="I282" s="3040">
        <v>100</v>
      </c>
      <c r="R282" s="2691"/>
      <c r="S282" s="2691"/>
      <c r="T282" s="2691"/>
    </row>
    <row r="283" spans="1:20" ht="16.5" thickTop="1" thickBot="1" x14ac:dyDescent="0.3">
      <c r="A283" s="3241" t="s">
        <v>523</v>
      </c>
      <c r="B283" s="3242"/>
      <c r="C283" s="3242"/>
      <c r="D283" s="3242"/>
      <c r="E283" s="3243"/>
      <c r="F283" s="2648">
        <f>F281</f>
        <v>0</v>
      </c>
      <c r="G283" s="2648">
        <f t="shared" ref="G283:H283" si="42">G281</f>
        <v>2904</v>
      </c>
      <c r="H283" s="2648">
        <f t="shared" si="42"/>
        <v>2904</v>
      </c>
      <c r="I283" s="2649">
        <v>100</v>
      </c>
    </row>
    <row r="284" spans="1:20" ht="13.5" thickTop="1" x14ac:dyDescent="0.2"/>
    <row r="285" spans="1:20" ht="13.5" thickBot="1" x14ac:dyDescent="0.25">
      <c r="A285" s="1719" t="s">
        <v>220</v>
      </c>
      <c r="I285" s="2071" t="s">
        <v>92</v>
      </c>
    </row>
    <row r="286" spans="1:20" s="1043" customFormat="1" thickTop="1" thickBot="1" x14ac:dyDescent="0.25">
      <c r="A286" s="1047" t="s">
        <v>324</v>
      </c>
      <c r="B286" s="1044" t="s">
        <v>93</v>
      </c>
      <c r="C286" s="1046" t="s">
        <v>94</v>
      </c>
      <c r="D286" s="1069" t="s">
        <v>364</v>
      </c>
      <c r="E286" s="1069" t="s">
        <v>95</v>
      </c>
      <c r="F286" s="1069" t="s">
        <v>328</v>
      </c>
      <c r="G286" s="1069" t="s">
        <v>329</v>
      </c>
      <c r="H286" s="1749" t="s">
        <v>448</v>
      </c>
      <c r="I286" s="1784" t="s">
        <v>449</v>
      </c>
      <c r="R286" s="2689"/>
      <c r="S286" s="2689"/>
      <c r="T286" s="2689"/>
    </row>
    <row r="287" spans="1:20" s="1037" customFormat="1" ht="13.5" thickTop="1" thickBot="1" x14ac:dyDescent="0.25">
      <c r="A287" s="1042">
        <v>1</v>
      </c>
      <c r="B287" s="1041">
        <v>2</v>
      </c>
      <c r="C287" s="1041">
        <v>3</v>
      </c>
      <c r="D287" s="1041">
        <v>4</v>
      </c>
      <c r="E287" s="1041">
        <v>5</v>
      </c>
      <c r="F287" s="1040">
        <v>6</v>
      </c>
      <c r="G287" s="1040">
        <v>7</v>
      </c>
      <c r="H287" s="1164">
        <v>8</v>
      </c>
      <c r="I287" s="1039" t="s">
        <v>393</v>
      </c>
      <c r="R287" s="2690"/>
      <c r="S287" s="2690"/>
      <c r="T287" s="2690"/>
    </row>
    <row r="288" spans="1:20" ht="15.75" thickTop="1" x14ac:dyDescent="0.25">
      <c r="A288" s="2138">
        <v>1102</v>
      </c>
      <c r="B288" s="2137">
        <v>3121</v>
      </c>
      <c r="C288" s="2137">
        <v>5331</v>
      </c>
      <c r="D288" s="2136"/>
      <c r="E288" s="2135" t="s">
        <v>481</v>
      </c>
      <c r="F288" s="2134">
        <f>F289+F290+F291</f>
        <v>10282</v>
      </c>
      <c r="G288" s="2134">
        <f>G289+G290+G291</f>
        <v>10610</v>
      </c>
      <c r="H288" s="2134">
        <f>H289+H290+H291</f>
        <v>10610</v>
      </c>
      <c r="I288" s="2133">
        <f>(H288/G288)*100</f>
        <v>100</v>
      </c>
    </row>
    <row r="289" spans="1:20" ht="14.25" x14ac:dyDescent="0.2">
      <c r="A289" s="2080"/>
      <c r="B289" s="2079"/>
      <c r="C289" s="2079"/>
      <c r="D289" s="2630" t="s">
        <v>1394</v>
      </c>
      <c r="E289" s="923" t="s">
        <v>1537</v>
      </c>
      <c r="F289" s="2077">
        <v>5900</v>
      </c>
      <c r="G289" s="2077">
        <v>5900</v>
      </c>
      <c r="H289" s="2077">
        <v>5900</v>
      </c>
      <c r="I289" s="2076">
        <f>(H289/G289)*100</f>
        <v>100</v>
      </c>
    </row>
    <row r="290" spans="1:20" ht="14.25" x14ac:dyDescent="0.2">
      <c r="A290" s="2080"/>
      <c r="B290" s="2079"/>
      <c r="C290" s="2079"/>
      <c r="D290" s="811" t="s">
        <v>993</v>
      </c>
      <c r="E290" s="2627" t="s">
        <v>1538</v>
      </c>
      <c r="F290" s="2077">
        <v>4282</v>
      </c>
      <c r="G290" s="2077">
        <v>4360</v>
      </c>
      <c r="H290" s="2077">
        <v>4360</v>
      </c>
      <c r="I290" s="2076">
        <f>(H290/G290)*100</f>
        <v>100</v>
      </c>
    </row>
    <row r="291" spans="1:20" ht="15" thickBot="1" x14ac:dyDescent="0.25">
      <c r="A291" s="2080"/>
      <c r="B291" s="2079"/>
      <c r="C291" s="2079"/>
      <c r="D291" s="811" t="s">
        <v>1395</v>
      </c>
      <c r="E291" s="2627" t="s">
        <v>1539</v>
      </c>
      <c r="F291" s="2077">
        <v>100</v>
      </c>
      <c r="G291" s="2077">
        <v>350</v>
      </c>
      <c r="H291" s="2077">
        <v>350</v>
      </c>
      <c r="I291" s="2076">
        <f>(H291/G291)*100</f>
        <v>100</v>
      </c>
    </row>
    <row r="292" spans="1:20" ht="16.5" thickTop="1" thickBot="1" x14ac:dyDescent="0.3">
      <c r="A292" s="3301" t="s">
        <v>522</v>
      </c>
      <c r="B292" s="3302"/>
      <c r="C292" s="3302"/>
      <c r="D292" s="3302"/>
      <c r="E292" s="3302"/>
      <c r="F292" s="2075">
        <f>F288</f>
        <v>10282</v>
      </c>
      <c r="G292" s="2075">
        <f>G288</f>
        <v>10610</v>
      </c>
      <c r="H292" s="2075">
        <f>H288</f>
        <v>10610</v>
      </c>
      <c r="I292" s="2074">
        <f>(H292/G292)*100</f>
        <v>100</v>
      </c>
      <c r="R292" s="2691">
        <f>F292</f>
        <v>10282</v>
      </c>
      <c r="S292" s="2691">
        <f>G292</f>
        <v>10610</v>
      </c>
      <c r="T292" s="2691">
        <f>H292</f>
        <v>10610</v>
      </c>
    </row>
    <row r="293" spans="1:20" ht="13.5" thickTop="1" x14ac:dyDescent="0.2"/>
    <row r="295" spans="1:20" ht="13.5" thickBot="1" x14ac:dyDescent="0.25">
      <c r="A295" s="1719" t="s">
        <v>625</v>
      </c>
      <c r="I295" s="2071" t="s">
        <v>92</v>
      </c>
    </row>
    <row r="296" spans="1:20" s="1043" customFormat="1" thickTop="1" thickBot="1" x14ac:dyDescent="0.25">
      <c r="A296" s="1047" t="s">
        <v>324</v>
      </c>
      <c r="B296" s="1044" t="s">
        <v>93</v>
      </c>
      <c r="C296" s="1046" t="s">
        <v>94</v>
      </c>
      <c r="D296" s="1069" t="s">
        <v>364</v>
      </c>
      <c r="E296" s="1069" t="s">
        <v>95</v>
      </c>
      <c r="F296" s="1069" t="s">
        <v>328</v>
      </c>
      <c r="G296" s="1069" t="s">
        <v>329</v>
      </c>
      <c r="H296" s="1749" t="s">
        <v>448</v>
      </c>
      <c r="I296" s="1784" t="s">
        <v>449</v>
      </c>
      <c r="R296" s="2689"/>
      <c r="S296" s="2689"/>
      <c r="T296" s="2689"/>
    </row>
    <row r="297" spans="1:20" s="1037" customFormat="1" ht="13.5" thickTop="1" thickBot="1" x14ac:dyDescent="0.25">
      <c r="A297" s="1042">
        <v>1</v>
      </c>
      <c r="B297" s="1041">
        <v>2</v>
      </c>
      <c r="C297" s="1041">
        <v>3</v>
      </c>
      <c r="D297" s="1041">
        <v>4</v>
      </c>
      <c r="E297" s="1041">
        <v>5</v>
      </c>
      <c r="F297" s="1040">
        <v>6</v>
      </c>
      <c r="G297" s="1040">
        <v>7</v>
      </c>
      <c r="H297" s="1164">
        <v>8</v>
      </c>
      <c r="I297" s="1039" t="s">
        <v>393</v>
      </c>
      <c r="R297" s="2690"/>
      <c r="S297" s="2690"/>
      <c r="T297" s="2690"/>
    </row>
    <row r="298" spans="1:20" ht="15.75" thickTop="1" x14ac:dyDescent="0.25">
      <c r="A298" s="2138">
        <v>1103</v>
      </c>
      <c r="B298" s="2137">
        <v>3121</v>
      </c>
      <c r="C298" s="2137">
        <v>5331</v>
      </c>
      <c r="D298" s="2136"/>
      <c r="E298" s="2135" t="s">
        <v>481</v>
      </c>
      <c r="F298" s="2134">
        <f>F300+F302+F303+F299+F301</f>
        <v>6495</v>
      </c>
      <c r="G298" s="2134">
        <f t="shared" ref="G298:H298" si="43">G300+G302+G303+G299+G301</f>
        <v>16229</v>
      </c>
      <c r="H298" s="2134">
        <f t="shared" si="43"/>
        <v>16229</v>
      </c>
      <c r="I298" s="2133">
        <f t="shared" ref="I298:I304" si="44">(H298/G298)*100</f>
        <v>100</v>
      </c>
    </row>
    <row r="299" spans="1:20" ht="28.5" x14ac:dyDescent="0.2">
      <c r="A299" s="2080"/>
      <c r="B299" s="2079"/>
      <c r="C299" s="2079"/>
      <c r="D299" s="3034" t="s">
        <v>972</v>
      </c>
      <c r="E299" s="2632" t="s">
        <v>1540</v>
      </c>
      <c r="F299" s="3038">
        <v>0</v>
      </c>
      <c r="G299" s="3038">
        <v>4937</v>
      </c>
      <c r="H299" s="3038">
        <v>4937</v>
      </c>
      <c r="I299" s="2147">
        <f t="shared" si="44"/>
        <v>100</v>
      </c>
    </row>
    <row r="300" spans="1:20" ht="14.25" x14ac:dyDescent="0.2">
      <c r="A300" s="2080"/>
      <c r="B300" s="2079"/>
      <c r="C300" s="2079"/>
      <c r="D300" s="2630" t="s">
        <v>1394</v>
      </c>
      <c r="E300" s="923" t="s">
        <v>1537</v>
      </c>
      <c r="F300" s="2077">
        <v>4977</v>
      </c>
      <c r="G300" s="2077">
        <v>7416</v>
      </c>
      <c r="H300" s="2077">
        <v>7416</v>
      </c>
      <c r="I300" s="2076">
        <f t="shared" si="44"/>
        <v>100</v>
      </c>
    </row>
    <row r="301" spans="1:20" ht="14.25" x14ac:dyDescent="0.2">
      <c r="A301" s="2080"/>
      <c r="B301" s="2079"/>
      <c r="C301" s="2079"/>
      <c r="D301" s="2630" t="s">
        <v>994</v>
      </c>
      <c r="E301" s="923" t="s">
        <v>1541</v>
      </c>
      <c r="F301" s="2077"/>
      <c r="G301" s="2077">
        <v>125</v>
      </c>
      <c r="H301" s="2077">
        <v>125</v>
      </c>
      <c r="I301" s="2076">
        <f t="shared" si="44"/>
        <v>100</v>
      </c>
    </row>
    <row r="302" spans="1:20" ht="14.25" x14ac:dyDescent="0.2">
      <c r="A302" s="2080"/>
      <c r="B302" s="2079"/>
      <c r="C302" s="2079"/>
      <c r="D302" s="811" t="s">
        <v>993</v>
      </c>
      <c r="E302" s="2627" t="s">
        <v>1538</v>
      </c>
      <c r="F302" s="2077">
        <v>1018</v>
      </c>
      <c r="G302" s="2077">
        <v>3251</v>
      </c>
      <c r="H302" s="2077">
        <v>3251</v>
      </c>
      <c r="I302" s="2076">
        <f t="shared" si="44"/>
        <v>100</v>
      </c>
    </row>
    <row r="303" spans="1:20" ht="15" thickBot="1" x14ac:dyDescent="0.25">
      <c r="A303" s="2080"/>
      <c r="B303" s="2079"/>
      <c r="C303" s="2079"/>
      <c r="D303" s="811" t="s">
        <v>1395</v>
      </c>
      <c r="E303" s="2627" t="s">
        <v>1539</v>
      </c>
      <c r="F303" s="2077">
        <v>500</v>
      </c>
      <c r="G303" s="2077">
        <v>500</v>
      </c>
      <c r="H303" s="2077">
        <v>500</v>
      </c>
      <c r="I303" s="2076">
        <f t="shared" si="44"/>
        <v>100</v>
      </c>
    </row>
    <row r="304" spans="1:20" ht="20.25" customHeight="1" thickTop="1" thickBot="1" x14ac:dyDescent="0.3">
      <c r="A304" s="3301" t="s">
        <v>522</v>
      </c>
      <c r="B304" s="3302"/>
      <c r="C304" s="3302"/>
      <c r="D304" s="3302"/>
      <c r="E304" s="3302"/>
      <c r="F304" s="2075">
        <f>F298</f>
        <v>6495</v>
      </c>
      <c r="G304" s="2075">
        <f t="shared" ref="G304:H304" si="45">G298</f>
        <v>16229</v>
      </c>
      <c r="H304" s="2075">
        <f t="shared" si="45"/>
        <v>16229</v>
      </c>
      <c r="I304" s="2074">
        <f t="shared" si="44"/>
        <v>100</v>
      </c>
      <c r="R304" s="2691">
        <f>F304</f>
        <v>6495</v>
      </c>
      <c r="S304" s="2691">
        <f>G304</f>
        <v>16229</v>
      </c>
      <c r="T304" s="2691">
        <f>H304</f>
        <v>16229</v>
      </c>
    </row>
    <row r="305" spans="1:20" ht="20.25" customHeight="1" thickTop="1" x14ac:dyDescent="0.25">
      <c r="A305" s="2640">
        <v>1103</v>
      </c>
      <c r="B305" s="19">
        <v>3121</v>
      </c>
      <c r="C305" s="151">
        <v>6351</v>
      </c>
      <c r="D305" s="2641"/>
      <c r="E305" s="845" t="s">
        <v>551</v>
      </c>
      <c r="F305" s="2642">
        <f>F306</f>
        <v>0</v>
      </c>
      <c r="G305" s="2642">
        <f t="shared" ref="G305:H305" si="46">G306</f>
        <v>1010</v>
      </c>
      <c r="H305" s="2642">
        <f t="shared" si="46"/>
        <v>907</v>
      </c>
      <c r="I305" s="2643">
        <v>100</v>
      </c>
      <c r="R305" s="2691">
        <f>F307</f>
        <v>0</v>
      </c>
      <c r="S305" s="2691">
        <f t="shared" ref="S305:T305" si="47">G307</f>
        <v>1010</v>
      </c>
      <c r="T305" s="2691">
        <f t="shared" si="47"/>
        <v>907</v>
      </c>
    </row>
    <row r="306" spans="1:20" ht="27" customHeight="1" thickBot="1" x14ac:dyDescent="0.25">
      <c r="A306" s="2644"/>
      <c r="B306" s="822"/>
      <c r="C306" s="2645"/>
      <c r="D306" s="3034" t="s">
        <v>972</v>
      </c>
      <c r="E306" s="2632" t="s">
        <v>1540</v>
      </c>
      <c r="F306" s="3039">
        <v>0</v>
      </c>
      <c r="G306" s="3039">
        <v>1010</v>
      </c>
      <c r="H306" s="3039">
        <v>907</v>
      </c>
      <c r="I306" s="3040">
        <v>100</v>
      </c>
      <c r="R306" s="2691">
        <f>R304+R305</f>
        <v>6495</v>
      </c>
      <c r="S306" s="2691">
        <f t="shared" ref="S306:T306" si="48">S304+S305</f>
        <v>17239</v>
      </c>
      <c r="T306" s="2691">
        <f t="shared" si="48"/>
        <v>17136</v>
      </c>
    </row>
    <row r="307" spans="1:20" ht="20.25" customHeight="1" thickTop="1" thickBot="1" x14ac:dyDescent="0.3">
      <c r="A307" s="3241" t="s">
        <v>523</v>
      </c>
      <c r="B307" s="3242"/>
      <c r="C307" s="3242"/>
      <c r="D307" s="3242"/>
      <c r="E307" s="3243"/>
      <c r="F307" s="2648">
        <f>F305</f>
        <v>0</v>
      </c>
      <c r="G307" s="2648">
        <f t="shared" ref="G307:H307" si="49">G305</f>
        <v>1010</v>
      </c>
      <c r="H307" s="2648">
        <f t="shared" si="49"/>
        <v>907</v>
      </c>
      <c r="I307" s="2649">
        <v>100</v>
      </c>
      <c r="R307" s="2691"/>
      <c r="S307" s="2691"/>
      <c r="T307" s="2691"/>
    </row>
    <row r="308" spans="1:20" ht="20.25" customHeight="1" thickTop="1" x14ac:dyDescent="0.25">
      <c r="A308" s="1137"/>
      <c r="B308" s="1137"/>
      <c r="C308" s="1137"/>
      <c r="D308" s="1137"/>
      <c r="E308" s="1137"/>
      <c r="F308" s="2073"/>
      <c r="G308" s="2073"/>
      <c r="H308" s="2073"/>
      <c r="I308" s="2072"/>
      <c r="R308" s="2691"/>
      <c r="S308" s="2691"/>
      <c r="T308" s="2691"/>
    </row>
    <row r="309" spans="1:20" ht="20.25" customHeight="1" x14ac:dyDescent="0.25">
      <c r="A309" s="1137"/>
      <c r="B309" s="1137"/>
      <c r="C309" s="1137"/>
      <c r="D309" s="1137"/>
      <c r="E309" s="1137"/>
      <c r="F309" s="2073"/>
      <c r="G309" s="2073"/>
      <c r="H309" s="2073"/>
      <c r="I309" s="2072"/>
      <c r="R309" s="2691"/>
      <c r="S309" s="2691"/>
      <c r="T309" s="2691"/>
    </row>
    <row r="310" spans="1:20" ht="15" customHeight="1" x14ac:dyDescent="0.25">
      <c r="A310" s="1137"/>
      <c r="B310" s="1137"/>
      <c r="C310" s="1137"/>
      <c r="D310" s="1137"/>
      <c r="E310" s="1137"/>
      <c r="F310" s="2073"/>
      <c r="G310" s="2073"/>
      <c r="H310" s="2073"/>
      <c r="I310" s="2072"/>
      <c r="R310" s="2691"/>
      <c r="S310" s="2691"/>
      <c r="T310" s="2691"/>
    </row>
    <row r="311" spans="1:20" ht="13.5" thickBot="1" x14ac:dyDescent="0.25">
      <c r="A311" s="1719" t="s">
        <v>180</v>
      </c>
      <c r="I311" s="2071" t="s">
        <v>92</v>
      </c>
    </row>
    <row r="312" spans="1:20" s="1043" customFormat="1" thickTop="1" thickBot="1" x14ac:dyDescent="0.25">
      <c r="A312" s="1047" t="s">
        <v>324</v>
      </c>
      <c r="B312" s="1044" t="s">
        <v>93</v>
      </c>
      <c r="C312" s="1046" t="s">
        <v>94</v>
      </c>
      <c r="D312" s="1069" t="s">
        <v>364</v>
      </c>
      <c r="E312" s="1069" t="s">
        <v>95</v>
      </c>
      <c r="F312" s="1069" t="s">
        <v>328</v>
      </c>
      <c r="G312" s="1069" t="s">
        <v>329</v>
      </c>
      <c r="H312" s="1749" t="s">
        <v>448</v>
      </c>
      <c r="I312" s="1784" t="s">
        <v>449</v>
      </c>
      <c r="R312" s="2689"/>
      <c r="S312" s="2689"/>
      <c r="T312" s="2689"/>
    </row>
    <row r="313" spans="1:20" s="1037" customFormat="1" ht="13.5" thickTop="1" thickBot="1" x14ac:dyDescent="0.25">
      <c r="A313" s="1042">
        <v>1</v>
      </c>
      <c r="B313" s="1041">
        <v>2</v>
      </c>
      <c r="C313" s="1041">
        <v>3</v>
      </c>
      <c r="D313" s="1041">
        <v>4</v>
      </c>
      <c r="E313" s="1041">
        <v>5</v>
      </c>
      <c r="F313" s="1040">
        <v>6</v>
      </c>
      <c r="G313" s="1040">
        <v>7</v>
      </c>
      <c r="H313" s="1164">
        <v>8</v>
      </c>
      <c r="I313" s="1039" t="s">
        <v>393</v>
      </c>
      <c r="R313" s="2690"/>
      <c r="S313" s="2690"/>
      <c r="T313" s="2690"/>
    </row>
    <row r="314" spans="1:20" ht="15.75" thickTop="1" x14ac:dyDescent="0.25">
      <c r="A314" s="2138">
        <v>1104</v>
      </c>
      <c r="B314" s="2137">
        <v>3121</v>
      </c>
      <c r="C314" s="2137">
        <v>5331</v>
      </c>
      <c r="D314" s="2136"/>
      <c r="E314" s="2135" t="s">
        <v>481</v>
      </c>
      <c r="F314" s="2134">
        <f>F316+F317+F315+F318</f>
        <v>3494</v>
      </c>
      <c r="G314" s="2134">
        <f t="shared" ref="G314:H314" si="50">G316+G317+G315+G318</f>
        <v>4133</v>
      </c>
      <c r="H314" s="2134">
        <f t="shared" si="50"/>
        <v>4133</v>
      </c>
      <c r="I314" s="2133">
        <f t="shared" ref="I314:I322" si="51">(H314/G314)*100</f>
        <v>100</v>
      </c>
    </row>
    <row r="315" spans="1:20" ht="28.5" x14ac:dyDescent="0.2">
      <c r="A315" s="2080"/>
      <c r="B315" s="2079"/>
      <c r="C315" s="2079"/>
      <c r="D315" s="3034" t="s">
        <v>972</v>
      </c>
      <c r="E315" s="2951" t="s">
        <v>1540</v>
      </c>
      <c r="F315" s="3038">
        <v>0</v>
      </c>
      <c r="G315" s="3038">
        <v>377</v>
      </c>
      <c r="H315" s="3038">
        <v>377</v>
      </c>
      <c r="I315" s="2147">
        <f t="shared" si="51"/>
        <v>100</v>
      </c>
    </row>
    <row r="316" spans="1:20" ht="14.25" x14ac:dyDescent="0.2">
      <c r="A316" s="2080"/>
      <c r="B316" s="2079"/>
      <c r="C316" s="2079"/>
      <c r="D316" s="2630" t="s">
        <v>1394</v>
      </c>
      <c r="E316" s="923" t="s">
        <v>1537</v>
      </c>
      <c r="F316" s="2077">
        <v>2557</v>
      </c>
      <c r="G316" s="2077">
        <v>2557</v>
      </c>
      <c r="H316" s="2077">
        <v>2557</v>
      </c>
      <c r="I316" s="2076">
        <f t="shared" si="51"/>
        <v>100</v>
      </c>
    </row>
    <row r="317" spans="1:20" ht="14.25" x14ac:dyDescent="0.2">
      <c r="A317" s="2080"/>
      <c r="B317" s="2079"/>
      <c r="C317" s="2079"/>
      <c r="D317" s="811" t="s">
        <v>993</v>
      </c>
      <c r="E317" s="2627" t="s">
        <v>1538</v>
      </c>
      <c r="F317" s="2077">
        <v>937</v>
      </c>
      <c r="G317" s="2077">
        <v>929</v>
      </c>
      <c r="H317" s="2077">
        <v>929</v>
      </c>
      <c r="I317" s="2076">
        <f t="shared" si="51"/>
        <v>100</v>
      </c>
    </row>
    <row r="318" spans="1:20" ht="15" thickBot="1" x14ac:dyDescent="0.25">
      <c r="A318" s="2080"/>
      <c r="B318" s="2079"/>
      <c r="C318" s="2079"/>
      <c r="D318" s="811" t="s">
        <v>1395</v>
      </c>
      <c r="E318" s="2627" t="s">
        <v>1539</v>
      </c>
      <c r="F318" s="2077"/>
      <c r="G318" s="2077">
        <v>270</v>
      </c>
      <c r="H318" s="2077">
        <v>270</v>
      </c>
      <c r="I318" s="2076">
        <f t="shared" si="51"/>
        <v>100</v>
      </c>
    </row>
    <row r="319" spans="1:20" ht="16.5" thickTop="1" thickBot="1" x14ac:dyDescent="0.3">
      <c r="A319" s="3301" t="s">
        <v>522</v>
      </c>
      <c r="B319" s="3302"/>
      <c r="C319" s="3302"/>
      <c r="D319" s="3302"/>
      <c r="E319" s="3302"/>
      <c r="F319" s="2075">
        <f>F314</f>
        <v>3494</v>
      </c>
      <c r="G319" s="2075">
        <f>G314</f>
        <v>4133</v>
      </c>
      <c r="H319" s="2075">
        <f>H314</f>
        <v>4133</v>
      </c>
      <c r="I319" s="2074">
        <f t="shared" si="51"/>
        <v>100</v>
      </c>
      <c r="R319" s="2691">
        <f>F319</f>
        <v>3494</v>
      </c>
      <c r="S319" s="2691">
        <f>G319</f>
        <v>4133</v>
      </c>
      <c r="T319" s="2691">
        <f>H319</f>
        <v>4133</v>
      </c>
    </row>
    <row r="320" spans="1:20" ht="15.75" thickTop="1" x14ac:dyDescent="0.25">
      <c r="A320" s="2080">
        <v>1104</v>
      </c>
      <c r="B320" s="2079">
        <v>3121</v>
      </c>
      <c r="C320" s="2079">
        <v>6351</v>
      </c>
      <c r="D320" s="2099"/>
      <c r="E320" s="1730" t="s">
        <v>551</v>
      </c>
      <c r="F320" s="2095">
        <f>F321</f>
        <v>0</v>
      </c>
      <c r="G320" s="2095">
        <f>G321</f>
        <v>559</v>
      </c>
      <c r="H320" s="2095">
        <f>H321</f>
        <v>559</v>
      </c>
      <c r="I320" s="2098">
        <f t="shared" si="51"/>
        <v>100</v>
      </c>
    </row>
    <row r="321" spans="1:23" ht="29.25" thickBot="1" x14ac:dyDescent="0.25">
      <c r="A321" s="2080"/>
      <c r="B321" s="2079"/>
      <c r="C321" s="2079"/>
      <c r="D321" s="3041" t="s">
        <v>972</v>
      </c>
      <c r="E321" s="2952" t="s">
        <v>1540</v>
      </c>
      <c r="F321" s="2148">
        <v>0</v>
      </c>
      <c r="G321" s="2148">
        <v>559</v>
      </c>
      <c r="H321" s="2148">
        <v>559</v>
      </c>
      <c r="I321" s="2147">
        <f t="shared" si="51"/>
        <v>100</v>
      </c>
    </row>
    <row r="322" spans="1:23" ht="16.5" thickTop="1" thickBot="1" x14ac:dyDescent="0.3">
      <c r="A322" s="3301" t="s">
        <v>523</v>
      </c>
      <c r="B322" s="3302"/>
      <c r="C322" s="3302"/>
      <c r="D322" s="3302"/>
      <c r="E322" s="3302"/>
      <c r="F322" s="2075">
        <f>F320</f>
        <v>0</v>
      </c>
      <c r="G322" s="2075">
        <f>G320</f>
        <v>559</v>
      </c>
      <c r="H322" s="2075">
        <f>H320</f>
        <v>559</v>
      </c>
      <c r="I322" s="2074">
        <f t="shared" si="51"/>
        <v>100</v>
      </c>
      <c r="R322" s="2691"/>
      <c r="S322" s="2691"/>
      <c r="T322" s="2691"/>
      <c r="U322" s="1002">
        <f>F322</f>
        <v>0</v>
      </c>
      <c r="V322" s="1002">
        <f>G322</f>
        <v>559</v>
      </c>
      <c r="W322" s="1002">
        <f>H322</f>
        <v>559</v>
      </c>
    </row>
    <row r="323" spans="1:23" ht="15" customHeight="1" thickTop="1" x14ac:dyDescent="0.25">
      <c r="A323" s="1137"/>
      <c r="B323" s="1137"/>
      <c r="C323" s="1137"/>
      <c r="D323" s="1137"/>
      <c r="E323" s="1137"/>
      <c r="F323" s="2073"/>
      <c r="G323" s="2073"/>
      <c r="H323" s="2073"/>
      <c r="I323" s="2072"/>
      <c r="R323" s="2691"/>
      <c r="S323" s="2691"/>
      <c r="T323" s="2691"/>
    </row>
    <row r="324" spans="1:23" ht="13.5" thickBot="1" x14ac:dyDescent="0.25">
      <c r="A324" s="1719" t="s">
        <v>181</v>
      </c>
      <c r="I324" s="2071" t="s">
        <v>92</v>
      </c>
    </row>
    <row r="325" spans="1:23" s="1043" customFormat="1" thickTop="1" thickBot="1" x14ac:dyDescent="0.25">
      <c r="A325" s="1047" t="s">
        <v>324</v>
      </c>
      <c r="B325" s="1044" t="s">
        <v>93</v>
      </c>
      <c r="C325" s="1046" t="s">
        <v>94</v>
      </c>
      <c r="D325" s="1069" t="s">
        <v>364</v>
      </c>
      <c r="E325" s="1069" t="s">
        <v>95</v>
      </c>
      <c r="F325" s="1069" t="s">
        <v>328</v>
      </c>
      <c r="G325" s="1069" t="s">
        <v>329</v>
      </c>
      <c r="H325" s="1749" t="s">
        <v>448</v>
      </c>
      <c r="I325" s="1784" t="s">
        <v>449</v>
      </c>
      <c r="R325" s="2689"/>
      <c r="S325" s="2689"/>
      <c r="T325" s="2689"/>
    </row>
    <row r="326" spans="1:23" s="1037" customFormat="1" ht="13.5" customHeight="1" thickTop="1" thickBot="1" x14ac:dyDescent="0.25">
      <c r="A326" s="1042">
        <v>1</v>
      </c>
      <c r="B326" s="1041">
        <v>2</v>
      </c>
      <c r="C326" s="1041">
        <v>3</v>
      </c>
      <c r="D326" s="1041">
        <v>4</v>
      </c>
      <c r="E326" s="1041">
        <v>5</v>
      </c>
      <c r="F326" s="1040">
        <v>6</v>
      </c>
      <c r="G326" s="1040">
        <v>7</v>
      </c>
      <c r="H326" s="1164">
        <v>8</v>
      </c>
      <c r="I326" s="1039" t="s">
        <v>393</v>
      </c>
      <c r="R326" s="2690"/>
      <c r="S326" s="2690"/>
      <c r="T326" s="2690"/>
    </row>
    <row r="327" spans="1:23" ht="13.5" customHeight="1" thickTop="1" x14ac:dyDescent="0.25">
      <c r="A327" s="2138">
        <v>1105</v>
      </c>
      <c r="B327" s="2137">
        <v>3121</v>
      </c>
      <c r="C327" s="2137">
        <v>5331</v>
      </c>
      <c r="D327" s="2136"/>
      <c r="E327" s="2135" t="s">
        <v>481</v>
      </c>
      <c r="F327" s="2134">
        <f>F328+F329</f>
        <v>2071</v>
      </c>
      <c r="G327" s="2134">
        <f>G328+G329</f>
        <v>2100</v>
      </c>
      <c r="H327" s="2134">
        <f>H328+H329</f>
        <v>2100</v>
      </c>
      <c r="I327" s="2133">
        <f>(H327/G327)*100</f>
        <v>100</v>
      </c>
    </row>
    <row r="328" spans="1:23" ht="13.5" customHeight="1" x14ac:dyDescent="0.2">
      <c r="A328" s="2080"/>
      <c r="B328" s="2079"/>
      <c r="C328" s="2079"/>
      <c r="D328" s="2630" t="s">
        <v>1394</v>
      </c>
      <c r="E328" s="923" t="s">
        <v>1537</v>
      </c>
      <c r="F328" s="2077">
        <v>1504</v>
      </c>
      <c r="G328" s="2077">
        <v>1504</v>
      </c>
      <c r="H328" s="2077">
        <v>1504</v>
      </c>
      <c r="I328" s="2076">
        <f>(H328/G328)*100</f>
        <v>100</v>
      </c>
    </row>
    <row r="329" spans="1:23" ht="13.5" customHeight="1" thickBot="1" x14ac:dyDescent="0.25">
      <c r="A329" s="2080"/>
      <c r="B329" s="2079"/>
      <c r="C329" s="2079"/>
      <c r="D329" s="811" t="s">
        <v>993</v>
      </c>
      <c r="E329" s="2627" t="s">
        <v>1538</v>
      </c>
      <c r="F329" s="2077">
        <v>567</v>
      </c>
      <c r="G329" s="2077">
        <v>596</v>
      </c>
      <c r="H329" s="2077">
        <v>596</v>
      </c>
      <c r="I329" s="2076">
        <f>(H329/G329)*100</f>
        <v>100</v>
      </c>
    </row>
    <row r="330" spans="1:23" ht="16.5" thickTop="1" thickBot="1" x14ac:dyDescent="0.3">
      <c r="A330" s="3301" t="s">
        <v>522</v>
      </c>
      <c r="B330" s="3302"/>
      <c r="C330" s="3302"/>
      <c r="D330" s="3302"/>
      <c r="E330" s="3302"/>
      <c r="F330" s="2075">
        <f>F327</f>
        <v>2071</v>
      </c>
      <c r="G330" s="2075">
        <f>G327</f>
        <v>2100</v>
      </c>
      <c r="H330" s="2075">
        <f>H327</f>
        <v>2100</v>
      </c>
      <c r="I330" s="2074">
        <f>(H330/G330)*100</f>
        <v>100</v>
      </c>
      <c r="R330" s="2691">
        <f>F330</f>
        <v>2071</v>
      </c>
      <c r="S330" s="2691">
        <f>G330</f>
        <v>2100</v>
      </c>
      <c r="T330" s="2691">
        <f>H330</f>
        <v>2100</v>
      </c>
    </row>
    <row r="331" spans="1:23" ht="13.5" thickTop="1" x14ac:dyDescent="0.2"/>
    <row r="332" spans="1:23" ht="13.5" thickBot="1" x14ac:dyDescent="0.25">
      <c r="A332" s="1719" t="s">
        <v>182</v>
      </c>
      <c r="I332" s="2071" t="s">
        <v>92</v>
      </c>
    </row>
    <row r="333" spans="1:23" s="1043" customFormat="1" ht="18" customHeight="1" thickTop="1" thickBot="1" x14ac:dyDescent="0.25">
      <c r="A333" s="1047" t="s">
        <v>324</v>
      </c>
      <c r="B333" s="1044" t="s">
        <v>93</v>
      </c>
      <c r="C333" s="1046" t="s">
        <v>94</v>
      </c>
      <c r="D333" s="1069" t="s">
        <v>364</v>
      </c>
      <c r="E333" s="1069" t="s">
        <v>95</v>
      </c>
      <c r="F333" s="1069" t="s">
        <v>328</v>
      </c>
      <c r="G333" s="1069" t="s">
        <v>329</v>
      </c>
      <c r="H333" s="1749" t="s">
        <v>448</v>
      </c>
      <c r="I333" s="1784" t="s">
        <v>449</v>
      </c>
      <c r="R333" s="2689"/>
      <c r="S333" s="2689"/>
      <c r="T333" s="2689"/>
    </row>
    <row r="334" spans="1:23" s="1037" customFormat="1" ht="13.5" thickTop="1" thickBot="1" x14ac:dyDescent="0.25">
      <c r="A334" s="1042">
        <v>1</v>
      </c>
      <c r="B334" s="1041">
        <v>2</v>
      </c>
      <c r="C334" s="1041">
        <v>3</v>
      </c>
      <c r="D334" s="1041">
        <v>4</v>
      </c>
      <c r="E334" s="1041">
        <v>5</v>
      </c>
      <c r="F334" s="1040">
        <v>6</v>
      </c>
      <c r="G334" s="1040">
        <v>7</v>
      </c>
      <c r="H334" s="1164">
        <v>8</v>
      </c>
      <c r="I334" s="1039" t="s">
        <v>393</v>
      </c>
      <c r="R334" s="2690"/>
      <c r="S334" s="2690"/>
      <c r="T334" s="2690"/>
    </row>
    <row r="335" spans="1:23" ht="15.75" thickTop="1" x14ac:dyDescent="0.25">
      <c r="A335" s="2138">
        <v>1106</v>
      </c>
      <c r="B335" s="2137">
        <v>3121</v>
      </c>
      <c r="C335" s="2137">
        <v>5331</v>
      </c>
      <c r="D335" s="2136"/>
      <c r="E335" s="2135" t="s">
        <v>481</v>
      </c>
      <c r="F335" s="2134">
        <f>F337+F338+F336</f>
        <v>3652</v>
      </c>
      <c r="G335" s="2134">
        <f t="shared" ref="G335:H335" si="52">G337+G338+G336</f>
        <v>3644</v>
      </c>
      <c r="H335" s="2134">
        <f t="shared" si="52"/>
        <v>3644</v>
      </c>
      <c r="I335" s="2133">
        <f>(H335/G335)*100</f>
        <v>100</v>
      </c>
    </row>
    <row r="336" spans="1:23" ht="28.5" hidden="1" x14ac:dyDescent="0.2">
      <c r="A336" s="2080"/>
      <c r="B336" s="2079"/>
      <c r="C336" s="2079"/>
      <c r="D336" s="2634" t="s">
        <v>972</v>
      </c>
      <c r="E336" s="2632" t="s">
        <v>1540</v>
      </c>
      <c r="F336" s="2639"/>
      <c r="G336" s="2639"/>
      <c r="H336" s="2639"/>
      <c r="I336" s="2635" t="e">
        <f>(H336/G336)*100</f>
        <v>#DIV/0!</v>
      </c>
    </row>
    <row r="337" spans="1:22" ht="14.25" x14ac:dyDescent="0.2">
      <c r="A337" s="2080"/>
      <c r="B337" s="2079"/>
      <c r="C337" s="2079"/>
      <c r="D337" s="2630" t="s">
        <v>1394</v>
      </c>
      <c r="E337" s="923" t="s">
        <v>1537</v>
      </c>
      <c r="F337" s="2077">
        <v>3020</v>
      </c>
      <c r="G337" s="2077">
        <v>3020</v>
      </c>
      <c r="H337" s="2077">
        <v>3020</v>
      </c>
      <c r="I337" s="2076">
        <f>(H337/G337)*100</f>
        <v>100</v>
      </c>
    </row>
    <row r="338" spans="1:22" ht="15" thickBot="1" x14ac:dyDescent="0.25">
      <c r="A338" s="2080"/>
      <c r="B338" s="2079"/>
      <c r="C338" s="2079"/>
      <c r="D338" s="811" t="s">
        <v>993</v>
      </c>
      <c r="E338" s="2627" t="s">
        <v>1538</v>
      </c>
      <c r="F338" s="2077">
        <v>632</v>
      </c>
      <c r="G338" s="2077">
        <v>624</v>
      </c>
      <c r="H338" s="2077">
        <v>624</v>
      </c>
      <c r="I338" s="2076">
        <f>(H338/G338)*100</f>
        <v>100</v>
      </c>
    </row>
    <row r="339" spans="1:22" ht="16.5" thickTop="1" thickBot="1" x14ac:dyDescent="0.3">
      <c r="A339" s="3301" t="s">
        <v>522</v>
      </c>
      <c r="B339" s="3302"/>
      <c r="C339" s="3302"/>
      <c r="D339" s="3302"/>
      <c r="E339" s="3302"/>
      <c r="F339" s="2075">
        <f>F335</f>
        <v>3652</v>
      </c>
      <c r="G339" s="2075">
        <f>G335</f>
        <v>3644</v>
      </c>
      <c r="H339" s="2075">
        <f>H335</f>
        <v>3644</v>
      </c>
      <c r="I339" s="2074">
        <f>(H339/G339)*100</f>
        <v>100</v>
      </c>
      <c r="Q339" s="1054"/>
      <c r="R339" s="2695">
        <f>F339</f>
        <v>3652</v>
      </c>
      <c r="S339" s="2695">
        <f>G339</f>
        <v>3644</v>
      </c>
      <c r="T339" s="2695">
        <f>H339</f>
        <v>3644</v>
      </c>
      <c r="U339" s="1054"/>
      <c r="V339" s="1054"/>
    </row>
    <row r="340" spans="1:22" ht="13.9" customHeight="1" thickTop="1" x14ac:dyDescent="0.25">
      <c r="A340" s="1137"/>
      <c r="B340" s="1137"/>
      <c r="C340" s="1137"/>
      <c r="D340" s="1137"/>
      <c r="E340" s="1137"/>
      <c r="F340" s="2073"/>
      <c r="G340" s="2073"/>
      <c r="H340" s="2073"/>
      <c r="I340" s="2072"/>
      <c r="Q340" s="1054"/>
      <c r="R340" s="2695"/>
      <c r="S340" s="2695"/>
      <c r="T340" s="2695"/>
      <c r="U340" s="1054"/>
      <c r="V340" s="1054"/>
    </row>
    <row r="341" spans="1:22" ht="13.5" thickBot="1" x14ac:dyDescent="0.25">
      <c r="A341" s="1719" t="s">
        <v>183</v>
      </c>
      <c r="I341" s="2071" t="s">
        <v>92</v>
      </c>
    </row>
    <row r="342" spans="1:22" s="1043" customFormat="1" thickTop="1" thickBot="1" x14ac:dyDescent="0.25">
      <c r="A342" s="1047" t="s">
        <v>324</v>
      </c>
      <c r="B342" s="1044" t="s">
        <v>93</v>
      </c>
      <c r="C342" s="1046" t="s">
        <v>94</v>
      </c>
      <c r="D342" s="1069" t="s">
        <v>364</v>
      </c>
      <c r="E342" s="1069" t="s">
        <v>95</v>
      </c>
      <c r="F342" s="1069" t="s">
        <v>328</v>
      </c>
      <c r="G342" s="1069" t="s">
        <v>329</v>
      </c>
      <c r="H342" s="1749" t="s">
        <v>448</v>
      </c>
      <c r="I342" s="1784" t="s">
        <v>449</v>
      </c>
      <c r="R342" s="2689"/>
      <c r="S342" s="2689"/>
      <c r="T342" s="2689"/>
    </row>
    <row r="343" spans="1:22" s="1043" customFormat="1" thickTop="1" thickBot="1" x14ac:dyDescent="0.25">
      <c r="A343" s="1892"/>
      <c r="B343" s="1890"/>
      <c r="C343" s="1891"/>
      <c r="D343" s="2143"/>
      <c r="E343" s="2143"/>
      <c r="F343" s="2143"/>
      <c r="G343" s="2143"/>
      <c r="H343" s="2143"/>
      <c r="I343" s="1889"/>
      <c r="R343" s="2689"/>
      <c r="S343" s="2689"/>
      <c r="T343" s="2689"/>
    </row>
    <row r="344" spans="1:22" ht="15.75" thickTop="1" x14ac:dyDescent="0.25">
      <c r="A344" s="2138">
        <v>1108</v>
      </c>
      <c r="B344" s="2137">
        <v>3121</v>
      </c>
      <c r="C344" s="2137">
        <v>5331</v>
      </c>
      <c r="D344" s="2136"/>
      <c r="E344" s="2135" t="s">
        <v>481</v>
      </c>
      <c r="F344" s="2134">
        <f>F345+F346+F347</f>
        <v>5480</v>
      </c>
      <c r="G344" s="2134">
        <f t="shared" ref="G344:H344" si="53">G345+G346+G347</f>
        <v>5480</v>
      </c>
      <c r="H344" s="2134">
        <f t="shared" si="53"/>
        <v>5480</v>
      </c>
      <c r="I344" s="2133">
        <f>(H344/G344)*100</f>
        <v>100</v>
      </c>
    </row>
    <row r="345" spans="1:22" ht="28.5" hidden="1" x14ac:dyDescent="0.2">
      <c r="A345" s="2080"/>
      <c r="B345" s="2079"/>
      <c r="C345" s="2079"/>
      <c r="D345" s="2634" t="s">
        <v>972</v>
      </c>
      <c r="E345" s="2632" t="s">
        <v>1540</v>
      </c>
      <c r="F345" s="2639"/>
      <c r="G345" s="2639"/>
      <c r="H345" s="2639"/>
      <c r="I345" s="2635" t="e">
        <f>(H345/G345)*100</f>
        <v>#DIV/0!</v>
      </c>
    </row>
    <row r="346" spans="1:22" ht="14.25" x14ac:dyDescent="0.2">
      <c r="A346" s="2080"/>
      <c r="B346" s="2079"/>
      <c r="C346" s="2079"/>
      <c r="D346" s="2630" t="s">
        <v>1394</v>
      </c>
      <c r="E346" s="923" t="s">
        <v>1537</v>
      </c>
      <c r="F346" s="2639">
        <v>5082</v>
      </c>
      <c r="G346" s="2639">
        <v>5082</v>
      </c>
      <c r="H346" s="2639">
        <v>5082</v>
      </c>
      <c r="I346" s="2635">
        <f>(H346/G346)*100</f>
        <v>100</v>
      </c>
    </row>
    <row r="347" spans="1:22" ht="15" thickBot="1" x14ac:dyDescent="0.25">
      <c r="A347" s="2080"/>
      <c r="B347" s="2079"/>
      <c r="C347" s="2079"/>
      <c r="D347" s="811" t="s">
        <v>993</v>
      </c>
      <c r="E347" s="2627" t="s">
        <v>1538</v>
      </c>
      <c r="F347" s="2077">
        <v>398</v>
      </c>
      <c r="G347" s="2077">
        <v>398</v>
      </c>
      <c r="H347" s="2077">
        <v>398</v>
      </c>
      <c r="I347" s="2076">
        <f>(H347/G347)*100</f>
        <v>100</v>
      </c>
    </row>
    <row r="348" spans="1:22" ht="16.5" thickTop="1" thickBot="1" x14ac:dyDescent="0.3">
      <c r="A348" s="3301" t="s">
        <v>522</v>
      </c>
      <c r="B348" s="3302"/>
      <c r="C348" s="3302"/>
      <c r="D348" s="3302"/>
      <c r="E348" s="3302"/>
      <c r="F348" s="2075">
        <f>F344</f>
        <v>5480</v>
      </c>
      <c r="G348" s="2075">
        <f>G344</f>
        <v>5480</v>
      </c>
      <c r="H348" s="2075">
        <f>H344</f>
        <v>5480</v>
      </c>
      <c r="I348" s="2074">
        <f>(H348/G348)*100</f>
        <v>100</v>
      </c>
      <c r="R348" s="2691">
        <f>F348</f>
        <v>5480</v>
      </c>
      <c r="S348" s="2691">
        <f>G348</f>
        <v>5480</v>
      </c>
      <c r="T348" s="2691">
        <f>H348</f>
        <v>5480</v>
      </c>
    </row>
    <row r="349" spans="1:22" ht="15.75" thickTop="1" x14ac:dyDescent="0.25">
      <c r="A349" s="1137"/>
      <c r="B349" s="1137"/>
      <c r="C349" s="1137"/>
      <c r="D349" s="1137"/>
      <c r="E349" s="1137"/>
      <c r="F349" s="2073"/>
      <c r="G349" s="2073"/>
      <c r="H349" s="2073"/>
      <c r="I349" s="2072"/>
      <c r="R349" s="2691"/>
      <c r="S349" s="2691"/>
      <c r="T349" s="2691"/>
    </row>
    <row r="350" spans="1:22" ht="13.5" thickBot="1" x14ac:dyDescent="0.25">
      <c r="A350" s="1719" t="s">
        <v>590</v>
      </c>
      <c r="I350" s="2071" t="s">
        <v>92</v>
      </c>
    </row>
    <row r="351" spans="1:22" s="1043" customFormat="1" thickTop="1" thickBot="1" x14ac:dyDescent="0.25">
      <c r="A351" s="1047" t="s">
        <v>324</v>
      </c>
      <c r="B351" s="1044" t="s">
        <v>93</v>
      </c>
      <c r="C351" s="1046" t="s">
        <v>94</v>
      </c>
      <c r="D351" s="1069" t="s">
        <v>364</v>
      </c>
      <c r="E351" s="1069" t="s">
        <v>95</v>
      </c>
      <c r="F351" s="1069" t="s">
        <v>328</v>
      </c>
      <c r="G351" s="1069" t="s">
        <v>329</v>
      </c>
      <c r="H351" s="1749" t="s">
        <v>448</v>
      </c>
      <c r="I351" s="1784" t="s">
        <v>449</v>
      </c>
      <c r="R351" s="2689"/>
      <c r="S351" s="2689"/>
      <c r="T351" s="2689"/>
    </row>
    <row r="352" spans="1:22" s="1037" customFormat="1" ht="13.5" thickTop="1" thickBot="1" x14ac:dyDescent="0.25">
      <c r="A352" s="1042">
        <v>1</v>
      </c>
      <c r="B352" s="1041">
        <v>2</v>
      </c>
      <c r="C352" s="1041">
        <v>3</v>
      </c>
      <c r="D352" s="1041">
        <v>4</v>
      </c>
      <c r="E352" s="1041">
        <v>5</v>
      </c>
      <c r="F352" s="1040">
        <v>6</v>
      </c>
      <c r="G352" s="1040">
        <v>7</v>
      </c>
      <c r="H352" s="1164">
        <v>8</v>
      </c>
      <c r="I352" s="1039" t="s">
        <v>393</v>
      </c>
      <c r="R352" s="2690"/>
      <c r="S352" s="2690"/>
      <c r="T352" s="2690"/>
    </row>
    <row r="353" spans="1:20" ht="15.75" thickTop="1" x14ac:dyDescent="0.25">
      <c r="A353" s="2138">
        <v>1109</v>
      </c>
      <c r="B353" s="2137">
        <v>3121</v>
      </c>
      <c r="C353" s="2137">
        <v>5331</v>
      </c>
      <c r="D353" s="2136"/>
      <c r="E353" s="2135" t="s">
        <v>481</v>
      </c>
      <c r="F353" s="2134">
        <f>F354+F355</f>
        <v>2722</v>
      </c>
      <c r="G353" s="2134">
        <f>G354+G355</f>
        <v>2718</v>
      </c>
      <c r="H353" s="2134">
        <f>H354+H355</f>
        <v>2718</v>
      </c>
      <c r="I353" s="2133">
        <f>(H353/G353)*100</f>
        <v>100</v>
      </c>
    </row>
    <row r="354" spans="1:20" ht="14.25" x14ac:dyDescent="0.2">
      <c r="A354" s="2080"/>
      <c r="B354" s="2079"/>
      <c r="C354" s="2079"/>
      <c r="D354" s="2630" t="s">
        <v>1394</v>
      </c>
      <c r="E354" s="923" t="s">
        <v>1537</v>
      </c>
      <c r="F354" s="2077">
        <v>1887</v>
      </c>
      <c r="G354" s="2077">
        <v>1887</v>
      </c>
      <c r="H354" s="2077">
        <v>1887</v>
      </c>
      <c r="I354" s="2076">
        <f>(H354/G354)*100</f>
        <v>100</v>
      </c>
    </row>
    <row r="355" spans="1:20" ht="15" thickBot="1" x14ac:dyDescent="0.25">
      <c r="A355" s="2080"/>
      <c r="B355" s="2079"/>
      <c r="C355" s="2079"/>
      <c r="D355" s="811" t="s">
        <v>993</v>
      </c>
      <c r="E355" s="2627" t="s">
        <v>1538</v>
      </c>
      <c r="F355" s="2077">
        <v>835</v>
      </c>
      <c r="G355" s="2077">
        <v>831</v>
      </c>
      <c r="H355" s="2077">
        <v>831</v>
      </c>
      <c r="I355" s="2076">
        <f>(H355/G355)*100</f>
        <v>100</v>
      </c>
    </row>
    <row r="356" spans="1:20" s="1879" customFormat="1" ht="16.5" thickTop="1" thickBot="1" x14ac:dyDescent="0.25">
      <c r="A356" s="3303" t="s">
        <v>522</v>
      </c>
      <c r="B356" s="3304"/>
      <c r="C356" s="3304"/>
      <c r="D356" s="3304"/>
      <c r="E356" s="3304"/>
      <c r="F356" s="2142">
        <f>F353</f>
        <v>2722</v>
      </c>
      <c r="G356" s="2142">
        <f>G353</f>
        <v>2718</v>
      </c>
      <c r="H356" s="2142">
        <f>H353</f>
        <v>2718</v>
      </c>
      <c r="I356" s="2141">
        <f>(H356/G356)*100</f>
        <v>100</v>
      </c>
      <c r="R356" s="2693">
        <f>F356</f>
        <v>2722</v>
      </c>
      <c r="S356" s="2693">
        <f>G356</f>
        <v>2718</v>
      </c>
      <c r="T356" s="2693">
        <f>H356</f>
        <v>2718</v>
      </c>
    </row>
    <row r="357" spans="1:20" s="1879" customFormat="1" ht="13.5" thickTop="1" x14ac:dyDescent="0.2">
      <c r="B357" s="2121"/>
      <c r="D357" s="2120"/>
      <c r="F357" s="2119"/>
      <c r="G357" s="2119"/>
      <c r="H357" s="2119"/>
      <c r="I357" s="2118"/>
      <c r="R357" s="2692"/>
      <c r="S357" s="2692"/>
      <c r="T357" s="2692"/>
    </row>
    <row r="358" spans="1:20" s="1879" customFormat="1" x14ac:dyDescent="0.2">
      <c r="B358" s="2121"/>
      <c r="D358" s="2120"/>
      <c r="F358" s="2119"/>
      <c r="G358" s="2119"/>
      <c r="H358" s="2119"/>
      <c r="I358" s="2118"/>
      <c r="R358" s="2692"/>
      <c r="S358" s="2692"/>
      <c r="T358" s="2692"/>
    </row>
    <row r="359" spans="1:20" ht="13.5" thickBot="1" x14ac:dyDescent="0.25">
      <c r="A359" s="1719" t="s">
        <v>375</v>
      </c>
      <c r="I359" s="2071" t="s">
        <v>92</v>
      </c>
    </row>
    <row r="360" spans="1:20" s="1043" customFormat="1" thickTop="1" thickBot="1" x14ac:dyDescent="0.25">
      <c r="A360" s="1047" t="s">
        <v>324</v>
      </c>
      <c r="B360" s="1044" t="s">
        <v>93</v>
      </c>
      <c r="C360" s="1046" t="s">
        <v>94</v>
      </c>
      <c r="D360" s="1069" t="s">
        <v>364</v>
      </c>
      <c r="E360" s="1069" t="s">
        <v>95</v>
      </c>
      <c r="F360" s="1069" t="s">
        <v>328</v>
      </c>
      <c r="G360" s="1069" t="s">
        <v>329</v>
      </c>
      <c r="H360" s="1749" t="s">
        <v>448</v>
      </c>
      <c r="I360" s="1784" t="s">
        <v>449</v>
      </c>
      <c r="R360" s="2689"/>
      <c r="S360" s="2689"/>
      <c r="T360" s="2689"/>
    </row>
    <row r="361" spans="1:20" s="1037" customFormat="1" ht="13.5" thickTop="1" thickBot="1" x14ac:dyDescent="0.25">
      <c r="A361" s="1042">
        <v>1</v>
      </c>
      <c r="B361" s="1041">
        <v>2</v>
      </c>
      <c r="C361" s="1041">
        <v>3</v>
      </c>
      <c r="D361" s="1041">
        <v>4</v>
      </c>
      <c r="E361" s="1041">
        <v>5</v>
      </c>
      <c r="F361" s="1040">
        <v>6</v>
      </c>
      <c r="G361" s="1040">
        <v>7</v>
      </c>
      <c r="H361" s="1164">
        <v>8</v>
      </c>
      <c r="I361" s="1039" t="s">
        <v>393</v>
      </c>
      <c r="R361" s="2690"/>
      <c r="S361" s="2690"/>
      <c r="T361" s="2690"/>
    </row>
    <row r="362" spans="1:20" ht="15.75" thickTop="1" x14ac:dyDescent="0.25">
      <c r="A362" s="2138">
        <v>1110</v>
      </c>
      <c r="B362" s="2137">
        <v>3121</v>
      </c>
      <c r="C362" s="2137">
        <v>5331</v>
      </c>
      <c r="D362" s="2136"/>
      <c r="E362" s="2135" t="s">
        <v>481</v>
      </c>
      <c r="F362" s="2134">
        <f>F363+F364</f>
        <v>2585</v>
      </c>
      <c r="G362" s="2134">
        <f>G363+G364</f>
        <v>2583</v>
      </c>
      <c r="H362" s="2134">
        <f>H363+H364</f>
        <v>2583</v>
      </c>
      <c r="I362" s="2133">
        <f>(H362/G362)*100</f>
        <v>100</v>
      </c>
    </row>
    <row r="363" spans="1:20" ht="14.25" x14ac:dyDescent="0.2">
      <c r="A363" s="2080"/>
      <c r="B363" s="2079"/>
      <c r="C363" s="2079"/>
      <c r="D363" s="2630" t="s">
        <v>1394</v>
      </c>
      <c r="E363" s="923" t="s">
        <v>1537</v>
      </c>
      <c r="F363" s="2077">
        <v>1810</v>
      </c>
      <c r="G363" s="2077">
        <v>1810</v>
      </c>
      <c r="H363" s="2077">
        <v>1810</v>
      </c>
      <c r="I363" s="2076">
        <f>(H363/G363)*100</f>
        <v>100</v>
      </c>
    </row>
    <row r="364" spans="1:20" ht="15" thickBot="1" x14ac:dyDescent="0.25">
      <c r="A364" s="2080"/>
      <c r="B364" s="2079"/>
      <c r="C364" s="2079"/>
      <c r="D364" s="811" t="s">
        <v>993</v>
      </c>
      <c r="E364" s="2627" t="s">
        <v>1538</v>
      </c>
      <c r="F364" s="2077">
        <v>775</v>
      </c>
      <c r="G364" s="2077">
        <v>773</v>
      </c>
      <c r="H364" s="2077">
        <v>773</v>
      </c>
      <c r="I364" s="2076">
        <f>(H364/G364)*100</f>
        <v>100</v>
      </c>
    </row>
    <row r="365" spans="1:20" ht="16.5" thickTop="1" thickBot="1" x14ac:dyDescent="0.3">
      <c r="A365" s="3301" t="s">
        <v>522</v>
      </c>
      <c r="B365" s="3302"/>
      <c r="C365" s="3302"/>
      <c r="D365" s="3302"/>
      <c r="E365" s="3302"/>
      <c r="F365" s="2075">
        <f>F362</f>
        <v>2585</v>
      </c>
      <c r="G365" s="2075">
        <f>G362</f>
        <v>2583</v>
      </c>
      <c r="H365" s="2075">
        <f>H362</f>
        <v>2583</v>
      </c>
      <c r="I365" s="2074">
        <f>(H365/G365)*100</f>
        <v>100</v>
      </c>
      <c r="K365" s="1002" t="e">
        <f>SUM(F365,#REF!,#REF!,#REF!,#REF!,F330,#REF!,#REF!,F292,F280,F271,#REF!,F261,#REF!,F250,F236,F227,F217,F205)</f>
        <v>#REF!</v>
      </c>
      <c r="L365" s="1002" t="e">
        <f>SUM(G365,#REF!,#REF!,#REF!,#REF!,G330,#REF!,#REF!,G292,G280,G271,#REF!,G261,#REF!,G250,G236,G227,G217,G205)</f>
        <v>#REF!</v>
      </c>
      <c r="M365" s="1002" t="e">
        <f>SUM(H365,#REF!,#REF!,#REF!,#REF!,H330,#REF!,#REF!,H292,H280,H271,#REF!,H261,#REF!,H250,H236,H227,H217,H205)</f>
        <v>#REF!</v>
      </c>
      <c r="R365" s="2691">
        <f>F365</f>
        <v>2585</v>
      </c>
      <c r="S365" s="2691">
        <f>G365</f>
        <v>2583</v>
      </c>
      <c r="T365" s="2691">
        <f>H365</f>
        <v>2583</v>
      </c>
    </row>
    <row r="366" spans="1:20" ht="15.75" thickTop="1" x14ac:dyDescent="0.25">
      <c r="A366" s="1137"/>
      <c r="B366" s="1137"/>
      <c r="C366" s="1137"/>
      <c r="D366" s="1137"/>
      <c r="E366" s="1137"/>
      <c r="F366" s="2073"/>
      <c r="G366" s="2073"/>
      <c r="H366" s="2073"/>
      <c r="I366" s="2072"/>
      <c r="K366" s="1002"/>
      <c r="L366" s="1002"/>
      <c r="M366" s="1002"/>
      <c r="R366" s="2691"/>
      <c r="S366" s="2691"/>
      <c r="T366" s="2691"/>
    </row>
    <row r="367" spans="1:20" ht="13.5" thickBot="1" x14ac:dyDescent="0.25">
      <c r="A367" s="1719" t="s">
        <v>334</v>
      </c>
      <c r="I367" s="2071" t="s">
        <v>92</v>
      </c>
    </row>
    <row r="368" spans="1:20" s="1043" customFormat="1" ht="18" customHeight="1" thickTop="1" thickBot="1" x14ac:dyDescent="0.25">
      <c r="A368" s="1047" t="s">
        <v>324</v>
      </c>
      <c r="B368" s="1044" t="s">
        <v>93</v>
      </c>
      <c r="C368" s="1046" t="s">
        <v>94</v>
      </c>
      <c r="D368" s="1069" t="s">
        <v>364</v>
      </c>
      <c r="E368" s="1069" t="s">
        <v>95</v>
      </c>
      <c r="F368" s="1069" t="s">
        <v>328</v>
      </c>
      <c r="G368" s="1069" t="s">
        <v>329</v>
      </c>
      <c r="H368" s="1749" t="s">
        <v>448</v>
      </c>
      <c r="I368" s="1784" t="s">
        <v>449</v>
      </c>
      <c r="R368" s="2689"/>
      <c r="S368" s="2689"/>
      <c r="T368" s="2689"/>
    </row>
    <row r="369" spans="1:20" s="1037" customFormat="1" ht="13.5" thickTop="1" thickBot="1" x14ac:dyDescent="0.25">
      <c r="A369" s="1042">
        <v>1</v>
      </c>
      <c r="B369" s="1041">
        <v>2</v>
      </c>
      <c r="C369" s="1041">
        <v>3</v>
      </c>
      <c r="D369" s="1041">
        <v>4</v>
      </c>
      <c r="E369" s="1041">
        <v>5</v>
      </c>
      <c r="F369" s="1040">
        <v>6</v>
      </c>
      <c r="G369" s="1040">
        <v>7</v>
      </c>
      <c r="H369" s="1164">
        <v>8</v>
      </c>
      <c r="I369" s="1039" t="s">
        <v>393</v>
      </c>
      <c r="R369" s="2690"/>
      <c r="S369" s="2690"/>
      <c r="T369" s="2690"/>
    </row>
    <row r="370" spans="1:20" ht="15.75" thickTop="1" x14ac:dyDescent="0.25">
      <c r="A370" s="2138">
        <v>1111</v>
      </c>
      <c r="B370" s="2137">
        <v>3121</v>
      </c>
      <c r="C370" s="2137">
        <v>5331</v>
      </c>
      <c r="D370" s="2136"/>
      <c r="E370" s="2135" t="s">
        <v>481</v>
      </c>
      <c r="F370" s="2134">
        <f>F371+F373+F372</f>
        <v>4553</v>
      </c>
      <c r="G370" s="2134">
        <f>G371+G373+G372</f>
        <v>4552</v>
      </c>
      <c r="H370" s="2134">
        <f>H371+H373+H372</f>
        <v>4552</v>
      </c>
      <c r="I370" s="2133">
        <f>(H370/G370)*100</f>
        <v>100</v>
      </c>
    </row>
    <row r="371" spans="1:20" ht="14.25" x14ac:dyDescent="0.2">
      <c r="A371" s="2080"/>
      <c r="B371" s="2079"/>
      <c r="C371" s="2079"/>
      <c r="D371" s="2630" t="s">
        <v>1394</v>
      </c>
      <c r="E371" s="923" t="s">
        <v>1537</v>
      </c>
      <c r="F371" s="2077">
        <v>3210</v>
      </c>
      <c r="G371" s="2077">
        <v>3210</v>
      </c>
      <c r="H371" s="2077">
        <v>3210</v>
      </c>
      <c r="I371" s="2076">
        <f>(H371/G371)*100</f>
        <v>100</v>
      </c>
    </row>
    <row r="372" spans="1:20" ht="14.25" hidden="1" x14ac:dyDescent="0.2">
      <c r="A372" s="2080"/>
      <c r="B372" s="2079"/>
      <c r="C372" s="2079"/>
      <c r="D372" s="1888" t="s">
        <v>972</v>
      </c>
      <c r="E372" s="2100" t="s">
        <v>368</v>
      </c>
      <c r="F372" s="2077"/>
      <c r="G372" s="2077"/>
      <c r="H372" s="2077"/>
      <c r="I372" s="2076" t="e">
        <f>(H372/G372)*100</f>
        <v>#DIV/0!</v>
      </c>
    </row>
    <row r="373" spans="1:20" ht="15" thickBot="1" x14ac:dyDescent="0.25">
      <c r="A373" s="2080"/>
      <c r="B373" s="2079"/>
      <c r="C373" s="2079"/>
      <c r="D373" s="811" t="s">
        <v>993</v>
      </c>
      <c r="E373" s="2627" t="s">
        <v>1538</v>
      </c>
      <c r="F373" s="2077">
        <v>1343</v>
      </c>
      <c r="G373" s="2077">
        <v>1342</v>
      </c>
      <c r="H373" s="2077">
        <v>1342</v>
      </c>
      <c r="I373" s="2076">
        <f>(H373/G373)*100</f>
        <v>100</v>
      </c>
    </row>
    <row r="374" spans="1:20" ht="16.5" thickTop="1" thickBot="1" x14ac:dyDescent="0.3">
      <c r="A374" s="3301" t="s">
        <v>522</v>
      </c>
      <c r="B374" s="3302"/>
      <c r="C374" s="3302"/>
      <c r="D374" s="3302"/>
      <c r="E374" s="3302"/>
      <c r="F374" s="2075">
        <f>F370</f>
        <v>4553</v>
      </c>
      <c r="G374" s="2075">
        <f>G370</f>
        <v>4552</v>
      </c>
      <c r="H374" s="2075">
        <f>H370</f>
        <v>4552</v>
      </c>
      <c r="I374" s="2074">
        <f>(H374/G374)*100</f>
        <v>100</v>
      </c>
      <c r="R374" s="2691">
        <f>F374</f>
        <v>4553</v>
      </c>
      <c r="S374" s="2691">
        <f>G374</f>
        <v>4552</v>
      </c>
      <c r="T374" s="2691">
        <f>H374</f>
        <v>4552</v>
      </c>
    </row>
    <row r="375" spans="1:20" ht="15.75" thickTop="1" x14ac:dyDescent="0.25">
      <c r="A375" s="1137"/>
      <c r="B375" s="1137"/>
      <c r="C375" s="1137"/>
      <c r="D375" s="1137"/>
      <c r="E375" s="1137"/>
      <c r="F375" s="2073"/>
      <c r="G375" s="2073"/>
      <c r="H375" s="2073"/>
      <c r="I375" s="2072"/>
      <c r="R375" s="2691"/>
      <c r="S375" s="2691"/>
      <c r="T375" s="2691"/>
    </row>
    <row r="376" spans="1:20" ht="13.5" thickBot="1" x14ac:dyDescent="0.25">
      <c r="A376" s="1719" t="s">
        <v>703</v>
      </c>
      <c r="I376" s="2071" t="s">
        <v>92</v>
      </c>
    </row>
    <row r="377" spans="1:20" s="1043" customFormat="1" thickTop="1" thickBot="1" x14ac:dyDescent="0.25">
      <c r="A377" s="1047" t="s">
        <v>324</v>
      </c>
      <c r="B377" s="1044" t="s">
        <v>93</v>
      </c>
      <c r="C377" s="1046" t="s">
        <v>94</v>
      </c>
      <c r="D377" s="1069" t="s">
        <v>364</v>
      </c>
      <c r="E377" s="1069" t="s">
        <v>95</v>
      </c>
      <c r="F377" s="1069" t="s">
        <v>328</v>
      </c>
      <c r="G377" s="1069" t="s">
        <v>329</v>
      </c>
      <c r="H377" s="1749" t="s">
        <v>448</v>
      </c>
      <c r="I377" s="1784" t="s">
        <v>449</v>
      </c>
      <c r="R377" s="2689"/>
      <c r="S377" s="2689"/>
      <c r="T377" s="2689"/>
    </row>
    <row r="378" spans="1:20" s="1037" customFormat="1" ht="13.5" thickTop="1" thickBot="1" x14ac:dyDescent="0.25">
      <c r="A378" s="1042">
        <v>1</v>
      </c>
      <c r="B378" s="1041">
        <v>2</v>
      </c>
      <c r="C378" s="1041">
        <v>3</v>
      </c>
      <c r="D378" s="1041">
        <v>4</v>
      </c>
      <c r="E378" s="1041">
        <v>5</v>
      </c>
      <c r="F378" s="1040">
        <v>6</v>
      </c>
      <c r="G378" s="1040">
        <v>7</v>
      </c>
      <c r="H378" s="1164">
        <v>8</v>
      </c>
      <c r="I378" s="1039" t="s">
        <v>393</v>
      </c>
      <c r="R378" s="2690"/>
      <c r="S378" s="2690"/>
      <c r="T378" s="2690"/>
    </row>
    <row r="379" spans="1:20" ht="15.75" thickTop="1" x14ac:dyDescent="0.25">
      <c r="A379" s="2138">
        <v>1112</v>
      </c>
      <c r="B379" s="2137">
        <v>3121</v>
      </c>
      <c r="C379" s="2137">
        <v>5331</v>
      </c>
      <c r="D379" s="2136"/>
      <c r="E379" s="2135" t="s">
        <v>481</v>
      </c>
      <c r="F379" s="2134">
        <f>F380+F381+F382</f>
        <v>2804</v>
      </c>
      <c r="G379" s="2134">
        <f>G380+G381+G382</f>
        <v>2804</v>
      </c>
      <c r="H379" s="2134">
        <f>H380+H381+H382</f>
        <v>2804</v>
      </c>
      <c r="I379" s="2133">
        <f>(H379/G379)*100</f>
        <v>100</v>
      </c>
    </row>
    <row r="380" spans="1:20" ht="14.25" x14ac:dyDescent="0.2">
      <c r="A380" s="2080"/>
      <c r="B380" s="2079"/>
      <c r="C380" s="2079"/>
      <c r="D380" s="2630" t="s">
        <v>1394</v>
      </c>
      <c r="E380" s="923" t="s">
        <v>1537</v>
      </c>
      <c r="F380" s="2077">
        <v>2597</v>
      </c>
      <c r="G380" s="2077">
        <v>2597</v>
      </c>
      <c r="H380" s="2077">
        <v>2597</v>
      </c>
      <c r="I380" s="2076">
        <f>(H380/G380)*100</f>
        <v>100</v>
      </c>
    </row>
    <row r="381" spans="1:20" ht="14.25" hidden="1" x14ac:dyDescent="0.2">
      <c r="A381" s="2080"/>
      <c r="B381" s="2079"/>
      <c r="C381" s="2079"/>
      <c r="D381" s="1888" t="s">
        <v>972</v>
      </c>
      <c r="E381" s="2100" t="s">
        <v>368</v>
      </c>
      <c r="F381" s="2077"/>
      <c r="G381" s="2077"/>
      <c r="H381" s="2077"/>
      <c r="I381" s="2076" t="e">
        <f>(H381/G381)*100</f>
        <v>#DIV/0!</v>
      </c>
    </row>
    <row r="382" spans="1:20" ht="15" thickBot="1" x14ac:dyDescent="0.25">
      <c r="A382" s="2080"/>
      <c r="B382" s="2079"/>
      <c r="C382" s="2079"/>
      <c r="D382" s="811" t="s">
        <v>993</v>
      </c>
      <c r="E382" s="2627" t="s">
        <v>1538</v>
      </c>
      <c r="F382" s="2077">
        <v>207</v>
      </c>
      <c r="G382" s="2077">
        <v>207</v>
      </c>
      <c r="H382" s="2077">
        <v>207</v>
      </c>
      <c r="I382" s="2076">
        <v>100</v>
      </c>
    </row>
    <row r="383" spans="1:20" ht="16.5" thickTop="1" thickBot="1" x14ac:dyDescent="0.3">
      <c r="A383" s="3301" t="s">
        <v>522</v>
      </c>
      <c r="B383" s="3302"/>
      <c r="C383" s="3302"/>
      <c r="D383" s="3302"/>
      <c r="E383" s="3302"/>
      <c r="F383" s="2075">
        <f>F379</f>
        <v>2804</v>
      </c>
      <c r="G383" s="2075">
        <f>G379</f>
        <v>2804</v>
      </c>
      <c r="H383" s="2075">
        <f>H379</f>
        <v>2804</v>
      </c>
      <c r="I383" s="2074">
        <f>(H383/G383)*100</f>
        <v>100</v>
      </c>
      <c r="R383" s="2691">
        <f>F383</f>
        <v>2804</v>
      </c>
      <c r="S383" s="2691">
        <f>G383</f>
        <v>2804</v>
      </c>
      <c r="T383" s="2691">
        <f>H383</f>
        <v>2804</v>
      </c>
    </row>
    <row r="384" spans="1:20" ht="15.75" thickTop="1" x14ac:dyDescent="0.25">
      <c r="A384" s="1137"/>
      <c r="B384" s="1137"/>
      <c r="C384" s="1137"/>
      <c r="D384" s="1137"/>
      <c r="E384" s="1137"/>
      <c r="F384" s="2073"/>
      <c r="G384" s="2073"/>
      <c r="H384" s="2073"/>
      <c r="I384" s="2072"/>
      <c r="R384" s="2691"/>
      <c r="S384" s="2691"/>
      <c r="T384" s="2691"/>
    </row>
    <row r="385" spans="1:20" ht="15" x14ac:dyDescent="0.25">
      <c r="A385" s="1137"/>
      <c r="B385" s="1137"/>
      <c r="C385" s="1137"/>
      <c r="D385" s="1137"/>
      <c r="E385" s="1137"/>
      <c r="F385" s="2073"/>
      <c r="G385" s="2073"/>
      <c r="H385" s="2073"/>
      <c r="I385" s="2072"/>
      <c r="R385" s="2691"/>
      <c r="S385" s="2691"/>
      <c r="T385" s="2691"/>
    </row>
    <row r="386" spans="1:20" ht="13.5" thickBot="1" x14ac:dyDescent="0.25">
      <c r="A386" s="1719" t="s">
        <v>520</v>
      </c>
      <c r="I386" s="2071" t="s">
        <v>92</v>
      </c>
    </row>
    <row r="387" spans="1:20" s="1043" customFormat="1" thickTop="1" thickBot="1" x14ac:dyDescent="0.25">
      <c r="A387" s="1047" t="s">
        <v>324</v>
      </c>
      <c r="B387" s="1044" t="s">
        <v>93</v>
      </c>
      <c r="C387" s="1046" t="s">
        <v>94</v>
      </c>
      <c r="D387" s="1069" t="s">
        <v>364</v>
      </c>
      <c r="E387" s="1069" t="s">
        <v>95</v>
      </c>
      <c r="F387" s="1069" t="s">
        <v>328</v>
      </c>
      <c r="G387" s="1069" t="s">
        <v>329</v>
      </c>
      <c r="H387" s="1749" t="s">
        <v>448</v>
      </c>
      <c r="I387" s="1784" t="s">
        <v>449</v>
      </c>
      <c r="R387" s="2689"/>
      <c r="S387" s="2689"/>
      <c r="T387" s="2689"/>
    </row>
    <row r="388" spans="1:20" s="1037" customFormat="1" ht="13.5" thickTop="1" thickBot="1" x14ac:dyDescent="0.25">
      <c r="A388" s="1042">
        <v>1</v>
      </c>
      <c r="B388" s="1041">
        <v>2</v>
      </c>
      <c r="C388" s="1041">
        <v>3</v>
      </c>
      <c r="D388" s="1041">
        <v>4</v>
      </c>
      <c r="E388" s="1041">
        <v>5</v>
      </c>
      <c r="F388" s="1040">
        <v>6</v>
      </c>
      <c r="G388" s="1040">
        <v>7</v>
      </c>
      <c r="H388" s="1164">
        <v>8</v>
      </c>
      <c r="I388" s="1039" t="s">
        <v>393</v>
      </c>
      <c r="R388" s="2690"/>
      <c r="S388" s="2690"/>
      <c r="T388" s="2690"/>
    </row>
    <row r="389" spans="1:20" ht="20.25" customHeight="1" thickTop="1" x14ac:dyDescent="0.25">
      <c r="A389" s="2138">
        <v>1113</v>
      </c>
      <c r="B389" s="2137">
        <v>3121</v>
      </c>
      <c r="C389" s="2137">
        <v>5331</v>
      </c>
      <c r="D389" s="2136"/>
      <c r="E389" s="2135" t="s">
        <v>481</v>
      </c>
      <c r="F389" s="2134">
        <f>F391+F392+F390+F393</f>
        <v>3485</v>
      </c>
      <c r="G389" s="2134">
        <f t="shared" ref="G389:H389" si="54">G391+G392+G390+G393</f>
        <v>4221</v>
      </c>
      <c r="H389" s="2134">
        <f t="shared" si="54"/>
        <v>4221</v>
      </c>
      <c r="I389" s="2133">
        <f t="shared" ref="I389:I394" si="55">(H389/G389)*100</f>
        <v>100</v>
      </c>
    </row>
    <row r="390" spans="1:20" ht="28.5" customHeight="1" x14ac:dyDescent="0.2">
      <c r="A390" s="2080"/>
      <c r="B390" s="2079"/>
      <c r="C390" s="2079"/>
      <c r="D390" s="3041" t="s">
        <v>972</v>
      </c>
      <c r="E390" s="2951" t="s">
        <v>1540</v>
      </c>
      <c r="F390" s="3038">
        <v>0</v>
      </c>
      <c r="G390" s="3038">
        <v>527</v>
      </c>
      <c r="H390" s="3038">
        <v>527</v>
      </c>
      <c r="I390" s="2147">
        <f t="shared" si="55"/>
        <v>100</v>
      </c>
    </row>
    <row r="391" spans="1:20" ht="14.25" x14ac:dyDescent="0.2">
      <c r="A391" s="2080"/>
      <c r="B391" s="2079"/>
      <c r="C391" s="2079"/>
      <c r="D391" s="2630" t="s">
        <v>1394</v>
      </c>
      <c r="E391" s="923" t="s">
        <v>1537</v>
      </c>
      <c r="F391" s="2077">
        <v>2536</v>
      </c>
      <c r="G391" s="2077">
        <v>2536</v>
      </c>
      <c r="H391" s="2077">
        <v>2536</v>
      </c>
      <c r="I391" s="2076">
        <f t="shared" si="55"/>
        <v>100</v>
      </c>
    </row>
    <row r="392" spans="1:20" ht="14.25" x14ac:dyDescent="0.2">
      <c r="A392" s="2080"/>
      <c r="B392" s="2079"/>
      <c r="C392" s="2079"/>
      <c r="D392" s="811" t="s">
        <v>993</v>
      </c>
      <c r="E392" s="2627" t="s">
        <v>1538</v>
      </c>
      <c r="F392" s="2077">
        <v>949</v>
      </c>
      <c r="G392" s="2077">
        <v>1008</v>
      </c>
      <c r="H392" s="2077">
        <v>1008</v>
      </c>
      <c r="I392" s="2076">
        <f t="shared" si="55"/>
        <v>100</v>
      </c>
    </row>
    <row r="393" spans="1:20" ht="15" thickBot="1" x14ac:dyDescent="0.25">
      <c r="A393" s="2080"/>
      <c r="B393" s="2079"/>
      <c r="C393" s="2079"/>
      <c r="D393" s="811" t="s">
        <v>1395</v>
      </c>
      <c r="E393" s="2627" t="s">
        <v>1539</v>
      </c>
      <c r="F393" s="2077"/>
      <c r="G393" s="2077">
        <v>150</v>
      </c>
      <c r="H393" s="2077">
        <v>150</v>
      </c>
      <c r="I393" s="2076">
        <f t="shared" si="55"/>
        <v>100</v>
      </c>
    </row>
    <row r="394" spans="1:20" ht="18" customHeight="1" thickTop="1" thickBot="1" x14ac:dyDescent="0.3">
      <c r="A394" s="3305" t="s">
        <v>522</v>
      </c>
      <c r="B394" s="3306"/>
      <c r="C394" s="3306"/>
      <c r="D394" s="3306"/>
      <c r="E394" s="3307"/>
      <c r="F394" s="2075">
        <f>F389</f>
        <v>3485</v>
      </c>
      <c r="G394" s="2075">
        <f>G389</f>
        <v>4221</v>
      </c>
      <c r="H394" s="2075">
        <f>H389</f>
        <v>4221</v>
      </c>
      <c r="I394" s="2074">
        <f t="shared" si="55"/>
        <v>100</v>
      </c>
      <c r="R394" s="2691">
        <f>F394</f>
        <v>3485</v>
      </c>
      <c r="S394" s="2691">
        <f>G394</f>
        <v>4221</v>
      </c>
      <c r="T394" s="2691">
        <f>H394</f>
        <v>4221</v>
      </c>
    </row>
    <row r="395" spans="1:20" ht="15.6" customHeight="1" thickTop="1" x14ac:dyDescent="0.2"/>
    <row r="396" spans="1:20" ht="13.5" thickBot="1" x14ac:dyDescent="0.25">
      <c r="A396" s="1719" t="s">
        <v>521</v>
      </c>
      <c r="I396" s="2071" t="s">
        <v>92</v>
      </c>
    </row>
    <row r="397" spans="1:20" s="1043" customFormat="1" thickTop="1" thickBot="1" x14ac:dyDescent="0.25">
      <c r="A397" s="1047" t="s">
        <v>324</v>
      </c>
      <c r="B397" s="1044" t="s">
        <v>93</v>
      </c>
      <c r="C397" s="1046" t="s">
        <v>94</v>
      </c>
      <c r="D397" s="1069" t="s">
        <v>364</v>
      </c>
      <c r="E397" s="1069" t="s">
        <v>95</v>
      </c>
      <c r="F397" s="1069" t="s">
        <v>328</v>
      </c>
      <c r="G397" s="1069" t="s">
        <v>329</v>
      </c>
      <c r="H397" s="1749" t="s">
        <v>448</v>
      </c>
      <c r="I397" s="1784" t="s">
        <v>449</v>
      </c>
      <c r="R397" s="2689"/>
      <c r="S397" s="2689"/>
      <c r="T397" s="2689"/>
    </row>
    <row r="398" spans="1:20" s="1037" customFormat="1" ht="13.5" thickTop="1" thickBot="1" x14ac:dyDescent="0.25">
      <c r="A398" s="1042">
        <v>1</v>
      </c>
      <c r="B398" s="1041">
        <v>2</v>
      </c>
      <c r="C398" s="1041">
        <v>3</v>
      </c>
      <c r="D398" s="1041">
        <v>4</v>
      </c>
      <c r="E398" s="1041">
        <v>5</v>
      </c>
      <c r="F398" s="1040">
        <v>6</v>
      </c>
      <c r="G398" s="1040">
        <v>7</v>
      </c>
      <c r="H398" s="1164">
        <v>8</v>
      </c>
      <c r="I398" s="1039" t="s">
        <v>393</v>
      </c>
      <c r="R398" s="2690"/>
      <c r="S398" s="2690"/>
      <c r="T398" s="2690"/>
    </row>
    <row r="399" spans="1:20" ht="15.75" thickTop="1" x14ac:dyDescent="0.25">
      <c r="A399" s="2138">
        <v>1120</v>
      </c>
      <c r="B399" s="2137">
        <v>3122</v>
      </c>
      <c r="C399" s="2137">
        <v>5331</v>
      </c>
      <c r="D399" s="2136"/>
      <c r="E399" s="2135" t="s">
        <v>481</v>
      </c>
      <c r="F399" s="2134">
        <f>SUM(F400:F402)</f>
        <v>3067</v>
      </c>
      <c r="G399" s="2134">
        <f t="shared" ref="G399:H399" si="56">SUM(G400:G402)</f>
        <v>4135</v>
      </c>
      <c r="H399" s="2134">
        <f t="shared" si="56"/>
        <v>4135</v>
      </c>
      <c r="I399" s="2133">
        <f>(H399/G399)*100</f>
        <v>100</v>
      </c>
    </row>
    <row r="400" spans="1:20" ht="14.25" x14ac:dyDescent="0.2">
      <c r="A400" s="2080"/>
      <c r="B400" s="2079"/>
      <c r="C400" s="2079"/>
      <c r="D400" s="2630" t="s">
        <v>1394</v>
      </c>
      <c r="E400" s="923" t="s">
        <v>1537</v>
      </c>
      <c r="F400" s="2077">
        <v>2600</v>
      </c>
      <c r="G400" s="2077">
        <v>3100</v>
      </c>
      <c r="H400" s="2077">
        <v>3100</v>
      </c>
      <c r="I400" s="2076">
        <f>(H400/G400)*100</f>
        <v>100</v>
      </c>
    </row>
    <row r="401" spans="1:20" ht="14.25" x14ac:dyDescent="0.2">
      <c r="A401" s="2080"/>
      <c r="B401" s="2079"/>
      <c r="C401" s="1743"/>
      <c r="D401" s="811" t="s">
        <v>993</v>
      </c>
      <c r="E401" s="2627" t="s">
        <v>1538</v>
      </c>
      <c r="F401" s="2077">
        <v>467</v>
      </c>
      <c r="G401" s="2077">
        <v>832</v>
      </c>
      <c r="H401" s="2077">
        <v>832</v>
      </c>
      <c r="I401" s="2076">
        <f>(H401/G401)*100</f>
        <v>100</v>
      </c>
    </row>
    <row r="402" spans="1:20" ht="15" thickBot="1" x14ac:dyDescent="0.25">
      <c r="A402" s="2080"/>
      <c r="B402" s="2079"/>
      <c r="C402" s="1743"/>
      <c r="D402" s="811" t="s">
        <v>1395</v>
      </c>
      <c r="E402" s="2627" t="s">
        <v>1539</v>
      </c>
      <c r="F402" s="2077">
        <v>0</v>
      </c>
      <c r="G402" s="2077">
        <v>203</v>
      </c>
      <c r="H402" s="2077">
        <v>203</v>
      </c>
      <c r="I402" s="2076">
        <f>(H402/G402)*100</f>
        <v>100</v>
      </c>
    </row>
    <row r="403" spans="1:20" ht="16.5" thickTop="1" thickBot="1" x14ac:dyDescent="0.3">
      <c r="A403" s="3301" t="s">
        <v>522</v>
      </c>
      <c r="B403" s="3302"/>
      <c r="C403" s="3302"/>
      <c r="D403" s="3302"/>
      <c r="E403" s="3302"/>
      <c r="F403" s="2075">
        <f>F399</f>
        <v>3067</v>
      </c>
      <c r="G403" s="2075">
        <f>G399</f>
        <v>4135</v>
      </c>
      <c r="H403" s="2075">
        <f>H399</f>
        <v>4135</v>
      </c>
      <c r="I403" s="2074">
        <f>(H403/G403)*100</f>
        <v>100</v>
      </c>
      <c r="R403" s="2691">
        <f>F403</f>
        <v>3067</v>
      </c>
      <c r="S403" s="2691">
        <f>G403</f>
        <v>4135</v>
      </c>
      <c r="T403" s="2691">
        <f>H403</f>
        <v>4135</v>
      </c>
    </row>
    <row r="404" spans="1:20" ht="15.75" thickTop="1" x14ac:dyDescent="0.25">
      <c r="A404" s="2640">
        <v>1120</v>
      </c>
      <c r="B404" s="19">
        <v>3122</v>
      </c>
      <c r="C404" s="151">
        <v>6351</v>
      </c>
      <c r="D404" s="2641"/>
      <c r="E404" s="845" t="s">
        <v>551</v>
      </c>
      <c r="F404" s="2642">
        <f>F405</f>
        <v>0</v>
      </c>
      <c r="G404" s="2642">
        <f t="shared" ref="G404:H404" si="57">G405</f>
        <v>195</v>
      </c>
      <c r="H404" s="2642">
        <f t="shared" si="57"/>
        <v>195</v>
      </c>
      <c r="I404" s="2643">
        <v>100</v>
      </c>
      <c r="R404" s="2691"/>
      <c r="S404" s="2691"/>
      <c r="T404" s="2691"/>
    </row>
    <row r="405" spans="1:20" ht="29.25" thickBot="1" x14ac:dyDescent="0.25">
      <c r="A405" s="2644"/>
      <c r="B405" s="822"/>
      <c r="C405" s="2645"/>
      <c r="D405" s="3034" t="s">
        <v>972</v>
      </c>
      <c r="E405" s="2952" t="s">
        <v>1540</v>
      </c>
      <c r="F405" s="3039">
        <v>0</v>
      </c>
      <c r="G405" s="3039">
        <v>195</v>
      </c>
      <c r="H405" s="3039">
        <v>195</v>
      </c>
      <c r="I405" s="3040">
        <v>100</v>
      </c>
      <c r="R405" s="2691"/>
      <c r="S405" s="2691"/>
      <c r="T405" s="2691"/>
    </row>
    <row r="406" spans="1:20" ht="16.5" thickTop="1" thickBot="1" x14ac:dyDescent="0.3">
      <c r="A406" s="3241" t="s">
        <v>523</v>
      </c>
      <c r="B406" s="3242"/>
      <c r="C406" s="3242"/>
      <c r="D406" s="3242"/>
      <c r="E406" s="3243"/>
      <c r="F406" s="2648">
        <f>F404</f>
        <v>0</v>
      </c>
      <c r="G406" s="2648">
        <f t="shared" ref="G406:H406" si="58">G404</f>
        <v>195</v>
      </c>
      <c r="H406" s="2648">
        <f t="shared" si="58"/>
        <v>195</v>
      </c>
      <c r="I406" s="2649">
        <v>100</v>
      </c>
      <c r="R406" s="2691"/>
      <c r="S406" s="2691"/>
      <c r="T406" s="2691"/>
    </row>
    <row r="407" spans="1:20" ht="13.5" thickTop="1" x14ac:dyDescent="0.2"/>
    <row r="409" spans="1:20" ht="13.5" thickBot="1" x14ac:dyDescent="0.25">
      <c r="A409" s="1719" t="s">
        <v>184</v>
      </c>
      <c r="I409" s="2071" t="s">
        <v>92</v>
      </c>
    </row>
    <row r="410" spans="1:20" s="1043" customFormat="1" thickTop="1" thickBot="1" x14ac:dyDescent="0.25">
      <c r="A410" s="1047" t="s">
        <v>324</v>
      </c>
      <c r="B410" s="1044" t="s">
        <v>93</v>
      </c>
      <c r="C410" s="1046" t="s">
        <v>94</v>
      </c>
      <c r="D410" s="1069" t="s">
        <v>364</v>
      </c>
      <c r="E410" s="1069" t="s">
        <v>95</v>
      </c>
      <c r="F410" s="1069" t="s">
        <v>328</v>
      </c>
      <c r="G410" s="1069" t="s">
        <v>329</v>
      </c>
      <c r="H410" s="1749" t="s">
        <v>448</v>
      </c>
      <c r="I410" s="1784" t="s">
        <v>449</v>
      </c>
      <c r="R410" s="2689"/>
      <c r="S410" s="2689"/>
      <c r="T410" s="2689"/>
    </row>
    <row r="411" spans="1:20" s="1037" customFormat="1" ht="13.5" thickTop="1" thickBot="1" x14ac:dyDescent="0.25">
      <c r="A411" s="1042">
        <v>1</v>
      </c>
      <c r="B411" s="1041">
        <v>2</v>
      </c>
      <c r="C411" s="1041">
        <v>3</v>
      </c>
      <c r="D411" s="1041">
        <v>4</v>
      </c>
      <c r="E411" s="1041">
        <v>5</v>
      </c>
      <c r="F411" s="1040">
        <v>6</v>
      </c>
      <c r="G411" s="1040">
        <v>7</v>
      </c>
      <c r="H411" s="1164">
        <v>8</v>
      </c>
      <c r="I411" s="1039" t="s">
        <v>393</v>
      </c>
      <c r="R411" s="2690"/>
      <c r="S411" s="2690"/>
      <c r="T411" s="2690"/>
    </row>
    <row r="412" spans="1:20" ht="15.75" thickTop="1" x14ac:dyDescent="0.25">
      <c r="A412" s="2138">
        <v>1121</v>
      </c>
      <c r="B412" s="2137">
        <v>3122</v>
      </c>
      <c r="C412" s="2137">
        <v>5331</v>
      </c>
      <c r="D412" s="2136"/>
      <c r="E412" s="2135" t="s">
        <v>481</v>
      </c>
      <c r="F412" s="2134">
        <f>F413+F414+F415+F416</f>
        <v>3027</v>
      </c>
      <c r="G412" s="2134">
        <f>G413+G414+G415+G416</f>
        <v>3384</v>
      </c>
      <c r="H412" s="2134">
        <f>H413+H414+H415+H416</f>
        <v>3384</v>
      </c>
      <c r="I412" s="2133">
        <f t="shared" ref="I412:I417" si="59">(H412/G412)*100</f>
        <v>100</v>
      </c>
      <c r="R412" s="2691">
        <f>F417</f>
        <v>3027</v>
      </c>
      <c r="S412" s="2691">
        <f>G417</f>
        <v>3384</v>
      </c>
      <c r="T412" s="2691">
        <f>H417</f>
        <v>3384</v>
      </c>
    </row>
    <row r="413" spans="1:20" ht="14.25" x14ac:dyDescent="0.2">
      <c r="A413" s="2080"/>
      <c r="B413" s="2079"/>
      <c r="C413" s="2079"/>
      <c r="D413" s="2630" t="s">
        <v>1394</v>
      </c>
      <c r="E413" s="923" t="s">
        <v>1537</v>
      </c>
      <c r="F413" s="2077">
        <v>1441</v>
      </c>
      <c r="G413" s="2077">
        <v>1441</v>
      </c>
      <c r="H413" s="2077">
        <v>1441</v>
      </c>
      <c r="I413" s="2076">
        <f t="shared" si="59"/>
        <v>100</v>
      </c>
      <c r="R413" s="2691">
        <f>F420</f>
        <v>0</v>
      </c>
      <c r="S413" s="2691">
        <f>G420</f>
        <v>0</v>
      </c>
      <c r="T413" s="2691">
        <f>H420</f>
        <v>0</v>
      </c>
    </row>
    <row r="414" spans="1:20" ht="14.25" x14ac:dyDescent="0.2">
      <c r="A414" s="2080"/>
      <c r="B414" s="2079"/>
      <c r="C414" s="2079"/>
      <c r="D414" s="811" t="s">
        <v>993</v>
      </c>
      <c r="E414" s="2627" t="s">
        <v>1538</v>
      </c>
      <c r="F414" s="2077">
        <v>1586</v>
      </c>
      <c r="G414" s="2077">
        <v>1541</v>
      </c>
      <c r="H414" s="2077">
        <v>1541</v>
      </c>
      <c r="I414" s="2076">
        <f t="shared" si="59"/>
        <v>100</v>
      </c>
      <c r="R414" s="2691">
        <f>R412+R413</f>
        <v>3027</v>
      </c>
      <c r="S414" s="2691">
        <f t="shared" ref="S414:T414" si="60">S412+S413</f>
        <v>3384</v>
      </c>
      <c r="T414" s="2691">
        <f t="shared" si="60"/>
        <v>3384</v>
      </c>
    </row>
    <row r="415" spans="1:20" ht="14.25" x14ac:dyDescent="0.2">
      <c r="A415" s="2080"/>
      <c r="B415" s="2079"/>
      <c r="C415" s="2079"/>
      <c r="D415" s="811" t="s">
        <v>1395</v>
      </c>
      <c r="E415" s="2627" t="s">
        <v>1539</v>
      </c>
      <c r="F415" s="2077">
        <v>0</v>
      </c>
      <c r="G415" s="2077">
        <v>191</v>
      </c>
      <c r="H415" s="2077">
        <v>191</v>
      </c>
      <c r="I415" s="2076">
        <f t="shared" si="59"/>
        <v>100</v>
      </c>
    </row>
    <row r="416" spans="1:20" ht="15" thickBot="1" x14ac:dyDescent="0.25">
      <c r="A416" s="2080"/>
      <c r="B416" s="2079"/>
      <c r="C416" s="2079"/>
      <c r="D416" s="2636" t="s">
        <v>1397</v>
      </c>
      <c r="E416" s="2637" t="s">
        <v>1542</v>
      </c>
      <c r="F416" s="2091">
        <v>0</v>
      </c>
      <c r="G416" s="2091">
        <v>211</v>
      </c>
      <c r="H416" s="2091">
        <v>211</v>
      </c>
      <c r="I416" s="2076">
        <f t="shared" si="59"/>
        <v>100</v>
      </c>
    </row>
    <row r="417" spans="1:20" ht="16.5" thickTop="1" thickBot="1" x14ac:dyDescent="0.3">
      <c r="A417" s="3301" t="s">
        <v>522</v>
      </c>
      <c r="B417" s="3302"/>
      <c r="C417" s="3302"/>
      <c r="D417" s="3302"/>
      <c r="E417" s="3302"/>
      <c r="F417" s="2075">
        <f>F412</f>
        <v>3027</v>
      </c>
      <c r="G417" s="2075">
        <f>G412</f>
        <v>3384</v>
      </c>
      <c r="H417" s="2075">
        <f>H412</f>
        <v>3384</v>
      </c>
      <c r="I417" s="2074">
        <f t="shared" si="59"/>
        <v>100</v>
      </c>
    </row>
    <row r="418" spans="1:20" ht="15.75" hidden="1" thickTop="1" x14ac:dyDescent="0.25">
      <c r="A418" s="2640">
        <v>1121</v>
      </c>
      <c r="B418" s="19">
        <v>3122</v>
      </c>
      <c r="C418" s="151">
        <v>6351</v>
      </c>
      <c r="D418" s="2641"/>
      <c r="E418" s="845" t="s">
        <v>551</v>
      </c>
      <c r="F418" s="2642">
        <f>F419</f>
        <v>0</v>
      </c>
      <c r="G418" s="2642">
        <f t="shared" ref="G418:H418" si="61">G419</f>
        <v>0</v>
      </c>
      <c r="H418" s="2642">
        <f t="shared" si="61"/>
        <v>0</v>
      </c>
      <c r="I418" s="2643">
        <v>100</v>
      </c>
    </row>
    <row r="419" spans="1:20" ht="29.25" hidden="1" thickBot="1" x14ac:dyDescent="0.25">
      <c r="A419" s="2644"/>
      <c r="B419" s="822"/>
      <c r="C419" s="2645"/>
      <c r="D419" s="2634" t="s">
        <v>972</v>
      </c>
      <c r="E419" s="2632" t="s">
        <v>1540</v>
      </c>
      <c r="F419" s="2646"/>
      <c r="G419" s="2646"/>
      <c r="H419" s="2646"/>
      <c r="I419" s="2647">
        <v>100</v>
      </c>
    </row>
    <row r="420" spans="1:20" ht="16.5" hidden="1" thickTop="1" thickBot="1" x14ac:dyDescent="0.3">
      <c r="A420" s="3241" t="s">
        <v>523</v>
      </c>
      <c r="B420" s="3242"/>
      <c r="C420" s="3242"/>
      <c r="D420" s="3242"/>
      <c r="E420" s="3243"/>
      <c r="F420" s="2648">
        <f>F418</f>
        <v>0</v>
      </c>
      <c r="G420" s="2648">
        <f t="shared" ref="G420:H420" si="62">G418</f>
        <v>0</v>
      </c>
      <c r="H420" s="2648">
        <f t="shared" si="62"/>
        <v>0</v>
      </c>
      <c r="I420" s="2649">
        <v>100</v>
      </c>
      <c r="R420" s="2691"/>
      <c r="S420" s="2691"/>
      <c r="T420" s="2691"/>
    </row>
    <row r="421" spans="1:20" ht="15.75" thickTop="1" x14ac:dyDescent="0.25">
      <c r="A421" s="1137"/>
      <c r="B421" s="1137"/>
      <c r="C421" s="1137"/>
      <c r="D421" s="1137"/>
      <c r="E421" s="1137"/>
      <c r="F421" s="2073"/>
      <c r="G421" s="2073"/>
      <c r="H421" s="2073"/>
      <c r="I421" s="2072"/>
      <c r="R421" s="2691"/>
      <c r="S421" s="2691"/>
      <c r="T421" s="2691"/>
    </row>
    <row r="423" spans="1:20" ht="13.5" thickBot="1" x14ac:dyDescent="0.25">
      <c r="A423" s="1719" t="s">
        <v>861</v>
      </c>
      <c r="I423" s="2071" t="s">
        <v>92</v>
      </c>
    </row>
    <row r="424" spans="1:20" s="1043" customFormat="1" thickTop="1" thickBot="1" x14ac:dyDescent="0.25">
      <c r="A424" s="1047" t="s">
        <v>324</v>
      </c>
      <c r="B424" s="1044" t="s">
        <v>93</v>
      </c>
      <c r="C424" s="1046" t="s">
        <v>94</v>
      </c>
      <c r="D424" s="1069" t="s">
        <v>364</v>
      </c>
      <c r="E424" s="1069" t="s">
        <v>95</v>
      </c>
      <c r="F424" s="1069" t="s">
        <v>328</v>
      </c>
      <c r="G424" s="1069" t="s">
        <v>329</v>
      </c>
      <c r="H424" s="1749" t="s">
        <v>448</v>
      </c>
      <c r="I424" s="1784" t="s">
        <v>449</v>
      </c>
      <c r="R424" s="2689"/>
      <c r="S424" s="2689"/>
      <c r="T424" s="2689"/>
    </row>
    <row r="425" spans="1:20" s="1037" customFormat="1" ht="14.25" customHeight="1" thickTop="1" thickBot="1" x14ac:dyDescent="0.25">
      <c r="A425" s="1042">
        <v>1</v>
      </c>
      <c r="B425" s="1041">
        <v>2</v>
      </c>
      <c r="C425" s="1041">
        <v>3</v>
      </c>
      <c r="D425" s="1041">
        <v>4</v>
      </c>
      <c r="E425" s="1041">
        <v>5</v>
      </c>
      <c r="F425" s="1040">
        <v>6</v>
      </c>
      <c r="G425" s="1040">
        <v>7</v>
      </c>
      <c r="H425" s="1164">
        <v>8</v>
      </c>
      <c r="I425" s="1039" t="s">
        <v>393</v>
      </c>
      <c r="R425" s="2690"/>
      <c r="S425" s="2690"/>
      <c r="T425" s="2690"/>
    </row>
    <row r="426" spans="1:20" ht="15.75" thickTop="1" x14ac:dyDescent="0.25">
      <c r="A426" s="2138">
        <v>1122</v>
      </c>
      <c r="B426" s="2137">
        <v>3127</v>
      </c>
      <c r="C426" s="2137">
        <v>5331</v>
      </c>
      <c r="D426" s="2136"/>
      <c r="E426" s="2135" t="s">
        <v>481</v>
      </c>
      <c r="F426" s="2134">
        <f>F427+F428+F429</f>
        <v>7260</v>
      </c>
      <c r="G426" s="2134">
        <f>G427+G428+G429</f>
        <v>7289</v>
      </c>
      <c r="H426" s="2134">
        <f>H427+H428+H429</f>
        <v>7289</v>
      </c>
      <c r="I426" s="2133">
        <f>(H426/G426)*100</f>
        <v>100</v>
      </c>
    </row>
    <row r="427" spans="1:20" ht="14.25" x14ac:dyDescent="0.2">
      <c r="A427" s="2080"/>
      <c r="B427" s="2079"/>
      <c r="C427" s="2079"/>
      <c r="D427" s="2630" t="s">
        <v>1394</v>
      </c>
      <c r="E427" s="923" t="s">
        <v>1537</v>
      </c>
      <c r="F427" s="2077">
        <v>5845</v>
      </c>
      <c r="G427" s="2077">
        <v>5845</v>
      </c>
      <c r="H427" s="2077">
        <v>5845</v>
      </c>
      <c r="I427" s="2076">
        <f>(H427/G427)*100</f>
        <v>100</v>
      </c>
    </row>
    <row r="428" spans="1:20" ht="14.25" hidden="1" x14ac:dyDescent="0.2">
      <c r="A428" s="2080"/>
      <c r="B428" s="2079"/>
      <c r="C428" s="2079"/>
      <c r="D428" s="1888" t="s">
        <v>972</v>
      </c>
      <c r="E428" s="2100" t="s">
        <v>368</v>
      </c>
      <c r="F428" s="2077"/>
      <c r="G428" s="2077"/>
      <c r="H428" s="2077"/>
      <c r="I428" s="2076" t="e">
        <f>(H428/G428)*100</f>
        <v>#DIV/0!</v>
      </c>
    </row>
    <row r="429" spans="1:20" ht="15" thickBot="1" x14ac:dyDescent="0.25">
      <c r="A429" s="2080"/>
      <c r="B429" s="2079"/>
      <c r="C429" s="2079"/>
      <c r="D429" s="811" t="s">
        <v>993</v>
      </c>
      <c r="E429" s="2627" t="s">
        <v>1538</v>
      </c>
      <c r="F429" s="2077">
        <v>1415</v>
      </c>
      <c r="G429" s="2077">
        <v>1444</v>
      </c>
      <c r="H429" s="2077">
        <v>1444</v>
      </c>
      <c r="I429" s="2076">
        <f>(H429/G429)*100</f>
        <v>100</v>
      </c>
    </row>
    <row r="430" spans="1:20" ht="16.5" thickTop="1" thickBot="1" x14ac:dyDescent="0.3">
      <c r="A430" s="3301" t="s">
        <v>522</v>
      </c>
      <c r="B430" s="3302"/>
      <c r="C430" s="3302"/>
      <c r="D430" s="3302"/>
      <c r="E430" s="3302"/>
      <c r="F430" s="2075">
        <f>F426</f>
        <v>7260</v>
      </c>
      <c r="G430" s="2075">
        <f>G426</f>
        <v>7289</v>
      </c>
      <c r="H430" s="2075">
        <f>H426</f>
        <v>7289</v>
      </c>
      <c r="I430" s="2074">
        <f>(H430/G430)*100</f>
        <v>100</v>
      </c>
      <c r="R430" s="2691">
        <f>F430</f>
        <v>7260</v>
      </c>
      <c r="S430" s="2691">
        <f>G430</f>
        <v>7289</v>
      </c>
      <c r="T430" s="2691">
        <f>H430</f>
        <v>7289</v>
      </c>
    </row>
    <row r="431" spans="1:20" ht="15" customHeight="1" thickTop="1" x14ac:dyDescent="0.2"/>
    <row r="432" spans="1:20" ht="13.5" thickBot="1" x14ac:dyDescent="0.25">
      <c r="A432" s="1719" t="s">
        <v>1601</v>
      </c>
      <c r="I432" s="2071" t="s">
        <v>92</v>
      </c>
    </row>
    <row r="433" spans="1:23" s="1043" customFormat="1" ht="20.25" customHeight="1" thickTop="1" thickBot="1" x14ac:dyDescent="0.25">
      <c r="A433" s="1047" t="s">
        <v>324</v>
      </c>
      <c r="B433" s="1044" t="s">
        <v>93</v>
      </c>
      <c r="C433" s="1046" t="s">
        <v>94</v>
      </c>
      <c r="D433" s="1069" t="s">
        <v>364</v>
      </c>
      <c r="E433" s="1069" t="s">
        <v>95</v>
      </c>
      <c r="F433" s="1069" t="s">
        <v>328</v>
      </c>
      <c r="G433" s="1069" t="s">
        <v>329</v>
      </c>
      <c r="H433" s="1749" t="s">
        <v>448</v>
      </c>
      <c r="I433" s="1784" t="s">
        <v>449</v>
      </c>
      <c r="R433" s="2689"/>
      <c r="S433" s="2689"/>
      <c r="T433" s="2689"/>
    </row>
    <row r="434" spans="1:23" s="1037" customFormat="1" ht="13.5" thickTop="1" thickBot="1" x14ac:dyDescent="0.25">
      <c r="A434" s="1042">
        <v>1</v>
      </c>
      <c r="B434" s="1041">
        <v>2</v>
      </c>
      <c r="C434" s="1041">
        <v>3</v>
      </c>
      <c r="D434" s="1041">
        <v>4</v>
      </c>
      <c r="E434" s="1041">
        <v>5</v>
      </c>
      <c r="F434" s="1040">
        <v>6</v>
      </c>
      <c r="G434" s="1040">
        <v>7</v>
      </c>
      <c r="H434" s="1164">
        <v>8</v>
      </c>
      <c r="I434" s="1039" t="s">
        <v>393</v>
      </c>
      <c r="R434" s="2690"/>
      <c r="S434" s="2690"/>
      <c r="T434" s="2690"/>
    </row>
    <row r="435" spans="1:23" ht="15.75" thickTop="1" x14ac:dyDescent="0.25">
      <c r="A435" s="2138">
        <v>1123</v>
      </c>
      <c r="B435" s="2137">
        <v>3127</v>
      </c>
      <c r="C435" s="2137">
        <v>5331</v>
      </c>
      <c r="D435" s="2136"/>
      <c r="E435" s="2135" t="s">
        <v>481</v>
      </c>
      <c r="F435" s="2134">
        <f>F436+F437+F438</f>
        <v>7343</v>
      </c>
      <c r="G435" s="2134">
        <f>G436+G437+G438</f>
        <v>7612</v>
      </c>
      <c r="H435" s="2134">
        <f>H436+H437+H438</f>
        <v>7612</v>
      </c>
      <c r="I435" s="2133">
        <f t="shared" ref="I435:I442" si="63">(H435/G435)*100</f>
        <v>100</v>
      </c>
      <c r="R435" s="2691">
        <f>F439</f>
        <v>7343</v>
      </c>
      <c r="S435" s="2691">
        <f>G439</f>
        <v>7612</v>
      </c>
      <c r="T435" s="2691">
        <f>H439</f>
        <v>7612</v>
      </c>
    </row>
    <row r="436" spans="1:23" ht="14.25" x14ac:dyDescent="0.2">
      <c r="A436" s="2080"/>
      <c r="B436" s="2079"/>
      <c r="C436" s="2079"/>
      <c r="D436" s="2630" t="s">
        <v>1394</v>
      </c>
      <c r="E436" s="923" t="s">
        <v>1537</v>
      </c>
      <c r="F436" s="2077">
        <v>6266</v>
      </c>
      <c r="G436" s="2077">
        <v>6264</v>
      </c>
      <c r="H436" s="2077">
        <v>6264</v>
      </c>
      <c r="I436" s="2076">
        <f t="shared" si="63"/>
        <v>100</v>
      </c>
      <c r="R436" s="2691">
        <f>F442</f>
        <v>0</v>
      </c>
      <c r="S436" s="2691">
        <f>G442</f>
        <v>0</v>
      </c>
      <c r="T436" s="2691">
        <f>H442</f>
        <v>0</v>
      </c>
    </row>
    <row r="437" spans="1:23" ht="14.25" x14ac:dyDescent="0.2">
      <c r="A437" s="2080"/>
      <c r="B437" s="2079"/>
      <c r="C437" s="2079"/>
      <c r="D437" s="2630" t="s">
        <v>994</v>
      </c>
      <c r="E437" s="923" t="s">
        <v>1541</v>
      </c>
      <c r="F437" s="2077">
        <v>0</v>
      </c>
      <c r="G437" s="2077">
        <v>3</v>
      </c>
      <c r="H437" s="2077">
        <v>3</v>
      </c>
      <c r="I437" s="2076">
        <f t="shared" si="63"/>
        <v>100</v>
      </c>
      <c r="R437" s="2691">
        <f>R435+R436</f>
        <v>7343</v>
      </c>
      <c r="S437" s="2691">
        <f t="shared" ref="S437:T437" si="64">S435+S436</f>
        <v>7612</v>
      </c>
      <c r="T437" s="2691">
        <f t="shared" si="64"/>
        <v>7612</v>
      </c>
    </row>
    <row r="438" spans="1:23" ht="15" thickBot="1" x14ac:dyDescent="0.25">
      <c r="A438" s="2080"/>
      <c r="B438" s="2093"/>
      <c r="C438" s="2093"/>
      <c r="D438" s="811" t="s">
        <v>993</v>
      </c>
      <c r="E438" s="2627" t="s">
        <v>1538</v>
      </c>
      <c r="F438" s="2077">
        <v>1077</v>
      </c>
      <c r="G438" s="2077">
        <v>1345</v>
      </c>
      <c r="H438" s="2077">
        <v>1345</v>
      </c>
      <c r="I438" s="2076">
        <f t="shared" si="63"/>
        <v>100</v>
      </c>
    </row>
    <row r="439" spans="1:23" ht="16.5" thickTop="1" thickBot="1" x14ac:dyDescent="0.3">
      <c r="A439" s="3301" t="s">
        <v>522</v>
      </c>
      <c r="B439" s="3302"/>
      <c r="C439" s="3302"/>
      <c r="D439" s="3302"/>
      <c r="E439" s="3302"/>
      <c r="F439" s="2075">
        <f>F435</f>
        <v>7343</v>
      </c>
      <c r="G439" s="2075">
        <f>G435</f>
        <v>7612</v>
      </c>
      <c r="H439" s="2075">
        <f>H435</f>
        <v>7612</v>
      </c>
      <c r="I439" s="2074">
        <f t="shared" si="63"/>
        <v>100</v>
      </c>
      <c r="R439" s="997"/>
      <c r="S439" s="997"/>
      <c r="T439" s="997"/>
    </row>
    <row r="440" spans="1:23" ht="15.75" hidden="1" thickTop="1" x14ac:dyDescent="0.25">
      <c r="A440" s="2108">
        <v>1123</v>
      </c>
      <c r="B440" s="2079">
        <v>3127</v>
      </c>
      <c r="C440" s="2093">
        <v>6351</v>
      </c>
      <c r="D440" s="2107"/>
      <c r="E440" s="1739" t="s">
        <v>551</v>
      </c>
      <c r="F440" s="2106">
        <f>F441</f>
        <v>0</v>
      </c>
      <c r="G440" s="2106">
        <f t="shared" ref="G440:H440" si="65">G441</f>
        <v>0</v>
      </c>
      <c r="H440" s="2106">
        <f t="shared" si="65"/>
        <v>0</v>
      </c>
      <c r="I440" s="2105" t="e">
        <f t="shared" si="63"/>
        <v>#DIV/0!</v>
      </c>
      <c r="R440" s="997"/>
      <c r="S440" s="997"/>
      <c r="T440" s="997"/>
    </row>
    <row r="441" spans="1:23" ht="29.25" hidden="1" thickBot="1" x14ac:dyDescent="0.25">
      <c r="A441" s="2104"/>
      <c r="B441" s="2103"/>
      <c r="C441" s="1017"/>
      <c r="D441" s="2634" t="s">
        <v>972</v>
      </c>
      <c r="E441" s="2632" t="s">
        <v>1540</v>
      </c>
      <c r="F441" s="2638"/>
      <c r="G441" s="2638"/>
      <c r="H441" s="2638"/>
      <c r="I441" s="2635" t="e">
        <f t="shared" si="63"/>
        <v>#DIV/0!</v>
      </c>
      <c r="R441" s="997"/>
      <c r="S441" s="997"/>
      <c r="T441" s="997"/>
    </row>
    <row r="442" spans="1:23" ht="16.5" hidden="1" thickTop="1" thickBot="1" x14ac:dyDescent="0.3">
      <c r="A442" s="3305" t="s">
        <v>523</v>
      </c>
      <c r="B442" s="3306"/>
      <c r="C442" s="3306"/>
      <c r="D442" s="3306"/>
      <c r="E442" s="3307"/>
      <c r="F442" s="2075">
        <f>F440</f>
        <v>0</v>
      </c>
      <c r="G442" s="2075">
        <f>G440</f>
        <v>0</v>
      </c>
      <c r="H442" s="2075">
        <f>SUM(H440)</f>
        <v>0</v>
      </c>
      <c r="I442" s="2074" t="e">
        <f t="shared" si="63"/>
        <v>#DIV/0!</v>
      </c>
      <c r="U442" s="1002"/>
      <c r="V442" s="1002"/>
      <c r="W442" s="1002"/>
    </row>
    <row r="443" spans="1:23" ht="13.5" thickTop="1" x14ac:dyDescent="0.2">
      <c r="R443" s="2691"/>
    </row>
    <row r="445" spans="1:23" ht="13.5" thickBot="1" x14ac:dyDescent="0.25">
      <c r="A445" s="1719" t="s">
        <v>705</v>
      </c>
      <c r="I445" s="2071" t="s">
        <v>92</v>
      </c>
    </row>
    <row r="446" spans="1:23" s="1043" customFormat="1" thickTop="1" thickBot="1" x14ac:dyDescent="0.25">
      <c r="A446" s="1047" t="s">
        <v>324</v>
      </c>
      <c r="B446" s="1044" t="s">
        <v>93</v>
      </c>
      <c r="C446" s="1046" t="s">
        <v>94</v>
      </c>
      <c r="D446" s="1069" t="s">
        <v>364</v>
      </c>
      <c r="E446" s="1069" t="s">
        <v>95</v>
      </c>
      <c r="F446" s="1069" t="s">
        <v>328</v>
      </c>
      <c r="G446" s="1069" t="s">
        <v>329</v>
      </c>
      <c r="H446" s="1749" t="s">
        <v>448</v>
      </c>
      <c r="I446" s="1784" t="s">
        <v>449</v>
      </c>
      <c r="R446" s="2689"/>
      <c r="S446" s="2689"/>
      <c r="T446" s="2689"/>
    </row>
    <row r="447" spans="1:23" s="1037" customFormat="1" ht="13.5" thickTop="1" thickBot="1" x14ac:dyDescent="0.25">
      <c r="A447" s="1042">
        <v>1</v>
      </c>
      <c r="B447" s="1041">
        <v>2</v>
      </c>
      <c r="C447" s="1041">
        <v>3</v>
      </c>
      <c r="D447" s="1041">
        <v>4</v>
      </c>
      <c r="E447" s="1041">
        <v>5</v>
      </c>
      <c r="F447" s="1040">
        <v>6</v>
      </c>
      <c r="G447" s="1040">
        <v>7</v>
      </c>
      <c r="H447" s="1164">
        <v>8</v>
      </c>
      <c r="I447" s="1039" t="s">
        <v>393</v>
      </c>
      <c r="R447" s="2690"/>
      <c r="S447" s="2690"/>
      <c r="T447" s="2690"/>
    </row>
    <row r="448" spans="1:23" ht="15.75" thickTop="1" x14ac:dyDescent="0.25">
      <c r="A448" s="2138">
        <v>1125</v>
      </c>
      <c r="B448" s="2137">
        <v>3122</v>
      </c>
      <c r="C448" s="2137">
        <v>5331</v>
      </c>
      <c r="D448" s="2136"/>
      <c r="E448" s="2135" t="s">
        <v>481</v>
      </c>
      <c r="F448" s="2134">
        <f>F449+F450</f>
        <v>3524</v>
      </c>
      <c r="G448" s="2134">
        <f>G449+G450</f>
        <v>3484</v>
      </c>
      <c r="H448" s="2134">
        <f>H449+H450</f>
        <v>3484</v>
      </c>
      <c r="I448" s="2133">
        <f>(H448/G448)*100</f>
        <v>100</v>
      </c>
    </row>
    <row r="449" spans="1:20" ht="14.25" x14ac:dyDescent="0.2">
      <c r="A449" s="2080"/>
      <c r="B449" s="2079"/>
      <c r="C449" s="2079"/>
      <c r="D449" s="2630" t="s">
        <v>1394</v>
      </c>
      <c r="E449" s="923" t="s">
        <v>1537</v>
      </c>
      <c r="F449" s="2077">
        <v>2932</v>
      </c>
      <c r="G449" s="2077">
        <v>2932</v>
      </c>
      <c r="H449" s="2077">
        <v>2932</v>
      </c>
      <c r="I449" s="2076">
        <f>(H449/G449)*100</f>
        <v>100</v>
      </c>
    </row>
    <row r="450" spans="1:20" ht="14.25" customHeight="1" thickBot="1" x14ac:dyDescent="0.25">
      <c r="A450" s="2080"/>
      <c r="B450" s="2079"/>
      <c r="C450" s="2079"/>
      <c r="D450" s="811" t="s">
        <v>993</v>
      </c>
      <c r="E450" s="2627" t="s">
        <v>1538</v>
      </c>
      <c r="F450" s="2077">
        <v>592</v>
      </c>
      <c r="G450" s="2077">
        <v>552</v>
      </c>
      <c r="H450" s="2077">
        <v>552</v>
      </c>
      <c r="I450" s="2076">
        <f>(H450/G450)*100</f>
        <v>100</v>
      </c>
    </row>
    <row r="451" spans="1:20" ht="16.5" thickTop="1" thickBot="1" x14ac:dyDescent="0.3">
      <c r="A451" s="3301" t="s">
        <v>522</v>
      </c>
      <c r="B451" s="3302"/>
      <c r="C451" s="3302"/>
      <c r="D451" s="3302"/>
      <c r="E451" s="3302"/>
      <c r="F451" s="2075">
        <f>F448</f>
        <v>3524</v>
      </c>
      <c r="G451" s="2075">
        <f>G448</f>
        <v>3484</v>
      </c>
      <c r="H451" s="2075">
        <f>H448</f>
        <v>3484</v>
      </c>
      <c r="I451" s="2074">
        <f>(H451/G451)*100</f>
        <v>100</v>
      </c>
      <c r="R451" s="2691">
        <f>F451</f>
        <v>3524</v>
      </c>
      <c r="S451" s="2691">
        <f>G451</f>
        <v>3484</v>
      </c>
      <c r="T451" s="2691">
        <f>H451</f>
        <v>3484</v>
      </c>
    </row>
    <row r="452" spans="1:20" ht="13.5" thickTop="1" x14ac:dyDescent="0.2"/>
    <row r="454" spans="1:20" ht="13.5" thickBot="1" x14ac:dyDescent="0.25">
      <c r="A454" s="1719" t="s">
        <v>568</v>
      </c>
      <c r="I454" s="2071" t="s">
        <v>92</v>
      </c>
    </row>
    <row r="455" spans="1:20" s="1043" customFormat="1" thickTop="1" thickBot="1" x14ac:dyDescent="0.25">
      <c r="A455" s="1047" t="s">
        <v>324</v>
      </c>
      <c r="B455" s="1044" t="s">
        <v>93</v>
      </c>
      <c r="C455" s="1046" t="s">
        <v>94</v>
      </c>
      <c r="D455" s="1069" t="s">
        <v>364</v>
      </c>
      <c r="E455" s="1069" t="s">
        <v>95</v>
      </c>
      <c r="F455" s="1069" t="s">
        <v>328</v>
      </c>
      <c r="G455" s="1069" t="s">
        <v>329</v>
      </c>
      <c r="H455" s="1749" t="s">
        <v>448</v>
      </c>
      <c r="I455" s="1784" t="s">
        <v>449</v>
      </c>
      <c r="R455" s="2689"/>
      <c r="S455" s="2689"/>
      <c r="T455" s="2689"/>
    </row>
    <row r="456" spans="1:20" s="1037" customFormat="1" ht="13.5" thickTop="1" thickBot="1" x14ac:dyDescent="0.25">
      <c r="A456" s="1042">
        <v>1</v>
      </c>
      <c r="B456" s="1041">
        <v>2</v>
      </c>
      <c r="C456" s="1041">
        <v>3</v>
      </c>
      <c r="D456" s="1041">
        <v>4</v>
      </c>
      <c r="E456" s="1041">
        <v>5</v>
      </c>
      <c r="F456" s="1040">
        <v>6</v>
      </c>
      <c r="G456" s="1040">
        <v>7</v>
      </c>
      <c r="H456" s="1164">
        <v>8</v>
      </c>
      <c r="I456" s="1039" t="s">
        <v>393</v>
      </c>
      <c r="R456" s="2690"/>
      <c r="S456" s="2690"/>
      <c r="T456" s="2690"/>
    </row>
    <row r="457" spans="1:20" ht="15.75" thickTop="1" x14ac:dyDescent="0.25">
      <c r="A457" s="2138">
        <v>1126</v>
      </c>
      <c r="B457" s="2137">
        <v>3127</v>
      </c>
      <c r="C457" s="2137">
        <v>5331</v>
      </c>
      <c r="D457" s="2136"/>
      <c r="E457" s="2135" t="s">
        <v>481</v>
      </c>
      <c r="F457" s="2134">
        <f>F459+F460+F458</f>
        <v>4621</v>
      </c>
      <c r="G457" s="2134">
        <f t="shared" ref="G457:H457" si="66">G459+G460+G458</f>
        <v>4770</v>
      </c>
      <c r="H457" s="2134">
        <f t="shared" si="66"/>
        <v>4770</v>
      </c>
      <c r="I457" s="2133">
        <f>(H457/G457)*100</f>
        <v>100</v>
      </c>
    </row>
    <row r="458" spans="1:20" ht="28.5" x14ac:dyDescent="0.2">
      <c r="A458" s="2080"/>
      <c r="B458" s="2079"/>
      <c r="C458" s="2079"/>
      <c r="D458" s="3041" t="s">
        <v>972</v>
      </c>
      <c r="E458" s="2951" t="s">
        <v>1540</v>
      </c>
      <c r="F458" s="3038">
        <v>0</v>
      </c>
      <c r="G458" s="3038">
        <v>149</v>
      </c>
      <c r="H458" s="3038">
        <v>149</v>
      </c>
      <c r="I458" s="2147">
        <f>(H458/G458)*100</f>
        <v>100</v>
      </c>
    </row>
    <row r="459" spans="1:20" ht="14.25" x14ac:dyDescent="0.2">
      <c r="A459" s="2080"/>
      <c r="B459" s="2079"/>
      <c r="C459" s="2079"/>
      <c r="D459" s="2630" t="s">
        <v>1394</v>
      </c>
      <c r="E459" s="923" t="s">
        <v>1537</v>
      </c>
      <c r="F459" s="2077">
        <v>4311</v>
      </c>
      <c r="G459" s="2077">
        <v>4311</v>
      </c>
      <c r="H459" s="2077">
        <v>4311</v>
      </c>
      <c r="I459" s="2076">
        <f>(H459/G459)*100</f>
        <v>100</v>
      </c>
    </row>
    <row r="460" spans="1:20" ht="15" thickBot="1" x14ac:dyDescent="0.25">
      <c r="A460" s="2080"/>
      <c r="B460" s="2079"/>
      <c r="C460" s="2079"/>
      <c r="D460" s="811" t="s">
        <v>993</v>
      </c>
      <c r="E460" s="2627" t="s">
        <v>1538</v>
      </c>
      <c r="F460" s="2077">
        <v>310</v>
      </c>
      <c r="G460" s="2077">
        <v>310</v>
      </c>
      <c r="H460" s="2077">
        <v>310</v>
      </c>
      <c r="I460" s="2076">
        <f>(H460/G460)*100</f>
        <v>100</v>
      </c>
    </row>
    <row r="461" spans="1:20" ht="16.5" thickTop="1" thickBot="1" x14ac:dyDescent="0.3">
      <c r="A461" s="3301" t="s">
        <v>522</v>
      </c>
      <c r="B461" s="3302"/>
      <c r="C461" s="3302"/>
      <c r="D461" s="3302"/>
      <c r="E461" s="3302"/>
      <c r="F461" s="2075">
        <f>F457</f>
        <v>4621</v>
      </c>
      <c r="G461" s="2075">
        <f>G457</f>
        <v>4770</v>
      </c>
      <c r="H461" s="2075">
        <f>H457</f>
        <v>4770</v>
      </c>
      <c r="I461" s="2074">
        <f>(H461/G461)*100</f>
        <v>100</v>
      </c>
      <c r="R461" s="2691">
        <f>F461</f>
        <v>4621</v>
      </c>
      <c r="S461" s="2691">
        <f>G461</f>
        <v>4770</v>
      </c>
      <c r="T461" s="2691">
        <f>H461</f>
        <v>4770</v>
      </c>
    </row>
    <row r="462" spans="1:20" ht="13.5" thickTop="1" x14ac:dyDescent="0.2"/>
    <row r="463" spans="1:20" ht="13.5" thickBot="1" x14ac:dyDescent="0.25">
      <c r="A463" s="1719" t="s">
        <v>1001</v>
      </c>
      <c r="I463" s="2071" t="s">
        <v>92</v>
      </c>
    </row>
    <row r="464" spans="1:20" s="1043" customFormat="1" thickTop="1" thickBot="1" x14ac:dyDescent="0.25">
      <c r="A464" s="1047" t="s">
        <v>324</v>
      </c>
      <c r="B464" s="1044" t="s">
        <v>93</v>
      </c>
      <c r="C464" s="1046" t="s">
        <v>94</v>
      </c>
      <c r="D464" s="1069" t="s">
        <v>364</v>
      </c>
      <c r="E464" s="1069" t="s">
        <v>95</v>
      </c>
      <c r="F464" s="1069" t="s">
        <v>328</v>
      </c>
      <c r="G464" s="1069" t="s">
        <v>329</v>
      </c>
      <c r="H464" s="1749" t="s">
        <v>448</v>
      </c>
      <c r="I464" s="1784" t="s">
        <v>449</v>
      </c>
      <c r="R464" s="2689"/>
      <c r="S464" s="2689"/>
      <c r="T464" s="2689"/>
    </row>
    <row r="465" spans="1:20" s="1037" customFormat="1" ht="13.5" thickTop="1" thickBot="1" x14ac:dyDescent="0.25">
      <c r="A465" s="1042">
        <v>1</v>
      </c>
      <c r="B465" s="1041">
        <v>2</v>
      </c>
      <c r="C465" s="1041">
        <v>3</v>
      </c>
      <c r="D465" s="1041">
        <v>4</v>
      </c>
      <c r="E465" s="1041">
        <v>5</v>
      </c>
      <c r="F465" s="1040">
        <v>6</v>
      </c>
      <c r="G465" s="1040">
        <v>7</v>
      </c>
      <c r="H465" s="1164">
        <v>8</v>
      </c>
      <c r="I465" s="1039" t="s">
        <v>393</v>
      </c>
      <c r="R465" s="2690"/>
      <c r="S465" s="2690"/>
      <c r="T465" s="2690"/>
    </row>
    <row r="466" spans="1:20" ht="15.75" thickTop="1" x14ac:dyDescent="0.25">
      <c r="A466" s="2138">
        <v>1127</v>
      </c>
      <c r="B466" s="2137">
        <v>3127</v>
      </c>
      <c r="C466" s="2137">
        <v>5331</v>
      </c>
      <c r="D466" s="2136"/>
      <c r="E466" s="2135" t="s">
        <v>481</v>
      </c>
      <c r="F466" s="2134">
        <f>F467+F468+F469+F470</f>
        <v>7854</v>
      </c>
      <c r="G466" s="2134">
        <f>G467+G468+G469+G470</f>
        <v>7722</v>
      </c>
      <c r="H466" s="2134">
        <f>H467+H468+H469+H470</f>
        <v>7722</v>
      </c>
      <c r="I466" s="2133">
        <f>(H466/G466)*100</f>
        <v>100</v>
      </c>
    </row>
    <row r="467" spans="1:20" ht="14.25" x14ac:dyDescent="0.2">
      <c r="A467" s="2080"/>
      <c r="B467" s="2079"/>
      <c r="C467" s="2079"/>
      <c r="D467" s="2630" t="s">
        <v>1394</v>
      </c>
      <c r="E467" s="923" t="s">
        <v>1537</v>
      </c>
      <c r="F467" s="2077">
        <v>6018</v>
      </c>
      <c r="G467" s="2077">
        <v>6018</v>
      </c>
      <c r="H467" s="2077">
        <v>6018</v>
      </c>
      <c r="I467" s="2076">
        <f>(H467/G467)*100</f>
        <v>100</v>
      </c>
    </row>
    <row r="468" spans="1:20" ht="14.25" hidden="1" x14ac:dyDescent="0.2">
      <c r="A468" s="2080"/>
      <c r="B468" s="2079"/>
      <c r="C468" s="2079"/>
      <c r="D468" s="1888" t="s">
        <v>972</v>
      </c>
      <c r="E468" s="2100" t="s">
        <v>368</v>
      </c>
      <c r="F468" s="2077"/>
      <c r="G468" s="2077"/>
      <c r="H468" s="2077"/>
      <c r="I468" s="2076" t="e">
        <f>(H468/G468)*100</f>
        <v>#DIV/0!</v>
      </c>
    </row>
    <row r="469" spans="1:20" ht="14.25" x14ac:dyDescent="0.2">
      <c r="A469" s="2080"/>
      <c r="B469" s="2079"/>
      <c r="C469" s="2079"/>
      <c r="D469" s="811" t="s">
        <v>994</v>
      </c>
      <c r="E469" s="2627" t="s">
        <v>1541</v>
      </c>
      <c r="F469" s="2077">
        <v>54</v>
      </c>
      <c r="G469" s="2077">
        <v>54</v>
      </c>
      <c r="H469" s="2077">
        <v>54</v>
      </c>
      <c r="I469" s="2076">
        <v>100</v>
      </c>
    </row>
    <row r="470" spans="1:20" ht="15" thickBot="1" x14ac:dyDescent="0.25">
      <c r="A470" s="2080"/>
      <c r="B470" s="2093"/>
      <c r="C470" s="2093"/>
      <c r="D470" s="811" t="s">
        <v>993</v>
      </c>
      <c r="E470" s="2627" t="s">
        <v>1538</v>
      </c>
      <c r="F470" s="2091">
        <v>1782</v>
      </c>
      <c r="G470" s="2091">
        <v>1650</v>
      </c>
      <c r="H470" s="2091">
        <v>1650</v>
      </c>
      <c r="I470" s="2076">
        <f>(H470/G470)*100</f>
        <v>100</v>
      </c>
    </row>
    <row r="471" spans="1:20" ht="16.5" thickTop="1" thickBot="1" x14ac:dyDescent="0.3">
      <c r="A471" s="3301" t="s">
        <v>522</v>
      </c>
      <c r="B471" s="3302"/>
      <c r="C471" s="3302"/>
      <c r="D471" s="3302"/>
      <c r="E471" s="3302"/>
      <c r="F471" s="2075">
        <f>F466</f>
        <v>7854</v>
      </c>
      <c r="G471" s="2075">
        <f>G466</f>
        <v>7722</v>
      </c>
      <c r="H471" s="2075">
        <f>H466</f>
        <v>7722</v>
      </c>
      <c r="I471" s="2074">
        <f>(H471/G471)*100</f>
        <v>100</v>
      </c>
      <c r="R471" s="2691">
        <f>F471</f>
        <v>7854</v>
      </c>
      <c r="S471" s="2691">
        <f>G471</f>
        <v>7722</v>
      </c>
      <c r="T471" s="2691">
        <f>H471</f>
        <v>7722</v>
      </c>
    </row>
    <row r="472" spans="1:20" ht="15.75" thickTop="1" x14ac:dyDescent="0.25">
      <c r="A472" s="1137"/>
      <c r="B472" s="1137"/>
      <c r="C472" s="1137"/>
      <c r="D472" s="1137"/>
      <c r="E472" s="1137"/>
      <c r="F472" s="2130"/>
      <c r="G472" s="2130"/>
      <c r="H472" s="2130"/>
      <c r="I472" s="2129"/>
      <c r="R472" s="2691"/>
      <c r="S472" s="2691"/>
      <c r="T472" s="2691"/>
    </row>
    <row r="473" spans="1:20" ht="13.5" thickBot="1" x14ac:dyDescent="0.25">
      <c r="A473" s="1719" t="s">
        <v>571</v>
      </c>
      <c r="I473" s="2071" t="s">
        <v>92</v>
      </c>
    </row>
    <row r="474" spans="1:20" s="1043" customFormat="1" thickTop="1" thickBot="1" x14ac:dyDescent="0.25">
      <c r="A474" s="1047" t="s">
        <v>324</v>
      </c>
      <c r="B474" s="1044" t="s">
        <v>93</v>
      </c>
      <c r="C474" s="1046" t="s">
        <v>94</v>
      </c>
      <c r="D474" s="1069" t="s">
        <v>364</v>
      </c>
      <c r="E474" s="1069" t="s">
        <v>95</v>
      </c>
      <c r="F474" s="1069" t="s">
        <v>328</v>
      </c>
      <c r="G474" s="1069" t="s">
        <v>329</v>
      </c>
      <c r="H474" s="1749" t="s">
        <v>448</v>
      </c>
      <c r="I474" s="1784" t="s">
        <v>449</v>
      </c>
      <c r="R474" s="2689"/>
      <c r="S474" s="2689"/>
      <c r="T474" s="2689"/>
    </row>
    <row r="475" spans="1:20" s="1037" customFormat="1" ht="13.5" thickTop="1" thickBot="1" x14ac:dyDescent="0.25">
      <c r="A475" s="1042">
        <v>1</v>
      </c>
      <c r="B475" s="1041">
        <v>2</v>
      </c>
      <c r="C475" s="1041">
        <v>3</v>
      </c>
      <c r="D475" s="1041">
        <v>4</v>
      </c>
      <c r="E475" s="1041">
        <v>5</v>
      </c>
      <c r="F475" s="1040">
        <v>6</v>
      </c>
      <c r="G475" s="1040">
        <v>7</v>
      </c>
      <c r="H475" s="1164">
        <v>8</v>
      </c>
      <c r="I475" s="1039" t="s">
        <v>393</v>
      </c>
      <c r="R475" s="2690"/>
      <c r="S475" s="2690"/>
      <c r="T475" s="2690"/>
    </row>
    <row r="476" spans="1:20" ht="20.25" customHeight="1" thickTop="1" x14ac:dyDescent="0.25">
      <c r="A476" s="2138">
        <v>1128</v>
      </c>
      <c r="B476" s="2137">
        <v>3127</v>
      </c>
      <c r="C476" s="2137">
        <v>5331</v>
      </c>
      <c r="D476" s="2136"/>
      <c r="E476" s="2135" t="s">
        <v>481</v>
      </c>
      <c r="F476" s="2134">
        <f>F477+F478+F479</f>
        <v>5313</v>
      </c>
      <c r="G476" s="2134">
        <f>G477+G478+G479</f>
        <v>5402</v>
      </c>
      <c r="H476" s="2134">
        <f>H477+H478+H479</f>
        <v>5402</v>
      </c>
      <c r="I476" s="2133">
        <f>(H476/G476)*100</f>
        <v>100</v>
      </c>
    </row>
    <row r="477" spans="1:20" ht="14.25" x14ac:dyDescent="0.2">
      <c r="A477" s="2080"/>
      <c r="B477" s="2079"/>
      <c r="C477" s="2079"/>
      <c r="D477" s="2630" t="s">
        <v>1394</v>
      </c>
      <c r="E477" s="923" t="s">
        <v>1537</v>
      </c>
      <c r="F477" s="2077">
        <v>3880</v>
      </c>
      <c r="G477" s="2077">
        <v>3880</v>
      </c>
      <c r="H477" s="2077">
        <v>3880</v>
      </c>
      <c r="I477" s="2076">
        <f>(H477/G477)*100</f>
        <v>100</v>
      </c>
    </row>
    <row r="478" spans="1:20" ht="14.25" hidden="1" x14ac:dyDescent="0.2">
      <c r="A478" s="2080"/>
      <c r="B478" s="2079"/>
      <c r="C478" s="2079"/>
      <c r="D478" s="1888" t="s">
        <v>972</v>
      </c>
      <c r="E478" s="2100" t="s">
        <v>368</v>
      </c>
      <c r="F478" s="2077"/>
      <c r="G478" s="2077"/>
      <c r="H478" s="2077"/>
      <c r="I478" s="2076" t="e">
        <f>(H478/G478)*100</f>
        <v>#DIV/0!</v>
      </c>
    </row>
    <row r="479" spans="1:20" ht="15" thickBot="1" x14ac:dyDescent="0.25">
      <c r="A479" s="2080"/>
      <c r="B479" s="2079"/>
      <c r="C479" s="2079"/>
      <c r="D479" s="811" t="s">
        <v>993</v>
      </c>
      <c r="E479" s="2627" t="s">
        <v>1538</v>
      </c>
      <c r="F479" s="2077">
        <v>1433</v>
      </c>
      <c r="G479" s="2077">
        <v>1522</v>
      </c>
      <c r="H479" s="2077">
        <v>1522</v>
      </c>
      <c r="I479" s="2076">
        <f>(H479/G479)*100</f>
        <v>100</v>
      </c>
    </row>
    <row r="480" spans="1:20" ht="16.5" thickTop="1" thickBot="1" x14ac:dyDescent="0.3">
      <c r="A480" s="3301" t="s">
        <v>522</v>
      </c>
      <c r="B480" s="3302"/>
      <c r="C480" s="3302"/>
      <c r="D480" s="3302"/>
      <c r="E480" s="3302"/>
      <c r="F480" s="2075">
        <f>F476</f>
        <v>5313</v>
      </c>
      <c r="G480" s="2075">
        <f>G476</f>
        <v>5402</v>
      </c>
      <c r="H480" s="2075">
        <f>H476</f>
        <v>5402</v>
      </c>
      <c r="I480" s="2074">
        <f>(H480/G480)*100</f>
        <v>100</v>
      </c>
      <c r="R480" s="2691">
        <f>F480</f>
        <v>5313</v>
      </c>
      <c r="S480" s="2691">
        <f>G480</f>
        <v>5402</v>
      </c>
      <c r="T480" s="2691">
        <f>H480</f>
        <v>5402</v>
      </c>
    </row>
    <row r="481" spans="1:20" ht="15.75" thickTop="1" x14ac:dyDescent="0.25">
      <c r="A481" s="2108">
        <v>1128</v>
      </c>
      <c r="B481" s="2079">
        <v>3127</v>
      </c>
      <c r="C481" s="2093">
        <v>6351</v>
      </c>
      <c r="D481" s="2107"/>
      <c r="E481" s="1739" t="s">
        <v>551</v>
      </c>
      <c r="F481" s="2106">
        <f>F482</f>
        <v>0</v>
      </c>
      <c r="G481" s="2106">
        <f t="shared" ref="G481:H481" si="67">G482</f>
        <v>497</v>
      </c>
      <c r="H481" s="2106">
        <f t="shared" si="67"/>
        <v>497</v>
      </c>
      <c r="I481" s="2105">
        <f t="shared" ref="I481:I483" si="68">(H481/G481)*100</f>
        <v>100</v>
      </c>
      <c r="R481" s="2691"/>
      <c r="S481" s="2691"/>
      <c r="T481" s="2691"/>
    </row>
    <row r="482" spans="1:20" ht="29.25" thickBot="1" x14ac:dyDescent="0.25">
      <c r="A482" s="2104"/>
      <c r="B482" s="2103"/>
      <c r="C482" s="1017"/>
      <c r="D482" s="3034" t="s">
        <v>972</v>
      </c>
      <c r="E482" s="2952" t="s">
        <v>1540</v>
      </c>
      <c r="F482" s="2148">
        <v>0</v>
      </c>
      <c r="G482" s="2148">
        <v>497</v>
      </c>
      <c r="H482" s="2148">
        <v>497</v>
      </c>
      <c r="I482" s="2147">
        <f t="shared" si="68"/>
        <v>100</v>
      </c>
      <c r="R482" s="2691"/>
      <c r="S482" s="2691"/>
      <c r="T482" s="2691"/>
    </row>
    <row r="483" spans="1:20" ht="16.5" thickTop="1" thickBot="1" x14ac:dyDescent="0.3">
      <c r="A483" s="3305" t="s">
        <v>523</v>
      </c>
      <c r="B483" s="3306"/>
      <c r="C483" s="3306"/>
      <c r="D483" s="3306"/>
      <c r="E483" s="3307"/>
      <c r="F483" s="2075">
        <f>F481</f>
        <v>0</v>
      </c>
      <c r="G483" s="2075">
        <f>G481</f>
        <v>497</v>
      </c>
      <c r="H483" s="2075">
        <f>SUM(H481)</f>
        <v>497</v>
      </c>
      <c r="I483" s="2074">
        <f t="shared" si="68"/>
        <v>100</v>
      </c>
      <c r="R483" s="2691"/>
      <c r="S483" s="2691"/>
      <c r="T483" s="2691"/>
    </row>
    <row r="484" spans="1:20" ht="13.5" thickTop="1" x14ac:dyDescent="0.2"/>
    <row r="485" spans="1:20" ht="13.5" thickBot="1" x14ac:dyDescent="0.25">
      <c r="A485" s="1719" t="s">
        <v>224</v>
      </c>
      <c r="I485" s="2071" t="s">
        <v>92</v>
      </c>
    </row>
    <row r="486" spans="1:20" s="1043" customFormat="1" thickTop="1" thickBot="1" x14ac:dyDescent="0.25">
      <c r="A486" s="1047" t="s">
        <v>324</v>
      </c>
      <c r="B486" s="1044" t="s">
        <v>93</v>
      </c>
      <c r="C486" s="1046" t="s">
        <v>94</v>
      </c>
      <c r="D486" s="1069" t="s">
        <v>364</v>
      </c>
      <c r="E486" s="1069" t="s">
        <v>95</v>
      </c>
      <c r="F486" s="1069" t="s">
        <v>328</v>
      </c>
      <c r="G486" s="1069" t="s">
        <v>329</v>
      </c>
      <c r="H486" s="1749" t="s">
        <v>448</v>
      </c>
      <c r="I486" s="1784" t="s">
        <v>449</v>
      </c>
      <c r="R486" s="2689"/>
      <c r="S486" s="2689"/>
      <c r="T486" s="2689"/>
    </row>
    <row r="487" spans="1:20" s="1037" customFormat="1" ht="13.5" thickTop="1" thickBot="1" x14ac:dyDescent="0.25">
      <c r="A487" s="1042">
        <v>1</v>
      </c>
      <c r="B487" s="1041">
        <v>2</v>
      </c>
      <c r="C487" s="1041">
        <v>3</v>
      </c>
      <c r="D487" s="1041">
        <v>4</v>
      </c>
      <c r="E487" s="1041">
        <v>5</v>
      </c>
      <c r="F487" s="1040">
        <v>6</v>
      </c>
      <c r="G487" s="1040">
        <v>7</v>
      </c>
      <c r="H487" s="1164">
        <v>8</v>
      </c>
      <c r="I487" s="1039" t="s">
        <v>393</v>
      </c>
      <c r="R487" s="2690"/>
      <c r="S487" s="2690"/>
      <c r="T487" s="2690"/>
    </row>
    <row r="488" spans="1:20" ht="15.75" thickTop="1" x14ac:dyDescent="0.25">
      <c r="A488" s="2138">
        <v>1129</v>
      </c>
      <c r="B488" s="2137">
        <v>3122</v>
      </c>
      <c r="C488" s="2137">
        <v>5331</v>
      </c>
      <c r="D488" s="2136"/>
      <c r="E488" s="2135" t="s">
        <v>481</v>
      </c>
      <c r="F488" s="2134">
        <f>F490+F491+F489</f>
        <v>2461</v>
      </c>
      <c r="G488" s="2134">
        <f t="shared" ref="G488:H488" si="69">G490+G491+G489</f>
        <v>3093</v>
      </c>
      <c r="H488" s="2134">
        <f t="shared" si="69"/>
        <v>3093</v>
      </c>
      <c r="I488" s="2133">
        <f>(H488/G488)*100</f>
        <v>100</v>
      </c>
    </row>
    <row r="489" spans="1:20" ht="28.5" x14ac:dyDescent="0.2">
      <c r="A489" s="2080"/>
      <c r="B489" s="2079"/>
      <c r="C489" s="2079"/>
      <c r="D489" s="3041" t="s">
        <v>972</v>
      </c>
      <c r="E489" s="2951" t="s">
        <v>1540</v>
      </c>
      <c r="F489" s="3038">
        <v>0</v>
      </c>
      <c r="G489" s="3038">
        <v>599</v>
      </c>
      <c r="H489" s="3038">
        <v>599</v>
      </c>
      <c r="I489" s="2147">
        <f>(H489/G489)*100</f>
        <v>100</v>
      </c>
    </row>
    <row r="490" spans="1:20" ht="14.25" x14ac:dyDescent="0.2">
      <c r="A490" s="2080"/>
      <c r="B490" s="2079"/>
      <c r="C490" s="2079"/>
      <c r="D490" s="2630" t="s">
        <v>1394</v>
      </c>
      <c r="E490" s="923" t="s">
        <v>1537</v>
      </c>
      <c r="F490" s="2077">
        <v>2280</v>
      </c>
      <c r="G490" s="2077">
        <v>2280</v>
      </c>
      <c r="H490" s="2077">
        <v>2280</v>
      </c>
      <c r="I490" s="2076">
        <f>(H490/G490)*100</f>
        <v>100</v>
      </c>
    </row>
    <row r="491" spans="1:20" ht="15" thickBot="1" x14ac:dyDescent="0.25">
      <c r="A491" s="2080"/>
      <c r="B491" s="2079"/>
      <c r="C491" s="2079"/>
      <c r="D491" s="811" t="s">
        <v>993</v>
      </c>
      <c r="E491" s="2627" t="s">
        <v>1538</v>
      </c>
      <c r="F491" s="2077">
        <v>181</v>
      </c>
      <c r="G491" s="2077">
        <v>214</v>
      </c>
      <c r="H491" s="2077">
        <v>214</v>
      </c>
      <c r="I491" s="2076">
        <f>(H491/G491)*100</f>
        <v>100</v>
      </c>
      <c r="J491" s="997" t="s">
        <v>210</v>
      </c>
    </row>
    <row r="492" spans="1:20" ht="16.5" thickTop="1" thickBot="1" x14ac:dyDescent="0.3">
      <c r="A492" s="3301" t="s">
        <v>522</v>
      </c>
      <c r="B492" s="3302"/>
      <c r="C492" s="3302"/>
      <c r="D492" s="3302"/>
      <c r="E492" s="3302"/>
      <c r="F492" s="2075">
        <f>F488</f>
        <v>2461</v>
      </c>
      <c r="G492" s="2075">
        <f>G488</f>
        <v>3093</v>
      </c>
      <c r="H492" s="2075">
        <f>H488</f>
        <v>3093</v>
      </c>
      <c r="I492" s="2074">
        <f>(H492/G492)*100</f>
        <v>100</v>
      </c>
      <c r="R492" s="2691">
        <f>F492</f>
        <v>2461</v>
      </c>
      <c r="S492" s="2691">
        <f>G492</f>
        <v>3093</v>
      </c>
      <c r="T492" s="2691">
        <f>H492</f>
        <v>3093</v>
      </c>
    </row>
    <row r="493" spans="1:20" ht="13.5" thickTop="1" x14ac:dyDescent="0.2"/>
    <row r="494" spans="1:20" ht="13.5" thickBot="1" x14ac:dyDescent="0.25">
      <c r="A494" s="1719" t="s">
        <v>258</v>
      </c>
      <c r="I494" s="2071" t="s">
        <v>92</v>
      </c>
    </row>
    <row r="495" spans="1:20" s="1043" customFormat="1" thickTop="1" thickBot="1" x14ac:dyDescent="0.25">
      <c r="A495" s="1047" t="s">
        <v>324</v>
      </c>
      <c r="B495" s="1044" t="s">
        <v>93</v>
      </c>
      <c r="C495" s="1046" t="s">
        <v>94</v>
      </c>
      <c r="D495" s="1069" t="s">
        <v>364</v>
      </c>
      <c r="E495" s="1069" t="s">
        <v>95</v>
      </c>
      <c r="F495" s="1069" t="s">
        <v>328</v>
      </c>
      <c r="G495" s="1069" t="s">
        <v>329</v>
      </c>
      <c r="H495" s="1749" t="s">
        <v>448</v>
      </c>
      <c r="I495" s="1784" t="s">
        <v>449</v>
      </c>
      <c r="R495" s="2689"/>
      <c r="S495" s="2689"/>
      <c r="T495" s="2689"/>
    </row>
    <row r="496" spans="1:20" s="1037" customFormat="1" ht="13.5" thickTop="1" thickBot="1" x14ac:dyDescent="0.25">
      <c r="A496" s="1042">
        <v>1</v>
      </c>
      <c r="B496" s="1041">
        <v>2</v>
      </c>
      <c r="C496" s="1041">
        <v>3</v>
      </c>
      <c r="D496" s="1041">
        <v>4</v>
      </c>
      <c r="E496" s="1041">
        <v>5</v>
      </c>
      <c r="F496" s="1040">
        <v>6</v>
      </c>
      <c r="G496" s="1040">
        <v>7</v>
      </c>
      <c r="H496" s="1164">
        <v>8</v>
      </c>
      <c r="I496" s="1039" t="s">
        <v>393</v>
      </c>
      <c r="R496" s="2690"/>
      <c r="S496" s="2690"/>
      <c r="T496" s="2690"/>
    </row>
    <row r="497" spans="1:23" ht="15.75" thickTop="1" x14ac:dyDescent="0.25">
      <c r="A497" s="2138">
        <v>1130</v>
      </c>
      <c r="B497" s="2137">
        <v>3122</v>
      </c>
      <c r="C497" s="2137">
        <v>5331</v>
      </c>
      <c r="D497" s="2136"/>
      <c r="E497" s="2135" t="s">
        <v>481</v>
      </c>
      <c r="F497" s="2134">
        <f>F498+F499+F500</f>
        <v>3080</v>
      </c>
      <c r="G497" s="2134">
        <f t="shared" ref="G497:H497" si="70">G498+G499+G500</f>
        <v>2998</v>
      </c>
      <c r="H497" s="2134">
        <f t="shared" si="70"/>
        <v>2998</v>
      </c>
      <c r="I497" s="2133">
        <f>(H497/G497)*100</f>
        <v>100</v>
      </c>
    </row>
    <row r="498" spans="1:23" ht="14.25" x14ac:dyDescent="0.2">
      <c r="A498" s="2080"/>
      <c r="B498" s="2079"/>
      <c r="C498" s="2079"/>
      <c r="D498" s="2630" t="s">
        <v>1394</v>
      </c>
      <c r="E498" s="923" t="s">
        <v>1537</v>
      </c>
      <c r="F498" s="2077">
        <v>2110</v>
      </c>
      <c r="G498" s="2077">
        <v>2110</v>
      </c>
      <c r="H498" s="2077">
        <v>2110</v>
      </c>
      <c r="I498" s="2076">
        <f>(H498/G498)*100</f>
        <v>100</v>
      </c>
    </row>
    <row r="499" spans="1:23" ht="14.25" x14ac:dyDescent="0.2">
      <c r="A499" s="2080"/>
      <c r="B499" s="2079"/>
      <c r="C499" s="2079"/>
      <c r="D499" s="811" t="s">
        <v>993</v>
      </c>
      <c r="E499" s="2627" t="s">
        <v>1538</v>
      </c>
      <c r="F499" s="2077">
        <v>870</v>
      </c>
      <c r="G499" s="2077">
        <v>788</v>
      </c>
      <c r="H499" s="2077">
        <v>788</v>
      </c>
      <c r="I499" s="2076">
        <f>(H499/G499)*100</f>
        <v>100</v>
      </c>
    </row>
    <row r="500" spans="1:23" ht="15" thickBot="1" x14ac:dyDescent="0.25">
      <c r="A500" s="2080"/>
      <c r="B500" s="2079"/>
      <c r="C500" s="2079"/>
      <c r="D500" s="811" t="s">
        <v>1395</v>
      </c>
      <c r="E500" s="2627" t="s">
        <v>1539</v>
      </c>
      <c r="F500" s="2077">
        <v>100</v>
      </c>
      <c r="G500" s="2077">
        <v>100</v>
      </c>
      <c r="H500" s="2077">
        <v>100</v>
      </c>
      <c r="I500" s="2076">
        <f>(H500/G500)*100</f>
        <v>100</v>
      </c>
    </row>
    <row r="501" spans="1:23" ht="16.5" thickTop="1" thickBot="1" x14ac:dyDescent="0.3">
      <c r="A501" s="3301" t="s">
        <v>522</v>
      </c>
      <c r="B501" s="3302"/>
      <c r="C501" s="3302"/>
      <c r="D501" s="3302"/>
      <c r="E501" s="3302"/>
      <c r="F501" s="2075">
        <f>F497</f>
        <v>3080</v>
      </c>
      <c r="G501" s="2075">
        <f>G497</f>
        <v>2998</v>
      </c>
      <c r="H501" s="2075">
        <f>H497</f>
        <v>2998</v>
      </c>
      <c r="I501" s="2074">
        <f>(H501/G501)*100</f>
        <v>100</v>
      </c>
      <c r="R501" s="2691">
        <f>F501</f>
        <v>3080</v>
      </c>
      <c r="S501" s="2691">
        <f>G501</f>
        <v>2998</v>
      </c>
      <c r="T501" s="2691">
        <f>H501</f>
        <v>2998</v>
      </c>
    </row>
    <row r="502" spans="1:23" ht="13.5" thickTop="1" x14ac:dyDescent="0.2"/>
    <row r="503" spans="1:23" ht="13.5" thickBot="1" x14ac:dyDescent="0.25">
      <c r="A503" s="1719" t="s">
        <v>569</v>
      </c>
      <c r="I503" s="2071" t="s">
        <v>92</v>
      </c>
    </row>
    <row r="504" spans="1:23" s="1043" customFormat="1" thickTop="1" thickBot="1" x14ac:dyDescent="0.25">
      <c r="A504" s="1047" t="s">
        <v>324</v>
      </c>
      <c r="B504" s="1044" t="s">
        <v>93</v>
      </c>
      <c r="C504" s="1046" t="s">
        <v>94</v>
      </c>
      <c r="D504" s="1069" t="s">
        <v>364</v>
      </c>
      <c r="E504" s="1069" t="s">
        <v>95</v>
      </c>
      <c r="F504" s="1069" t="s">
        <v>328</v>
      </c>
      <c r="G504" s="1069" t="s">
        <v>329</v>
      </c>
      <c r="H504" s="1749" t="s">
        <v>448</v>
      </c>
      <c r="I504" s="1784" t="s">
        <v>449</v>
      </c>
      <c r="R504" s="2689"/>
      <c r="S504" s="2689"/>
      <c r="T504" s="2689"/>
    </row>
    <row r="505" spans="1:23" s="1037" customFormat="1" ht="13.5" thickTop="1" thickBot="1" x14ac:dyDescent="0.25">
      <c r="A505" s="1042">
        <v>1</v>
      </c>
      <c r="B505" s="1041">
        <v>2</v>
      </c>
      <c r="C505" s="1041">
        <v>3</v>
      </c>
      <c r="D505" s="1041">
        <v>4</v>
      </c>
      <c r="E505" s="1041">
        <v>5</v>
      </c>
      <c r="F505" s="1040">
        <v>6</v>
      </c>
      <c r="G505" s="1040">
        <v>7</v>
      </c>
      <c r="H505" s="1164">
        <v>8</v>
      </c>
      <c r="I505" s="1039" t="s">
        <v>393</v>
      </c>
      <c r="R505" s="2690"/>
      <c r="S505" s="2690"/>
      <c r="T505" s="2690"/>
    </row>
    <row r="506" spans="1:23" ht="15.75" thickTop="1" x14ac:dyDescent="0.25">
      <c r="A506" s="2108">
        <v>1131</v>
      </c>
      <c r="B506" s="2079">
        <v>3127</v>
      </c>
      <c r="C506" s="2093">
        <v>5331</v>
      </c>
      <c r="D506" s="2107"/>
      <c r="E506" s="1739" t="s">
        <v>481</v>
      </c>
      <c r="F506" s="2106">
        <f>F507+F508</f>
        <v>5514</v>
      </c>
      <c r="G506" s="2106">
        <f>G507+G508</f>
        <v>5522</v>
      </c>
      <c r="H506" s="2106">
        <f>H507+H508</f>
        <v>5522</v>
      </c>
      <c r="I506" s="2105">
        <f>(H506/G506)*100</f>
        <v>100</v>
      </c>
    </row>
    <row r="507" spans="1:23" ht="14.25" x14ac:dyDescent="0.2">
      <c r="A507" s="2108"/>
      <c r="B507" s="2079"/>
      <c r="C507" s="2093"/>
      <c r="D507" s="2630" t="s">
        <v>1394</v>
      </c>
      <c r="E507" s="923" t="s">
        <v>1537</v>
      </c>
      <c r="F507" s="2091">
        <v>4550</v>
      </c>
      <c r="G507" s="2091">
        <v>4550</v>
      </c>
      <c r="H507" s="2091">
        <v>4550</v>
      </c>
      <c r="I507" s="2090">
        <f>(H507/G507)*100</f>
        <v>100</v>
      </c>
    </row>
    <row r="508" spans="1:23" ht="15" thickBot="1" x14ac:dyDescent="0.25">
      <c r="A508" s="2108"/>
      <c r="B508" s="2079"/>
      <c r="C508" s="2093"/>
      <c r="D508" s="811" t="s">
        <v>993</v>
      </c>
      <c r="E508" s="2627" t="s">
        <v>1538</v>
      </c>
      <c r="F508" s="2091">
        <v>964</v>
      </c>
      <c r="G508" s="2091">
        <v>972</v>
      </c>
      <c r="H508" s="2091">
        <v>972</v>
      </c>
      <c r="I508" s="2090">
        <f>(H508/G508)*100</f>
        <v>100</v>
      </c>
    </row>
    <row r="509" spans="1:23" ht="16.5" thickTop="1" thickBot="1" x14ac:dyDescent="0.3">
      <c r="A509" s="3301" t="s">
        <v>522</v>
      </c>
      <c r="B509" s="3302"/>
      <c r="C509" s="3302"/>
      <c r="D509" s="3302"/>
      <c r="E509" s="3302"/>
      <c r="F509" s="2075">
        <f>F506</f>
        <v>5514</v>
      </c>
      <c r="G509" s="2075">
        <f>G506</f>
        <v>5522</v>
      </c>
      <c r="H509" s="2075">
        <f>H506</f>
        <v>5522</v>
      </c>
      <c r="I509" s="2074">
        <f>(H509/G509)*100</f>
        <v>100</v>
      </c>
      <c r="R509" s="2691">
        <f>F509</f>
        <v>5514</v>
      </c>
      <c r="S509" s="2691">
        <f>G509</f>
        <v>5522</v>
      </c>
      <c r="T509" s="2691">
        <f>H509</f>
        <v>5522</v>
      </c>
    </row>
    <row r="510" spans="1:23" ht="15.75" thickTop="1" x14ac:dyDescent="0.25">
      <c r="A510" s="1137"/>
      <c r="B510" s="1137"/>
      <c r="C510" s="1137"/>
      <c r="D510" s="1137"/>
      <c r="E510" s="1137"/>
      <c r="F510" s="2073"/>
      <c r="G510" s="2073"/>
      <c r="H510" s="2073"/>
      <c r="I510" s="2072"/>
      <c r="J510" s="1002"/>
      <c r="K510" s="1002"/>
      <c r="L510" s="1002"/>
      <c r="U510" s="1002"/>
      <c r="V510" s="1002"/>
      <c r="W510" s="1002"/>
    </row>
    <row r="511" spans="1:23" ht="15" x14ac:dyDescent="0.25">
      <c r="A511" s="1137"/>
      <c r="B511" s="1137"/>
      <c r="C511" s="1137"/>
      <c r="D511" s="1137"/>
      <c r="E511" s="1137"/>
      <c r="F511" s="2073"/>
      <c r="G511" s="2073"/>
      <c r="H511" s="2073"/>
      <c r="I511" s="2072"/>
      <c r="J511" s="1002"/>
      <c r="K511" s="1002"/>
      <c r="L511" s="1002"/>
      <c r="U511" s="1002"/>
      <c r="V511" s="1002"/>
      <c r="W511" s="1002"/>
    </row>
    <row r="512" spans="1:23" ht="15.75" customHeight="1" thickBot="1" x14ac:dyDescent="0.25">
      <c r="A512" s="1719" t="s">
        <v>25</v>
      </c>
      <c r="I512" s="2071" t="s">
        <v>92</v>
      </c>
    </row>
    <row r="513" spans="1:23" s="1043" customFormat="1" ht="15.75" customHeight="1" thickTop="1" thickBot="1" x14ac:dyDescent="0.25">
      <c r="A513" s="1047" t="s">
        <v>324</v>
      </c>
      <c r="B513" s="1044" t="s">
        <v>93</v>
      </c>
      <c r="C513" s="1046" t="s">
        <v>94</v>
      </c>
      <c r="D513" s="1069" t="s">
        <v>364</v>
      </c>
      <c r="E513" s="1069" t="s">
        <v>95</v>
      </c>
      <c r="F513" s="1069" t="s">
        <v>328</v>
      </c>
      <c r="G513" s="1069" t="s">
        <v>329</v>
      </c>
      <c r="H513" s="1749" t="s">
        <v>448</v>
      </c>
      <c r="I513" s="1784" t="s">
        <v>449</v>
      </c>
      <c r="R513" s="2689"/>
      <c r="S513" s="2689"/>
      <c r="T513" s="2689"/>
    </row>
    <row r="514" spans="1:23" s="1037" customFormat="1" ht="14.25" customHeight="1" thickTop="1" thickBot="1" x14ac:dyDescent="0.25">
      <c r="A514" s="1042">
        <v>1</v>
      </c>
      <c r="B514" s="1041">
        <v>2</v>
      </c>
      <c r="C514" s="1041">
        <v>3</v>
      </c>
      <c r="D514" s="1041">
        <v>4</v>
      </c>
      <c r="E514" s="1041">
        <v>5</v>
      </c>
      <c r="F514" s="1040">
        <v>6</v>
      </c>
      <c r="G514" s="1040">
        <v>7</v>
      </c>
      <c r="H514" s="1164">
        <v>8</v>
      </c>
      <c r="I514" s="1039" t="s">
        <v>393</v>
      </c>
      <c r="R514" s="2690"/>
      <c r="S514" s="2690"/>
      <c r="T514" s="2690"/>
    </row>
    <row r="515" spans="1:23" ht="15.75" thickTop="1" x14ac:dyDescent="0.25">
      <c r="A515" s="2080">
        <v>1132</v>
      </c>
      <c r="B515" s="2079">
        <v>3127</v>
      </c>
      <c r="C515" s="2079">
        <v>5331</v>
      </c>
      <c r="D515" s="2099"/>
      <c r="E515" s="2096" t="s">
        <v>481</v>
      </c>
      <c r="F515" s="2095">
        <f>F516+F517+F518</f>
        <v>3531</v>
      </c>
      <c r="G515" s="2095">
        <f>G516+G517+G518</f>
        <v>5697</v>
      </c>
      <c r="H515" s="2095">
        <f>H516+H517+H518</f>
        <v>5697</v>
      </c>
      <c r="I515" s="2098">
        <v>100</v>
      </c>
    </row>
    <row r="516" spans="1:23" ht="29.25" customHeight="1" x14ac:dyDescent="0.2">
      <c r="A516" s="2080"/>
      <c r="B516" s="2079"/>
      <c r="C516" s="2079"/>
      <c r="D516" s="3034" t="s">
        <v>972</v>
      </c>
      <c r="E516" s="2632" t="s">
        <v>1540</v>
      </c>
      <c r="F516" s="2148">
        <v>0</v>
      </c>
      <c r="G516" s="2148">
        <v>2292</v>
      </c>
      <c r="H516" s="2148">
        <v>2292</v>
      </c>
      <c r="I516" s="2147">
        <f>(H516/G516)*100</f>
        <v>100</v>
      </c>
    </row>
    <row r="517" spans="1:23" ht="17.25" customHeight="1" x14ac:dyDescent="0.2">
      <c r="A517" s="2080"/>
      <c r="B517" s="2079"/>
      <c r="C517" s="2079"/>
      <c r="D517" s="2630" t="s">
        <v>1394</v>
      </c>
      <c r="E517" s="923" t="s">
        <v>1537</v>
      </c>
      <c r="F517" s="2077">
        <v>2630</v>
      </c>
      <c r="G517" s="2077">
        <v>2630</v>
      </c>
      <c r="H517" s="2077">
        <v>2630</v>
      </c>
      <c r="I517" s="2076">
        <f>(H517/G517)*100</f>
        <v>100</v>
      </c>
    </row>
    <row r="518" spans="1:23" ht="15" thickBot="1" x14ac:dyDescent="0.25">
      <c r="A518" s="2080"/>
      <c r="B518" s="2079"/>
      <c r="C518" s="2079"/>
      <c r="D518" s="811" t="s">
        <v>993</v>
      </c>
      <c r="E518" s="2627" t="s">
        <v>1538</v>
      </c>
      <c r="F518" s="2077">
        <v>901</v>
      </c>
      <c r="G518" s="2077">
        <v>775</v>
      </c>
      <c r="H518" s="2077">
        <v>775</v>
      </c>
      <c r="I518" s="2076">
        <f>(H518/G518)*100</f>
        <v>100</v>
      </c>
    </row>
    <row r="519" spans="1:23" ht="18" customHeight="1" thickTop="1" thickBot="1" x14ac:dyDescent="0.3">
      <c r="A519" s="3301" t="s">
        <v>522</v>
      </c>
      <c r="B519" s="3302"/>
      <c r="C519" s="3302"/>
      <c r="D519" s="3302"/>
      <c r="E519" s="3302"/>
      <c r="F519" s="2075">
        <f>F515</f>
        <v>3531</v>
      </c>
      <c r="G519" s="2075">
        <f>G515</f>
        <v>5697</v>
      </c>
      <c r="H519" s="2075">
        <f>H515</f>
        <v>5697</v>
      </c>
      <c r="I519" s="2074">
        <f>(H519/G519)*100</f>
        <v>100</v>
      </c>
      <c r="R519" s="2691">
        <f>F519</f>
        <v>3531</v>
      </c>
      <c r="S519" s="2691">
        <f>G519</f>
        <v>5697</v>
      </c>
      <c r="T519" s="2691">
        <f>H519</f>
        <v>5697</v>
      </c>
    </row>
    <row r="520" spans="1:23" ht="13.5" thickTop="1" x14ac:dyDescent="0.2">
      <c r="A520" s="1054"/>
      <c r="B520" s="1975"/>
      <c r="C520" s="1054"/>
      <c r="D520" s="2139"/>
      <c r="E520" s="1054"/>
    </row>
    <row r="521" spans="1:23" ht="13.5" thickBot="1" x14ac:dyDescent="0.25">
      <c r="A521" s="1719" t="s">
        <v>123</v>
      </c>
      <c r="I521" s="2071" t="s">
        <v>92</v>
      </c>
    </row>
    <row r="522" spans="1:23" s="1043" customFormat="1" thickTop="1" thickBot="1" x14ac:dyDescent="0.25">
      <c r="A522" s="1047" t="s">
        <v>324</v>
      </c>
      <c r="B522" s="1044" t="s">
        <v>93</v>
      </c>
      <c r="C522" s="1046" t="s">
        <v>94</v>
      </c>
      <c r="D522" s="1069" t="s">
        <v>364</v>
      </c>
      <c r="E522" s="1069" t="s">
        <v>95</v>
      </c>
      <c r="F522" s="1069" t="s">
        <v>328</v>
      </c>
      <c r="G522" s="1069" t="s">
        <v>329</v>
      </c>
      <c r="H522" s="1749" t="s">
        <v>448</v>
      </c>
      <c r="I522" s="1784" t="s">
        <v>449</v>
      </c>
      <c r="R522" s="2689"/>
      <c r="S522" s="2689"/>
      <c r="T522" s="2689"/>
    </row>
    <row r="523" spans="1:23" s="1037" customFormat="1" ht="13.5" thickTop="1" thickBot="1" x14ac:dyDescent="0.25">
      <c r="A523" s="1042">
        <v>1</v>
      </c>
      <c r="B523" s="1041">
        <v>2</v>
      </c>
      <c r="C523" s="1041">
        <v>3</v>
      </c>
      <c r="D523" s="1041">
        <v>4</v>
      </c>
      <c r="E523" s="1041">
        <v>5</v>
      </c>
      <c r="F523" s="1040">
        <v>6</v>
      </c>
      <c r="G523" s="1040">
        <v>7</v>
      </c>
      <c r="H523" s="1164">
        <v>8</v>
      </c>
      <c r="I523" s="1039" t="s">
        <v>393</v>
      </c>
      <c r="R523" s="2690"/>
      <c r="S523" s="2690"/>
      <c r="T523" s="2690"/>
    </row>
    <row r="524" spans="1:23" ht="15.75" thickTop="1" x14ac:dyDescent="0.25">
      <c r="A524" s="2138">
        <v>1133</v>
      </c>
      <c r="B524" s="2137">
        <v>3127</v>
      </c>
      <c r="C524" s="2137">
        <v>5331</v>
      </c>
      <c r="D524" s="2136"/>
      <c r="E524" s="2135" t="s">
        <v>481</v>
      </c>
      <c r="F524" s="2134">
        <f>F525+F526</f>
        <v>4354</v>
      </c>
      <c r="G524" s="2134">
        <f>G525+G526</f>
        <v>4317</v>
      </c>
      <c r="H524" s="2134">
        <f>H525+H526</f>
        <v>4317</v>
      </c>
      <c r="I524" s="2133">
        <f>(H524/G524)*100</f>
        <v>100</v>
      </c>
    </row>
    <row r="525" spans="1:23" ht="14.25" x14ac:dyDescent="0.2">
      <c r="A525" s="2080"/>
      <c r="B525" s="2079"/>
      <c r="C525" s="2079"/>
      <c r="D525" s="2630" t="s">
        <v>1394</v>
      </c>
      <c r="E525" s="923" t="s">
        <v>1537</v>
      </c>
      <c r="F525" s="2077">
        <v>3860</v>
      </c>
      <c r="G525" s="2077">
        <v>3860</v>
      </c>
      <c r="H525" s="2077">
        <v>3860</v>
      </c>
      <c r="I525" s="2076">
        <f>(H525/G525)*100</f>
        <v>100</v>
      </c>
    </row>
    <row r="526" spans="1:23" ht="15" thickBot="1" x14ac:dyDescent="0.25">
      <c r="A526" s="2080"/>
      <c r="B526" s="2079"/>
      <c r="C526" s="2079"/>
      <c r="D526" s="811" t="s">
        <v>993</v>
      </c>
      <c r="E526" s="2627" t="s">
        <v>1538</v>
      </c>
      <c r="F526" s="2077">
        <v>494</v>
      </c>
      <c r="G526" s="2077">
        <v>457</v>
      </c>
      <c r="H526" s="2077">
        <v>457</v>
      </c>
      <c r="I526" s="2076">
        <f>(H526/G526)*100</f>
        <v>100</v>
      </c>
    </row>
    <row r="527" spans="1:23" ht="16.5" thickTop="1" thickBot="1" x14ac:dyDescent="0.3">
      <c r="A527" s="3301" t="s">
        <v>522</v>
      </c>
      <c r="B527" s="3302"/>
      <c r="C527" s="3302"/>
      <c r="D527" s="3302"/>
      <c r="E527" s="3302"/>
      <c r="F527" s="2075">
        <f>F524</f>
        <v>4354</v>
      </c>
      <c r="G527" s="2075">
        <f>G524</f>
        <v>4317</v>
      </c>
      <c r="H527" s="2075">
        <f>H524</f>
        <v>4317</v>
      </c>
      <c r="I527" s="2074">
        <f>(H527/G527)*100</f>
        <v>100</v>
      </c>
      <c r="R527" s="2691">
        <f>F527</f>
        <v>4354</v>
      </c>
      <c r="S527" s="2691">
        <f>G527</f>
        <v>4317</v>
      </c>
      <c r="T527" s="2691">
        <f>H527</f>
        <v>4317</v>
      </c>
    </row>
    <row r="528" spans="1:23" ht="15.75" thickTop="1" x14ac:dyDescent="0.25">
      <c r="A528" s="1137"/>
      <c r="B528" s="1137"/>
      <c r="C528" s="1137"/>
      <c r="D528" s="1137"/>
      <c r="E528" s="1137"/>
      <c r="F528" s="2130"/>
      <c r="G528" s="2130"/>
      <c r="H528" s="2130"/>
      <c r="I528" s="2129"/>
      <c r="J528" s="1002"/>
      <c r="K528" s="1002"/>
      <c r="L528" s="1002"/>
      <c r="R528" s="2691"/>
      <c r="S528" s="2691"/>
      <c r="T528" s="2691"/>
      <c r="U528" s="1002"/>
      <c r="V528" s="1002"/>
      <c r="W528" s="1002"/>
    </row>
    <row r="529" spans="1:20" ht="13.5" thickBot="1" x14ac:dyDescent="0.25">
      <c r="A529" s="1719" t="s">
        <v>446</v>
      </c>
      <c r="I529" s="2071" t="s">
        <v>92</v>
      </c>
    </row>
    <row r="530" spans="1:20" s="1043" customFormat="1" thickTop="1" thickBot="1" x14ac:dyDescent="0.25">
      <c r="A530" s="1047" t="s">
        <v>324</v>
      </c>
      <c r="B530" s="1044" t="s">
        <v>93</v>
      </c>
      <c r="C530" s="1046" t="s">
        <v>94</v>
      </c>
      <c r="D530" s="1069" t="s">
        <v>364</v>
      </c>
      <c r="E530" s="1069" t="s">
        <v>95</v>
      </c>
      <c r="F530" s="1069" t="s">
        <v>328</v>
      </c>
      <c r="G530" s="1069" t="s">
        <v>329</v>
      </c>
      <c r="H530" s="1749" t="s">
        <v>448</v>
      </c>
      <c r="I530" s="1784" t="s">
        <v>449</v>
      </c>
      <c r="R530" s="2689"/>
      <c r="S530" s="2689"/>
      <c r="T530" s="2689"/>
    </row>
    <row r="531" spans="1:20" s="1037" customFormat="1" ht="13.5" thickTop="1" thickBot="1" x14ac:dyDescent="0.25">
      <c r="A531" s="1042">
        <v>1</v>
      </c>
      <c r="B531" s="1041">
        <v>2</v>
      </c>
      <c r="C531" s="1041">
        <v>3</v>
      </c>
      <c r="D531" s="1041">
        <v>4</v>
      </c>
      <c r="E531" s="1041">
        <v>5</v>
      </c>
      <c r="F531" s="1040">
        <v>6</v>
      </c>
      <c r="G531" s="1040">
        <v>7</v>
      </c>
      <c r="H531" s="1164">
        <v>8</v>
      </c>
      <c r="I531" s="1039" t="s">
        <v>393</v>
      </c>
      <c r="R531" s="2690"/>
      <c r="S531" s="2690"/>
      <c r="T531" s="2690"/>
    </row>
    <row r="532" spans="1:20" ht="15.75" thickTop="1" x14ac:dyDescent="0.25">
      <c r="A532" s="2138">
        <v>1134</v>
      </c>
      <c r="B532" s="2137">
        <v>3127</v>
      </c>
      <c r="C532" s="2137">
        <v>5331</v>
      </c>
      <c r="D532" s="2136"/>
      <c r="E532" s="2135" t="s">
        <v>481</v>
      </c>
      <c r="F532" s="2134">
        <f>F533+F535+F536+F534+F537</f>
        <v>8422</v>
      </c>
      <c r="G532" s="2134">
        <f t="shared" ref="G532:H532" si="71">G533+G535+G536+G534+G537</f>
        <v>11187</v>
      </c>
      <c r="H532" s="2134">
        <f t="shared" si="71"/>
        <v>11187</v>
      </c>
      <c r="I532" s="2133">
        <f t="shared" ref="I532:I538" si="72">(H532/G532)*100</f>
        <v>100</v>
      </c>
    </row>
    <row r="533" spans="1:20" ht="28.5" hidden="1" x14ac:dyDescent="0.2">
      <c r="A533" s="2080"/>
      <c r="B533" s="2079"/>
      <c r="C533" s="2079"/>
      <c r="D533" s="2634" t="s">
        <v>972</v>
      </c>
      <c r="E533" s="2632" t="s">
        <v>1540</v>
      </c>
      <c r="F533" s="2638"/>
      <c r="G533" s="2638"/>
      <c r="H533" s="2638"/>
      <c r="I533" s="2635" t="e">
        <f t="shared" si="72"/>
        <v>#DIV/0!</v>
      </c>
    </row>
    <row r="534" spans="1:20" ht="14.25" hidden="1" x14ac:dyDescent="0.2">
      <c r="A534" s="2080"/>
      <c r="B534" s="2079"/>
      <c r="C534" s="2079"/>
      <c r="D534" s="1744" t="s">
        <v>906</v>
      </c>
      <c r="E534" s="2082" t="s">
        <v>1543</v>
      </c>
      <c r="F534" s="2077"/>
      <c r="G534" s="2077"/>
      <c r="H534" s="2077"/>
      <c r="I534" s="2076" t="e">
        <f t="shared" si="72"/>
        <v>#DIV/0!</v>
      </c>
    </row>
    <row r="535" spans="1:20" ht="14.25" x14ac:dyDescent="0.2">
      <c r="A535" s="2080"/>
      <c r="B535" s="2079"/>
      <c r="C535" s="2079"/>
      <c r="D535" s="2630" t="s">
        <v>1394</v>
      </c>
      <c r="E535" s="923" t="s">
        <v>1537</v>
      </c>
      <c r="F535" s="2077">
        <v>7000</v>
      </c>
      <c r="G535" s="2077">
        <v>7500</v>
      </c>
      <c r="H535" s="2077">
        <v>7500</v>
      </c>
      <c r="I535" s="2076">
        <f t="shared" si="72"/>
        <v>100</v>
      </c>
    </row>
    <row r="536" spans="1:20" ht="14.25" x14ac:dyDescent="0.2">
      <c r="A536" s="2080"/>
      <c r="B536" s="2079"/>
      <c r="C536" s="2079"/>
      <c r="D536" s="811" t="s">
        <v>993</v>
      </c>
      <c r="E536" s="2627" t="s">
        <v>1538</v>
      </c>
      <c r="F536" s="2077">
        <v>1422</v>
      </c>
      <c r="G536" s="2077">
        <v>1587</v>
      </c>
      <c r="H536" s="2077">
        <v>1587</v>
      </c>
      <c r="I536" s="2076">
        <f t="shared" si="72"/>
        <v>100</v>
      </c>
    </row>
    <row r="537" spans="1:20" ht="15" thickBot="1" x14ac:dyDescent="0.25">
      <c r="A537" s="2080"/>
      <c r="B537" s="2079"/>
      <c r="C537" s="2079"/>
      <c r="D537" s="811" t="s">
        <v>1395</v>
      </c>
      <c r="E537" s="2627" t="s">
        <v>1539</v>
      </c>
      <c r="F537" s="2077"/>
      <c r="G537" s="2077">
        <v>2100</v>
      </c>
      <c r="H537" s="2077">
        <v>2100</v>
      </c>
      <c r="I537" s="2076"/>
    </row>
    <row r="538" spans="1:20" ht="16.5" thickTop="1" thickBot="1" x14ac:dyDescent="0.3">
      <c r="A538" s="3301" t="s">
        <v>522</v>
      </c>
      <c r="B538" s="3302"/>
      <c r="C538" s="3302"/>
      <c r="D538" s="3302"/>
      <c r="E538" s="3302"/>
      <c r="F538" s="2075">
        <f>F532</f>
        <v>8422</v>
      </c>
      <c r="G538" s="2075">
        <f>G532</f>
        <v>11187</v>
      </c>
      <c r="H538" s="2075">
        <f>H532</f>
        <v>11187</v>
      </c>
      <c r="I538" s="2074">
        <f t="shared" si="72"/>
        <v>100</v>
      </c>
      <c r="R538" s="2691">
        <f>F538</f>
        <v>8422</v>
      </c>
      <c r="S538" s="2691">
        <f>G538</f>
        <v>11187</v>
      </c>
      <c r="T538" s="2691">
        <f>H538</f>
        <v>11187</v>
      </c>
    </row>
    <row r="539" spans="1:20" ht="15.75" thickTop="1" x14ac:dyDescent="0.25">
      <c r="A539" s="2640">
        <v>1134</v>
      </c>
      <c r="B539" s="19">
        <v>3127</v>
      </c>
      <c r="C539" s="151">
        <v>6351</v>
      </c>
      <c r="D539" s="2641"/>
      <c r="E539" s="845" t="s">
        <v>551</v>
      </c>
      <c r="F539" s="2642">
        <f>F540</f>
        <v>0</v>
      </c>
      <c r="G539" s="2642">
        <f t="shared" ref="G539:H539" si="73">G540</f>
        <v>867</v>
      </c>
      <c r="H539" s="2642">
        <f t="shared" si="73"/>
        <v>867</v>
      </c>
      <c r="I539" s="2643">
        <v>100</v>
      </c>
      <c r="R539" s="2691">
        <f>F541</f>
        <v>0</v>
      </c>
      <c r="S539" s="2691">
        <f t="shared" ref="S539:T539" si="74">G541</f>
        <v>867</v>
      </c>
      <c r="T539" s="2691">
        <f t="shared" si="74"/>
        <v>867</v>
      </c>
    </row>
    <row r="540" spans="1:20" ht="29.25" thickBot="1" x14ac:dyDescent="0.25">
      <c r="A540" s="2644"/>
      <c r="B540" s="822"/>
      <c r="C540" s="2645"/>
      <c r="D540" s="3034" t="s">
        <v>972</v>
      </c>
      <c r="E540" s="2632" t="s">
        <v>1540</v>
      </c>
      <c r="F540" s="3039">
        <v>0</v>
      </c>
      <c r="G540" s="3039">
        <v>867</v>
      </c>
      <c r="H540" s="3039">
        <v>867</v>
      </c>
      <c r="I540" s="3040">
        <v>100</v>
      </c>
      <c r="R540" s="2691">
        <f>R539+R538</f>
        <v>8422</v>
      </c>
      <c r="S540" s="2691">
        <f t="shared" ref="S540:T540" si="75">S539+S538</f>
        <v>12054</v>
      </c>
      <c r="T540" s="2691">
        <f t="shared" si="75"/>
        <v>12054</v>
      </c>
    </row>
    <row r="541" spans="1:20" ht="16.5" thickTop="1" thickBot="1" x14ac:dyDescent="0.3">
      <c r="A541" s="3241" t="s">
        <v>523</v>
      </c>
      <c r="B541" s="3242"/>
      <c r="C541" s="3242"/>
      <c r="D541" s="3242"/>
      <c r="E541" s="3243"/>
      <c r="F541" s="2648">
        <f>F539</f>
        <v>0</v>
      </c>
      <c r="G541" s="2648">
        <f t="shared" ref="G541:H541" si="76">G539</f>
        <v>867</v>
      </c>
      <c r="H541" s="2648">
        <f t="shared" si="76"/>
        <v>867</v>
      </c>
      <c r="I541" s="2649">
        <v>100</v>
      </c>
      <c r="R541" s="2691"/>
      <c r="S541" s="2691"/>
      <c r="T541" s="2691"/>
    </row>
    <row r="542" spans="1:20" ht="15.75" thickTop="1" x14ac:dyDescent="0.25">
      <c r="A542" s="1137"/>
      <c r="B542" s="1137"/>
      <c r="C542" s="1137"/>
      <c r="D542" s="1137"/>
      <c r="E542" s="1137"/>
      <c r="F542" s="2073"/>
      <c r="G542" s="2073"/>
      <c r="H542" s="2073"/>
      <c r="I542" s="2072"/>
      <c r="R542" s="2691"/>
      <c r="S542" s="2691"/>
      <c r="T542" s="2691"/>
    </row>
    <row r="544" spans="1:20" ht="13.5" thickBot="1" x14ac:dyDescent="0.25">
      <c r="A544" s="1719" t="s">
        <v>599</v>
      </c>
      <c r="I544" s="2071" t="s">
        <v>92</v>
      </c>
    </row>
    <row r="545" spans="1:23" s="1043" customFormat="1" thickTop="1" thickBot="1" x14ac:dyDescent="0.25">
      <c r="A545" s="1047" t="s">
        <v>324</v>
      </c>
      <c r="B545" s="1044" t="s">
        <v>93</v>
      </c>
      <c r="C545" s="1046" t="s">
        <v>94</v>
      </c>
      <c r="D545" s="1069" t="s">
        <v>364</v>
      </c>
      <c r="E545" s="1069" t="s">
        <v>95</v>
      </c>
      <c r="F545" s="1069" t="s">
        <v>328</v>
      </c>
      <c r="G545" s="1069" t="s">
        <v>329</v>
      </c>
      <c r="H545" s="1749" t="s">
        <v>448</v>
      </c>
      <c r="I545" s="1784" t="s">
        <v>449</v>
      </c>
      <c r="R545" s="2689"/>
      <c r="S545" s="2689"/>
      <c r="T545" s="2689"/>
    </row>
    <row r="546" spans="1:23" s="1037" customFormat="1" ht="13.5" thickTop="1" thickBot="1" x14ac:dyDescent="0.25">
      <c r="A546" s="1042">
        <v>1</v>
      </c>
      <c r="B546" s="1041">
        <v>2</v>
      </c>
      <c r="C546" s="1041">
        <v>3</v>
      </c>
      <c r="D546" s="1041">
        <v>4</v>
      </c>
      <c r="E546" s="1041">
        <v>5</v>
      </c>
      <c r="F546" s="1040">
        <v>6</v>
      </c>
      <c r="G546" s="1040">
        <v>7</v>
      </c>
      <c r="H546" s="1164">
        <v>8</v>
      </c>
      <c r="I546" s="1039" t="s">
        <v>393</v>
      </c>
      <c r="R546" s="2690"/>
      <c r="S546" s="2690"/>
      <c r="T546" s="2690"/>
    </row>
    <row r="547" spans="1:23" ht="15.75" thickTop="1" x14ac:dyDescent="0.25">
      <c r="A547" s="2138">
        <v>1135</v>
      </c>
      <c r="B547" s="2137">
        <v>3122</v>
      </c>
      <c r="C547" s="2137">
        <v>5331</v>
      </c>
      <c r="D547" s="2136"/>
      <c r="E547" s="2135" t="s">
        <v>481</v>
      </c>
      <c r="F547" s="2134">
        <f>F549+F550+F548</f>
        <v>7989</v>
      </c>
      <c r="G547" s="2134">
        <f t="shared" ref="G547:H547" si="77">G549+G550+G548</f>
        <v>9018</v>
      </c>
      <c r="H547" s="2134">
        <f t="shared" si="77"/>
        <v>9018</v>
      </c>
      <c r="I547" s="2133">
        <f t="shared" ref="I547:I554" si="78">(H547/G547)*100</f>
        <v>100</v>
      </c>
      <c r="R547" s="2691">
        <f>F551</f>
        <v>7989</v>
      </c>
      <c r="S547" s="2691">
        <f>G551</f>
        <v>9018</v>
      </c>
      <c r="T547" s="2691">
        <f>H551</f>
        <v>9018</v>
      </c>
    </row>
    <row r="548" spans="1:23" ht="29.25" x14ac:dyDescent="0.25">
      <c r="A548" s="2080"/>
      <c r="B548" s="2079"/>
      <c r="C548" s="2079"/>
      <c r="D548" s="2634" t="s">
        <v>972</v>
      </c>
      <c r="E548" s="2951" t="s">
        <v>1540</v>
      </c>
      <c r="F548" s="2095"/>
      <c r="G548" s="2081">
        <v>993</v>
      </c>
      <c r="H548" s="2081">
        <v>993</v>
      </c>
      <c r="I548" s="2076">
        <f t="shared" si="78"/>
        <v>100</v>
      </c>
      <c r="R548" s="2691">
        <f>F554</f>
        <v>0</v>
      </c>
      <c r="S548" s="2691">
        <f>G554</f>
        <v>0</v>
      </c>
      <c r="T548" s="2691">
        <f>H554</f>
        <v>0</v>
      </c>
    </row>
    <row r="549" spans="1:23" ht="14.25" x14ac:dyDescent="0.2">
      <c r="A549" s="2080"/>
      <c r="B549" s="2079"/>
      <c r="C549" s="2079"/>
      <c r="D549" s="2630" t="s">
        <v>1394</v>
      </c>
      <c r="E549" s="923" t="s">
        <v>1537</v>
      </c>
      <c r="F549" s="2077">
        <v>5400</v>
      </c>
      <c r="G549" s="2077">
        <v>5400</v>
      </c>
      <c r="H549" s="2077">
        <v>5400</v>
      </c>
      <c r="I549" s="2076">
        <f t="shared" si="78"/>
        <v>100</v>
      </c>
      <c r="R549" s="2691">
        <f>R547+R548</f>
        <v>7989</v>
      </c>
      <c r="S549" s="2691">
        <f t="shared" ref="S549:T549" si="79">S547+S548</f>
        <v>9018</v>
      </c>
      <c r="T549" s="2691">
        <f t="shared" si="79"/>
        <v>9018</v>
      </c>
    </row>
    <row r="550" spans="1:23" ht="15" thickBot="1" x14ac:dyDescent="0.25">
      <c r="A550" s="2080"/>
      <c r="B550" s="2079"/>
      <c r="C550" s="2079"/>
      <c r="D550" s="811" t="s">
        <v>993</v>
      </c>
      <c r="E550" s="2627" t="s">
        <v>1538</v>
      </c>
      <c r="F550" s="2077">
        <v>2589</v>
      </c>
      <c r="G550" s="2077">
        <v>2625</v>
      </c>
      <c r="H550" s="2077">
        <v>2625</v>
      </c>
      <c r="I550" s="2076">
        <f t="shared" si="78"/>
        <v>100</v>
      </c>
    </row>
    <row r="551" spans="1:23" ht="16.5" thickTop="1" thickBot="1" x14ac:dyDescent="0.3">
      <c r="A551" s="3301" t="s">
        <v>522</v>
      </c>
      <c r="B551" s="3302"/>
      <c r="C551" s="3302"/>
      <c r="D551" s="3302"/>
      <c r="E551" s="3302"/>
      <c r="F551" s="2075">
        <f>F547</f>
        <v>7989</v>
      </c>
      <c r="G551" s="2075">
        <f>G547</f>
        <v>9018</v>
      </c>
      <c r="H551" s="2075">
        <f>H547</f>
        <v>9018</v>
      </c>
      <c r="I551" s="2074">
        <f t="shared" si="78"/>
        <v>100</v>
      </c>
      <c r="R551" s="997"/>
      <c r="S551" s="997"/>
      <c r="T551" s="997"/>
    </row>
    <row r="552" spans="1:23" ht="15.75" hidden="1" thickTop="1" x14ac:dyDescent="0.25">
      <c r="A552" s="2108">
        <v>1135</v>
      </c>
      <c r="B552" s="2079">
        <v>3122</v>
      </c>
      <c r="C552" s="2093">
        <v>6351</v>
      </c>
      <c r="D552" s="2107"/>
      <c r="E552" s="1739" t="s">
        <v>551</v>
      </c>
      <c r="F552" s="2106">
        <f>F553</f>
        <v>0</v>
      </c>
      <c r="G552" s="2106">
        <f t="shared" ref="G552:H552" si="80">G553</f>
        <v>0</v>
      </c>
      <c r="H552" s="2106">
        <f t="shared" si="80"/>
        <v>0</v>
      </c>
      <c r="I552" s="2105" t="e">
        <f t="shared" si="78"/>
        <v>#DIV/0!</v>
      </c>
      <c r="R552" s="997"/>
      <c r="S552" s="997"/>
      <c r="T552" s="997"/>
    </row>
    <row r="553" spans="1:23" ht="29.25" hidden="1" thickBot="1" x14ac:dyDescent="0.25">
      <c r="A553" s="2104"/>
      <c r="B553" s="2103"/>
      <c r="C553" s="1017"/>
      <c r="D553" s="2634" t="s">
        <v>972</v>
      </c>
      <c r="E553" s="2632" t="s">
        <v>1540</v>
      </c>
      <c r="F553" s="2638"/>
      <c r="G553" s="2638"/>
      <c r="H553" s="2638"/>
      <c r="I553" s="2635" t="e">
        <f t="shared" si="78"/>
        <v>#DIV/0!</v>
      </c>
      <c r="R553" s="997"/>
      <c r="S553" s="997"/>
      <c r="T553" s="997"/>
    </row>
    <row r="554" spans="1:23" ht="16.5" hidden="1" thickTop="1" thickBot="1" x14ac:dyDescent="0.3">
      <c r="A554" s="3305" t="s">
        <v>523</v>
      </c>
      <c r="B554" s="3306"/>
      <c r="C554" s="3306"/>
      <c r="D554" s="3306"/>
      <c r="E554" s="3307"/>
      <c r="F554" s="2075">
        <f>F552</f>
        <v>0</v>
      </c>
      <c r="G554" s="2075">
        <f t="shared" ref="G554:H554" si="81">G552</f>
        <v>0</v>
      </c>
      <c r="H554" s="2075">
        <f t="shared" si="81"/>
        <v>0</v>
      </c>
      <c r="I554" s="2074" t="e">
        <f t="shared" si="78"/>
        <v>#DIV/0!</v>
      </c>
      <c r="U554" s="1002"/>
      <c r="V554" s="1002"/>
      <c r="W554" s="1002"/>
    </row>
    <row r="555" spans="1:23" ht="15.75" thickTop="1" x14ac:dyDescent="0.25">
      <c r="A555" s="1137"/>
      <c r="B555" s="1137"/>
      <c r="C555" s="1137"/>
      <c r="D555" s="1137"/>
      <c r="E555" s="1137"/>
      <c r="F555" s="2130"/>
      <c r="G555" s="2130"/>
      <c r="H555" s="2130"/>
      <c r="I555" s="2129"/>
      <c r="J555" s="1002"/>
      <c r="K555" s="1002"/>
      <c r="L555" s="1002"/>
      <c r="R555" s="2691"/>
      <c r="S555" s="2691"/>
      <c r="T555" s="2691"/>
      <c r="U555" s="1002"/>
      <c r="V555" s="1002"/>
      <c r="W555" s="1002"/>
    </row>
    <row r="556" spans="1:23" ht="13.5" thickBot="1" x14ac:dyDescent="0.25">
      <c r="A556" s="1719" t="s">
        <v>286</v>
      </c>
      <c r="I556" s="2071" t="s">
        <v>92</v>
      </c>
    </row>
    <row r="557" spans="1:23" s="1043" customFormat="1" thickTop="1" thickBot="1" x14ac:dyDescent="0.25">
      <c r="A557" s="1047" t="s">
        <v>324</v>
      </c>
      <c r="B557" s="1044" t="s">
        <v>93</v>
      </c>
      <c r="C557" s="1046" t="s">
        <v>94</v>
      </c>
      <c r="D557" s="1069" t="s">
        <v>364</v>
      </c>
      <c r="E557" s="1069" t="s">
        <v>95</v>
      </c>
      <c r="F557" s="1069" t="s">
        <v>328</v>
      </c>
      <c r="G557" s="1069" t="s">
        <v>329</v>
      </c>
      <c r="H557" s="1749" t="s">
        <v>448</v>
      </c>
      <c r="I557" s="1784" t="s">
        <v>449</v>
      </c>
      <c r="R557" s="2689"/>
      <c r="S557" s="2689"/>
      <c r="T557" s="2689"/>
    </row>
    <row r="558" spans="1:23" s="1037" customFormat="1" ht="13.5" thickTop="1" thickBot="1" x14ac:dyDescent="0.25">
      <c r="A558" s="1042">
        <v>1</v>
      </c>
      <c r="B558" s="1041">
        <v>2</v>
      </c>
      <c r="C558" s="1041">
        <v>3</v>
      </c>
      <c r="D558" s="1041">
        <v>4</v>
      </c>
      <c r="E558" s="1041">
        <v>5</v>
      </c>
      <c r="F558" s="1040">
        <v>6</v>
      </c>
      <c r="G558" s="1040">
        <v>7</v>
      </c>
      <c r="H558" s="1164">
        <v>8</v>
      </c>
      <c r="I558" s="1039" t="s">
        <v>393</v>
      </c>
      <c r="R558" s="2690"/>
      <c r="S558" s="2690"/>
      <c r="T558" s="2690"/>
    </row>
    <row r="559" spans="1:23" ht="15.75" thickTop="1" x14ac:dyDescent="0.25">
      <c r="A559" s="2138">
        <v>1136</v>
      </c>
      <c r="B559" s="2137">
        <v>3127</v>
      </c>
      <c r="C559" s="2137">
        <v>5331</v>
      </c>
      <c r="D559" s="2136"/>
      <c r="E559" s="2135" t="s">
        <v>481</v>
      </c>
      <c r="F559" s="2134">
        <f>F560+F561+F562+F563</f>
        <v>6488</v>
      </c>
      <c r="G559" s="2134">
        <f t="shared" ref="G559:H559" si="82">G560+G561+G562+G563</f>
        <v>7151</v>
      </c>
      <c r="H559" s="2134">
        <f t="shared" si="82"/>
        <v>7151</v>
      </c>
      <c r="I559" s="2133">
        <f t="shared" ref="I559:I564" si="83">(H559/G559)*100</f>
        <v>100</v>
      </c>
    </row>
    <row r="560" spans="1:23" ht="28.5" x14ac:dyDescent="0.2">
      <c r="A560" s="2080"/>
      <c r="B560" s="2079"/>
      <c r="C560" s="2079"/>
      <c r="D560" s="3034" t="s">
        <v>972</v>
      </c>
      <c r="E560" s="2632" t="s">
        <v>1540</v>
      </c>
      <c r="F560" s="2148">
        <v>0</v>
      </c>
      <c r="G560" s="2148">
        <v>550</v>
      </c>
      <c r="H560" s="2148">
        <v>550</v>
      </c>
      <c r="I560" s="2147">
        <f t="shared" si="83"/>
        <v>100</v>
      </c>
    </row>
    <row r="561" spans="1:20" ht="14.25" x14ac:dyDescent="0.2">
      <c r="A561" s="2080"/>
      <c r="B561" s="2079"/>
      <c r="C561" s="2079"/>
      <c r="D561" s="2630" t="s">
        <v>1394</v>
      </c>
      <c r="E561" s="923" t="s">
        <v>1537</v>
      </c>
      <c r="F561" s="2077">
        <v>5200</v>
      </c>
      <c r="G561" s="2077">
        <v>5200</v>
      </c>
      <c r="H561" s="2077">
        <v>5200</v>
      </c>
      <c r="I561" s="2076">
        <f t="shared" si="83"/>
        <v>100</v>
      </c>
    </row>
    <row r="562" spans="1:20" ht="14.25" x14ac:dyDescent="0.2">
      <c r="A562" s="2080"/>
      <c r="B562" s="2079"/>
      <c r="C562" s="1743"/>
      <c r="D562" s="811" t="s">
        <v>993</v>
      </c>
      <c r="E562" s="2627" t="s">
        <v>1538</v>
      </c>
      <c r="F562" s="2077">
        <v>1288</v>
      </c>
      <c r="G562" s="2077">
        <v>1287</v>
      </c>
      <c r="H562" s="2077">
        <v>1287</v>
      </c>
      <c r="I562" s="2076">
        <f t="shared" si="83"/>
        <v>100</v>
      </c>
    </row>
    <row r="563" spans="1:20" ht="15" thickBot="1" x14ac:dyDescent="0.25">
      <c r="A563" s="2080"/>
      <c r="B563" s="2079"/>
      <c r="C563" s="1743"/>
      <c r="D563" s="811" t="s">
        <v>1397</v>
      </c>
      <c r="E563" s="2627" t="s">
        <v>1542</v>
      </c>
      <c r="F563" s="2077"/>
      <c r="G563" s="2077">
        <v>114</v>
      </c>
      <c r="H563" s="2077">
        <v>114</v>
      </c>
      <c r="I563" s="2076">
        <f t="shared" si="83"/>
        <v>100</v>
      </c>
    </row>
    <row r="564" spans="1:20" ht="16.5" thickTop="1" thickBot="1" x14ac:dyDescent="0.3">
      <c r="A564" s="3301" t="s">
        <v>522</v>
      </c>
      <c r="B564" s="3302"/>
      <c r="C564" s="3302"/>
      <c r="D564" s="3302"/>
      <c r="E564" s="3302"/>
      <c r="F564" s="2075">
        <f>F559</f>
        <v>6488</v>
      </c>
      <c r="G564" s="2075">
        <f>G559</f>
        <v>7151</v>
      </c>
      <c r="H564" s="2075">
        <f>H559</f>
        <v>7151</v>
      </c>
      <c r="I564" s="2074">
        <f t="shared" si="83"/>
        <v>100</v>
      </c>
      <c r="R564" s="2691">
        <f>F564</f>
        <v>6488</v>
      </c>
      <c r="S564" s="2691">
        <f>G564</f>
        <v>7151</v>
      </c>
      <c r="T564" s="2691">
        <f>H564</f>
        <v>7151</v>
      </c>
    </row>
    <row r="565" spans="1:20" ht="15.75" thickTop="1" x14ac:dyDescent="0.25">
      <c r="A565" s="1137"/>
      <c r="B565" s="1137"/>
      <c r="C565" s="1137"/>
      <c r="D565" s="1137"/>
      <c r="E565" s="1137"/>
      <c r="F565" s="2073"/>
      <c r="G565" s="2073"/>
      <c r="H565" s="2073"/>
      <c r="I565" s="2072"/>
      <c r="R565" s="2691"/>
      <c r="S565" s="2691"/>
      <c r="T565" s="2691"/>
    </row>
    <row r="566" spans="1:20" ht="13.5" thickBot="1" x14ac:dyDescent="0.25">
      <c r="A566" s="1719" t="s">
        <v>277</v>
      </c>
      <c r="I566" s="2071" t="s">
        <v>92</v>
      </c>
    </row>
    <row r="567" spans="1:20" s="1043" customFormat="1" thickTop="1" thickBot="1" x14ac:dyDescent="0.25">
      <c r="A567" s="1047" t="s">
        <v>324</v>
      </c>
      <c r="B567" s="1044" t="s">
        <v>93</v>
      </c>
      <c r="C567" s="1046" t="s">
        <v>94</v>
      </c>
      <c r="D567" s="1069" t="s">
        <v>364</v>
      </c>
      <c r="E567" s="1069" t="s">
        <v>95</v>
      </c>
      <c r="F567" s="1069" t="s">
        <v>328</v>
      </c>
      <c r="G567" s="1069" t="s">
        <v>329</v>
      </c>
      <c r="H567" s="1749" t="s">
        <v>448</v>
      </c>
      <c r="I567" s="1784" t="s">
        <v>449</v>
      </c>
      <c r="R567" s="2689"/>
      <c r="S567" s="2689"/>
      <c r="T567" s="2689"/>
    </row>
    <row r="568" spans="1:20" s="1037" customFormat="1" ht="13.5" thickTop="1" thickBot="1" x14ac:dyDescent="0.25">
      <c r="A568" s="1042">
        <v>1</v>
      </c>
      <c r="B568" s="1041">
        <v>2</v>
      </c>
      <c r="C568" s="1041">
        <v>3</v>
      </c>
      <c r="D568" s="1041">
        <v>4</v>
      </c>
      <c r="E568" s="1041">
        <v>5</v>
      </c>
      <c r="F568" s="1040">
        <v>6</v>
      </c>
      <c r="G568" s="1040">
        <v>7</v>
      </c>
      <c r="H568" s="1164">
        <v>8</v>
      </c>
      <c r="I568" s="1039" t="s">
        <v>393</v>
      </c>
      <c r="R568" s="2690"/>
      <c r="S568" s="2690"/>
      <c r="T568" s="2690"/>
    </row>
    <row r="569" spans="1:20" ht="15.75" thickTop="1" x14ac:dyDescent="0.25">
      <c r="A569" s="2138">
        <v>1137</v>
      </c>
      <c r="B569" s="2137">
        <v>3122</v>
      </c>
      <c r="C569" s="2137">
        <v>5331</v>
      </c>
      <c r="D569" s="2136"/>
      <c r="E569" s="2135" t="s">
        <v>481</v>
      </c>
      <c r="F569" s="2134">
        <f>F570+F574+F571+F573+F572+F575</f>
        <v>2310</v>
      </c>
      <c r="G569" s="2134">
        <f t="shared" ref="G569:H569" si="84">G570+G574+G571+G573+G572+G575</f>
        <v>2616</v>
      </c>
      <c r="H569" s="2134">
        <f t="shared" si="84"/>
        <v>2616</v>
      </c>
      <c r="I569" s="2133">
        <f>(H569/G569)*100</f>
        <v>100</v>
      </c>
    </row>
    <row r="570" spans="1:20" ht="28.5" hidden="1" x14ac:dyDescent="0.2">
      <c r="A570" s="2080"/>
      <c r="B570" s="2079"/>
      <c r="C570" s="2079"/>
      <c r="D570" s="2634" t="s">
        <v>972</v>
      </c>
      <c r="E570" s="2632" t="s">
        <v>1540</v>
      </c>
      <c r="F570" s="2638"/>
      <c r="G570" s="2638"/>
      <c r="H570" s="2638"/>
      <c r="I570" s="2635" t="e">
        <f>(H570/G570)*100</f>
        <v>#DIV/0!</v>
      </c>
    </row>
    <row r="571" spans="1:20" ht="14.25" x14ac:dyDescent="0.2">
      <c r="A571" s="2080"/>
      <c r="B571" s="2079"/>
      <c r="C571" s="2079"/>
      <c r="D571" s="2630" t="s">
        <v>1394</v>
      </c>
      <c r="E571" s="923" t="s">
        <v>1537</v>
      </c>
      <c r="F571" s="2077">
        <v>1816</v>
      </c>
      <c r="G571" s="2077">
        <v>1816</v>
      </c>
      <c r="H571" s="2077">
        <v>1816</v>
      </c>
      <c r="I571" s="2076">
        <f t="shared" ref="I571:I573" si="85">(H571/G571)*100</f>
        <v>100</v>
      </c>
    </row>
    <row r="572" spans="1:20" ht="14.25" x14ac:dyDescent="0.2">
      <c r="A572" s="2080"/>
      <c r="B572" s="2079"/>
      <c r="C572" s="2079"/>
      <c r="D572" s="2630" t="s">
        <v>994</v>
      </c>
      <c r="E572" s="923" t="s">
        <v>1541</v>
      </c>
      <c r="F572" s="2077">
        <v>16</v>
      </c>
      <c r="G572" s="2077">
        <v>16</v>
      </c>
      <c r="H572" s="2077">
        <v>16</v>
      </c>
      <c r="I572" s="2076">
        <f t="shared" si="85"/>
        <v>100</v>
      </c>
    </row>
    <row r="573" spans="1:20" ht="14.25" x14ac:dyDescent="0.2">
      <c r="A573" s="2080"/>
      <c r="B573" s="2079"/>
      <c r="C573" s="2079"/>
      <c r="D573" s="811" t="s">
        <v>993</v>
      </c>
      <c r="E573" s="2627" t="s">
        <v>1538</v>
      </c>
      <c r="F573" s="2077">
        <v>448</v>
      </c>
      <c r="G573" s="2077">
        <v>446</v>
      </c>
      <c r="H573" s="2077">
        <v>446</v>
      </c>
      <c r="I573" s="2076">
        <f t="shared" si="85"/>
        <v>100</v>
      </c>
    </row>
    <row r="574" spans="1:20" ht="14.25" x14ac:dyDescent="0.2">
      <c r="A574" s="2080"/>
      <c r="B574" s="2079"/>
      <c r="C574" s="2079"/>
      <c r="D574" s="811" t="s">
        <v>1395</v>
      </c>
      <c r="E574" s="2627" t="s">
        <v>1539</v>
      </c>
      <c r="F574" s="2077">
        <v>30</v>
      </c>
      <c r="G574" s="2077">
        <v>30</v>
      </c>
      <c r="H574" s="2077">
        <v>30</v>
      </c>
      <c r="I574" s="2076">
        <f>(H574/G574)*100</f>
        <v>100</v>
      </c>
    </row>
    <row r="575" spans="1:20" ht="15" thickBot="1" x14ac:dyDescent="0.25">
      <c r="A575" s="2080"/>
      <c r="B575" s="2079"/>
      <c r="C575" s="2079"/>
      <c r="D575" s="811" t="s">
        <v>1397</v>
      </c>
      <c r="E575" s="2627" t="s">
        <v>1542</v>
      </c>
      <c r="F575" s="2077">
        <v>0</v>
      </c>
      <c r="G575" s="2077">
        <v>308</v>
      </c>
      <c r="H575" s="2077">
        <v>308</v>
      </c>
      <c r="I575" s="2076">
        <f>(H575/G575)*100</f>
        <v>100</v>
      </c>
    </row>
    <row r="576" spans="1:20" ht="16.5" thickTop="1" thickBot="1" x14ac:dyDescent="0.3">
      <c r="A576" s="3301" t="s">
        <v>522</v>
      </c>
      <c r="B576" s="3302"/>
      <c r="C576" s="3302"/>
      <c r="D576" s="3302"/>
      <c r="E576" s="3302"/>
      <c r="F576" s="2075">
        <f>F569</f>
        <v>2310</v>
      </c>
      <c r="G576" s="2075">
        <f>G569</f>
        <v>2616</v>
      </c>
      <c r="H576" s="2075">
        <f>H569</f>
        <v>2616</v>
      </c>
      <c r="I576" s="2074">
        <f>(H576/G576)*100</f>
        <v>100</v>
      </c>
      <c r="R576" s="2691">
        <f>F576</f>
        <v>2310</v>
      </c>
      <c r="S576" s="2691">
        <f>G576</f>
        <v>2616</v>
      </c>
      <c r="T576" s="2691">
        <f>H576</f>
        <v>2616</v>
      </c>
    </row>
    <row r="577" spans="1:23" ht="15.75" thickTop="1" x14ac:dyDescent="0.25">
      <c r="A577" s="2108">
        <v>1137</v>
      </c>
      <c r="B577" s="2079">
        <v>3122</v>
      </c>
      <c r="C577" s="2093">
        <v>6351</v>
      </c>
      <c r="D577" s="2107"/>
      <c r="E577" s="1739" t="s">
        <v>551</v>
      </c>
      <c r="F577" s="2106">
        <f>F578</f>
        <v>0</v>
      </c>
      <c r="G577" s="2106">
        <f t="shared" ref="G577:H577" si="86">G578</f>
        <v>1150</v>
      </c>
      <c r="H577" s="2106">
        <f t="shared" si="86"/>
        <v>1150</v>
      </c>
      <c r="I577" s="2105">
        <f t="shared" ref="I577:I579" si="87">(H577/G577)*100</f>
        <v>100</v>
      </c>
      <c r="R577" s="2691"/>
      <c r="S577" s="2691"/>
      <c r="T577" s="2691"/>
    </row>
    <row r="578" spans="1:23" ht="29.25" thickBot="1" x14ac:dyDescent="0.25">
      <c r="A578" s="2104"/>
      <c r="B578" s="2103"/>
      <c r="C578" s="1017"/>
      <c r="D578" s="3034" t="s">
        <v>972</v>
      </c>
      <c r="E578" s="2952" t="s">
        <v>1540</v>
      </c>
      <c r="F578" s="2148">
        <v>0</v>
      </c>
      <c r="G578" s="2148">
        <v>1150</v>
      </c>
      <c r="H578" s="2148">
        <v>1150</v>
      </c>
      <c r="I578" s="2147">
        <f t="shared" si="87"/>
        <v>100</v>
      </c>
      <c r="R578" s="2691"/>
      <c r="S578" s="2691"/>
      <c r="T578" s="2691"/>
    </row>
    <row r="579" spans="1:23" ht="16.5" thickTop="1" thickBot="1" x14ac:dyDescent="0.3">
      <c r="A579" s="3305" t="s">
        <v>523</v>
      </c>
      <c r="B579" s="3306"/>
      <c r="C579" s="3306"/>
      <c r="D579" s="3306"/>
      <c r="E579" s="3307"/>
      <c r="F579" s="2075">
        <f>F577</f>
        <v>0</v>
      </c>
      <c r="G579" s="2075">
        <f t="shared" ref="G579:H579" si="88">G577</f>
        <v>1150</v>
      </c>
      <c r="H579" s="2075">
        <f t="shared" si="88"/>
        <v>1150</v>
      </c>
      <c r="I579" s="2074">
        <f t="shared" si="87"/>
        <v>100</v>
      </c>
      <c r="R579" s="2691"/>
      <c r="S579" s="2691"/>
      <c r="T579" s="2691"/>
    </row>
    <row r="580" spans="1:23" ht="13.5" thickTop="1" x14ac:dyDescent="0.2"/>
    <row r="581" spans="1:23" ht="14.25" thickTop="1" thickBot="1" x14ac:dyDescent="0.25">
      <c r="A581" s="1719" t="s">
        <v>278</v>
      </c>
      <c r="I581" s="2071" t="s">
        <v>92</v>
      </c>
    </row>
    <row r="582" spans="1:23" s="1043" customFormat="1" thickTop="1" thickBot="1" x14ac:dyDescent="0.25">
      <c r="A582" s="1047" t="s">
        <v>324</v>
      </c>
      <c r="B582" s="1044" t="s">
        <v>93</v>
      </c>
      <c r="C582" s="1046" t="s">
        <v>94</v>
      </c>
      <c r="D582" s="1069" t="s">
        <v>364</v>
      </c>
      <c r="E582" s="1069" t="s">
        <v>95</v>
      </c>
      <c r="F582" s="1069" t="s">
        <v>328</v>
      </c>
      <c r="G582" s="1069" t="s">
        <v>329</v>
      </c>
      <c r="H582" s="1749" t="s">
        <v>448</v>
      </c>
      <c r="I582" s="1784" t="s">
        <v>449</v>
      </c>
      <c r="R582" s="2689"/>
      <c r="S582" s="2689"/>
      <c r="T582" s="2689"/>
    </row>
    <row r="583" spans="1:23" s="1037" customFormat="1" ht="13.5" thickTop="1" thickBot="1" x14ac:dyDescent="0.25">
      <c r="A583" s="1042">
        <v>1</v>
      </c>
      <c r="B583" s="1041">
        <v>2</v>
      </c>
      <c r="C583" s="1041">
        <v>3</v>
      </c>
      <c r="D583" s="1041">
        <v>4</v>
      </c>
      <c r="E583" s="1041">
        <v>5</v>
      </c>
      <c r="F583" s="1040">
        <v>6</v>
      </c>
      <c r="G583" s="1040">
        <v>7</v>
      </c>
      <c r="H583" s="1164">
        <v>8</v>
      </c>
      <c r="I583" s="1039" t="s">
        <v>393</v>
      </c>
      <c r="R583" s="2690"/>
      <c r="S583" s="2690"/>
      <c r="T583" s="2690"/>
    </row>
    <row r="584" spans="1:23" ht="20.25" customHeight="1" thickTop="1" x14ac:dyDescent="0.25">
      <c r="A584" s="2138">
        <v>1138</v>
      </c>
      <c r="B584" s="2137">
        <v>3122</v>
      </c>
      <c r="C584" s="2137">
        <v>5331</v>
      </c>
      <c r="D584" s="2136"/>
      <c r="E584" s="2135" t="s">
        <v>481</v>
      </c>
      <c r="F584" s="2134">
        <f>F587+F588+F586+F585</f>
        <v>3674</v>
      </c>
      <c r="G584" s="2134">
        <f t="shared" ref="G584:H584" si="89">G587+G588+G586+G585</f>
        <v>4355</v>
      </c>
      <c r="H584" s="2134">
        <f t="shared" si="89"/>
        <v>4355</v>
      </c>
      <c r="I584" s="2133">
        <f t="shared" ref="I584:I592" si="90">(H584/G584)*100</f>
        <v>100</v>
      </c>
    </row>
    <row r="585" spans="1:23" ht="24.75" customHeight="1" x14ac:dyDescent="0.2">
      <c r="A585" s="2080"/>
      <c r="B585" s="2079"/>
      <c r="C585" s="2079"/>
      <c r="D585" s="3034" t="s">
        <v>972</v>
      </c>
      <c r="E585" s="2951" t="s">
        <v>1540</v>
      </c>
      <c r="F585" s="3038">
        <v>0</v>
      </c>
      <c r="G585" s="3038">
        <v>648</v>
      </c>
      <c r="H585" s="3038">
        <v>648</v>
      </c>
      <c r="I585" s="3042">
        <f t="shared" si="90"/>
        <v>100</v>
      </c>
    </row>
    <row r="586" spans="1:23" ht="12.75" customHeight="1" x14ac:dyDescent="0.2">
      <c r="A586" s="2080"/>
      <c r="B586" s="2079"/>
      <c r="C586" s="2079"/>
      <c r="D586" s="2630" t="s">
        <v>1394</v>
      </c>
      <c r="E586" s="923" t="s">
        <v>1537</v>
      </c>
      <c r="F586" s="2081">
        <v>2930</v>
      </c>
      <c r="G586" s="2081">
        <v>2930</v>
      </c>
      <c r="H586" s="2081">
        <v>2930</v>
      </c>
      <c r="I586" s="2115">
        <f t="shared" si="90"/>
        <v>100</v>
      </c>
    </row>
    <row r="587" spans="1:23" ht="15" thickBot="1" x14ac:dyDescent="0.25">
      <c r="A587" s="2080"/>
      <c r="B587" s="2079"/>
      <c r="C587" s="2079"/>
      <c r="D587" s="811" t="s">
        <v>993</v>
      </c>
      <c r="E587" s="2627" t="s">
        <v>1538</v>
      </c>
      <c r="F587" s="2077">
        <v>744</v>
      </c>
      <c r="G587" s="2077">
        <v>777</v>
      </c>
      <c r="H587" s="2077">
        <v>777</v>
      </c>
      <c r="I587" s="2076">
        <f t="shared" si="90"/>
        <v>100</v>
      </c>
    </row>
    <row r="588" spans="1:23" ht="15" hidden="1" thickBot="1" x14ac:dyDescent="0.25">
      <c r="A588" s="2080"/>
      <c r="B588" s="2079"/>
      <c r="C588" s="2079"/>
      <c r="D588" s="811" t="s">
        <v>1395</v>
      </c>
      <c r="E588" s="2627" t="s">
        <v>1539</v>
      </c>
      <c r="F588" s="2077"/>
      <c r="G588" s="2077"/>
      <c r="H588" s="2077"/>
      <c r="I588" s="2076" t="e">
        <f t="shared" si="90"/>
        <v>#DIV/0!</v>
      </c>
    </row>
    <row r="589" spans="1:23" ht="16.5" thickTop="1" thickBot="1" x14ac:dyDescent="0.3">
      <c r="A589" s="3301" t="s">
        <v>522</v>
      </c>
      <c r="B589" s="3302"/>
      <c r="C589" s="3302"/>
      <c r="D589" s="3302"/>
      <c r="E589" s="3302"/>
      <c r="F589" s="2075">
        <f>F584</f>
        <v>3674</v>
      </c>
      <c r="G589" s="2075">
        <f>G584</f>
        <v>4355</v>
      </c>
      <c r="H589" s="2075">
        <f>H584</f>
        <v>4355</v>
      </c>
      <c r="I589" s="2074">
        <f t="shared" si="90"/>
        <v>100</v>
      </c>
      <c r="R589" s="2691">
        <f>F589</f>
        <v>3674</v>
      </c>
      <c r="S589" s="2691">
        <f>G589</f>
        <v>4355</v>
      </c>
      <c r="T589" s="2691">
        <f>H589</f>
        <v>4355</v>
      </c>
    </row>
    <row r="590" spans="1:23" ht="15.75" thickTop="1" x14ac:dyDescent="0.25">
      <c r="A590" s="2108">
        <v>1138</v>
      </c>
      <c r="B590" s="2079">
        <v>3122</v>
      </c>
      <c r="C590" s="2093">
        <v>6351</v>
      </c>
      <c r="D590" s="2107"/>
      <c r="E590" s="1739" t="s">
        <v>551</v>
      </c>
      <c r="F590" s="2106">
        <f>F591</f>
        <v>0</v>
      </c>
      <c r="G590" s="2106">
        <f t="shared" ref="G590:H590" si="91">G591</f>
        <v>642</v>
      </c>
      <c r="H590" s="2106">
        <f t="shared" si="91"/>
        <v>642</v>
      </c>
      <c r="I590" s="2105">
        <f t="shared" si="90"/>
        <v>100</v>
      </c>
      <c r="R590" s="2691"/>
      <c r="S590" s="2691"/>
      <c r="T590" s="2691"/>
    </row>
    <row r="591" spans="1:23" ht="29.25" thickBot="1" x14ac:dyDescent="0.25">
      <c r="A591" s="2104"/>
      <c r="B591" s="2103"/>
      <c r="C591" s="1017"/>
      <c r="D591" s="3041" t="s">
        <v>972</v>
      </c>
      <c r="E591" s="2952" t="s">
        <v>1540</v>
      </c>
      <c r="F591" s="2148">
        <v>0</v>
      </c>
      <c r="G591" s="2148">
        <v>642</v>
      </c>
      <c r="H591" s="2148">
        <v>642</v>
      </c>
      <c r="I591" s="2147">
        <f t="shared" si="90"/>
        <v>100</v>
      </c>
      <c r="R591" s="2691"/>
      <c r="S591" s="2691"/>
      <c r="T591" s="2691"/>
    </row>
    <row r="592" spans="1:23" ht="16.5" thickTop="1" thickBot="1" x14ac:dyDescent="0.3">
      <c r="A592" s="3305" t="s">
        <v>523</v>
      </c>
      <c r="B592" s="3306"/>
      <c r="C592" s="3306"/>
      <c r="D592" s="3306"/>
      <c r="E592" s="3307"/>
      <c r="F592" s="2075">
        <f>F590</f>
        <v>0</v>
      </c>
      <c r="G592" s="2075">
        <f t="shared" ref="G592:H592" si="92">G590</f>
        <v>642</v>
      </c>
      <c r="H592" s="2075">
        <f t="shared" si="92"/>
        <v>642</v>
      </c>
      <c r="I592" s="2074">
        <f t="shared" si="90"/>
        <v>100</v>
      </c>
      <c r="U592" s="1002">
        <f>F592</f>
        <v>0</v>
      </c>
      <c r="V592" s="1002">
        <f>G592</f>
        <v>642</v>
      </c>
      <c r="W592" s="1002">
        <f>H592</f>
        <v>642</v>
      </c>
    </row>
    <row r="593" spans="1:20" ht="13.5" customHeight="1" thickTop="1" x14ac:dyDescent="0.2"/>
    <row r="594" spans="1:20" ht="18" customHeight="1" thickBot="1" x14ac:dyDescent="0.25">
      <c r="A594" s="1719" t="s">
        <v>864</v>
      </c>
      <c r="I594" s="2071" t="s">
        <v>92</v>
      </c>
    </row>
    <row r="595" spans="1:20" s="1043" customFormat="1" ht="18" customHeight="1" thickTop="1" thickBot="1" x14ac:dyDescent="0.25">
      <c r="A595" s="1047" t="s">
        <v>324</v>
      </c>
      <c r="B595" s="1044" t="s">
        <v>93</v>
      </c>
      <c r="C595" s="1046" t="s">
        <v>94</v>
      </c>
      <c r="D595" s="1069" t="s">
        <v>364</v>
      </c>
      <c r="E595" s="1069" t="s">
        <v>95</v>
      </c>
      <c r="F595" s="1069" t="s">
        <v>328</v>
      </c>
      <c r="G595" s="1069" t="s">
        <v>329</v>
      </c>
      <c r="H595" s="1749" t="s">
        <v>448</v>
      </c>
      <c r="I595" s="2089" t="s">
        <v>449</v>
      </c>
      <c r="R595" s="2689"/>
      <c r="S595" s="2689"/>
      <c r="T595" s="2689"/>
    </row>
    <row r="596" spans="1:20" s="1037" customFormat="1" ht="9.75" customHeight="1" thickTop="1" thickBot="1" x14ac:dyDescent="0.25">
      <c r="A596" s="1042">
        <v>1</v>
      </c>
      <c r="B596" s="1041">
        <v>2</v>
      </c>
      <c r="C596" s="1041">
        <v>3</v>
      </c>
      <c r="D596" s="1041">
        <v>4</v>
      </c>
      <c r="E596" s="1041">
        <v>5</v>
      </c>
      <c r="F596" s="1040">
        <v>6</v>
      </c>
      <c r="G596" s="1040">
        <v>7</v>
      </c>
      <c r="H596" s="1164">
        <v>8</v>
      </c>
      <c r="I596" s="1039" t="s">
        <v>393</v>
      </c>
      <c r="R596" s="2690"/>
      <c r="S596" s="2690"/>
      <c r="T596" s="2690"/>
    </row>
    <row r="597" spans="1:20" ht="15.75" thickTop="1" x14ac:dyDescent="0.25">
      <c r="A597" s="2080">
        <v>1140</v>
      </c>
      <c r="B597" s="2093">
        <v>3127</v>
      </c>
      <c r="C597" s="2093">
        <v>5331</v>
      </c>
      <c r="D597" s="2107"/>
      <c r="E597" s="1739" t="s">
        <v>481</v>
      </c>
      <c r="F597" s="2106">
        <f>F598+F600+F601+F599</f>
        <v>12342</v>
      </c>
      <c r="G597" s="2106">
        <f t="shared" ref="G597:H597" si="93">G598+G600+G601+G599</f>
        <v>12692</v>
      </c>
      <c r="H597" s="2106">
        <f t="shared" si="93"/>
        <v>12692</v>
      </c>
      <c r="I597" s="2105">
        <f t="shared" ref="I597:I602" si="94">(H597/G597)*100</f>
        <v>100</v>
      </c>
    </row>
    <row r="598" spans="1:20" ht="24.75" customHeight="1" x14ac:dyDescent="0.2">
      <c r="A598" s="2080"/>
      <c r="B598" s="2093"/>
      <c r="C598" s="2093"/>
      <c r="D598" s="3034" t="s">
        <v>972</v>
      </c>
      <c r="E598" s="2632" t="s">
        <v>1540</v>
      </c>
      <c r="F598" s="3043">
        <v>0</v>
      </c>
      <c r="G598" s="3043">
        <v>390</v>
      </c>
      <c r="H598" s="3043">
        <v>390</v>
      </c>
      <c r="I598" s="3044">
        <f t="shared" si="94"/>
        <v>100</v>
      </c>
    </row>
    <row r="599" spans="1:20" ht="15" customHeight="1" x14ac:dyDescent="0.2">
      <c r="A599" s="2080"/>
      <c r="B599" s="2093"/>
      <c r="C599" s="2093"/>
      <c r="D599" s="2630" t="s">
        <v>1394</v>
      </c>
      <c r="E599" s="923" t="s">
        <v>1537</v>
      </c>
      <c r="F599" s="2091">
        <v>9597</v>
      </c>
      <c r="G599" s="2091">
        <v>9597</v>
      </c>
      <c r="H599" s="2091">
        <v>9597</v>
      </c>
      <c r="I599" s="2652">
        <f t="shared" si="94"/>
        <v>100</v>
      </c>
    </row>
    <row r="600" spans="1:20" ht="13.15" customHeight="1" thickBot="1" x14ac:dyDescent="0.25">
      <c r="A600" s="2080"/>
      <c r="B600" s="2093"/>
      <c r="C600" s="2093"/>
      <c r="D600" s="811" t="s">
        <v>993</v>
      </c>
      <c r="E600" s="2627" t="s">
        <v>1538</v>
      </c>
      <c r="F600" s="2077">
        <v>2745</v>
      </c>
      <c r="G600" s="2077">
        <v>2705</v>
      </c>
      <c r="H600" s="2077">
        <v>2705</v>
      </c>
      <c r="I600" s="2076">
        <f t="shared" si="94"/>
        <v>100</v>
      </c>
    </row>
    <row r="601" spans="1:20" ht="15" hidden="1" thickBot="1" x14ac:dyDescent="0.25">
      <c r="A601" s="2080"/>
      <c r="B601" s="2093"/>
      <c r="C601" s="2093"/>
      <c r="D601" s="811" t="s">
        <v>1395</v>
      </c>
      <c r="E601" s="2627" t="s">
        <v>1539</v>
      </c>
      <c r="F601" s="2091"/>
      <c r="G601" s="2091"/>
      <c r="H601" s="2091"/>
      <c r="I601" s="2090">
        <v>0</v>
      </c>
    </row>
    <row r="602" spans="1:20" ht="18" customHeight="1" thickTop="1" thickBot="1" x14ac:dyDescent="0.3">
      <c r="A602" s="3301" t="s">
        <v>522</v>
      </c>
      <c r="B602" s="3302"/>
      <c r="C602" s="3302"/>
      <c r="D602" s="3302"/>
      <c r="E602" s="3302"/>
      <c r="F602" s="2075">
        <f>F597</f>
        <v>12342</v>
      </c>
      <c r="G602" s="2075">
        <f>G597</f>
        <v>12692</v>
      </c>
      <c r="H602" s="2075">
        <f>H597</f>
        <v>12692</v>
      </c>
      <c r="I602" s="2074">
        <f t="shared" si="94"/>
        <v>100</v>
      </c>
      <c r="R602" s="2691">
        <f>F602</f>
        <v>12342</v>
      </c>
      <c r="S602" s="2691">
        <f>G602</f>
        <v>12692</v>
      </c>
      <c r="T602" s="2691">
        <f>H602</f>
        <v>12692</v>
      </c>
    </row>
    <row r="603" spans="1:20" ht="12.75" customHeight="1" thickTop="1" x14ac:dyDescent="0.25">
      <c r="A603" s="1137"/>
      <c r="B603" s="1137"/>
      <c r="C603" s="1137"/>
      <c r="D603" s="1137"/>
      <c r="E603" s="1137"/>
      <c r="F603" s="2073"/>
      <c r="G603" s="2073"/>
      <c r="H603" s="2073"/>
      <c r="I603" s="2072"/>
    </row>
    <row r="604" spans="1:20" ht="17.25" customHeight="1" thickBot="1" x14ac:dyDescent="0.25">
      <c r="A604" s="1719" t="s">
        <v>24</v>
      </c>
      <c r="I604" s="2071" t="s">
        <v>92</v>
      </c>
    </row>
    <row r="605" spans="1:20" s="1043" customFormat="1" thickTop="1" thickBot="1" x14ac:dyDescent="0.25">
      <c r="A605" s="1047" t="s">
        <v>324</v>
      </c>
      <c r="B605" s="1044" t="s">
        <v>93</v>
      </c>
      <c r="C605" s="1046" t="s">
        <v>94</v>
      </c>
      <c r="D605" s="1069" t="s">
        <v>364</v>
      </c>
      <c r="E605" s="1069" t="s">
        <v>95</v>
      </c>
      <c r="F605" s="1069" t="s">
        <v>328</v>
      </c>
      <c r="G605" s="1069" t="s">
        <v>329</v>
      </c>
      <c r="H605" s="1749" t="s">
        <v>448</v>
      </c>
      <c r="I605" s="2089" t="s">
        <v>449</v>
      </c>
      <c r="R605" s="2689"/>
      <c r="S605" s="2689"/>
      <c r="T605" s="2689"/>
    </row>
    <row r="606" spans="1:20" s="1037" customFormat="1" ht="13.5" thickTop="1" thickBot="1" x14ac:dyDescent="0.25">
      <c r="A606" s="1042">
        <v>1</v>
      </c>
      <c r="B606" s="1041">
        <v>2</v>
      </c>
      <c r="C606" s="1041">
        <v>3</v>
      </c>
      <c r="D606" s="1041">
        <v>4</v>
      </c>
      <c r="E606" s="1041">
        <v>5</v>
      </c>
      <c r="F606" s="1040">
        <v>6</v>
      </c>
      <c r="G606" s="1040">
        <v>7</v>
      </c>
      <c r="H606" s="1164">
        <v>8</v>
      </c>
      <c r="I606" s="1039" t="s">
        <v>393</v>
      </c>
      <c r="R606" s="2690"/>
      <c r="S606" s="2690"/>
      <c r="T606" s="2690"/>
    </row>
    <row r="607" spans="1:20" ht="15.75" thickTop="1" x14ac:dyDescent="0.25">
      <c r="A607" s="2088">
        <v>1142</v>
      </c>
      <c r="B607" s="2087">
        <v>3127</v>
      </c>
      <c r="C607" s="2087">
        <v>5331</v>
      </c>
      <c r="D607" s="2086"/>
      <c r="E607" s="2085" t="s">
        <v>481</v>
      </c>
      <c r="F607" s="2084">
        <f>F608+F609+F610</f>
        <v>5573</v>
      </c>
      <c r="G607" s="2084">
        <f>G608+G609+G610</f>
        <v>5636</v>
      </c>
      <c r="H607" s="2084">
        <f>H608+H609+H610</f>
        <v>5636</v>
      </c>
      <c r="I607" s="2083">
        <f>(H607/G607)*100</f>
        <v>100</v>
      </c>
    </row>
    <row r="608" spans="1:20" ht="28.5" hidden="1" x14ac:dyDescent="0.2">
      <c r="A608" s="2080"/>
      <c r="B608" s="2079"/>
      <c r="C608" s="2079"/>
      <c r="D608" s="2634" t="s">
        <v>972</v>
      </c>
      <c r="E608" s="2632" t="s">
        <v>1540</v>
      </c>
      <c r="F608" s="2091"/>
      <c r="G608" s="2091"/>
      <c r="H608" s="2091"/>
      <c r="I608" s="2090" t="e">
        <f>(H608/G608)*100</f>
        <v>#DIV/0!</v>
      </c>
    </row>
    <row r="609" spans="1:20" ht="14.25" x14ac:dyDescent="0.2">
      <c r="A609" s="2080"/>
      <c r="B609" s="2079"/>
      <c r="C609" s="2079"/>
      <c r="D609" s="2630" t="s">
        <v>1394</v>
      </c>
      <c r="E609" s="923" t="s">
        <v>1537</v>
      </c>
      <c r="F609" s="2081">
        <v>3223</v>
      </c>
      <c r="G609" s="2077">
        <v>3223</v>
      </c>
      <c r="H609" s="2077">
        <v>3223</v>
      </c>
      <c r="I609" s="2076">
        <f>(H609/G609)*100</f>
        <v>100</v>
      </c>
    </row>
    <row r="610" spans="1:20" ht="15" thickBot="1" x14ac:dyDescent="0.25">
      <c r="A610" s="2080"/>
      <c r="B610" s="2079"/>
      <c r="C610" s="2079"/>
      <c r="D610" s="811" t="s">
        <v>993</v>
      </c>
      <c r="E610" s="2627" t="s">
        <v>1538</v>
      </c>
      <c r="F610" s="2132">
        <v>2350</v>
      </c>
      <c r="G610" s="2132">
        <v>2413</v>
      </c>
      <c r="H610" s="2132">
        <v>2413</v>
      </c>
      <c r="I610" s="2131">
        <f>(H610/G610)*100</f>
        <v>100</v>
      </c>
    </row>
    <row r="611" spans="1:20" ht="16.5" thickTop="1" thickBot="1" x14ac:dyDescent="0.3">
      <c r="A611" s="3301" t="s">
        <v>522</v>
      </c>
      <c r="B611" s="3302"/>
      <c r="C611" s="3302"/>
      <c r="D611" s="3302"/>
      <c r="E611" s="3302"/>
      <c r="F611" s="2075">
        <f>F607</f>
        <v>5573</v>
      </c>
      <c r="G611" s="2075">
        <f>G607</f>
        <v>5636</v>
      </c>
      <c r="H611" s="2075">
        <f>H607</f>
        <v>5636</v>
      </c>
      <c r="I611" s="2074">
        <f>(H611/G611)*100</f>
        <v>100</v>
      </c>
      <c r="R611" s="2691">
        <f>F611</f>
        <v>5573</v>
      </c>
      <c r="S611" s="2691">
        <f>G611</f>
        <v>5636</v>
      </c>
      <c r="T611" s="2691">
        <f>H611</f>
        <v>5636</v>
      </c>
    </row>
    <row r="612" spans="1:20" ht="15.75" thickTop="1" x14ac:dyDescent="0.25">
      <c r="A612" s="2640">
        <v>1142</v>
      </c>
      <c r="B612" s="19">
        <v>3127</v>
      </c>
      <c r="C612" s="151">
        <v>6351</v>
      </c>
      <c r="D612" s="2641"/>
      <c r="E612" s="845" t="s">
        <v>551</v>
      </c>
      <c r="F612" s="2642">
        <f>F613</f>
        <v>0</v>
      </c>
      <c r="G612" s="2642">
        <f t="shared" ref="G612:H612" si="95">G613</f>
        <v>808</v>
      </c>
      <c r="H612" s="2642">
        <f t="shared" si="95"/>
        <v>808</v>
      </c>
      <c r="I612" s="2643">
        <v>100</v>
      </c>
      <c r="R612" s="2691">
        <f>F614</f>
        <v>0</v>
      </c>
      <c r="S612" s="2691">
        <f t="shared" ref="S612:T612" si="96">G614</f>
        <v>808</v>
      </c>
      <c r="T612" s="2691">
        <f t="shared" si="96"/>
        <v>808</v>
      </c>
    </row>
    <row r="613" spans="1:20" ht="29.25" thickBot="1" x14ac:dyDescent="0.25">
      <c r="A613" s="2644"/>
      <c r="B613" s="822"/>
      <c r="C613" s="2645"/>
      <c r="D613" s="3034" t="s">
        <v>972</v>
      </c>
      <c r="E613" s="2632" t="s">
        <v>1540</v>
      </c>
      <c r="F613" s="3039">
        <v>0</v>
      </c>
      <c r="G613" s="3039">
        <v>808</v>
      </c>
      <c r="H613" s="3039">
        <v>808</v>
      </c>
      <c r="I613" s="3040">
        <v>100</v>
      </c>
      <c r="R613" s="2691">
        <f>R611+R612</f>
        <v>5573</v>
      </c>
      <c r="S613" s="2691">
        <f t="shared" ref="S613:T613" si="97">S611+S612</f>
        <v>6444</v>
      </c>
      <c r="T613" s="2691">
        <f t="shared" si="97"/>
        <v>6444</v>
      </c>
    </row>
    <row r="614" spans="1:20" ht="16.5" thickTop="1" thickBot="1" x14ac:dyDescent="0.3">
      <c r="A614" s="3241" t="s">
        <v>523</v>
      </c>
      <c r="B614" s="3242"/>
      <c r="C614" s="3242"/>
      <c r="D614" s="3242"/>
      <c r="E614" s="3243"/>
      <c r="F614" s="2648">
        <f>F612</f>
        <v>0</v>
      </c>
      <c r="G614" s="2648">
        <f t="shared" ref="G614:H614" si="98">G612</f>
        <v>808</v>
      </c>
      <c r="H614" s="2648">
        <f t="shared" si="98"/>
        <v>808</v>
      </c>
      <c r="I614" s="2649">
        <v>100</v>
      </c>
      <c r="R614" s="2691"/>
      <c r="S614" s="2691"/>
      <c r="T614" s="2691"/>
    </row>
    <row r="615" spans="1:20" ht="15.75" thickTop="1" x14ac:dyDescent="0.25">
      <c r="A615" s="1137"/>
      <c r="B615" s="1137"/>
      <c r="C615" s="1137"/>
      <c r="D615" s="1137"/>
      <c r="E615" s="1137"/>
      <c r="F615" s="2073"/>
      <c r="G615" s="2073"/>
      <c r="H615" s="2073"/>
      <c r="I615" s="2072"/>
      <c r="R615" s="2691"/>
      <c r="S615" s="2691"/>
      <c r="T615" s="2691"/>
    </row>
    <row r="616" spans="1:20" x14ac:dyDescent="0.2">
      <c r="D616" s="1841" t="s">
        <v>280</v>
      </c>
    </row>
    <row r="617" spans="1:20" ht="13.5" thickBot="1" x14ac:dyDescent="0.25">
      <c r="A617" s="1719" t="s">
        <v>26</v>
      </c>
      <c r="I617" s="2071" t="s">
        <v>92</v>
      </c>
    </row>
    <row r="618" spans="1:20" s="1043" customFormat="1" thickTop="1" thickBot="1" x14ac:dyDescent="0.25">
      <c r="A618" s="1047" t="s">
        <v>324</v>
      </c>
      <c r="B618" s="1044" t="s">
        <v>93</v>
      </c>
      <c r="C618" s="1046" t="s">
        <v>94</v>
      </c>
      <c r="D618" s="1069" t="s">
        <v>364</v>
      </c>
      <c r="E618" s="1069" t="s">
        <v>95</v>
      </c>
      <c r="F618" s="1069" t="s">
        <v>328</v>
      </c>
      <c r="G618" s="1069" t="s">
        <v>329</v>
      </c>
      <c r="H618" s="1749" t="s">
        <v>448</v>
      </c>
      <c r="I618" s="2089" t="s">
        <v>449</v>
      </c>
      <c r="R618" s="2689"/>
      <c r="S618" s="2689"/>
      <c r="T618" s="2689"/>
    </row>
    <row r="619" spans="1:20" s="1037" customFormat="1" ht="13.5" thickTop="1" thickBot="1" x14ac:dyDescent="0.25">
      <c r="A619" s="1042">
        <v>1</v>
      </c>
      <c r="B619" s="1041">
        <v>2</v>
      </c>
      <c r="C619" s="1041">
        <v>3</v>
      </c>
      <c r="D619" s="1041">
        <v>4</v>
      </c>
      <c r="E619" s="1041">
        <v>5</v>
      </c>
      <c r="F619" s="1040">
        <v>6</v>
      </c>
      <c r="G619" s="1040">
        <v>7</v>
      </c>
      <c r="H619" s="1164">
        <v>8</v>
      </c>
      <c r="I619" s="1039" t="s">
        <v>393</v>
      </c>
      <c r="R619" s="2690"/>
      <c r="S619" s="2690"/>
      <c r="T619" s="2690"/>
    </row>
    <row r="620" spans="1:20" ht="15.75" thickTop="1" x14ac:dyDescent="0.25">
      <c r="A620" s="2219">
        <v>1150</v>
      </c>
      <c r="B620" s="2218">
        <v>3122</v>
      </c>
      <c r="C620" s="2218">
        <v>5331</v>
      </c>
      <c r="D620" s="2086"/>
      <c r="E620" s="2085" t="s">
        <v>481</v>
      </c>
      <c r="F620" s="2084">
        <f>F621+F623+F622</f>
        <v>3278</v>
      </c>
      <c r="G620" s="2084">
        <f t="shared" ref="G620:H620" si="99">G621+G623+G622</f>
        <v>3196</v>
      </c>
      <c r="H620" s="2084">
        <f t="shared" si="99"/>
        <v>3196</v>
      </c>
      <c r="I620" s="2083">
        <f t="shared" ref="I620:I627" si="100">(H620/G620)*100</f>
        <v>100</v>
      </c>
    </row>
    <row r="621" spans="1:20" ht="28.5" hidden="1" x14ac:dyDescent="0.2">
      <c r="A621" s="2080"/>
      <c r="B621" s="2079"/>
      <c r="C621" s="2079"/>
      <c r="D621" s="2634" t="s">
        <v>972</v>
      </c>
      <c r="E621" s="2632" t="s">
        <v>1540</v>
      </c>
      <c r="F621" s="2081"/>
      <c r="G621" s="2077"/>
      <c r="H621" s="2077"/>
      <c r="I621" s="2076" t="e">
        <f t="shared" si="100"/>
        <v>#DIV/0!</v>
      </c>
    </row>
    <row r="622" spans="1:20" ht="14.25" x14ac:dyDescent="0.2">
      <c r="A622" s="2080"/>
      <c r="B622" s="2079"/>
      <c r="C622" s="2079"/>
      <c r="D622" s="2630" t="s">
        <v>1394</v>
      </c>
      <c r="E622" s="923" t="s">
        <v>1537</v>
      </c>
      <c r="F622" s="2081">
        <v>2763</v>
      </c>
      <c r="G622" s="2077">
        <v>2763</v>
      </c>
      <c r="H622" s="2077">
        <v>2763</v>
      </c>
      <c r="I622" s="2076">
        <f t="shared" si="100"/>
        <v>100</v>
      </c>
    </row>
    <row r="623" spans="1:20" ht="15" thickBot="1" x14ac:dyDescent="0.25">
      <c r="A623" s="2080"/>
      <c r="B623" s="2079"/>
      <c r="C623" s="2079"/>
      <c r="D623" s="811" t="s">
        <v>993</v>
      </c>
      <c r="E623" s="2627" t="s">
        <v>1538</v>
      </c>
      <c r="F623" s="2077">
        <v>515</v>
      </c>
      <c r="G623" s="2077">
        <v>433</v>
      </c>
      <c r="H623" s="2077">
        <v>433</v>
      </c>
      <c r="I623" s="2076">
        <f t="shared" si="100"/>
        <v>100</v>
      </c>
    </row>
    <row r="624" spans="1:20" ht="18" customHeight="1" thickTop="1" thickBot="1" x14ac:dyDescent="0.3">
      <c r="A624" s="3301" t="s">
        <v>522</v>
      </c>
      <c r="B624" s="3302"/>
      <c r="C624" s="3302"/>
      <c r="D624" s="3302"/>
      <c r="E624" s="3302"/>
      <c r="F624" s="2075">
        <f>F620</f>
        <v>3278</v>
      </c>
      <c r="G624" s="2075">
        <f>G620</f>
        <v>3196</v>
      </c>
      <c r="H624" s="2075">
        <f>H620</f>
        <v>3196</v>
      </c>
      <c r="I624" s="2074">
        <f t="shared" si="100"/>
        <v>100</v>
      </c>
      <c r="R624" s="2691">
        <f>F624</f>
        <v>3278</v>
      </c>
      <c r="S624" s="2691">
        <f>G624</f>
        <v>3196</v>
      </c>
      <c r="T624" s="2691">
        <f>H624</f>
        <v>3196</v>
      </c>
    </row>
    <row r="625" spans="1:23" ht="15.75" hidden="1" thickTop="1" x14ac:dyDescent="0.25">
      <c r="A625" s="2108">
        <v>1150</v>
      </c>
      <c r="B625" s="2079">
        <v>3122</v>
      </c>
      <c r="C625" s="2093">
        <v>6351</v>
      </c>
      <c r="D625" s="2107"/>
      <c r="E625" s="1739" t="s">
        <v>551</v>
      </c>
      <c r="F625" s="2106"/>
      <c r="G625" s="2106"/>
      <c r="H625" s="2106"/>
      <c r="I625" s="2105" t="e">
        <f t="shared" si="100"/>
        <v>#DIV/0!</v>
      </c>
      <c r="R625" s="2691"/>
      <c r="S625" s="2691"/>
      <c r="T625" s="2691"/>
    </row>
    <row r="626" spans="1:23" ht="15" hidden="1" thickBot="1" x14ac:dyDescent="0.25">
      <c r="A626" s="2104"/>
      <c r="B626" s="2103"/>
      <c r="C626" s="1017"/>
      <c r="D626" s="1888" t="s">
        <v>972</v>
      </c>
      <c r="E626" s="2100" t="s">
        <v>368</v>
      </c>
      <c r="F626" s="2077"/>
      <c r="G626" s="2077"/>
      <c r="H626" s="2077"/>
      <c r="I626" s="2076" t="e">
        <f t="shared" si="100"/>
        <v>#DIV/0!</v>
      </c>
      <c r="R626" s="2691"/>
      <c r="S626" s="2691"/>
      <c r="T626" s="2691"/>
    </row>
    <row r="627" spans="1:23" ht="16.5" hidden="1" thickTop="1" thickBot="1" x14ac:dyDescent="0.3">
      <c r="A627" s="3305" t="s">
        <v>523</v>
      </c>
      <c r="B627" s="3306"/>
      <c r="C627" s="3306"/>
      <c r="D627" s="3306"/>
      <c r="E627" s="3307"/>
      <c r="F627" s="2075">
        <v>0</v>
      </c>
      <c r="G627" s="2075">
        <f>G625</f>
        <v>0</v>
      </c>
      <c r="H627" s="2075">
        <f>SUM(H625)</f>
        <v>0</v>
      </c>
      <c r="I627" s="2074" t="e">
        <f t="shared" si="100"/>
        <v>#DIV/0!</v>
      </c>
      <c r="U627" s="1002">
        <f>F627</f>
        <v>0</v>
      </c>
      <c r="V627" s="1002">
        <f>G627</f>
        <v>0</v>
      </c>
      <c r="W627" s="1002">
        <f>H627</f>
        <v>0</v>
      </c>
    </row>
    <row r="628" spans="1:23" ht="15.75" thickTop="1" x14ac:dyDescent="0.25">
      <c r="A628" s="1137"/>
      <c r="B628" s="1137"/>
      <c r="C628" s="1137"/>
      <c r="D628" s="1137"/>
      <c r="E628" s="1137"/>
      <c r="F628" s="2073"/>
      <c r="G628" s="2073"/>
      <c r="H628" s="2073"/>
      <c r="I628" s="2072"/>
      <c r="R628" s="2691"/>
      <c r="S628" s="2691"/>
      <c r="T628" s="2691"/>
    </row>
    <row r="629" spans="1:23" ht="13.5" thickBot="1" x14ac:dyDescent="0.25">
      <c r="A629" s="1719" t="s">
        <v>158</v>
      </c>
      <c r="I629" s="2071" t="s">
        <v>92</v>
      </c>
    </row>
    <row r="630" spans="1:23" s="1043" customFormat="1" ht="20.25" customHeight="1" thickTop="1" thickBot="1" x14ac:dyDescent="0.25">
      <c r="A630" s="1047" t="s">
        <v>324</v>
      </c>
      <c r="B630" s="1044" t="s">
        <v>93</v>
      </c>
      <c r="C630" s="1046" t="s">
        <v>94</v>
      </c>
      <c r="D630" s="1069" t="s">
        <v>364</v>
      </c>
      <c r="E630" s="1069" t="s">
        <v>95</v>
      </c>
      <c r="F630" s="1069" t="s">
        <v>328</v>
      </c>
      <c r="G630" s="1069" t="s">
        <v>329</v>
      </c>
      <c r="H630" s="1749" t="s">
        <v>448</v>
      </c>
      <c r="I630" s="2089" t="s">
        <v>449</v>
      </c>
      <c r="R630" s="2689"/>
      <c r="S630" s="2689"/>
      <c r="T630" s="2689"/>
    </row>
    <row r="631" spans="1:23" s="1037" customFormat="1" ht="12" customHeight="1" thickTop="1" thickBot="1" x14ac:dyDescent="0.25">
      <c r="A631" s="1042">
        <v>1</v>
      </c>
      <c r="B631" s="1041">
        <v>2</v>
      </c>
      <c r="C631" s="1041">
        <v>3</v>
      </c>
      <c r="D631" s="1041">
        <v>4</v>
      </c>
      <c r="E631" s="1041">
        <v>5</v>
      </c>
      <c r="F631" s="1040">
        <v>6</v>
      </c>
      <c r="G631" s="1040">
        <v>7</v>
      </c>
      <c r="H631" s="1164">
        <v>8</v>
      </c>
      <c r="I631" s="1039" t="s">
        <v>393</v>
      </c>
      <c r="R631" s="2691">
        <f>F636</f>
        <v>1116</v>
      </c>
      <c r="S631" s="2691">
        <f>G636</f>
        <v>1131</v>
      </c>
      <c r="T631" s="2691">
        <f>H636</f>
        <v>1131</v>
      </c>
    </row>
    <row r="632" spans="1:23" ht="15.75" thickTop="1" x14ac:dyDescent="0.25">
      <c r="A632" s="2088">
        <v>1151</v>
      </c>
      <c r="B632" s="2087">
        <v>3122</v>
      </c>
      <c r="C632" s="2087">
        <v>5331</v>
      </c>
      <c r="D632" s="2086"/>
      <c r="E632" s="2085" t="s">
        <v>481</v>
      </c>
      <c r="F632" s="2084">
        <f>F633+F634+F635</f>
        <v>1116</v>
      </c>
      <c r="G632" s="2084">
        <f>G633+G634+G635</f>
        <v>1131</v>
      </c>
      <c r="H632" s="2084">
        <f>H633+H634+H635</f>
        <v>1131</v>
      </c>
      <c r="I632" s="2083">
        <f>(H632/G632)*100</f>
        <v>100</v>
      </c>
      <c r="R632" s="2691">
        <f>F639</f>
        <v>0</v>
      </c>
      <c r="S632" s="2691">
        <f>G639</f>
        <v>0</v>
      </c>
      <c r="T632" s="2691">
        <f>H639</f>
        <v>0</v>
      </c>
    </row>
    <row r="633" spans="1:23" ht="14.25" x14ac:dyDescent="0.2">
      <c r="A633" s="2080"/>
      <c r="B633" s="2079"/>
      <c r="C633" s="2079"/>
      <c r="D633" s="2630" t="s">
        <v>1394</v>
      </c>
      <c r="E633" s="923" t="s">
        <v>1537</v>
      </c>
      <c r="F633" s="2077">
        <v>1049</v>
      </c>
      <c r="G633" s="2077">
        <v>1049</v>
      </c>
      <c r="H633" s="2077">
        <v>1049</v>
      </c>
      <c r="I633" s="2076">
        <f>(H633/G633)*100</f>
        <v>100</v>
      </c>
      <c r="R633" s="2691">
        <f>R631+R632</f>
        <v>1116</v>
      </c>
      <c r="S633" s="2691">
        <f t="shared" ref="S633:T633" si="101">S631+S632</f>
        <v>1131</v>
      </c>
      <c r="T633" s="2691">
        <f t="shared" si="101"/>
        <v>1131</v>
      </c>
    </row>
    <row r="634" spans="1:23" ht="15" thickBot="1" x14ac:dyDescent="0.25">
      <c r="A634" s="2080"/>
      <c r="B634" s="2079"/>
      <c r="C634" s="2079"/>
      <c r="D634" s="811" t="s">
        <v>993</v>
      </c>
      <c r="E634" s="2627" t="s">
        <v>1538</v>
      </c>
      <c r="F634" s="2077">
        <v>67</v>
      </c>
      <c r="G634" s="2077">
        <v>82</v>
      </c>
      <c r="H634" s="2077">
        <v>82</v>
      </c>
      <c r="I634" s="2076">
        <f>(H634/G634)*100</f>
        <v>100</v>
      </c>
    </row>
    <row r="635" spans="1:23" ht="15" hidden="1" thickBot="1" x14ac:dyDescent="0.25">
      <c r="A635" s="2080"/>
      <c r="B635" s="2079"/>
      <c r="C635" s="2079"/>
      <c r="D635" s="1738" t="s">
        <v>906</v>
      </c>
      <c r="E635" s="2078" t="s">
        <v>38</v>
      </c>
      <c r="F635" s="2077"/>
      <c r="G635" s="2077"/>
      <c r="H635" s="2077"/>
      <c r="I635" s="2076" t="e">
        <f>(H635/G635)*100</f>
        <v>#DIV/0!</v>
      </c>
    </row>
    <row r="636" spans="1:23" ht="18" customHeight="1" thickTop="1" thickBot="1" x14ac:dyDescent="0.3">
      <c r="A636" s="3301" t="s">
        <v>522</v>
      </c>
      <c r="B636" s="3302"/>
      <c r="C636" s="3302"/>
      <c r="D636" s="3302"/>
      <c r="E636" s="3302"/>
      <c r="F636" s="2075">
        <f>F632</f>
        <v>1116</v>
      </c>
      <c r="G636" s="2075">
        <f>G632</f>
        <v>1131</v>
      </c>
      <c r="H636" s="2075">
        <f>H632</f>
        <v>1131</v>
      </c>
      <c r="I636" s="2074">
        <f>(H636/G636)*100</f>
        <v>100</v>
      </c>
    </row>
    <row r="637" spans="1:23" ht="18" hidden="1" customHeight="1" thickTop="1" x14ac:dyDescent="0.25">
      <c r="A637" s="2640">
        <v>1151</v>
      </c>
      <c r="B637" s="19">
        <v>3122</v>
      </c>
      <c r="C637" s="151">
        <v>6351</v>
      </c>
      <c r="D637" s="2641"/>
      <c r="E637" s="845" t="s">
        <v>551</v>
      </c>
      <c r="F637" s="2642">
        <f>F638</f>
        <v>0</v>
      </c>
      <c r="G637" s="2642">
        <f t="shared" ref="G637:H637" si="102">G638</f>
        <v>0</v>
      </c>
      <c r="H637" s="2642">
        <f t="shared" si="102"/>
        <v>0</v>
      </c>
      <c r="I637" s="2643">
        <v>100</v>
      </c>
    </row>
    <row r="638" spans="1:23" ht="30" hidden="1" customHeight="1" thickBot="1" x14ac:dyDescent="0.25">
      <c r="A638" s="2644"/>
      <c r="B638" s="822"/>
      <c r="C638" s="2645"/>
      <c r="D638" s="2634" t="s">
        <v>972</v>
      </c>
      <c r="E638" s="2632" t="s">
        <v>1540</v>
      </c>
      <c r="F638" s="2646"/>
      <c r="G638" s="2646"/>
      <c r="H638" s="2646"/>
      <c r="I638" s="2647">
        <v>100</v>
      </c>
      <c r="U638" s="1002"/>
    </row>
    <row r="639" spans="1:23" ht="18" hidden="1" customHeight="1" thickTop="1" thickBot="1" x14ac:dyDescent="0.3">
      <c r="A639" s="3241" t="s">
        <v>523</v>
      </c>
      <c r="B639" s="3242"/>
      <c r="C639" s="3242"/>
      <c r="D639" s="3242"/>
      <c r="E639" s="3243"/>
      <c r="F639" s="2648">
        <f>F637</f>
        <v>0</v>
      </c>
      <c r="G639" s="2648">
        <f t="shared" ref="G639:H639" si="103">G637</f>
        <v>0</v>
      </c>
      <c r="H639" s="2648">
        <f t="shared" si="103"/>
        <v>0</v>
      </c>
      <c r="I639" s="2649">
        <v>100</v>
      </c>
      <c r="R639" s="2691"/>
      <c r="S639" s="2691"/>
      <c r="T639" s="2691"/>
    </row>
    <row r="640" spans="1:23" ht="18" customHeight="1" thickTop="1" x14ac:dyDescent="0.25">
      <c r="A640" s="1137"/>
      <c r="B640" s="1137"/>
      <c r="C640" s="1137"/>
      <c r="D640" s="1137"/>
      <c r="E640" s="1137"/>
      <c r="F640" s="2073"/>
      <c r="G640" s="2073"/>
      <c r="H640" s="2073"/>
      <c r="I640" s="2072"/>
      <c r="R640" s="2691"/>
      <c r="S640" s="2691"/>
      <c r="T640" s="2691"/>
    </row>
    <row r="641" spans="1:23" ht="14.25" customHeight="1" x14ac:dyDescent="0.25">
      <c r="A641" s="1137"/>
      <c r="B641" s="1137"/>
      <c r="C641" s="1137"/>
      <c r="D641" s="1137"/>
      <c r="E641" s="1137"/>
      <c r="F641" s="2073"/>
      <c r="G641" s="2073"/>
      <c r="H641" s="2073"/>
      <c r="I641" s="2072"/>
      <c r="R641" s="2691"/>
      <c r="S641" s="2691"/>
      <c r="T641" s="2691"/>
    </row>
    <row r="642" spans="1:23" ht="13.5" thickBot="1" x14ac:dyDescent="0.25">
      <c r="A642" s="1719" t="s">
        <v>287</v>
      </c>
      <c r="I642" s="2071" t="s">
        <v>92</v>
      </c>
    </row>
    <row r="643" spans="1:23" s="1043" customFormat="1" thickTop="1" thickBot="1" x14ac:dyDescent="0.25">
      <c r="A643" s="1047" t="s">
        <v>324</v>
      </c>
      <c r="B643" s="1044" t="s">
        <v>93</v>
      </c>
      <c r="C643" s="1046" t="s">
        <v>94</v>
      </c>
      <c r="D643" s="1069" t="s">
        <v>364</v>
      </c>
      <c r="E643" s="1069" t="s">
        <v>95</v>
      </c>
      <c r="F643" s="1069" t="s">
        <v>328</v>
      </c>
      <c r="G643" s="1069" t="s">
        <v>329</v>
      </c>
      <c r="H643" s="1749" t="s">
        <v>448</v>
      </c>
      <c r="I643" s="2089" t="s">
        <v>449</v>
      </c>
      <c r="R643" s="2689"/>
      <c r="S643" s="2689"/>
      <c r="T643" s="2689"/>
    </row>
    <row r="644" spans="1:23" s="1037" customFormat="1" ht="12" customHeight="1" thickTop="1" thickBot="1" x14ac:dyDescent="0.25">
      <c r="A644" s="1042">
        <v>1</v>
      </c>
      <c r="B644" s="1041">
        <v>2</v>
      </c>
      <c r="C644" s="1041">
        <v>3</v>
      </c>
      <c r="D644" s="1041">
        <v>4</v>
      </c>
      <c r="E644" s="1041">
        <v>5</v>
      </c>
      <c r="F644" s="1040">
        <v>6</v>
      </c>
      <c r="G644" s="1040">
        <v>7</v>
      </c>
      <c r="H644" s="1164">
        <v>8</v>
      </c>
      <c r="I644" s="1039" t="s">
        <v>393</v>
      </c>
      <c r="R644" s="2690"/>
      <c r="S644" s="2690"/>
      <c r="T644" s="2690"/>
    </row>
    <row r="645" spans="1:23" ht="15.75" thickTop="1" x14ac:dyDescent="0.25">
      <c r="A645" s="2088">
        <v>1152</v>
      </c>
      <c r="B645" s="2087">
        <v>3122</v>
      </c>
      <c r="C645" s="2087">
        <v>5331</v>
      </c>
      <c r="D645" s="2086"/>
      <c r="E645" s="2085" t="s">
        <v>481</v>
      </c>
      <c r="F645" s="2084">
        <f>F646+F647+F648</f>
        <v>2170</v>
      </c>
      <c r="G645" s="2084">
        <f>G646+G647+G648</f>
        <v>2105</v>
      </c>
      <c r="H645" s="2084">
        <f>H646+H647+H648</f>
        <v>2105</v>
      </c>
      <c r="I645" s="2083">
        <f t="shared" ref="I645:I652" si="104">(H645/G645)*100</f>
        <v>100</v>
      </c>
    </row>
    <row r="646" spans="1:23" ht="13.5" customHeight="1" x14ac:dyDescent="0.2">
      <c r="A646" s="2080"/>
      <c r="B646" s="2079"/>
      <c r="C646" s="2079"/>
      <c r="D646" s="2630" t="s">
        <v>1394</v>
      </c>
      <c r="E646" s="923" t="s">
        <v>1537</v>
      </c>
      <c r="F646" s="2077">
        <v>1599</v>
      </c>
      <c r="G646" s="2077">
        <v>1599</v>
      </c>
      <c r="H646" s="2077">
        <v>1599</v>
      </c>
      <c r="I646" s="2076">
        <f t="shared" si="104"/>
        <v>100</v>
      </c>
    </row>
    <row r="647" spans="1:23" ht="13.5" hidden="1" customHeight="1" x14ac:dyDescent="0.2">
      <c r="A647" s="2080"/>
      <c r="B647" s="2079"/>
      <c r="C647" s="2079"/>
      <c r="D647" s="1888" t="s">
        <v>972</v>
      </c>
      <c r="E647" s="2100" t="s">
        <v>368</v>
      </c>
      <c r="F647" s="2077"/>
      <c r="G647" s="2077"/>
      <c r="H647" s="2077"/>
      <c r="I647" s="2076" t="e">
        <f t="shared" si="104"/>
        <v>#DIV/0!</v>
      </c>
    </row>
    <row r="648" spans="1:23" ht="15" thickBot="1" x14ac:dyDescent="0.25">
      <c r="A648" s="2080"/>
      <c r="B648" s="2079"/>
      <c r="C648" s="2079"/>
      <c r="D648" s="811" t="s">
        <v>993</v>
      </c>
      <c r="E648" s="2627" t="s">
        <v>1538</v>
      </c>
      <c r="F648" s="2077">
        <v>571</v>
      </c>
      <c r="G648" s="2077">
        <v>506</v>
      </c>
      <c r="H648" s="2077">
        <v>506</v>
      </c>
      <c r="I648" s="2076">
        <f t="shared" si="104"/>
        <v>100</v>
      </c>
    </row>
    <row r="649" spans="1:23" ht="15.75" customHeight="1" thickTop="1" thickBot="1" x14ac:dyDescent="0.3">
      <c r="A649" s="3301" t="s">
        <v>522</v>
      </c>
      <c r="B649" s="3302"/>
      <c r="C649" s="3302"/>
      <c r="D649" s="3302"/>
      <c r="E649" s="3302"/>
      <c r="F649" s="2075">
        <f>F645</f>
        <v>2170</v>
      </c>
      <c r="G649" s="2075">
        <f>G645</f>
        <v>2105</v>
      </c>
      <c r="H649" s="2075">
        <f>H645</f>
        <v>2105</v>
      </c>
      <c r="I649" s="2074">
        <f t="shared" si="104"/>
        <v>100</v>
      </c>
      <c r="R649" s="2691">
        <f>F649</f>
        <v>2170</v>
      </c>
      <c r="S649" s="2691">
        <f>G649</f>
        <v>2105</v>
      </c>
      <c r="T649" s="2691">
        <f>H649</f>
        <v>2105</v>
      </c>
    </row>
    <row r="650" spans="1:23" ht="15.75" hidden="1" thickTop="1" x14ac:dyDescent="0.25">
      <c r="A650" s="2108">
        <v>1152</v>
      </c>
      <c r="B650" s="2079">
        <v>3122</v>
      </c>
      <c r="C650" s="2093">
        <v>6351</v>
      </c>
      <c r="D650" s="2107"/>
      <c r="E650" s="1739" t="s">
        <v>551</v>
      </c>
      <c r="F650" s="2106"/>
      <c r="G650" s="2106"/>
      <c r="H650" s="2106"/>
      <c r="I650" s="2105" t="e">
        <f t="shared" si="104"/>
        <v>#DIV/0!</v>
      </c>
      <c r="R650" s="2691"/>
      <c r="S650" s="2691"/>
      <c r="T650" s="2691"/>
    </row>
    <row r="651" spans="1:23" ht="15" hidden="1" thickBot="1" x14ac:dyDescent="0.25">
      <c r="A651" s="2104"/>
      <c r="B651" s="2103"/>
      <c r="C651" s="1017"/>
      <c r="D651" s="1888" t="s">
        <v>972</v>
      </c>
      <c r="E651" s="2100" t="s">
        <v>368</v>
      </c>
      <c r="F651" s="2077"/>
      <c r="G651" s="2077"/>
      <c r="H651" s="2077"/>
      <c r="I651" s="2076" t="e">
        <f t="shared" si="104"/>
        <v>#DIV/0!</v>
      </c>
      <c r="R651" s="2691"/>
      <c r="S651" s="2691"/>
      <c r="T651" s="2691"/>
    </row>
    <row r="652" spans="1:23" ht="16.5" hidden="1" thickTop="1" thickBot="1" x14ac:dyDescent="0.3">
      <c r="A652" s="3305" t="s">
        <v>523</v>
      </c>
      <c r="B652" s="3306"/>
      <c r="C652" s="3306"/>
      <c r="D652" s="3306"/>
      <c r="E652" s="3307"/>
      <c r="F652" s="2075">
        <v>0</v>
      </c>
      <c r="G652" s="2075">
        <f>G650</f>
        <v>0</v>
      </c>
      <c r="H652" s="2075">
        <f>SUM(H650)</f>
        <v>0</v>
      </c>
      <c r="I652" s="2074" t="e">
        <f t="shared" si="104"/>
        <v>#DIV/0!</v>
      </c>
      <c r="U652" s="1002">
        <f>F652</f>
        <v>0</v>
      </c>
      <c r="V652" s="1002">
        <f>G652</f>
        <v>0</v>
      </c>
      <c r="W652" s="1002">
        <f>H652</f>
        <v>0</v>
      </c>
    </row>
    <row r="653" spans="1:23" ht="13.5" thickTop="1" x14ac:dyDescent="0.2"/>
    <row r="654" spans="1:23" ht="13.5" thickBot="1" x14ac:dyDescent="0.25">
      <c r="A654" s="1719" t="s">
        <v>104</v>
      </c>
      <c r="I654" s="2071" t="s">
        <v>92</v>
      </c>
    </row>
    <row r="655" spans="1:23" s="1043" customFormat="1" thickTop="1" thickBot="1" x14ac:dyDescent="0.25">
      <c r="A655" s="1047" t="s">
        <v>324</v>
      </c>
      <c r="B655" s="1044" t="s">
        <v>93</v>
      </c>
      <c r="C655" s="1046" t="s">
        <v>94</v>
      </c>
      <c r="D655" s="1069" t="s">
        <v>364</v>
      </c>
      <c r="E655" s="1069" t="s">
        <v>95</v>
      </c>
      <c r="F655" s="1069" t="s">
        <v>328</v>
      </c>
      <c r="G655" s="1069" t="s">
        <v>329</v>
      </c>
      <c r="H655" s="1749" t="s">
        <v>448</v>
      </c>
      <c r="I655" s="2089" t="s">
        <v>449</v>
      </c>
      <c r="R655" s="2689"/>
      <c r="S655" s="2689"/>
      <c r="T655" s="2689"/>
    </row>
    <row r="656" spans="1:23" s="1037" customFormat="1" ht="15" customHeight="1" thickTop="1" thickBot="1" x14ac:dyDescent="0.25">
      <c r="A656" s="1042">
        <v>1</v>
      </c>
      <c r="B656" s="1041">
        <v>2</v>
      </c>
      <c r="C656" s="1041">
        <v>3</v>
      </c>
      <c r="D656" s="1041">
        <v>4</v>
      </c>
      <c r="E656" s="1041">
        <v>5</v>
      </c>
      <c r="F656" s="1040">
        <v>6</v>
      </c>
      <c r="G656" s="1040">
        <v>7</v>
      </c>
      <c r="H656" s="1164">
        <v>8</v>
      </c>
      <c r="I656" s="1039" t="s">
        <v>393</v>
      </c>
      <c r="R656" s="2690"/>
      <c r="S656" s="2690"/>
      <c r="T656" s="2690"/>
    </row>
    <row r="657" spans="1:20" ht="15.75" thickTop="1" x14ac:dyDescent="0.25">
      <c r="A657" s="2088">
        <v>1153</v>
      </c>
      <c r="B657" s="2087">
        <v>3122</v>
      </c>
      <c r="C657" s="2087">
        <v>5331</v>
      </c>
      <c r="D657" s="2086"/>
      <c r="E657" s="2085" t="s">
        <v>481</v>
      </c>
      <c r="F657" s="2084">
        <f>F658+F660+F659</f>
        <v>4480</v>
      </c>
      <c r="G657" s="2084">
        <f>G658+G660+G659</f>
        <v>4500</v>
      </c>
      <c r="H657" s="2084">
        <f>H658+H660+H659</f>
        <v>4500</v>
      </c>
      <c r="I657" s="2083">
        <f>(H657/G657)*100</f>
        <v>100</v>
      </c>
    </row>
    <row r="658" spans="1:20" ht="14.25" x14ac:dyDescent="0.2">
      <c r="A658" s="2080"/>
      <c r="B658" s="2079"/>
      <c r="C658" s="2079"/>
      <c r="D658" s="2630" t="s">
        <v>1394</v>
      </c>
      <c r="E658" s="923" t="s">
        <v>1537</v>
      </c>
      <c r="F658" s="2077">
        <v>3033</v>
      </c>
      <c r="G658" s="2077">
        <v>3049</v>
      </c>
      <c r="H658" s="2077">
        <v>3049</v>
      </c>
      <c r="I658" s="2076">
        <f>(H658/G658)*100</f>
        <v>100</v>
      </c>
    </row>
    <row r="659" spans="1:20" ht="14.25" x14ac:dyDescent="0.2">
      <c r="A659" s="2080"/>
      <c r="B659" s="2079"/>
      <c r="C659" s="2079"/>
      <c r="D659" s="811" t="s">
        <v>994</v>
      </c>
      <c r="E659" s="2627" t="s">
        <v>1541</v>
      </c>
      <c r="F659" s="2077">
        <v>32</v>
      </c>
      <c r="G659" s="2077">
        <v>16</v>
      </c>
      <c r="H659" s="2077">
        <v>16</v>
      </c>
      <c r="I659" s="2076">
        <f>(H659/G659)*100</f>
        <v>100</v>
      </c>
    </row>
    <row r="660" spans="1:20" ht="15" thickBot="1" x14ac:dyDescent="0.25">
      <c r="A660" s="2080"/>
      <c r="B660" s="2079"/>
      <c r="C660" s="2079"/>
      <c r="D660" s="811" t="s">
        <v>993</v>
      </c>
      <c r="E660" s="2627" t="s">
        <v>1538</v>
      </c>
      <c r="F660" s="2077">
        <v>1415</v>
      </c>
      <c r="G660" s="2077">
        <v>1435</v>
      </c>
      <c r="H660" s="2077">
        <v>1435</v>
      </c>
      <c r="I660" s="2076">
        <f>(H660/G660)*100</f>
        <v>100</v>
      </c>
    </row>
    <row r="661" spans="1:20" ht="18" customHeight="1" thickTop="1" thickBot="1" x14ac:dyDescent="0.3">
      <c r="A661" s="3301" t="s">
        <v>522</v>
      </c>
      <c r="B661" s="3302"/>
      <c r="C661" s="3302"/>
      <c r="D661" s="3302"/>
      <c r="E661" s="3302"/>
      <c r="F661" s="2075">
        <f>F657</f>
        <v>4480</v>
      </c>
      <c r="G661" s="2075">
        <f>G657</f>
        <v>4500</v>
      </c>
      <c r="H661" s="2075">
        <f>H657</f>
        <v>4500</v>
      </c>
      <c r="I661" s="2074">
        <f>(H661/G661)*100</f>
        <v>100</v>
      </c>
      <c r="R661" s="2691">
        <f>F661</f>
        <v>4480</v>
      </c>
      <c r="S661" s="2691">
        <f>G661</f>
        <v>4500</v>
      </c>
      <c r="T661" s="2691">
        <f>H661</f>
        <v>4500</v>
      </c>
    </row>
    <row r="662" spans="1:20" ht="18" customHeight="1" thickTop="1" x14ac:dyDescent="0.25">
      <c r="A662" s="2640">
        <v>1153</v>
      </c>
      <c r="B662" s="19">
        <v>3122</v>
      </c>
      <c r="C662" s="151">
        <v>6351</v>
      </c>
      <c r="D662" s="2641"/>
      <c r="E662" s="845" t="s">
        <v>551</v>
      </c>
      <c r="F662" s="2642">
        <f>F663</f>
        <v>0</v>
      </c>
      <c r="G662" s="2642">
        <f t="shared" ref="G662:H662" si="105">G663</f>
        <v>310</v>
      </c>
      <c r="H662" s="2642">
        <f t="shared" si="105"/>
        <v>310</v>
      </c>
      <c r="I662" s="2643">
        <v>100</v>
      </c>
      <c r="R662" s="2691"/>
      <c r="S662" s="2691"/>
      <c r="T662" s="2691"/>
    </row>
    <row r="663" spans="1:20" ht="26.25" customHeight="1" thickBot="1" x14ac:dyDescent="0.25">
      <c r="A663" s="2644"/>
      <c r="B663" s="822"/>
      <c r="C663" s="2645"/>
      <c r="D663" s="3034" t="s">
        <v>972</v>
      </c>
      <c r="E663" s="2952" t="s">
        <v>1540</v>
      </c>
      <c r="F663" s="3039">
        <v>0</v>
      </c>
      <c r="G663" s="3039">
        <v>310</v>
      </c>
      <c r="H663" s="3039">
        <v>310</v>
      </c>
      <c r="I663" s="3040">
        <v>100</v>
      </c>
      <c r="R663" s="2691"/>
      <c r="S663" s="2691"/>
      <c r="T663" s="2691"/>
    </row>
    <row r="664" spans="1:20" ht="18" customHeight="1" thickTop="1" thickBot="1" x14ac:dyDescent="0.3">
      <c r="A664" s="3241" t="s">
        <v>523</v>
      </c>
      <c r="B664" s="3242"/>
      <c r="C664" s="3242"/>
      <c r="D664" s="3242"/>
      <c r="E664" s="3243"/>
      <c r="F664" s="2648">
        <f>F662</f>
        <v>0</v>
      </c>
      <c r="G664" s="2648">
        <f t="shared" ref="G664:H664" si="106">G662</f>
        <v>310</v>
      </c>
      <c r="H664" s="2648">
        <f t="shared" si="106"/>
        <v>310</v>
      </c>
      <c r="I664" s="2649">
        <v>100</v>
      </c>
      <c r="R664" s="2691"/>
      <c r="S664" s="2691"/>
      <c r="T664" s="2691"/>
    </row>
    <row r="665" spans="1:20" ht="15.75" thickTop="1" x14ac:dyDescent="0.25">
      <c r="A665" s="1137"/>
      <c r="B665" s="1137"/>
      <c r="C665" s="1137"/>
      <c r="D665" s="1137"/>
      <c r="E665" s="1137"/>
      <c r="F665" s="2130"/>
      <c r="G665" s="2130"/>
      <c r="H665" s="2130"/>
      <c r="I665" s="2129"/>
      <c r="K665" s="1002"/>
      <c r="L665" s="1002"/>
    </row>
    <row r="666" spans="1:20" ht="13.5" thickBot="1" x14ac:dyDescent="0.25">
      <c r="A666" s="1719" t="s">
        <v>524</v>
      </c>
      <c r="I666" s="2071" t="s">
        <v>92</v>
      </c>
    </row>
    <row r="667" spans="1:20" s="1043" customFormat="1" thickTop="1" thickBot="1" x14ac:dyDescent="0.25">
      <c r="A667" s="1047" t="s">
        <v>324</v>
      </c>
      <c r="B667" s="1044" t="s">
        <v>93</v>
      </c>
      <c r="C667" s="1046" t="s">
        <v>94</v>
      </c>
      <c r="D667" s="1069" t="s">
        <v>364</v>
      </c>
      <c r="E667" s="1069" t="s">
        <v>95</v>
      </c>
      <c r="F667" s="1069" t="s">
        <v>328</v>
      </c>
      <c r="G667" s="1069" t="s">
        <v>329</v>
      </c>
      <c r="H667" s="1749" t="s">
        <v>448</v>
      </c>
      <c r="I667" s="2089" t="s">
        <v>449</v>
      </c>
      <c r="R667" s="2689"/>
      <c r="S667" s="2689"/>
      <c r="T667" s="2689"/>
    </row>
    <row r="668" spans="1:20" s="1037" customFormat="1" ht="13.5" thickTop="1" thickBot="1" x14ac:dyDescent="0.25">
      <c r="A668" s="1042">
        <v>1</v>
      </c>
      <c r="B668" s="1041">
        <v>2</v>
      </c>
      <c r="C668" s="1041">
        <v>3</v>
      </c>
      <c r="D668" s="1041">
        <v>4</v>
      </c>
      <c r="E668" s="1041">
        <v>5</v>
      </c>
      <c r="F668" s="1040">
        <v>6</v>
      </c>
      <c r="G668" s="1040">
        <v>7</v>
      </c>
      <c r="H668" s="1164">
        <v>8</v>
      </c>
      <c r="I668" s="1039" t="s">
        <v>393</v>
      </c>
      <c r="R668" s="2690"/>
      <c r="S668" s="2690"/>
      <c r="T668" s="2690"/>
    </row>
    <row r="669" spans="1:20" ht="15.75" thickTop="1" x14ac:dyDescent="0.25">
      <c r="A669" s="2088">
        <v>1154</v>
      </c>
      <c r="B669" s="2087">
        <v>3122</v>
      </c>
      <c r="C669" s="2087">
        <v>5331</v>
      </c>
      <c r="D669" s="2086"/>
      <c r="E669" s="2085" t="s">
        <v>481</v>
      </c>
      <c r="F669" s="2084">
        <f>F670+F671+F672</f>
        <v>2250</v>
      </c>
      <c r="G669" s="2084">
        <f>G670+G671+G672</f>
        <v>2248</v>
      </c>
      <c r="H669" s="2084">
        <f>H670+H671+H672</f>
        <v>2248</v>
      </c>
      <c r="I669" s="2083">
        <f>(H669/G669)*100</f>
        <v>100</v>
      </c>
    </row>
    <row r="670" spans="1:20" ht="14.25" x14ac:dyDescent="0.2">
      <c r="A670" s="2080"/>
      <c r="B670" s="2079"/>
      <c r="C670" s="2079"/>
      <c r="D670" s="2630" t="s">
        <v>1394</v>
      </c>
      <c r="E670" s="923" t="s">
        <v>1537</v>
      </c>
      <c r="F670" s="2077">
        <v>1921</v>
      </c>
      <c r="G670" s="2077">
        <v>1921</v>
      </c>
      <c r="H670" s="2077">
        <v>1921</v>
      </c>
      <c r="I670" s="2076">
        <f>(H670/G670)*100</f>
        <v>100</v>
      </c>
    </row>
    <row r="671" spans="1:20" ht="15" thickBot="1" x14ac:dyDescent="0.25">
      <c r="A671" s="2080"/>
      <c r="B671" s="2079"/>
      <c r="C671" s="2079"/>
      <c r="D671" s="811" t="s">
        <v>993</v>
      </c>
      <c r="E671" s="2627" t="s">
        <v>1538</v>
      </c>
      <c r="F671" s="2077">
        <v>329</v>
      </c>
      <c r="G671" s="2077">
        <v>327</v>
      </c>
      <c r="H671" s="2077">
        <v>327</v>
      </c>
      <c r="I671" s="2076">
        <f>(H671/G671)*100</f>
        <v>100</v>
      </c>
    </row>
    <row r="672" spans="1:20" ht="15" hidden="1" thickBot="1" x14ac:dyDescent="0.25">
      <c r="A672" s="2080"/>
      <c r="B672" s="2079"/>
      <c r="C672" s="2079"/>
      <c r="D672" s="1738" t="s">
        <v>906</v>
      </c>
      <c r="E672" s="2078" t="s">
        <v>38</v>
      </c>
      <c r="F672" s="2077"/>
      <c r="G672" s="2077"/>
      <c r="H672" s="2077"/>
      <c r="I672" s="2076" t="e">
        <f>(H672/G672)*100</f>
        <v>#DIV/0!</v>
      </c>
    </row>
    <row r="673" spans="1:20" ht="16.5" thickTop="1" thickBot="1" x14ac:dyDescent="0.3">
      <c r="A673" s="3301" t="s">
        <v>522</v>
      </c>
      <c r="B673" s="3302"/>
      <c r="C673" s="3302"/>
      <c r="D673" s="3302"/>
      <c r="E673" s="3302"/>
      <c r="F673" s="2075">
        <f>F669</f>
        <v>2250</v>
      </c>
      <c r="G673" s="2075">
        <f>G669</f>
        <v>2248</v>
      </c>
      <c r="H673" s="2075">
        <f>H669</f>
        <v>2248</v>
      </c>
      <c r="I673" s="2074">
        <f>(H673/G673)*100</f>
        <v>100</v>
      </c>
      <c r="R673" s="2691">
        <f>F673</f>
        <v>2250</v>
      </c>
      <c r="S673" s="2691">
        <f>G673</f>
        <v>2248</v>
      </c>
      <c r="T673" s="2691">
        <f>H673</f>
        <v>2248</v>
      </c>
    </row>
    <row r="674" spans="1:20" ht="13.5" thickTop="1" x14ac:dyDescent="0.2"/>
    <row r="676" spans="1:20" ht="13.5" thickBot="1" x14ac:dyDescent="0.25">
      <c r="A676" s="1719" t="s">
        <v>865</v>
      </c>
      <c r="I676" s="2071" t="s">
        <v>92</v>
      </c>
    </row>
    <row r="677" spans="1:20" s="1043" customFormat="1" ht="20.25" customHeight="1" thickTop="1" thickBot="1" x14ac:dyDescent="0.25">
      <c r="A677" s="1047" t="s">
        <v>324</v>
      </c>
      <c r="B677" s="1044" t="s">
        <v>93</v>
      </c>
      <c r="C677" s="1046" t="s">
        <v>94</v>
      </c>
      <c r="D677" s="1069" t="s">
        <v>364</v>
      </c>
      <c r="E677" s="1069" t="s">
        <v>95</v>
      </c>
      <c r="F677" s="1069" t="s">
        <v>328</v>
      </c>
      <c r="G677" s="1069" t="s">
        <v>329</v>
      </c>
      <c r="H677" s="1749" t="s">
        <v>448</v>
      </c>
      <c r="I677" s="2089" t="s">
        <v>449</v>
      </c>
      <c r="R677" s="2689"/>
      <c r="S677" s="2689"/>
      <c r="T677" s="2689"/>
    </row>
    <row r="678" spans="1:20" s="1037" customFormat="1" ht="13.5" thickTop="1" thickBot="1" x14ac:dyDescent="0.25">
      <c r="A678" s="1042">
        <v>1</v>
      </c>
      <c r="B678" s="1041">
        <v>2</v>
      </c>
      <c r="C678" s="1041">
        <v>3</v>
      </c>
      <c r="D678" s="1041">
        <v>4</v>
      </c>
      <c r="E678" s="1041">
        <v>5</v>
      </c>
      <c r="F678" s="1040">
        <v>6</v>
      </c>
      <c r="G678" s="1040">
        <v>7</v>
      </c>
      <c r="H678" s="1164">
        <v>8</v>
      </c>
      <c r="I678" s="1039" t="s">
        <v>393</v>
      </c>
      <c r="R678" s="2690"/>
      <c r="S678" s="2690"/>
      <c r="T678" s="2690"/>
    </row>
    <row r="679" spans="1:20" ht="15.75" thickTop="1" x14ac:dyDescent="0.25">
      <c r="A679" s="2088">
        <v>1160</v>
      </c>
      <c r="B679" s="2087">
        <v>3122</v>
      </c>
      <c r="C679" s="2087">
        <v>5331</v>
      </c>
      <c r="D679" s="2086"/>
      <c r="E679" s="2085" t="s">
        <v>481</v>
      </c>
      <c r="F679" s="2084">
        <f>F681+F682+F683+F680</f>
        <v>5650</v>
      </c>
      <c r="G679" s="2084">
        <f t="shared" ref="G679:H679" si="107">G681+G682+G683+G680</f>
        <v>5874</v>
      </c>
      <c r="H679" s="2084">
        <f t="shared" si="107"/>
        <v>5874</v>
      </c>
      <c r="I679" s="2083">
        <f t="shared" ref="I679:I684" si="108">(H679/G679)*100</f>
        <v>100</v>
      </c>
    </row>
    <row r="680" spans="1:20" ht="27.75" customHeight="1" x14ac:dyDescent="0.2">
      <c r="A680" s="2080"/>
      <c r="B680" s="2079"/>
      <c r="C680" s="2079"/>
      <c r="D680" s="3034" t="s">
        <v>972</v>
      </c>
      <c r="E680" s="2951" t="s">
        <v>1540</v>
      </c>
      <c r="F680" s="3038">
        <v>0</v>
      </c>
      <c r="G680" s="3038">
        <v>314</v>
      </c>
      <c r="H680" s="3038">
        <v>314</v>
      </c>
      <c r="I680" s="2147">
        <f t="shared" si="108"/>
        <v>100</v>
      </c>
    </row>
    <row r="681" spans="1:20" ht="14.25" x14ac:dyDescent="0.2">
      <c r="A681" s="2080"/>
      <c r="B681" s="2079"/>
      <c r="C681" s="2079"/>
      <c r="D681" s="2630" t="s">
        <v>1394</v>
      </c>
      <c r="E681" s="923" t="s">
        <v>1537</v>
      </c>
      <c r="F681" s="2077">
        <v>4511</v>
      </c>
      <c r="G681" s="2077">
        <v>4511</v>
      </c>
      <c r="H681" s="2077">
        <v>4511</v>
      </c>
      <c r="I681" s="2076">
        <f t="shared" si="108"/>
        <v>100</v>
      </c>
    </row>
    <row r="682" spans="1:20" ht="14.25" x14ac:dyDescent="0.2">
      <c r="A682" s="2080"/>
      <c r="B682" s="2079"/>
      <c r="C682" s="2079"/>
      <c r="D682" s="811" t="s">
        <v>993</v>
      </c>
      <c r="E682" s="2627" t="s">
        <v>1538</v>
      </c>
      <c r="F682" s="2077">
        <v>1139</v>
      </c>
      <c r="G682" s="2077">
        <v>870</v>
      </c>
      <c r="H682" s="2077">
        <v>870</v>
      </c>
      <c r="I682" s="2076">
        <f t="shared" si="108"/>
        <v>100</v>
      </c>
    </row>
    <row r="683" spans="1:20" ht="15" thickBot="1" x14ac:dyDescent="0.25">
      <c r="A683" s="2080"/>
      <c r="B683" s="2093"/>
      <c r="C683" s="2093"/>
      <c r="D683" s="811" t="s">
        <v>1397</v>
      </c>
      <c r="E683" s="2627" t="s">
        <v>1542</v>
      </c>
      <c r="F683" s="2091">
        <v>0</v>
      </c>
      <c r="G683" s="2091">
        <v>179</v>
      </c>
      <c r="H683" s="2091">
        <v>179</v>
      </c>
      <c r="I683" s="2090">
        <f t="shared" si="108"/>
        <v>100</v>
      </c>
    </row>
    <row r="684" spans="1:20" ht="16.5" thickTop="1" thickBot="1" x14ac:dyDescent="0.3">
      <c r="A684" s="3301" t="s">
        <v>522</v>
      </c>
      <c r="B684" s="3302"/>
      <c r="C684" s="3302"/>
      <c r="D684" s="3302"/>
      <c r="E684" s="3302"/>
      <c r="F684" s="2075">
        <f>F679</f>
        <v>5650</v>
      </c>
      <c r="G684" s="2075">
        <f>G679</f>
        <v>5874</v>
      </c>
      <c r="H684" s="2075">
        <f>H679</f>
        <v>5874</v>
      </c>
      <c r="I684" s="2074">
        <f t="shared" si="108"/>
        <v>100</v>
      </c>
      <c r="R684" s="2691">
        <f>F684</f>
        <v>5650</v>
      </c>
      <c r="S684" s="2691">
        <f>G684</f>
        <v>5874</v>
      </c>
      <c r="T684" s="2691">
        <f>H684</f>
        <v>5874</v>
      </c>
    </row>
    <row r="685" spans="1:20" ht="15.75" thickTop="1" x14ac:dyDescent="0.25">
      <c r="A685" s="2640">
        <v>1160</v>
      </c>
      <c r="B685" s="19">
        <v>3122</v>
      </c>
      <c r="C685" s="151">
        <v>6351</v>
      </c>
      <c r="D685" s="2641"/>
      <c r="E685" s="845" t="s">
        <v>551</v>
      </c>
      <c r="F685" s="2642">
        <f>F686</f>
        <v>0</v>
      </c>
      <c r="G685" s="2642">
        <f t="shared" ref="G685:H685" si="109">G686</f>
        <v>1382</v>
      </c>
      <c r="H685" s="2642">
        <f t="shared" si="109"/>
        <v>1382</v>
      </c>
      <c r="I685" s="2643">
        <v>100</v>
      </c>
      <c r="R685" s="2691">
        <f>F687</f>
        <v>0</v>
      </c>
      <c r="S685" s="2691">
        <f t="shared" ref="S685:T685" si="110">G687</f>
        <v>1382</v>
      </c>
      <c r="T685" s="2691">
        <f t="shared" si="110"/>
        <v>1382</v>
      </c>
    </row>
    <row r="686" spans="1:20" ht="29.25" thickBot="1" x14ac:dyDescent="0.25">
      <c r="A686" s="2644"/>
      <c r="B686" s="822"/>
      <c r="C686" s="2645"/>
      <c r="D686" s="3034" t="s">
        <v>972</v>
      </c>
      <c r="E686" s="2632" t="s">
        <v>1540</v>
      </c>
      <c r="F686" s="3039">
        <v>0</v>
      </c>
      <c r="G686" s="3039">
        <v>1382</v>
      </c>
      <c r="H686" s="3039">
        <v>1382</v>
      </c>
      <c r="I686" s="3040">
        <v>100</v>
      </c>
      <c r="R686" s="2691">
        <f>R684+R685</f>
        <v>5650</v>
      </c>
      <c r="S686" s="2691">
        <f t="shared" ref="S686:T686" si="111">S684+S685</f>
        <v>7256</v>
      </c>
      <c r="T686" s="2691">
        <f t="shared" si="111"/>
        <v>7256</v>
      </c>
    </row>
    <row r="687" spans="1:20" ht="16.5" thickTop="1" thickBot="1" x14ac:dyDescent="0.3">
      <c r="A687" s="3241" t="s">
        <v>523</v>
      </c>
      <c r="B687" s="3242"/>
      <c r="C687" s="3242"/>
      <c r="D687" s="3242"/>
      <c r="E687" s="3243"/>
      <c r="F687" s="2648">
        <f>F685</f>
        <v>0</v>
      </c>
      <c r="G687" s="2648">
        <f t="shared" ref="G687:H687" si="112">G685</f>
        <v>1382</v>
      </c>
      <c r="H687" s="2648">
        <f t="shared" si="112"/>
        <v>1382</v>
      </c>
      <c r="I687" s="2649">
        <v>100</v>
      </c>
      <c r="R687" s="2691"/>
      <c r="S687" s="2691"/>
      <c r="T687" s="2691"/>
    </row>
    <row r="688" spans="1:20" ht="13.5" thickTop="1" x14ac:dyDescent="0.2"/>
    <row r="692" spans="1:20" ht="13.5" thickBot="1" x14ac:dyDescent="0.25">
      <c r="A692" s="1719" t="s">
        <v>105</v>
      </c>
      <c r="I692" s="2071" t="s">
        <v>92</v>
      </c>
    </row>
    <row r="693" spans="1:20" s="1043" customFormat="1" thickTop="1" thickBot="1" x14ac:dyDescent="0.25">
      <c r="A693" s="1047" t="s">
        <v>324</v>
      </c>
      <c r="B693" s="1044" t="s">
        <v>93</v>
      </c>
      <c r="C693" s="1046" t="s">
        <v>94</v>
      </c>
      <c r="D693" s="1069" t="s">
        <v>364</v>
      </c>
      <c r="E693" s="1069" t="s">
        <v>95</v>
      </c>
      <c r="F693" s="1069" t="s">
        <v>328</v>
      </c>
      <c r="G693" s="1069" t="s">
        <v>329</v>
      </c>
      <c r="H693" s="1749" t="s">
        <v>448</v>
      </c>
      <c r="I693" s="2089" t="s">
        <v>449</v>
      </c>
      <c r="R693" s="2689"/>
      <c r="S693" s="2689"/>
      <c r="T693" s="2689"/>
    </row>
    <row r="694" spans="1:20" s="1037" customFormat="1" ht="13.5" thickTop="1" thickBot="1" x14ac:dyDescent="0.25">
      <c r="A694" s="1042">
        <v>1</v>
      </c>
      <c r="B694" s="1041">
        <v>2</v>
      </c>
      <c r="C694" s="1041">
        <v>3</v>
      </c>
      <c r="D694" s="1041">
        <v>4</v>
      </c>
      <c r="E694" s="1041">
        <v>5</v>
      </c>
      <c r="F694" s="1040">
        <v>6</v>
      </c>
      <c r="G694" s="1040">
        <v>7</v>
      </c>
      <c r="H694" s="1164">
        <v>8</v>
      </c>
      <c r="I694" s="1039" t="s">
        <v>393</v>
      </c>
      <c r="R694" s="2690"/>
      <c r="S694" s="2690"/>
      <c r="T694" s="2690"/>
    </row>
    <row r="695" spans="1:20" ht="15.75" thickTop="1" x14ac:dyDescent="0.25">
      <c r="A695" s="2088">
        <v>1161</v>
      </c>
      <c r="B695" s="2087">
        <v>3122</v>
      </c>
      <c r="C695" s="2087">
        <v>5331</v>
      </c>
      <c r="D695" s="2086"/>
      <c r="E695" s="2085" t="s">
        <v>481</v>
      </c>
      <c r="F695" s="2084">
        <f>F696+F697</f>
        <v>1400</v>
      </c>
      <c r="G695" s="2084">
        <f>G696+G697</f>
        <v>1400</v>
      </c>
      <c r="H695" s="2084">
        <f>H696+H697</f>
        <v>1400</v>
      </c>
      <c r="I695" s="2083">
        <f>(H695/G695)*100</f>
        <v>100</v>
      </c>
    </row>
    <row r="696" spans="1:20" ht="18" customHeight="1" x14ac:dyDescent="0.2">
      <c r="A696" s="2080"/>
      <c r="B696" s="2079"/>
      <c r="C696" s="2079"/>
      <c r="D696" s="2630" t="s">
        <v>1394</v>
      </c>
      <c r="E696" s="923" t="s">
        <v>1537</v>
      </c>
      <c r="F696" s="2077">
        <v>1356</v>
      </c>
      <c r="G696" s="2077">
        <v>1356</v>
      </c>
      <c r="H696" s="2077">
        <v>1356</v>
      </c>
      <c r="I696" s="2076">
        <f>(H696/G696)*100</f>
        <v>100</v>
      </c>
    </row>
    <row r="697" spans="1:20" ht="13.9" customHeight="1" thickBot="1" x14ac:dyDescent="0.25">
      <c r="A697" s="2080"/>
      <c r="B697" s="2079"/>
      <c r="C697" s="2079"/>
      <c r="D697" s="811" t="s">
        <v>993</v>
      </c>
      <c r="E697" s="2627" t="s">
        <v>1538</v>
      </c>
      <c r="F697" s="2077">
        <v>44</v>
      </c>
      <c r="G697" s="2077">
        <v>44</v>
      </c>
      <c r="H697" s="2077">
        <v>44</v>
      </c>
      <c r="I697" s="2076">
        <f>(H697/G697)*100</f>
        <v>100</v>
      </c>
    </row>
    <row r="698" spans="1:20" ht="16.5" thickTop="1" thickBot="1" x14ac:dyDescent="0.3">
      <c r="A698" s="3301" t="s">
        <v>522</v>
      </c>
      <c r="B698" s="3302"/>
      <c r="C698" s="3302"/>
      <c r="D698" s="3302"/>
      <c r="E698" s="3302"/>
      <c r="F698" s="2075">
        <f>F695</f>
        <v>1400</v>
      </c>
      <c r="G698" s="2075">
        <f>G695</f>
        <v>1400</v>
      </c>
      <c r="H698" s="2075">
        <f>H695</f>
        <v>1400</v>
      </c>
      <c r="I698" s="2074">
        <f>(H698/G698)*100</f>
        <v>100</v>
      </c>
      <c r="R698" s="2691">
        <f>F698</f>
        <v>1400</v>
      </c>
      <c r="S698" s="2691">
        <f>G698</f>
        <v>1400</v>
      </c>
      <c r="T698" s="2691">
        <f>H698</f>
        <v>1400</v>
      </c>
    </row>
    <row r="699" spans="1:20" ht="13.5" thickTop="1" x14ac:dyDescent="0.2"/>
    <row r="700" spans="1:20" ht="13.5" thickBot="1" x14ac:dyDescent="0.25">
      <c r="A700" s="1719" t="s">
        <v>106</v>
      </c>
      <c r="I700" s="2071" t="s">
        <v>92</v>
      </c>
    </row>
    <row r="701" spans="1:20" s="1043" customFormat="1" thickTop="1" thickBot="1" x14ac:dyDescent="0.25">
      <c r="A701" s="1047" t="s">
        <v>324</v>
      </c>
      <c r="B701" s="1044" t="s">
        <v>93</v>
      </c>
      <c r="C701" s="1046" t="s">
        <v>94</v>
      </c>
      <c r="D701" s="1069" t="s">
        <v>364</v>
      </c>
      <c r="E701" s="1069" t="s">
        <v>95</v>
      </c>
      <c r="F701" s="1069" t="s">
        <v>328</v>
      </c>
      <c r="G701" s="1069" t="s">
        <v>329</v>
      </c>
      <c r="H701" s="1749" t="s">
        <v>448</v>
      </c>
      <c r="I701" s="2089" t="s">
        <v>449</v>
      </c>
      <c r="R701" s="2689"/>
      <c r="S701" s="2689"/>
      <c r="T701" s="2689"/>
    </row>
    <row r="702" spans="1:20" s="1037" customFormat="1" ht="13.5" thickTop="1" thickBot="1" x14ac:dyDescent="0.25">
      <c r="A702" s="1042">
        <v>1</v>
      </c>
      <c r="B702" s="1041">
        <v>2</v>
      </c>
      <c r="C702" s="1041">
        <v>3</v>
      </c>
      <c r="D702" s="1041">
        <v>4</v>
      </c>
      <c r="E702" s="1041">
        <v>5</v>
      </c>
      <c r="F702" s="1040">
        <v>6</v>
      </c>
      <c r="G702" s="1040">
        <v>7</v>
      </c>
      <c r="H702" s="1164">
        <v>8</v>
      </c>
      <c r="I702" s="1039" t="s">
        <v>393</v>
      </c>
      <c r="R702" s="2690"/>
      <c r="S702" s="2690"/>
      <c r="T702" s="2690"/>
    </row>
    <row r="703" spans="1:20" ht="15.75" thickTop="1" x14ac:dyDescent="0.25">
      <c r="A703" s="2088">
        <v>1162</v>
      </c>
      <c r="B703" s="2087">
        <v>3127</v>
      </c>
      <c r="C703" s="2087">
        <v>5331</v>
      </c>
      <c r="D703" s="2086"/>
      <c r="E703" s="2085" t="s">
        <v>481</v>
      </c>
      <c r="F703" s="2084">
        <f>F704+F706+F705</f>
        <v>1924</v>
      </c>
      <c r="G703" s="2084">
        <f>G704+G706+G705</f>
        <v>2604</v>
      </c>
      <c r="H703" s="2084">
        <f>H704+H706+H705</f>
        <v>2604</v>
      </c>
      <c r="I703" s="2083">
        <f>(H703/G703)*100</f>
        <v>100</v>
      </c>
    </row>
    <row r="704" spans="1:20" ht="14.25" x14ac:dyDescent="0.2">
      <c r="A704" s="2080"/>
      <c r="B704" s="2079"/>
      <c r="C704" s="2079"/>
      <c r="D704" s="2630" t="s">
        <v>1394</v>
      </c>
      <c r="E704" s="923" t="s">
        <v>1537</v>
      </c>
      <c r="F704" s="2077">
        <v>1793</v>
      </c>
      <c r="G704" s="2077">
        <v>1812</v>
      </c>
      <c r="H704" s="2077">
        <v>1812</v>
      </c>
      <c r="I704" s="2076">
        <f>(H704/G704)*100</f>
        <v>100</v>
      </c>
    </row>
    <row r="705" spans="1:20" ht="14.25" x14ac:dyDescent="0.2">
      <c r="A705" s="2080"/>
      <c r="B705" s="2079"/>
      <c r="C705" s="2079"/>
      <c r="D705" s="811" t="s">
        <v>993</v>
      </c>
      <c r="E705" s="2627" t="s">
        <v>1538</v>
      </c>
      <c r="F705" s="2077">
        <v>131</v>
      </c>
      <c r="G705" s="2077">
        <v>253</v>
      </c>
      <c r="H705" s="2077">
        <v>253</v>
      </c>
      <c r="I705" s="2076">
        <f>(H705/G705)*100</f>
        <v>100</v>
      </c>
    </row>
    <row r="706" spans="1:20" ht="15" thickBot="1" x14ac:dyDescent="0.25">
      <c r="A706" s="2080"/>
      <c r="B706" s="2079"/>
      <c r="C706" s="2079"/>
      <c r="D706" s="811" t="s">
        <v>1395</v>
      </c>
      <c r="E706" s="2627" t="s">
        <v>1539</v>
      </c>
      <c r="F706" s="2077">
        <v>0</v>
      </c>
      <c r="G706" s="2077">
        <v>539</v>
      </c>
      <c r="H706" s="2077">
        <v>539</v>
      </c>
      <c r="I706" s="2076">
        <f>(H706/G706)*100</f>
        <v>100</v>
      </c>
    </row>
    <row r="707" spans="1:20" ht="16.5" thickTop="1" thickBot="1" x14ac:dyDescent="0.3">
      <c r="A707" s="3301" t="s">
        <v>522</v>
      </c>
      <c r="B707" s="3302"/>
      <c r="C707" s="3302"/>
      <c r="D707" s="3302"/>
      <c r="E707" s="3302"/>
      <c r="F707" s="2075">
        <f>F703</f>
        <v>1924</v>
      </c>
      <c r="G707" s="2075">
        <f>G703</f>
        <v>2604</v>
      </c>
      <c r="H707" s="2075">
        <f>H703</f>
        <v>2604</v>
      </c>
      <c r="I707" s="2074">
        <f>(H707/G707)*100</f>
        <v>100</v>
      </c>
      <c r="R707" s="2691">
        <f>F707</f>
        <v>1924</v>
      </c>
      <c r="S707" s="2691">
        <f>G707</f>
        <v>2604</v>
      </c>
      <c r="T707" s="2691">
        <f>H707</f>
        <v>2604</v>
      </c>
    </row>
    <row r="708" spans="1:20" ht="15.75" thickTop="1" x14ac:dyDescent="0.25">
      <c r="A708" s="2640">
        <v>1162</v>
      </c>
      <c r="B708" s="19">
        <v>3127</v>
      </c>
      <c r="C708" s="151">
        <v>6351</v>
      </c>
      <c r="D708" s="2641"/>
      <c r="E708" s="845" t="s">
        <v>551</v>
      </c>
      <c r="F708" s="2642">
        <f>F709</f>
        <v>0</v>
      </c>
      <c r="G708" s="2642">
        <f t="shared" ref="G708:H708" si="113">G709</f>
        <v>1084</v>
      </c>
      <c r="H708" s="2642">
        <f t="shared" si="113"/>
        <v>1084</v>
      </c>
      <c r="I708" s="2643">
        <v>100</v>
      </c>
      <c r="R708" s="2691"/>
      <c r="S708" s="2691"/>
      <c r="T708" s="2691"/>
    </row>
    <row r="709" spans="1:20" ht="29.25" thickBot="1" x14ac:dyDescent="0.25">
      <c r="A709" s="2644"/>
      <c r="B709" s="822"/>
      <c r="C709" s="2645"/>
      <c r="D709" s="3034" t="s">
        <v>972</v>
      </c>
      <c r="E709" s="2952" t="s">
        <v>1540</v>
      </c>
      <c r="F709" s="3039">
        <v>0</v>
      </c>
      <c r="G709" s="3039">
        <v>1084</v>
      </c>
      <c r="H709" s="3039">
        <v>1084</v>
      </c>
      <c r="I709" s="3040">
        <v>100</v>
      </c>
      <c r="R709" s="2691"/>
      <c r="S709" s="2691"/>
      <c r="T709" s="2691"/>
    </row>
    <row r="710" spans="1:20" ht="16.5" thickTop="1" thickBot="1" x14ac:dyDescent="0.3">
      <c r="A710" s="3241" t="s">
        <v>523</v>
      </c>
      <c r="B710" s="3242"/>
      <c r="C710" s="3242"/>
      <c r="D710" s="3242"/>
      <c r="E710" s="3243"/>
      <c r="F710" s="2648">
        <f>F708</f>
        <v>0</v>
      </c>
      <c r="G710" s="2648">
        <f t="shared" ref="G710:H710" si="114">G708</f>
        <v>1084</v>
      </c>
      <c r="H710" s="2648">
        <f t="shared" si="114"/>
        <v>1084</v>
      </c>
      <c r="I710" s="2649">
        <v>100</v>
      </c>
      <c r="R710" s="2691"/>
      <c r="S710" s="2691"/>
      <c r="T710" s="2691"/>
    </row>
    <row r="711" spans="1:20" ht="13.5" thickTop="1" x14ac:dyDescent="0.2"/>
    <row r="712" spans="1:20" ht="13.5" thickBot="1" x14ac:dyDescent="0.25">
      <c r="A712" s="1719" t="s">
        <v>107</v>
      </c>
      <c r="I712" s="2071" t="s">
        <v>92</v>
      </c>
    </row>
    <row r="713" spans="1:20" s="1043" customFormat="1" thickTop="1" thickBot="1" x14ac:dyDescent="0.25">
      <c r="A713" s="1047" t="s">
        <v>324</v>
      </c>
      <c r="B713" s="1044" t="s">
        <v>93</v>
      </c>
      <c r="C713" s="1046" t="s">
        <v>94</v>
      </c>
      <c r="D713" s="1069" t="s">
        <v>364</v>
      </c>
      <c r="E713" s="1069" t="s">
        <v>95</v>
      </c>
      <c r="F713" s="1069" t="s">
        <v>328</v>
      </c>
      <c r="G713" s="1069" t="s">
        <v>329</v>
      </c>
      <c r="H713" s="1749" t="s">
        <v>448</v>
      </c>
      <c r="I713" s="2089" t="s">
        <v>449</v>
      </c>
      <c r="R713" s="2689"/>
      <c r="S713" s="2689"/>
      <c r="T713" s="2689"/>
    </row>
    <row r="714" spans="1:20" s="1037" customFormat="1" ht="13.5" thickTop="1" thickBot="1" x14ac:dyDescent="0.25">
      <c r="A714" s="1042">
        <v>1</v>
      </c>
      <c r="B714" s="1041">
        <v>2</v>
      </c>
      <c r="C714" s="1041">
        <v>3</v>
      </c>
      <c r="D714" s="1041">
        <v>4</v>
      </c>
      <c r="E714" s="1041">
        <v>5</v>
      </c>
      <c r="F714" s="1040">
        <v>6</v>
      </c>
      <c r="G714" s="1040">
        <v>7</v>
      </c>
      <c r="H714" s="1164">
        <v>8</v>
      </c>
      <c r="I714" s="1039" t="s">
        <v>393</v>
      </c>
      <c r="R714" s="2690"/>
      <c r="S714" s="2690"/>
      <c r="T714" s="2690"/>
    </row>
    <row r="715" spans="1:20" ht="15.75" thickTop="1" x14ac:dyDescent="0.25">
      <c r="A715" s="2088">
        <v>1163</v>
      </c>
      <c r="B715" s="2087">
        <v>3122</v>
      </c>
      <c r="C715" s="2087">
        <v>5331</v>
      </c>
      <c r="D715" s="2086"/>
      <c r="E715" s="2085" t="s">
        <v>481</v>
      </c>
      <c r="F715" s="2084">
        <f>F716+F717</f>
        <v>2319</v>
      </c>
      <c r="G715" s="2084">
        <f>G716+G717</f>
        <v>2319</v>
      </c>
      <c r="H715" s="2084">
        <f>H716+H717</f>
        <v>2319</v>
      </c>
      <c r="I715" s="2083">
        <f>(H715/G715)*100</f>
        <v>100</v>
      </c>
    </row>
    <row r="716" spans="1:20" ht="14.25" x14ac:dyDescent="0.2">
      <c r="A716" s="2080"/>
      <c r="B716" s="2079"/>
      <c r="C716" s="2079"/>
      <c r="D716" s="2630" t="s">
        <v>1394</v>
      </c>
      <c r="E716" s="923" t="s">
        <v>1537</v>
      </c>
      <c r="F716" s="2077">
        <v>2233</v>
      </c>
      <c r="G716" s="2077">
        <v>2233</v>
      </c>
      <c r="H716" s="2077">
        <v>2233</v>
      </c>
      <c r="I716" s="2076">
        <f>(H716/G716)*100</f>
        <v>100</v>
      </c>
    </row>
    <row r="717" spans="1:20" ht="15" thickBot="1" x14ac:dyDescent="0.25">
      <c r="A717" s="2080"/>
      <c r="B717" s="2079"/>
      <c r="C717" s="1743"/>
      <c r="D717" s="811" t="s">
        <v>993</v>
      </c>
      <c r="E717" s="2627" t="s">
        <v>1538</v>
      </c>
      <c r="F717" s="2077">
        <v>86</v>
      </c>
      <c r="G717" s="2077">
        <v>86</v>
      </c>
      <c r="H717" s="2077">
        <v>86</v>
      </c>
      <c r="I717" s="2076">
        <f>(H717/G717)*100</f>
        <v>100</v>
      </c>
    </row>
    <row r="718" spans="1:20" ht="16.5" thickTop="1" thickBot="1" x14ac:dyDescent="0.3">
      <c r="A718" s="3301" t="s">
        <v>522</v>
      </c>
      <c r="B718" s="3302"/>
      <c r="C718" s="3302"/>
      <c r="D718" s="3302"/>
      <c r="E718" s="3302"/>
      <c r="F718" s="2075">
        <f>F715</f>
        <v>2319</v>
      </c>
      <c r="G718" s="2075">
        <f>G715</f>
        <v>2319</v>
      </c>
      <c r="H718" s="2075">
        <f>H715</f>
        <v>2319</v>
      </c>
      <c r="I718" s="2074">
        <f>(H718/G718)*100</f>
        <v>100</v>
      </c>
      <c r="R718" s="2691">
        <f>F718</f>
        <v>2319</v>
      </c>
      <c r="S718" s="2691">
        <f>G718</f>
        <v>2319</v>
      </c>
      <c r="T718" s="2691">
        <f>H718</f>
        <v>2319</v>
      </c>
    </row>
    <row r="719" spans="1:20" ht="13.5" thickTop="1" x14ac:dyDescent="0.2"/>
    <row r="720" spans="1:20" ht="13.5" thickBot="1" x14ac:dyDescent="0.25">
      <c r="A720" s="1719" t="s">
        <v>573</v>
      </c>
      <c r="I720" s="2071" t="s">
        <v>92</v>
      </c>
    </row>
    <row r="721" spans="1:20" s="1043" customFormat="1" thickTop="1" thickBot="1" x14ac:dyDescent="0.25">
      <c r="A721" s="1047" t="s">
        <v>324</v>
      </c>
      <c r="B721" s="1044" t="s">
        <v>93</v>
      </c>
      <c r="C721" s="1046" t="s">
        <v>94</v>
      </c>
      <c r="D721" s="1069" t="s">
        <v>364</v>
      </c>
      <c r="E721" s="1069" t="s">
        <v>95</v>
      </c>
      <c r="F721" s="1069" t="s">
        <v>328</v>
      </c>
      <c r="G721" s="1069" t="s">
        <v>329</v>
      </c>
      <c r="H721" s="1749" t="s">
        <v>448</v>
      </c>
      <c r="I721" s="2089" t="s">
        <v>449</v>
      </c>
      <c r="R721" s="2689"/>
      <c r="S721" s="2689"/>
      <c r="T721" s="2689"/>
    </row>
    <row r="722" spans="1:20" s="1037" customFormat="1" ht="13.5" thickTop="1" thickBot="1" x14ac:dyDescent="0.25">
      <c r="A722" s="1042">
        <v>1</v>
      </c>
      <c r="B722" s="1041">
        <v>2</v>
      </c>
      <c r="C722" s="1041">
        <v>3</v>
      </c>
      <c r="D722" s="1041">
        <v>4</v>
      </c>
      <c r="E722" s="1041">
        <v>5</v>
      </c>
      <c r="F722" s="1040">
        <v>6</v>
      </c>
      <c r="G722" s="1040">
        <v>7</v>
      </c>
      <c r="H722" s="1164">
        <v>8</v>
      </c>
      <c r="I722" s="1039" t="s">
        <v>393</v>
      </c>
      <c r="R722" s="2690"/>
      <c r="S722" s="2690"/>
      <c r="T722" s="2690"/>
    </row>
    <row r="723" spans="1:20" ht="13.5" customHeight="1" thickTop="1" x14ac:dyDescent="0.25">
      <c r="A723" s="2080">
        <v>1171</v>
      </c>
      <c r="B723" s="2093">
        <v>3127</v>
      </c>
      <c r="C723" s="2092">
        <v>5331</v>
      </c>
      <c r="D723" s="2111"/>
      <c r="E723" s="1739" t="s">
        <v>481</v>
      </c>
      <c r="F723" s="2123">
        <f>F724+F725</f>
        <v>4238</v>
      </c>
      <c r="G723" s="2123">
        <f>G724+G725</f>
        <v>4230</v>
      </c>
      <c r="H723" s="2123">
        <f>H724+H725</f>
        <v>4230</v>
      </c>
      <c r="I723" s="2128">
        <f>(H723/G723)*100</f>
        <v>100</v>
      </c>
    </row>
    <row r="724" spans="1:20" ht="14.25" x14ac:dyDescent="0.2">
      <c r="A724" s="2080"/>
      <c r="B724" s="2093"/>
      <c r="C724" s="2092"/>
      <c r="D724" s="2630" t="s">
        <v>1394</v>
      </c>
      <c r="E724" s="923" t="s">
        <v>1537</v>
      </c>
      <c r="F724" s="2122">
        <v>3749</v>
      </c>
      <c r="G724" s="2122">
        <v>3749</v>
      </c>
      <c r="H724" s="2122">
        <v>3749</v>
      </c>
      <c r="I724" s="2127">
        <v>100</v>
      </c>
    </row>
    <row r="725" spans="1:20" ht="15" thickBot="1" x14ac:dyDescent="0.25">
      <c r="A725" s="2080"/>
      <c r="B725" s="2093"/>
      <c r="C725" s="2092"/>
      <c r="D725" s="811" t="s">
        <v>993</v>
      </c>
      <c r="E725" s="2627" t="s">
        <v>1538</v>
      </c>
      <c r="F725" s="2122">
        <v>489</v>
      </c>
      <c r="G725" s="2122">
        <v>481</v>
      </c>
      <c r="H725" s="2122">
        <v>481</v>
      </c>
      <c r="I725" s="2127">
        <v>100</v>
      </c>
    </row>
    <row r="726" spans="1:20" ht="16.5" thickTop="1" thickBot="1" x14ac:dyDescent="0.3">
      <c r="A726" s="3305" t="s">
        <v>522</v>
      </c>
      <c r="B726" s="3306"/>
      <c r="C726" s="3306"/>
      <c r="D726" s="3306"/>
      <c r="E726" s="3307"/>
      <c r="F726" s="2114">
        <f>F723</f>
        <v>4238</v>
      </c>
      <c r="G726" s="2114">
        <f>G723</f>
        <v>4230</v>
      </c>
      <c r="H726" s="2114">
        <f>H723</f>
        <v>4230</v>
      </c>
      <c r="I726" s="2113">
        <f>(H726/G726)*100</f>
        <v>100</v>
      </c>
      <c r="R726" s="2691">
        <f>F726</f>
        <v>4238</v>
      </c>
      <c r="S726" s="2691">
        <f>G726</f>
        <v>4230</v>
      </c>
      <c r="T726" s="2691">
        <f>H726</f>
        <v>4230</v>
      </c>
    </row>
    <row r="727" spans="1:20" ht="15.75" thickTop="1" x14ac:dyDescent="0.25">
      <c r="A727" s="1137"/>
      <c r="B727" s="1137"/>
      <c r="C727" s="1137"/>
      <c r="D727" s="1137"/>
      <c r="E727" s="1137"/>
      <c r="F727" s="2126"/>
      <c r="G727" s="2126"/>
      <c r="H727" s="2126"/>
      <c r="I727" s="2125"/>
      <c r="R727" s="2691"/>
      <c r="S727" s="2691"/>
      <c r="T727" s="2691"/>
    </row>
    <row r="728" spans="1:20" ht="13.5" thickBot="1" x14ac:dyDescent="0.25">
      <c r="A728" s="1719" t="s">
        <v>196</v>
      </c>
      <c r="I728" s="2071" t="s">
        <v>92</v>
      </c>
    </row>
    <row r="729" spans="1:20" s="1043" customFormat="1" thickTop="1" thickBot="1" x14ac:dyDescent="0.25">
      <c r="A729" s="1047" t="s">
        <v>324</v>
      </c>
      <c r="B729" s="1044" t="s">
        <v>93</v>
      </c>
      <c r="C729" s="1046" t="s">
        <v>94</v>
      </c>
      <c r="D729" s="1069" t="s">
        <v>364</v>
      </c>
      <c r="E729" s="1069" t="s">
        <v>95</v>
      </c>
      <c r="F729" s="1069" t="s">
        <v>328</v>
      </c>
      <c r="G729" s="1069" t="s">
        <v>329</v>
      </c>
      <c r="H729" s="1749" t="s">
        <v>448</v>
      </c>
      <c r="I729" s="2089" t="s">
        <v>449</v>
      </c>
      <c r="R729" s="2689"/>
      <c r="S729" s="2689"/>
      <c r="T729" s="2689"/>
    </row>
    <row r="730" spans="1:20" s="1037" customFormat="1" ht="13.5" thickTop="1" thickBot="1" x14ac:dyDescent="0.25">
      <c r="A730" s="1042">
        <v>1</v>
      </c>
      <c r="B730" s="1041">
        <v>2</v>
      </c>
      <c r="C730" s="1041">
        <v>3</v>
      </c>
      <c r="D730" s="1041">
        <v>4</v>
      </c>
      <c r="E730" s="1041">
        <v>5</v>
      </c>
      <c r="F730" s="1040">
        <v>6</v>
      </c>
      <c r="G730" s="1040">
        <v>7</v>
      </c>
      <c r="H730" s="1164">
        <v>8</v>
      </c>
      <c r="I730" s="1039" t="s">
        <v>393</v>
      </c>
      <c r="R730" s="2690"/>
      <c r="S730" s="2690"/>
      <c r="T730" s="2690"/>
    </row>
    <row r="731" spans="1:20" ht="15.75" thickTop="1" x14ac:dyDescent="0.25">
      <c r="A731" s="2080">
        <v>1173</v>
      </c>
      <c r="B731" s="2093">
        <v>3127</v>
      </c>
      <c r="C731" s="2093">
        <v>5331</v>
      </c>
      <c r="D731" s="2107"/>
      <c r="E731" s="1739" t="s">
        <v>481</v>
      </c>
      <c r="F731" s="2106">
        <f>F733+F734+F735+F736+F732</f>
        <v>10990</v>
      </c>
      <c r="G731" s="2106">
        <f t="shared" ref="G731:H731" si="115">G733+G734+G735+G736+G732</f>
        <v>11477</v>
      </c>
      <c r="H731" s="2106">
        <f t="shared" si="115"/>
        <v>11477</v>
      </c>
      <c r="I731" s="2105">
        <f t="shared" ref="I731:I740" si="116">(H731/G731)*100</f>
        <v>100</v>
      </c>
    </row>
    <row r="732" spans="1:20" ht="28.5" x14ac:dyDescent="0.2">
      <c r="A732" s="2080"/>
      <c r="B732" s="2093"/>
      <c r="C732" s="2093"/>
      <c r="D732" s="3034" t="s">
        <v>972</v>
      </c>
      <c r="E732" s="2951" t="s">
        <v>1540</v>
      </c>
      <c r="F732" s="3045">
        <v>0</v>
      </c>
      <c r="G732" s="3045">
        <v>437</v>
      </c>
      <c r="H732" s="3045">
        <v>437</v>
      </c>
      <c r="I732" s="3044">
        <f t="shared" si="116"/>
        <v>100</v>
      </c>
    </row>
    <row r="733" spans="1:20" ht="14.25" x14ac:dyDescent="0.2">
      <c r="A733" s="2080"/>
      <c r="B733" s="2093"/>
      <c r="C733" s="2093"/>
      <c r="D733" s="2630" t="s">
        <v>1394</v>
      </c>
      <c r="E733" s="923" t="s">
        <v>1537</v>
      </c>
      <c r="F733" s="2091">
        <v>6579</v>
      </c>
      <c r="G733" s="2091">
        <v>6579</v>
      </c>
      <c r="H733" s="2091">
        <v>6579</v>
      </c>
      <c r="I733" s="2090">
        <f t="shared" si="116"/>
        <v>100</v>
      </c>
    </row>
    <row r="734" spans="1:20" ht="14.25" x14ac:dyDescent="0.2">
      <c r="A734" s="2080"/>
      <c r="B734" s="2093"/>
      <c r="C734" s="2093"/>
      <c r="D734" s="811" t="s">
        <v>994</v>
      </c>
      <c r="E734" s="2627" t="s">
        <v>1541</v>
      </c>
      <c r="F734" s="2077">
        <v>154</v>
      </c>
      <c r="G734" s="2077">
        <v>154</v>
      </c>
      <c r="H734" s="2077">
        <v>154</v>
      </c>
      <c r="I734" s="2076">
        <f t="shared" si="116"/>
        <v>100</v>
      </c>
    </row>
    <row r="735" spans="1:20" ht="14.25" x14ac:dyDescent="0.2">
      <c r="A735" s="2080"/>
      <c r="B735" s="2093"/>
      <c r="C735" s="2093"/>
      <c r="D735" s="811" t="s">
        <v>993</v>
      </c>
      <c r="E735" s="2627" t="s">
        <v>1538</v>
      </c>
      <c r="F735" s="2091">
        <v>4257</v>
      </c>
      <c r="G735" s="2091">
        <v>4257</v>
      </c>
      <c r="H735" s="2091">
        <v>4257</v>
      </c>
      <c r="I735" s="2090">
        <f t="shared" si="116"/>
        <v>100</v>
      </c>
    </row>
    <row r="736" spans="1:20" ht="15" thickBot="1" x14ac:dyDescent="0.25">
      <c r="A736" s="2080"/>
      <c r="B736" s="2093"/>
      <c r="C736" s="2093"/>
      <c r="D736" s="811" t="s">
        <v>1395</v>
      </c>
      <c r="E736" s="2627" t="s">
        <v>1539</v>
      </c>
      <c r="F736" s="2091">
        <v>0</v>
      </c>
      <c r="G736" s="2091">
        <v>50</v>
      </c>
      <c r="H736" s="2091">
        <v>50</v>
      </c>
      <c r="I736" s="2090">
        <f t="shared" si="116"/>
        <v>100</v>
      </c>
    </row>
    <row r="737" spans="1:23" ht="18" customHeight="1" thickTop="1" thickBot="1" x14ac:dyDescent="0.3">
      <c r="A737" s="3301" t="s">
        <v>522</v>
      </c>
      <c r="B737" s="3302"/>
      <c r="C737" s="3302"/>
      <c r="D737" s="3302"/>
      <c r="E737" s="3302"/>
      <c r="F737" s="2075">
        <f>F731</f>
        <v>10990</v>
      </c>
      <c r="G737" s="2075">
        <f>G731</f>
        <v>11477</v>
      </c>
      <c r="H737" s="2075">
        <f>H731</f>
        <v>11477</v>
      </c>
      <c r="I737" s="2074">
        <f t="shared" si="116"/>
        <v>100</v>
      </c>
      <c r="R737" s="2691">
        <f>F737</f>
        <v>10990</v>
      </c>
      <c r="S737" s="2691">
        <f>G737</f>
        <v>11477</v>
      </c>
      <c r="T737" s="2691">
        <f>H737</f>
        <v>11477</v>
      </c>
    </row>
    <row r="738" spans="1:23" ht="15.75" hidden="1" thickTop="1" x14ac:dyDescent="0.25">
      <c r="A738" s="2108">
        <v>1173</v>
      </c>
      <c r="B738" s="2079">
        <v>3127</v>
      </c>
      <c r="C738" s="2093">
        <v>6351</v>
      </c>
      <c r="D738" s="2107"/>
      <c r="E738" s="1739" t="s">
        <v>551</v>
      </c>
      <c r="F738" s="2106"/>
      <c r="G738" s="2106"/>
      <c r="H738" s="2106"/>
      <c r="I738" s="2105" t="e">
        <f t="shared" si="116"/>
        <v>#DIV/0!</v>
      </c>
      <c r="R738" s="2691"/>
      <c r="S738" s="2691"/>
      <c r="T738" s="2691"/>
    </row>
    <row r="739" spans="1:23" ht="15" hidden="1" thickBot="1" x14ac:dyDescent="0.25">
      <c r="A739" s="2104"/>
      <c r="B739" s="2103"/>
      <c r="C739" s="1017"/>
      <c r="D739" s="1741" t="s">
        <v>958</v>
      </c>
      <c r="E739" s="1848" t="s">
        <v>567</v>
      </c>
      <c r="F739" s="2021"/>
      <c r="G739" s="1062"/>
      <c r="H739" s="1022"/>
      <c r="I739" s="1061" t="e">
        <f t="shared" si="116"/>
        <v>#DIV/0!</v>
      </c>
      <c r="R739" s="2691"/>
      <c r="S739" s="2691"/>
      <c r="T739" s="2691"/>
    </row>
    <row r="740" spans="1:23" ht="16.5" hidden="1" thickTop="1" thickBot="1" x14ac:dyDescent="0.3">
      <c r="A740" s="3305" t="s">
        <v>523</v>
      </c>
      <c r="B740" s="3306"/>
      <c r="C740" s="3306"/>
      <c r="D740" s="3306"/>
      <c r="E740" s="3307"/>
      <c r="F740" s="2075">
        <v>0</v>
      </c>
      <c r="G740" s="2075">
        <f>G738</f>
        <v>0</v>
      </c>
      <c r="H740" s="2075">
        <f>SUM(H738)</f>
        <v>0</v>
      </c>
      <c r="I740" s="2074" t="e">
        <f t="shared" si="116"/>
        <v>#DIV/0!</v>
      </c>
      <c r="U740" s="1002">
        <f>F740</f>
        <v>0</v>
      </c>
      <c r="V740" s="1002">
        <f>G740</f>
        <v>0</v>
      </c>
      <c r="W740" s="1002">
        <f>H740</f>
        <v>0</v>
      </c>
    </row>
    <row r="741" spans="1:23" s="1043" customFormat="1" ht="15.75" thickTop="1" x14ac:dyDescent="0.25">
      <c r="A741" s="1137"/>
      <c r="B741" s="1137"/>
      <c r="C741" s="1137"/>
      <c r="D741" s="1137"/>
      <c r="E741" s="1137"/>
      <c r="F741" s="2073"/>
      <c r="G741" s="2073"/>
      <c r="H741" s="2073"/>
      <c r="I741" s="2072"/>
      <c r="R741" s="2689"/>
      <c r="S741" s="2689"/>
      <c r="T741" s="2689"/>
    </row>
    <row r="742" spans="1:23" ht="13.5" thickBot="1" x14ac:dyDescent="0.25">
      <c r="A742" s="1719" t="s">
        <v>866</v>
      </c>
      <c r="I742" s="2071" t="s">
        <v>92</v>
      </c>
    </row>
    <row r="743" spans="1:23" ht="14.25" thickTop="1" thickBot="1" x14ac:dyDescent="0.25">
      <c r="A743" s="1047" t="s">
        <v>324</v>
      </c>
      <c r="B743" s="1044" t="s">
        <v>93</v>
      </c>
      <c r="C743" s="1046" t="s">
        <v>94</v>
      </c>
      <c r="D743" s="1069" t="s">
        <v>364</v>
      </c>
      <c r="E743" s="1069" t="s">
        <v>95</v>
      </c>
      <c r="F743" s="1069" t="s">
        <v>328</v>
      </c>
      <c r="G743" s="1069" t="s">
        <v>329</v>
      </c>
      <c r="H743" s="1749" t="s">
        <v>448</v>
      </c>
      <c r="I743" s="2089" t="s">
        <v>449</v>
      </c>
    </row>
    <row r="744" spans="1:23" ht="14.25" thickTop="1" thickBot="1" x14ac:dyDescent="0.25">
      <c r="A744" s="1042">
        <v>1</v>
      </c>
      <c r="B744" s="1041">
        <v>2</v>
      </c>
      <c r="C744" s="1041">
        <v>3</v>
      </c>
      <c r="D744" s="1041">
        <v>4</v>
      </c>
      <c r="E744" s="1041">
        <v>5</v>
      </c>
      <c r="F744" s="1040">
        <v>6</v>
      </c>
      <c r="G744" s="1040">
        <v>7</v>
      </c>
      <c r="H744" s="1164">
        <v>8</v>
      </c>
      <c r="I744" s="1039" t="s">
        <v>393</v>
      </c>
    </row>
    <row r="745" spans="1:23" ht="15.75" thickTop="1" x14ac:dyDescent="0.25">
      <c r="A745" s="2080">
        <v>1174</v>
      </c>
      <c r="B745" s="2093">
        <v>3127</v>
      </c>
      <c r="C745" s="2093">
        <v>5331</v>
      </c>
      <c r="D745" s="2107"/>
      <c r="E745" s="1739" t="s">
        <v>481</v>
      </c>
      <c r="F745" s="2106">
        <f>F746+F747+F748</f>
        <v>7229</v>
      </c>
      <c r="G745" s="2106">
        <f t="shared" ref="G745:H745" si="117">G746+G747+G748</f>
        <v>6786</v>
      </c>
      <c r="H745" s="2106">
        <f t="shared" si="117"/>
        <v>6786</v>
      </c>
      <c r="I745" s="2105">
        <f>(H745/G745)*100</f>
        <v>100</v>
      </c>
    </row>
    <row r="746" spans="1:23" ht="14.25" x14ac:dyDescent="0.2">
      <c r="A746" s="2080"/>
      <c r="B746" s="2093"/>
      <c r="C746" s="2093"/>
      <c r="D746" s="2630" t="s">
        <v>1394</v>
      </c>
      <c r="E746" s="923" t="s">
        <v>1537</v>
      </c>
      <c r="F746" s="2122">
        <v>4612</v>
      </c>
      <c r="G746" s="2122">
        <v>4562</v>
      </c>
      <c r="H746" s="2122">
        <v>4562</v>
      </c>
      <c r="I746" s="2076">
        <f>(H746/G746)*100</f>
        <v>100</v>
      </c>
    </row>
    <row r="747" spans="1:23" ht="14.25" x14ac:dyDescent="0.2">
      <c r="A747" s="2080"/>
      <c r="B747" s="2093"/>
      <c r="C747" s="2093"/>
      <c r="D747" s="811" t="s">
        <v>993</v>
      </c>
      <c r="E747" s="2627" t="s">
        <v>1538</v>
      </c>
      <c r="F747" s="2122">
        <v>2617</v>
      </c>
      <c r="G747" s="2122">
        <v>2172</v>
      </c>
      <c r="H747" s="2122">
        <v>2172</v>
      </c>
      <c r="I747" s="2076">
        <f>(H747/G747)*100</f>
        <v>100</v>
      </c>
    </row>
    <row r="748" spans="1:23" ht="15" thickBot="1" x14ac:dyDescent="0.25">
      <c r="A748" s="2080"/>
      <c r="B748" s="2093"/>
      <c r="C748" s="2093"/>
      <c r="D748" s="811" t="s">
        <v>1397</v>
      </c>
      <c r="E748" s="2627" t="s">
        <v>1542</v>
      </c>
      <c r="F748" s="2122">
        <v>0</v>
      </c>
      <c r="G748" s="2122">
        <v>52</v>
      </c>
      <c r="H748" s="2122">
        <v>52</v>
      </c>
      <c r="I748" s="2076">
        <f>(H748/G748)*100</f>
        <v>100</v>
      </c>
    </row>
    <row r="749" spans="1:23" ht="16.5" thickTop="1" thickBot="1" x14ac:dyDescent="0.3">
      <c r="A749" s="3301" t="s">
        <v>522</v>
      </c>
      <c r="B749" s="3302"/>
      <c r="C749" s="3302"/>
      <c r="D749" s="3302"/>
      <c r="E749" s="3302"/>
      <c r="F749" s="2075">
        <f>F745</f>
        <v>7229</v>
      </c>
      <c r="G749" s="2075">
        <f>G745</f>
        <v>6786</v>
      </c>
      <c r="H749" s="2075">
        <f>H745</f>
        <v>6786</v>
      </c>
      <c r="I749" s="2074">
        <f>(H749/G749)*100</f>
        <v>100</v>
      </c>
      <c r="R749" s="2691">
        <f>F749</f>
        <v>7229</v>
      </c>
      <c r="S749" s="2691">
        <f>G749</f>
        <v>6786</v>
      </c>
      <c r="T749" s="2691">
        <f>H749</f>
        <v>6786</v>
      </c>
    </row>
    <row r="750" spans="1:23" s="1037" customFormat="1" ht="13.5" thickTop="1" x14ac:dyDescent="0.2">
      <c r="A750" s="997"/>
      <c r="B750" s="1829"/>
      <c r="C750" s="997"/>
      <c r="D750" s="1841"/>
      <c r="E750" s="997"/>
      <c r="F750" s="1002"/>
      <c r="G750" s="1002"/>
      <c r="H750" s="1002"/>
      <c r="I750" s="2071"/>
      <c r="R750" s="2690"/>
      <c r="S750" s="2690"/>
      <c r="T750" s="2690"/>
    </row>
    <row r="751" spans="1:23" s="1037" customFormat="1" x14ac:dyDescent="0.2">
      <c r="A751" s="997"/>
      <c r="B751" s="1829"/>
      <c r="C751" s="997"/>
      <c r="D751" s="1841"/>
      <c r="E751" s="997"/>
      <c r="F751" s="1002"/>
      <c r="G751" s="1002"/>
      <c r="H751" s="1002"/>
      <c r="I751" s="2071"/>
      <c r="R751" s="2690"/>
      <c r="S751" s="2690"/>
      <c r="T751" s="2690"/>
    </row>
    <row r="752" spans="1:23" ht="13.5" thickBot="1" x14ac:dyDescent="0.25">
      <c r="A752" s="1719" t="s">
        <v>1000</v>
      </c>
      <c r="I752" s="2071" t="s">
        <v>92</v>
      </c>
    </row>
    <row r="753" spans="1:20" ht="14.25" thickTop="1" thickBot="1" x14ac:dyDescent="0.25">
      <c r="A753" s="1047" t="s">
        <v>324</v>
      </c>
      <c r="B753" s="1044" t="s">
        <v>93</v>
      </c>
      <c r="C753" s="1046" t="s">
        <v>94</v>
      </c>
      <c r="D753" s="1069" t="s">
        <v>364</v>
      </c>
      <c r="E753" s="1069" t="s">
        <v>95</v>
      </c>
      <c r="F753" s="1069" t="s">
        <v>328</v>
      </c>
      <c r="G753" s="1069" t="s">
        <v>329</v>
      </c>
      <c r="H753" s="1749" t="s">
        <v>448</v>
      </c>
      <c r="I753" s="2089" t="s">
        <v>449</v>
      </c>
    </row>
    <row r="754" spans="1:20" ht="14.25" thickTop="1" thickBot="1" x14ac:dyDescent="0.25">
      <c r="A754" s="1042">
        <v>1</v>
      </c>
      <c r="B754" s="1041">
        <v>2</v>
      </c>
      <c r="C754" s="1041">
        <v>3</v>
      </c>
      <c r="D754" s="1041">
        <v>4</v>
      </c>
      <c r="E754" s="1041">
        <v>5</v>
      </c>
      <c r="F754" s="1040">
        <v>6</v>
      </c>
      <c r="G754" s="1040">
        <v>7</v>
      </c>
      <c r="H754" s="1164">
        <v>8</v>
      </c>
      <c r="I754" s="1039" t="s">
        <v>393</v>
      </c>
    </row>
    <row r="755" spans="1:20" ht="15.75" thickTop="1" x14ac:dyDescent="0.25">
      <c r="A755" s="2088">
        <v>1175</v>
      </c>
      <c r="B755" s="2087">
        <v>3122</v>
      </c>
      <c r="C755" s="2087">
        <v>5331</v>
      </c>
      <c r="D755" s="2086"/>
      <c r="E755" s="2085" t="s">
        <v>481</v>
      </c>
      <c r="F755" s="2084">
        <f>F756+F757+F758</f>
        <v>2646</v>
      </c>
      <c r="G755" s="2084">
        <f t="shared" ref="G755:H755" si="118">G756+G757+G758</f>
        <v>2654</v>
      </c>
      <c r="H755" s="2084">
        <f t="shared" si="118"/>
        <v>2654</v>
      </c>
      <c r="I755" s="2083">
        <f>(H755/G755)*100</f>
        <v>100</v>
      </c>
    </row>
    <row r="756" spans="1:20" ht="14.25" x14ac:dyDescent="0.2">
      <c r="A756" s="2080"/>
      <c r="B756" s="2079"/>
      <c r="C756" s="2079"/>
      <c r="D756" s="2630" t="s">
        <v>1394</v>
      </c>
      <c r="E756" s="923" t="s">
        <v>1537</v>
      </c>
      <c r="F756" s="2077">
        <v>2176</v>
      </c>
      <c r="G756" s="2077">
        <v>2176</v>
      </c>
      <c r="H756" s="2077">
        <v>2176</v>
      </c>
      <c r="I756" s="2076">
        <f>(H756/G756)*100</f>
        <v>100</v>
      </c>
    </row>
    <row r="757" spans="1:20" ht="15" thickBot="1" x14ac:dyDescent="0.25">
      <c r="A757" s="2080"/>
      <c r="B757" s="2079"/>
      <c r="C757" s="2079"/>
      <c r="D757" s="811" t="s">
        <v>993</v>
      </c>
      <c r="E757" s="2627" t="s">
        <v>1538</v>
      </c>
      <c r="F757" s="2077">
        <v>470</v>
      </c>
      <c r="G757" s="2077">
        <v>478</v>
      </c>
      <c r="H757" s="2077">
        <v>478</v>
      </c>
      <c r="I757" s="2076">
        <v>100</v>
      </c>
    </row>
    <row r="758" spans="1:20" ht="15" hidden="1" thickBot="1" x14ac:dyDescent="0.25">
      <c r="A758" s="2080"/>
      <c r="B758" s="2079"/>
      <c r="C758" s="2079"/>
      <c r="D758" s="811" t="s">
        <v>1395</v>
      </c>
      <c r="E758" s="2627" t="s">
        <v>1539</v>
      </c>
      <c r="F758" s="2077"/>
      <c r="G758" s="2077"/>
      <c r="H758" s="2077"/>
      <c r="I758" s="2076">
        <v>100</v>
      </c>
    </row>
    <row r="759" spans="1:20" ht="16.5" thickTop="1" thickBot="1" x14ac:dyDescent="0.3">
      <c r="A759" s="3301" t="s">
        <v>522</v>
      </c>
      <c r="B759" s="3302"/>
      <c r="C759" s="3302"/>
      <c r="D759" s="3302"/>
      <c r="E759" s="3302"/>
      <c r="F759" s="2075">
        <f>F755</f>
        <v>2646</v>
      </c>
      <c r="G759" s="2075">
        <f>G755</f>
        <v>2654</v>
      </c>
      <c r="H759" s="2075">
        <f>H755</f>
        <v>2654</v>
      </c>
      <c r="I759" s="2074">
        <f>(H759/G759)*100</f>
        <v>100</v>
      </c>
      <c r="R759" s="2691">
        <f>F759</f>
        <v>2646</v>
      </c>
      <c r="S759" s="2691">
        <f>G759</f>
        <v>2654</v>
      </c>
      <c r="T759" s="2691">
        <f>H759</f>
        <v>2654</v>
      </c>
    </row>
    <row r="760" spans="1:20" s="1037" customFormat="1" ht="13.5" thickTop="1" x14ac:dyDescent="0.2">
      <c r="A760" s="997"/>
      <c r="B760" s="1829"/>
      <c r="C760" s="997"/>
      <c r="D760" s="1841"/>
      <c r="E760" s="997"/>
      <c r="F760" s="1002"/>
      <c r="G760" s="1002"/>
      <c r="H760" s="1002"/>
      <c r="I760" s="2071"/>
      <c r="R760" s="2690"/>
      <c r="S760" s="2690"/>
      <c r="T760" s="2690"/>
    </row>
    <row r="761" spans="1:20" ht="13.5" thickBot="1" x14ac:dyDescent="0.25">
      <c r="A761" s="1719" t="s">
        <v>434</v>
      </c>
      <c r="I761" s="2071" t="s">
        <v>92</v>
      </c>
    </row>
    <row r="762" spans="1:20" ht="14.25" thickTop="1" thickBot="1" x14ac:dyDescent="0.25">
      <c r="A762" s="1047" t="s">
        <v>324</v>
      </c>
      <c r="B762" s="1044" t="s">
        <v>93</v>
      </c>
      <c r="C762" s="1046" t="s">
        <v>94</v>
      </c>
      <c r="D762" s="1069" t="s">
        <v>364</v>
      </c>
      <c r="E762" s="1069" t="s">
        <v>95</v>
      </c>
      <c r="F762" s="1069" t="s">
        <v>328</v>
      </c>
      <c r="G762" s="1069" t="s">
        <v>329</v>
      </c>
      <c r="H762" s="1749" t="s">
        <v>448</v>
      </c>
      <c r="I762" s="2089" t="s">
        <v>449</v>
      </c>
    </row>
    <row r="763" spans="1:20" ht="14.25" thickTop="1" thickBot="1" x14ac:dyDescent="0.25">
      <c r="A763" s="1042">
        <v>1</v>
      </c>
      <c r="B763" s="1041">
        <v>2</v>
      </c>
      <c r="C763" s="1041">
        <v>3</v>
      </c>
      <c r="D763" s="1041">
        <v>4</v>
      </c>
      <c r="E763" s="1041">
        <v>5</v>
      </c>
      <c r="F763" s="1040">
        <v>6</v>
      </c>
      <c r="G763" s="1040">
        <v>7</v>
      </c>
      <c r="H763" s="1164">
        <v>8</v>
      </c>
      <c r="I763" s="1039" t="s">
        <v>393</v>
      </c>
    </row>
    <row r="764" spans="1:20" ht="14.25" customHeight="1" thickTop="1" x14ac:dyDescent="0.25">
      <c r="A764" s="2080">
        <v>1200</v>
      </c>
      <c r="B764" s="2079">
        <v>3127</v>
      </c>
      <c r="C764" s="2079">
        <v>5331</v>
      </c>
      <c r="D764" s="2099"/>
      <c r="E764" s="2096" t="s">
        <v>481</v>
      </c>
      <c r="F764" s="2095">
        <f>F765+F766</f>
        <v>4149</v>
      </c>
      <c r="G764" s="2095">
        <f>G765+G766</f>
        <v>4276</v>
      </c>
      <c r="H764" s="2095">
        <f>H765+H766</f>
        <v>4276</v>
      </c>
      <c r="I764" s="2098">
        <f t="shared" ref="I764:I770" si="119">(H764/G764)*100</f>
        <v>100</v>
      </c>
    </row>
    <row r="765" spans="1:20" ht="14.25" x14ac:dyDescent="0.2">
      <c r="A765" s="2080"/>
      <c r="B765" s="2079"/>
      <c r="C765" s="2079"/>
      <c r="D765" s="2630" t="s">
        <v>1394</v>
      </c>
      <c r="E765" s="923" t="s">
        <v>1537</v>
      </c>
      <c r="F765" s="2077">
        <v>3410</v>
      </c>
      <c r="G765" s="2077">
        <v>3410</v>
      </c>
      <c r="H765" s="2077">
        <v>3410</v>
      </c>
      <c r="I765" s="2076">
        <f t="shared" si="119"/>
        <v>100</v>
      </c>
    </row>
    <row r="766" spans="1:20" ht="15" thickBot="1" x14ac:dyDescent="0.25">
      <c r="A766" s="2080"/>
      <c r="B766" s="2079"/>
      <c r="C766" s="2079"/>
      <c r="D766" s="811" t="s">
        <v>993</v>
      </c>
      <c r="E766" s="2627" t="s">
        <v>1538</v>
      </c>
      <c r="F766" s="2077">
        <v>739</v>
      </c>
      <c r="G766" s="2077">
        <v>866</v>
      </c>
      <c r="H766" s="2077">
        <v>866</v>
      </c>
      <c r="I766" s="2076">
        <f t="shared" si="119"/>
        <v>100</v>
      </c>
    </row>
    <row r="767" spans="1:20" s="1043" customFormat="1" ht="16.5" thickTop="1" thickBot="1" x14ac:dyDescent="0.3">
      <c r="A767" s="3301" t="s">
        <v>522</v>
      </c>
      <c r="B767" s="3302"/>
      <c r="C767" s="3302"/>
      <c r="D767" s="3302"/>
      <c r="E767" s="3302"/>
      <c r="F767" s="2075">
        <f>F764</f>
        <v>4149</v>
      </c>
      <c r="G767" s="2075">
        <f>G764</f>
        <v>4276</v>
      </c>
      <c r="H767" s="2075">
        <f>H764</f>
        <v>4276</v>
      </c>
      <c r="I767" s="2074">
        <f t="shared" si="119"/>
        <v>100</v>
      </c>
      <c r="R767" s="2691">
        <f>F767</f>
        <v>4149</v>
      </c>
      <c r="S767" s="2691">
        <f>G767</f>
        <v>4276</v>
      </c>
      <c r="T767" s="2691">
        <f>H767</f>
        <v>4276</v>
      </c>
    </row>
    <row r="768" spans="1:20" ht="15.75" thickTop="1" x14ac:dyDescent="0.25">
      <c r="A768" s="2108">
        <v>1200</v>
      </c>
      <c r="B768" s="2079">
        <v>3127</v>
      </c>
      <c r="C768" s="2093">
        <v>6351</v>
      </c>
      <c r="D768" s="2107"/>
      <c r="E768" s="1739" t="s">
        <v>551</v>
      </c>
      <c r="F768" s="2106">
        <f>F769</f>
        <v>0</v>
      </c>
      <c r="G768" s="2106">
        <f t="shared" ref="G768:H768" si="120">G769</f>
        <v>1961</v>
      </c>
      <c r="H768" s="2106">
        <f t="shared" si="120"/>
        <v>1961</v>
      </c>
      <c r="I768" s="2105">
        <f t="shared" si="119"/>
        <v>100</v>
      </c>
      <c r="R768" s="2691">
        <f>F770</f>
        <v>0</v>
      </c>
      <c r="S768" s="2691">
        <f t="shared" ref="S768:T768" si="121">G770</f>
        <v>1961</v>
      </c>
      <c r="T768" s="2691">
        <f t="shared" si="121"/>
        <v>1961</v>
      </c>
    </row>
    <row r="769" spans="1:23" ht="29.25" thickBot="1" x14ac:dyDescent="0.25">
      <c r="A769" s="2104"/>
      <c r="B769" s="2103"/>
      <c r="C769" s="1017"/>
      <c r="D769" s="3041" t="s">
        <v>972</v>
      </c>
      <c r="E769" s="2658" t="s">
        <v>1540</v>
      </c>
      <c r="F769" s="2148">
        <v>0</v>
      </c>
      <c r="G769" s="2148">
        <v>1961</v>
      </c>
      <c r="H769" s="2148">
        <v>1961</v>
      </c>
      <c r="I769" s="2147">
        <f t="shared" si="119"/>
        <v>100</v>
      </c>
      <c r="R769" s="2691">
        <f>R767+R768</f>
        <v>4149</v>
      </c>
      <c r="S769" s="2691">
        <f t="shared" ref="S769:T769" si="122">S767+S768</f>
        <v>6237</v>
      </c>
      <c r="T769" s="2691">
        <f t="shared" si="122"/>
        <v>6237</v>
      </c>
    </row>
    <row r="770" spans="1:23" ht="16.5" thickTop="1" thickBot="1" x14ac:dyDescent="0.3">
      <c r="A770" s="3305" t="s">
        <v>523</v>
      </c>
      <c r="B770" s="3306"/>
      <c r="C770" s="3306"/>
      <c r="D770" s="3306"/>
      <c r="E770" s="3307"/>
      <c r="F770" s="2075">
        <f>F768</f>
        <v>0</v>
      </c>
      <c r="G770" s="2075">
        <f t="shared" ref="G770:H770" si="123">G768</f>
        <v>1961</v>
      </c>
      <c r="H770" s="2075">
        <f t="shared" si="123"/>
        <v>1961</v>
      </c>
      <c r="I770" s="2074">
        <f t="shared" si="119"/>
        <v>100</v>
      </c>
      <c r="U770" s="1002"/>
      <c r="V770" s="1002"/>
      <c r="W770" s="1002"/>
    </row>
    <row r="771" spans="1:23" s="1037" customFormat="1" ht="13.5" thickTop="1" x14ac:dyDescent="0.2">
      <c r="A771" s="997"/>
      <c r="B771" s="1829"/>
      <c r="C771" s="997"/>
      <c r="D771" s="1841"/>
      <c r="E771" s="997"/>
      <c r="F771" s="1002"/>
      <c r="G771" s="1002"/>
      <c r="H771" s="1002"/>
      <c r="I771" s="2071"/>
      <c r="R771" s="2690"/>
      <c r="S771" s="2690"/>
      <c r="T771" s="2690"/>
    </row>
    <row r="772" spans="1:23" s="1037" customFormat="1" x14ac:dyDescent="0.2">
      <c r="A772" s="997"/>
      <c r="B772" s="1829"/>
      <c r="C772" s="997"/>
      <c r="D772" s="1841"/>
      <c r="E772" s="997"/>
      <c r="F772" s="1002"/>
      <c r="G772" s="1002"/>
      <c r="H772" s="1002"/>
      <c r="I772" s="2071"/>
      <c r="R772" s="2690"/>
      <c r="S772" s="2690"/>
      <c r="T772" s="2690"/>
    </row>
    <row r="773" spans="1:23" ht="13.5" thickBot="1" x14ac:dyDescent="0.25">
      <c r="A773" s="1719" t="s">
        <v>74</v>
      </c>
      <c r="I773" s="2071" t="s">
        <v>92</v>
      </c>
    </row>
    <row r="774" spans="1:23" ht="25.5" customHeight="1" thickTop="1" thickBot="1" x14ac:dyDescent="0.25">
      <c r="A774" s="1047" t="s">
        <v>324</v>
      </c>
      <c r="B774" s="1044" t="s">
        <v>93</v>
      </c>
      <c r="C774" s="1046" t="s">
        <v>94</v>
      </c>
      <c r="D774" s="1069" t="s">
        <v>364</v>
      </c>
      <c r="E774" s="1069" t="s">
        <v>95</v>
      </c>
      <c r="F774" s="1069" t="s">
        <v>328</v>
      </c>
      <c r="G774" s="1069" t="s">
        <v>329</v>
      </c>
      <c r="H774" s="1749" t="s">
        <v>448</v>
      </c>
      <c r="I774" s="2089" t="s">
        <v>449</v>
      </c>
    </row>
    <row r="775" spans="1:23" ht="14.25" thickTop="1" thickBot="1" x14ac:dyDescent="0.25">
      <c r="A775" s="1042">
        <v>1</v>
      </c>
      <c r="B775" s="1041">
        <v>2</v>
      </c>
      <c r="C775" s="1041">
        <v>3</v>
      </c>
      <c r="D775" s="1041">
        <v>4</v>
      </c>
      <c r="E775" s="1041">
        <v>5</v>
      </c>
      <c r="F775" s="1040">
        <v>6</v>
      </c>
      <c r="G775" s="1040">
        <v>7</v>
      </c>
      <c r="H775" s="1164">
        <v>8</v>
      </c>
      <c r="I775" s="1039" t="s">
        <v>393</v>
      </c>
    </row>
    <row r="776" spans="1:23" ht="15.75" thickTop="1" x14ac:dyDescent="0.25">
      <c r="A776" s="2080">
        <v>1201</v>
      </c>
      <c r="B776" s="2079">
        <v>3123</v>
      </c>
      <c r="C776" s="2079">
        <v>5331</v>
      </c>
      <c r="D776" s="2099"/>
      <c r="E776" s="2096" t="s">
        <v>481</v>
      </c>
      <c r="F776" s="2095">
        <f>F777+F778+F779</f>
        <v>5345</v>
      </c>
      <c r="G776" s="2095">
        <f>G777+G778+G779</f>
        <v>5366</v>
      </c>
      <c r="H776" s="2095">
        <f>H777+H778+H779</f>
        <v>5366</v>
      </c>
      <c r="I776" s="2098">
        <f>(H776/G776)*100</f>
        <v>100</v>
      </c>
    </row>
    <row r="777" spans="1:23" ht="14.25" x14ac:dyDescent="0.2">
      <c r="A777" s="2080"/>
      <c r="B777" s="2079"/>
      <c r="C777" s="2079"/>
      <c r="D777" s="2630" t="s">
        <v>1394</v>
      </c>
      <c r="E777" s="923" t="s">
        <v>1537</v>
      </c>
      <c r="F777" s="2077">
        <v>3334</v>
      </c>
      <c r="G777" s="2077">
        <v>3334</v>
      </c>
      <c r="H777" s="2077">
        <v>3334</v>
      </c>
      <c r="I777" s="2076">
        <f>(H777/G777)*100</f>
        <v>100</v>
      </c>
    </row>
    <row r="778" spans="1:23" ht="14.25" hidden="1" x14ac:dyDescent="0.2">
      <c r="A778" s="2080"/>
      <c r="B778" s="2079"/>
      <c r="C778" s="2079"/>
      <c r="D778" s="811" t="s">
        <v>994</v>
      </c>
      <c r="E778" s="2627" t="s">
        <v>1541</v>
      </c>
      <c r="F778" s="2077"/>
      <c r="G778" s="2077"/>
      <c r="H778" s="2077"/>
      <c r="I778" s="2076" t="e">
        <f>(H778/G778)*100</f>
        <v>#DIV/0!</v>
      </c>
    </row>
    <row r="779" spans="1:23" ht="15" thickBot="1" x14ac:dyDescent="0.25">
      <c r="A779" s="2080"/>
      <c r="B779" s="2079"/>
      <c r="C779" s="2079"/>
      <c r="D779" s="811" t="s">
        <v>993</v>
      </c>
      <c r="E779" s="2627" t="s">
        <v>1538</v>
      </c>
      <c r="F779" s="2077">
        <v>2011</v>
      </c>
      <c r="G779" s="2077">
        <v>2032</v>
      </c>
      <c r="H779" s="2077">
        <v>2032</v>
      </c>
      <c r="I779" s="2076">
        <f>(H779/G779)*100</f>
        <v>100</v>
      </c>
    </row>
    <row r="780" spans="1:23" ht="16.5" thickTop="1" thickBot="1" x14ac:dyDescent="0.3">
      <c r="A780" s="3301" t="s">
        <v>522</v>
      </c>
      <c r="B780" s="3302"/>
      <c r="C780" s="3302"/>
      <c r="D780" s="3302"/>
      <c r="E780" s="3302"/>
      <c r="F780" s="2075">
        <f>F776</f>
        <v>5345</v>
      </c>
      <c r="G780" s="2075">
        <f>G776</f>
        <v>5366</v>
      </c>
      <c r="H780" s="2075">
        <f>H776</f>
        <v>5366</v>
      </c>
      <c r="I780" s="2074">
        <f>(H780/G780)*100</f>
        <v>100</v>
      </c>
      <c r="R780" s="2691">
        <f>F780</f>
        <v>5345</v>
      </c>
      <c r="S780" s="2691">
        <f>G780</f>
        <v>5366</v>
      </c>
      <c r="T780" s="2691">
        <f>H780</f>
        <v>5366</v>
      </c>
    </row>
    <row r="781" spans="1:23" ht="15.75" thickTop="1" x14ac:dyDescent="0.25">
      <c r="A781" s="1137"/>
      <c r="B781" s="1137"/>
      <c r="C781" s="1137"/>
      <c r="D781" s="1137"/>
      <c r="E781" s="1137"/>
      <c r="F781" s="2073"/>
      <c r="G781" s="2073"/>
      <c r="H781" s="2073"/>
      <c r="I781" s="2072"/>
      <c r="R781" s="2691"/>
      <c r="S781" s="2691"/>
      <c r="T781" s="2691"/>
    </row>
    <row r="782" spans="1:23" ht="15.75" customHeight="1" thickBot="1" x14ac:dyDescent="0.25">
      <c r="A782" s="1719" t="s">
        <v>706</v>
      </c>
      <c r="I782" s="2071" t="s">
        <v>92</v>
      </c>
    </row>
    <row r="783" spans="1:23" ht="14.25" thickTop="1" thickBot="1" x14ac:dyDescent="0.25">
      <c r="A783" s="1047" t="s">
        <v>324</v>
      </c>
      <c r="B783" s="1044" t="s">
        <v>93</v>
      </c>
      <c r="C783" s="1046" t="s">
        <v>94</v>
      </c>
      <c r="D783" s="1069" t="s">
        <v>364</v>
      </c>
      <c r="E783" s="1069" t="s">
        <v>95</v>
      </c>
      <c r="F783" s="1069" t="s">
        <v>328</v>
      </c>
      <c r="G783" s="1069" t="s">
        <v>329</v>
      </c>
      <c r="H783" s="1749" t="s">
        <v>448</v>
      </c>
      <c r="I783" s="2089" t="s">
        <v>449</v>
      </c>
    </row>
    <row r="784" spans="1:23" ht="14.25" thickTop="1" thickBot="1" x14ac:dyDescent="0.25">
      <c r="A784" s="1042">
        <v>1</v>
      </c>
      <c r="B784" s="1041">
        <v>2</v>
      </c>
      <c r="C784" s="1041">
        <v>3</v>
      </c>
      <c r="D784" s="1041">
        <v>4</v>
      </c>
      <c r="E784" s="1041">
        <v>5</v>
      </c>
      <c r="F784" s="1040">
        <v>6</v>
      </c>
      <c r="G784" s="1040">
        <v>7</v>
      </c>
      <c r="H784" s="1164">
        <v>8</v>
      </c>
      <c r="I784" s="1039" t="s">
        <v>393</v>
      </c>
    </row>
    <row r="785" spans="1:23" ht="15.75" thickTop="1" x14ac:dyDescent="0.25">
      <c r="A785" s="2088">
        <v>1202</v>
      </c>
      <c r="B785" s="2087">
        <v>3127</v>
      </c>
      <c r="C785" s="2087">
        <v>5331</v>
      </c>
      <c r="D785" s="2086"/>
      <c r="E785" s="2085" t="s">
        <v>481</v>
      </c>
      <c r="F785" s="2084">
        <f>F786+F787+F788+F789</f>
        <v>4597</v>
      </c>
      <c r="G785" s="2084">
        <f t="shared" ref="G785:H785" si="124">G786+G787+G788+G789</f>
        <v>4595</v>
      </c>
      <c r="H785" s="2084">
        <f t="shared" si="124"/>
        <v>4595</v>
      </c>
      <c r="I785" s="2083">
        <f t="shared" ref="I785:I793" si="125">(H785/G785)*100</f>
        <v>100</v>
      </c>
    </row>
    <row r="786" spans="1:23" ht="28.5" hidden="1" x14ac:dyDescent="0.2">
      <c r="A786" s="2080"/>
      <c r="B786" s="2079"/>
      <c r="C786" s="2079"/>
      <c r="D786" s="2634" t="s">
        <v>972</v>
      </c>
      <c r="E786" s="2632" t="s">
        <v>1540</v>
      </c>
      <c r="F786" s="2638"/>
      <c r="G786" s="2638"/>
      <c r="H786" s="2638"/>
      <c r="I786" s="2635" t="e">
        <f t="shared" si="125"/>
        <v>#DIV/0!</v>
      </c>
    </row>
    <row r="787" spans="1:23" ht="14.25" x14ac:dyDescent="0.2">
      <c r="A787" s="2080"/>
      <c r="B787" s="2079"/>
      <c r="C787" s="2079"/>
      <c r="D787" s="2630" t="s">
        <v>1394</v>
      </c>
      <c r="E787" s="923" t="s">
        <v>1537</v>
      </c>
      <c r="F787" s="2077">
        <v>3768</v>
      </c>
      <c r="G787" s="2077">
        <v>3768</v>
      </c>
      <c r="H787" s="2077">
        <v>3768</v>
      </c>
      <c r="I787" s="2076">
        <f t="shared" si="125"/>
        <v>100</v>
      </c>
    </row>
    <row r="788" spans="1:23" ht="15" thickBot="1" x14ac:dyDescent="0.25">
      <c r="A788" s="2080"/>
      <c r="B788" s="2079"/>
      <c r="C788" s="2079"/>
      <c r="D788" s="811" t="s">
        <v>993</v>
      </c>
      <c r="E788" s="2627" t="s">
        <v>1538</v>
      </c>
      <c r="F788" s="2077">
        <v>829</v>
      </c>
      <c r="G788" s="2077">
        <v>827</v>
      </c>
      <c r="H788" s="2077">
        <v>827</v>
      </c>
      <c r="I788" s="2076">
        <f t="shared" si="125"/>
        <v>100</v>
      </c>
    </row>
    <row r="789" spans="1:23" ht="15" hidden="1" thickBot="1" x14ac:dyDescent="0.25">
      <c r="A789" s="2080"/>
      <c r="B789" s="2079"/>
      <c r="C789" s="2079"/>
      <c r="D789" s="811" t="s">
        <v>1395</v>
      </c>
      <c r="E789" s="2627" t="s">
        <v>1539</v>
      </c>
      <c r="F789" s="2077"/>
      <c r="G789" s="2077"/>
      <c r="H789" s="2077"/>
      <c r="I789" s="2076" t="e">
        <f t="shared" si="125"/>
        <v>#DIV/0!</v>
      </c>
    </row>
    <row r="790" spans="1:23" ht="16.5" thickTop="1" thickBot="1" x14ac:dyDescent="0.3">
      <c r="A790" s="3301" t="s">
        <v>522</v>
      </c>
      <c r="B790" s="3302"/>
      <c r="C790" s="3302"/>
      <c r="D790" s="3302"/>
      <c r="E790" s="3302"/>
      <c r="F790" s="2075">
        <f>F785</f>
        <v>4597</v>
      </c>
      <c r="G790" s="2075">
        <f>G785</f>
        <v>4595</v>
      </c>
      <c r="H790" s="2075">
        <f>H785</f>
        <v>4595</v>
      </c>
      <c r="I790" s="2074">
        <f t="shared" si="125"/>
        <v>100</v>
      </c>
      <c r="R790" s="2691">
        <f>F790</f>
        <v>4597</v>
      </c>
      <c r="S790" s="2691">
        <f>G790</f>
        <v>4595</v>
      </c>
      <c r="T790" s="2691">
        <f>H790</f>
        <v>4595</v>
      </c>
    </row>
    <row r="791" spans="1:23" ht="15.75" hidden="1" thickTop="1" x14ac:dyDescent="0.25">
      <c r="A791" s="2108">
        <v>1202</v>
      </c>
      <c r="B791" s="2079">
        <v>3127</v>
      </c>
      <c r="C791" s="2093">
        <v>6351</v>
      </c>
      <c r="D791" s="2107"/>
      <c r="E791" s="1739" t="s">
        <v>551</v>
      </c>
      <c r="F791" s="2106"/>
      <c r="G791" s="2106"/>
      <c r="H791" s="2106"/>
      <c r="I791" s="2105" t="e">
        <f t="shared" si="125"/>
        <v>#DIV/0!</v>
      </c>
      <c r="R791" s="2691"/>
      <c r="S791" s="2691"/>
      <c r="T791" s="2691"/>
    </row>
    <row r="792" spans="1:23" ht="15" hidden="1" thickBot="1" x14ac:dyDescent="0.25">
      <c r="A792" s="2104"/>
      <c r="B792" s="2103"/>
      <c r="C792" s="1017"/>
      <c r="D792" s="1888" t="s">
        <v>972</v>
      </c>
      <c r="E792" s="2100" t="s">
        <v>368</v>
      </c>
      <c r="F792" s="2077"/>
      <c r="G792" s="2077"/>
      <c r="H792" s="2077"/>
      <c r="I792" s="2076" t="e">
        <f t="shared" si="125"/>
        <v>#DIV/0!</v>
      </c>
      <c r="R792" s="2691"/>
      <c r="S792" s="2691"/>
      <c r="T792" s="2691"/>
    </row>
    <row r="793" spans="1:23" ht="16.5" hidden="1" thickTop="1" thickBot="1" x14ac:dyDescent="0.3">
      <c r="A793" s="3305" t="s">
        <v>523</v>
      </c>
      <c r="B793" s="3306"/>
      <c r="C793" s="3306"/>
      <c r="D793" s="3306"/>
      <c r="E793" s="3307"/>
      <c r="F793" s="2075">
        <v>0</v>
      </c>
      <c r="G793" s="2075">
        <f>G791</f>
        <v>0</v>
      </c>
      <c r="H793" s="2075">
        <f>SUM(H791)</f>
        <v>0</v>
      </c>
      <c r="I793" s="2074" t="e">
        <f t="shared" si="125"/>
        <v>#DIV/0!</v>
      </c>
      <c r="U793" s="1002">
        <f>F793</f>
        <v>0</v>
      </c>
      <c r="V793" s="1002">
        <f>G793</f>
        <v>0</v>
      </c>
      <c r="W793" s="1002">
        <f>H793</f>
        <v>0</v>
      </c>
    </row>
    <row r="794" spans="1:23" ht="12.75" customHeight="1" thickTop="1" x14ac:dyDescent="0.25">
      <c r="A794" s="1137"/>
      <c r="B794" s="1137"/>
      <c r="C794" s="1137"/>
      <c r="D794" s="1137"/>
      <c r="E794" s="1137"/>
      <c r="F794" s="2073"/>
      <c r="G794" s="2073"/>
      <c r="H794" s="2073"/>
      <c r="I794" s="2072"/>
      <c r="R794" s="2691"/>
      <c r="S794" s="2691"/>
      <c r="T794" s="2691"/>
    </row>
    <row r="795" spans="1:23" ht="13.5" thickBot="1" x14ac:dyDescent="0.25">
      <c r="A795" s="1719" t="s">
        <v>174</v>
      </c>
      <c r="I795" s="2071" t="s">
        <v>92</v>
      </c>
    </row>
    <row r="796" spans="1:23" ht="14.25" thickTop="1" thickBot="1" x14ac:dyDescent="0.25">
      <c r="A796" s="1047" t="s">
        <v>324</v>
      </c>
      <c r="B796" s="1044" t="s">
        <v>93</v>
      </c>
      <c r="C796" s="1046" t="s">
        <v>94</v>
      </c>
      <c r="D796" s="1069" t="s">
        <v>364</v>
      </c>
      <c r="E796" s="1069" t="s">
        <v>95</v>
      </c>
      <c r="F796" s="1069" t="s">
        <v>328</v>
      </c>
      <c r="G796" s="1069" t="s">
        <v>329</v>
      </c>
      <c r="H796" s="1749" t="s">
        <v>448</v>
      </c>
      <c r="I796" s="2089" t="s">
        <v>449</v>
      </c>
    </row>
    <row r="797" spans="1:23" ht="14.25" thickTop="1" thickBot="1" x14ac:dyDescent="0.25">
      <c r="A797" s="1042">
        <v>1</v>
      </c>
      <c r="B797" s="1041">
        <v>2</v>
      </c>
      <c r="C797" s="1041">
        <v>3</v>
      </c>
      <c r="D797" s="1041">
        <v>4</v>
      </c>
      <c r="E797" s="1041">
        <v>5</v>
      </c>
      <c r="F797" s="1040">
        <v>6</v>
      </c>
      <c r="G797" s="1040">
        <v>7</v>
      </c>
      <c r="H797" s="1164">
        <v>8</v>
      </c>
      <c r="I797" s="1039" t="s">
        <v>393</v>
      </c>
      <c r="R797" s="2691">
        <f>F803</f>
        <v>10649</v>
      </c>
      <c r="S797" s="2691">
        <f>G803</f>
        <v>10658</v>
      </c>
      <c r="T797" s="2691">
        <f>H803</f>
        <v>10658</v>
      </c>
    </row>
    <row r="798" spans="1:23" ht="15.75" thickTop="1" x14ac:dyDescent="0.25">
      <c r="A798" s="2080">
        <v>1204</v>
      </c>
      <c r="B798" s="2093">
        <v>3127</v>
      </c>
      <c r="C798" s="2092">
        <v>5331</v>
      </c>
      <c r="D798" s="2124"/>
      <c r="E798" s="1739" t="s">
        <v>481</v>
      </c>
      <c r="F798" s="2123">
        <f>F799+F800+F801+F802</f>
        <v>10649</v>
      </c>
      <c r="G798" s="2123">
        <f>G799+G800+G801+G802</f>
        <v>10658</v>
      </c>
      <c r="H798" s="2123">
        <f>H799+H800+H801+H802</f>
        <v>10658</v>
      </c>
      <c r="I798" s="2105">
        <f t="shared" ref="I798:I803" si="126">(H798/G798)*100</f>
        <v>100</v>
      </c>
      <c r="R798" s="2691">
        <f>F806</f>
        <v>0</v>
      </c>
      <c r="S798" s="2691">
        <f>G806</f>
        <v>0</v>
      </c>
      <c r="T798" s="2691">
        <f>H806</f>
        <v>0</v>
      </c>
    </row>
    <row r="799" spans="1:23" ht="14.25" x14ac:dyDescent="0.2">
      <c r="A799" s="2080"/>
      <c r="B799" s="2093"/>
      <c r="C799" s="2092"/>
      <c r="D799" s="2630" t="s">
        <v>1394</v>
      </c>
      <c r="E799" s="923" t="s">
        <v>1537</v>
      </c>
      <c r="F799" s="2091">
        <v>7011</v>
      </c>
      <c r="G799" s="2091">
        <v>7011</v>
      </c>
      <c r="H799" s="2091">
        <v>7011</v>
      </c>
      <c r="I799" s="2090">
        <f t="shared" si="126"/>
        <v>100</v>
      </c>
      <c r="R799" s="2691">
        <f>R797+R798</f>
        <v>10649</v>
      </c>
      <c r="S799" s="2691">
        <f t="shared" ref="S799:T799" si="127">S797+S798</f>
        <v>10658</v>
      </c>
      <c r="T799" s="2691">
        <f t="shared" si="127"/>
        <v>10658</v>
      </c>
    </row>
    <row r="800" spans="1:23" ht="15" thickBot="1" x14ac:dyDescent="0.25">
      <c r="A800" s="2080"/>
      <c r="B800" s="2093"/>
      <c r="C800" s="2092"/>
      <c r="D800" s="811" t="s">
        <v>993</v>
      </c>
      <c r="E800" s="2627" t="s">
        <v>1538</v>
      </c>
      <c r="F800" s="2077">
        <v>3638</v>
      </c>
      <c r="G800" s="2077">
        <v>3647</v>
      </c>
      <c r="H800" s="2077">
        <v>3647</v>
      </c>
      <c r="I800" s="2076">
        <f t="shared" si="126"/>
        <v>100</v>
      </c>
    </row>
    <row r="801" spans="1:27" ht="15" hidden="1" thickBot="1" x14ac:dyDescent="0.25">
      <c r="A801" s="2080"/>
      <c r="B801" s="2093"/>
      <c r="C801" s="2092"/>
      <c r="D801" s="811" t="s">
        <v>1395</v>
      </c>
      <c r="E801" s="2627" t="s">
        <v>1539</v>
      </c>
      <c r="F801" s="2091"/>
      <c r="G801" s="2091"/>
      <c r="H801" s="2091"/>
      <c r="I801" s="2090" t="e">
        <f t="shared" si="126"/>
        <v>#DIV/0!</v>
      </c>
    </row>
    <row r="802" spans="1:27" ht="15" hidden="1" thickBot="1" x14ac:dyDescent="0.25">
      <c r="A802" s="2080"/>
      <c r="B802" s="2093"/>
      <c r="C802" s="2092"/>
      <c r="D802" s="1813" t="s">
        <v>954</v>
      </c>
      <c r="E802" s="2112" t="s">
        <v>997</v>
      </c>
      <c r="F802" s="2091"/>
      <c r="G802" s="2091"/>
      <c r="H802" s="2091"/>
      <c r="I802" s="2090" t="e">
        <f t="shared" si="126"/>
        <v>#DIV/0!</v>
      </c>
    </row>
    <row r="803" spans="1:27" ht="16.5" thickTop="1" thickBot="1" x14ac:dyDescent="0.3">
      <c r="A803" s="3301" t="s">
        <v>522</v>
      </c>
      <c r="B803" s="3302"/>
      <c r="C803" s="3302"/>
      <c r="D803" s="3302"/>
      <c r="E803" s="3302"/>
      <c r="F803" s="2075">
        <f>F798</f>
        <v>10649</v>
      </c>
      <c r="G803" s="2075">
        <f>G798</f>
        <v>10658</v>
      </c>
      <c r="H803" s="2075">
        <f>H798</f>
        <v>10658</v>
      </c>
      <c r="I803" s="2074">
        <f t="shared" si="126"/>
        <v>100</v>
      </c>
      <c r="J803" s="1002">
        <f>F803</f>
        <v>10649</v>
      </c>
      <c r="K803" s="1002" t="e">
        <f>G803+#REF!</f>
        <v>#REF!</v>
      </c>
      <c r="L803" s="1002" t="e">
        <f>H803+#REF!</f>
        <v>#REF!</v>
      </c>
      <c r="R803" s="997"/>
      <c r="S803" s="997"/>
      <c r="T803" s="997"/>
      <c r="U803" s="1002"/>
      <c r="V803" s="1002"/>
      <c r="W803" s="1002"/>
      <c r="Y803" s="1002"/>
      <c r="Z803" s="1002"/>
      <c r="AA803" s="1002"/>
    </row>
    <row r="804" spans="1:27" ht="15.75" hidden="1" thickTop="1" x14ac:dyDescent="0.25">
      <c r="A804" s="2640">
        <v>1204</v>
      </c>
      <c r="B804" s="19">
        <v>3127</v>
      </c>
      <c r="C804" s="151">
        <v>6351</v>
      </c>
      <c r="D804" s="2641"/>
      <c r="E804" s="845" t="s">
        <v>551</v>
      </c>
      <c r="F804" s="2642">
        <f>F805</f>
        <v>0</v>
      </c>
      <c r="G804" s="2642">
        <f t="shared" ref="G804:H804" si="128">G805</f>
        <v>0</v>
      </c>
      <c r="H804" s="2642">
        <f t="shared" si="128"/>
        <v>0</v>
      </c>
      <c r="I804" s="2643">
        <v>100</v>
      </c>
      <c r="J804" s="1002"/>
      <c r="K804" s="1002"/>
      <c r="L804" s="1002"/>
      <c r="R804" s="997"/>
      <c r="S804" s="997"/>
      <c r="T804" s="997"/>
      <c r="U804" s="1002"/>
      <c r="V804" s="1002"/>
      <c r="W804" s="1002"/>
      <c r="Y804" s="1002"/>
      <c r="Z804" s="1002"/>
      <c r="AA804" s="1002"/>
    </row>
    <row r="805" spans="1:27" ht="29.25" hidden="1" thickBot="1" x14ac:dyDescent="0.25">
      <c r="A805" s="2644"/>
      <c r="B805" s="822"/>
      <c r="C805" s="2645"/>
      <c r="D805" s="2634" t="s">
        <v>972</v>
      </c>
      <c r="E805" s="2632" t="s">
        <v>1540</v>
      </c>
      <c r="F805" s="2646"/>
      <c r="G805" s="2646"/>
      <c r="H805" s="2646"/>
      <c r="I805" s="2647">
        <v>100</v>
      </c>
      <c r="J805" s="1002"/>
      <c r="K805" s="1002"/>
      <c r="L805" s="1002"/>
      <c r="R805" s="997"/>
      <c r="S805" s="997"/>
      <c r="T805" s="997"/>
      <c r="U805" s="1002"/>
      <c r="V805" s="1002"/>
      <c r="W805" s="1002"/>
      <c r="Y805" s="1002"/>
      <c r="Z805" s="1002"/>
      <c r="AA805" s="1002"/>
    </row>
    <row r="806" spans="1:27" ht="16.5" hidden="1" thickTop="1" thickBot="1" x14ac:dyDescent="0.3">
      <c r="A806" s="3241" t="s">
        <v>523</v>
      </c>
      <c r="B806" s="3242"/>
      <c r="C806" s="3242"/>
      <c r="D806" s="3242"/>
      <c r="E806" s="3243"/>
      <c r="F806" s="2648">
        <f>F804</f>
        <v>0</v>
      </c>
      <c r="G806" s="2648">
        <f t="shared" ref="G806:H806" si="129">G804</f>
        <v>0</v>
      </c>
      <c r="H806" s="2648">
        <f t="shared" si="129"/>
        <v>0</v>
      </c>
      <c r="I806" s="2649">
        <v>100</v>
      </c>
      <c r="J806" s="1002"/>
      <c r="K806" s="1002"/>
      <c r="L806" s="1002"/>
      <c r="R806" s="2691"/>
      <c r="S806" s="2691"/>
      <c r="T806" s="2691"/>
      <c r="U806" s="1002"/>
      <c r="V806" s="1002"/>
      <c r="W806" s="1002"/>
      <c r="Y806" s="1002"/>
      <c r="Z806" s="1002"/>
      <c r="AA806" s="1002"/>
    </row>
    <row r="807" spans="1:27" ht="15.75" thickTop="1" x14ac:dyDescent="0.25">
      <c r="A807" s="1137"/>
      <c r="B807" s="1137"/>
      <c r="C807" s="1137"/>
      <c r="D807" s="1137"/>
      <c r="E807" s="1137"/>
      <c r="F807" s="2073"/>
      <c r="G807" s="2073"/>
      <c r="H807" s="2073"/>
      <c r="I807" s="2072"/>
      <c r="J807" s="1002"/>
      <c r="K807" s="1002"/>
      <c r="L807" s="1002"/>
      <c r="R807" s="2691"/>
      <c r="S807" s="2691"/>
      <c r="T807" s="2691"/>
      <c r="U807" s="1002"/>
      <c r="V807" s="1002"/>
      <c r="W807" s="1002"/>
      <c r="Y807" s="1002"/>
      <c r="Z807" s="1002"/>
      <c r="AA807" s="1002"/>
    </row>
    <row r="808" spans="1:27" ht="15" hidden="1" x14ac:dyDescent="0.25">
      <c r="A808" s="1137"/>
      <c r="B808" s="1137"/>
      <c r="C808" s="1137"/>
      <c r="D808" s="1137"/>
      <c r="E808" s="1137"/>
      <c r="F808" s="2073"/>
      <c r="G808" s="2073"/>
      <c r="H808" s="2073"/>
      <c r="I808" s="2072"/>
      <c r="J808" s="1002"/>
      <c r="K808" s="1002"/>
      <c r="L808" s="1002"/>
      <c r="R808" s="2691"/>
      <c r="S808" s="2691"/>
      <c r="T808" s="2691"/>
      <c r="U808" s="1002"/>
      <c r="V808" s="1002"/>
      <c r="W808" s="1002"/>
      <c r="Y808" s="1002"/>
      <c r="Z808" s="1002"/>
      <c r="AA808" s="1002"/>
    </row>
    <row r="809" spans="1:27" ht="15" hidden="1" x14ac:dyDescent="0.25">
      <c r="A809" s="1137"/>
      <c r="B809" s="1137"/>
      <c r="C809" s="1137"/>
      <c r="D809" s="1137"/>
      <c r="E809" s="1137"/>
      <c r="F809" s="2073"/>
      <c r="G809" s="2073"/>
      <c r="H809" s="2073"/>
      <c r="I809" s="2072"/>
      <c r="J809" s="1002"/>
      <c r="K809" s="1002"/>
      <c r="L809" s="1002"/>
      <c r="R809" s="2691"/>
      <c r="S809" s="2691"/>
      <c r="T809" s="2691"/>
      <c r="U809" s="1002"/>
      <c r="V809" s="1002"/>
      <c r="W809" s="1002"/>
      <c r="Y809" s="1002"/>
      <c r="Z809" s="1002"/>
      <c r="AA809" s="1002"/>
    </row>
    <row r="810" spans="1:27" ht="15" hidden="1" x14ac:dyDescent="0.25">
      <c r="A810" s="1137"/>
      <c r="B810" s="1137"/>
      <c r="C810" s="1137"/>
      <c r="D810" s="1137"/>
      <c r="E810" s="1137"/>
      <c r="F810" s="2073"/>
      <c r="G810" s="2073"/>
      <c r="H810" s="2073"/>
      <c r="I810" s="2072"/>
      <c r="J810" s="1002"/>
      <c r="K810" s="1002"/>
      <c r="L810" s="1002"/>
      <c r="R810" s="2691"/>
      <c r="S810" s="2691"/>
      <c r="T810" s="2691"/>
      <c r="U810" s="1002"/>
      <c r="V810" s="1002"/>
      <c r="W810" s="1002"/>
      <c r="Y810" s="1002"/>
      <c r="Z810" s="1002"/>
      <c r="AA810" s="1002"/>
    </row>
    <row r="811" spans="1:27" s="1043" customFormat="1" x14ac:dyDescent="0.2">
      <c r="A811" s="997"/>
      <c r="B811" s="1829"/>
      <c r="C811" s="997"/>
      <c r="D811" s="1841"/>
      <c r="E811" s="997"/>
      <c r="F811" s="1002"/>
      <c r="G811" s="1002"/>
      <c r="H811" s="1002"/>
      <c r="I811" s="2071"/>
      <c r="R811" s="2689"/>
      <c r="S811" s="2689"/>
      <c r="T811" s="2689"/>
    </row>
    <row r="812" spans="1:27" ht="13.5" thickBot="1" x14ac:dyDescent="0.25">
      <c r="A812" s="1719" t="s">
        <v>175</v>
      </c>
      <c r="I812" s="2071" t="s">
        <v>92</v>
      </c>
    </row>
    <row r="813" spans="1:27" ht="14.25" thickTop="1" thickBot="1" x14ac:dyDescent="0.25">
      <c r="A813" s="1047" t="s">
        <v>324</v>
      </c>
      <c r="B813" s="1044" t="s">
        <v>93</v>
      </c>
      <c r="C813" s="1046" t="s">
        <v>94</v>
      </c>
      <c r="D813" s="1069" t="s">
        <v>364</v>
      </c>
      <c r="E813" s="1069" t="s">
        <v>95</v>
      </c>
      <c r="F813" s="1069" t="s">
        <v>328</v>
      </c>
      <c r="G813" s="1069" t="s">
        <v>329</v>
      </c>
      <c r="H813" s="1749" t="s">
        <v>448</v>
      </c>
      <c r="I813" s="2089" t="s">
        <v>449</v>
      </c>
    </row>
    <row r="814" spans="1:27" ht="14.25" thickTop="1" thickBot="1" x14ac:dyDescent="0.25">
      <c r="A814" s="1042">
        <v>1</v>
      </c>
      <c r="B814" s="1041">
        <v>2</v>
      </c>
      <c r="C814" s="1041">
        <v>3</v>
      </c>
      <c r="D814" s="1041">
        <v>4</v>
      </c>
      <c r="E814" s="1041">
        <v>5</v>
      </c>
      <c r="F814" s="1040">
        <v>6</v>
      </c>
      <c r="G814" s="1040">
        <v>7</v>
      </c>
      <c r="H814" s="1164">
        <v>8</v>
      </c>
      <c r="I814" s="1039" t="s">
        <v>393</v>
      </c>
    </row>
    <row r="815" spans="1:27" ht="18" customHeight="1" thickTop="1" x14ac:dyDescent="0.25">
      <c r="A815" s="2080">
        <v>1205</v>
      </c>
      <c r="B815" s="2093">
        <v>3127</v>
      </c>
      <c r="C815" s="2093">
        <v>5331</v>
      </c>
      <c r="D815" s="2107"/>
      <c r="E815" s="1739" t="s">
        <v>481</v>
      </c>
      <c r="F815" s="2106">
        <f>F816+F817+F818</f>
        <v>5302</v>
      </c>
      <c r="G815" s="2106">
        <f>G816+G817+G818</f>
        <v>5281</v>
      </c>
      <c r="H815" s="2106">
        <f>H816+H817+H818</f>
        <v>5281</v>
      </c>
      <c r="I815" s="2094">
        <f>(H815/G815)*100</f>
        <v>100</v>
      </c>
    </row>
    <row r="816" spans="1:27" ht="15.75" customHeight="1" x14ac:dyDescent="0.2">
      <c r="A816" s="2080"/>
      <c r="B816" s="2093"/>
      <c r="C816" s="2093"/>
      <c r="D816" s="2630" t="s">
        <v>1394</v>
      </c>
      <c r="E816" s="923" t="s">
        <v>1537</v>
      </c>
      <c r="F816" s="2122">
        <v>3366</v>
      </c>
      <c r="G816" s="2091">
        <v>3366</v>
      </c>
      <c r="H816" s="2091">
        <v>3366</v>
      </c>
      <c r="I816" s="2076">
        <f>(H816/G816)*100</f>
        <v>100</v>
      </c>
    </row>
    <row r="817" spans="1:27" ht="15.75" hidden="1" customHeight="1" x14ac:dyDescent="0.2">
      <c r="A817" s="2080"/>
      <c r="B817" s="2093"/>
      <c r="C817" s="2093"/>
      <c r="D817" s="811" t="s">
        <v>994</v>
      </c>
      <c r="E817" s="2627" t="s">
        <v>1541</v>
      </c>
      <c r="F817" s="2122"/>
      <c r="G817" s="2091"/>
      <c r="H817" s="2091"/>
      <c r="I817" s="2076" t="e">
        <f>(H817/G817)*100</f>
        <v>#DIV/0!</v>
      </c>
    </row>
    <row r="818" spans="1:27" ht="15.75" customHeight="1" thickBot="1" x14ac:dyDescent="0.25">
      <c r="A818" s="2080"/>
      <c r="B818" s="2093"/>
      <c r="C818" s="2093"/>
      <c r="D818" s="811" t="s">
        <v>993</v>
      </c>
      <c r="E818" s="2627" t="s">
        <v>1538</v>
      </c>
      <c r="F818" s="2122">
        <v>1936</v>
      </c>
      <c r="G818" s="2091">
        <v>1915</v>
      </c>
      <c r="H818" s="2091">
        <v>1915</v>
      </c>
      <c r="I818" s="2076">
        <f>(H818/G818)*100</f>
        <v>100</v>
      </c>
    </row>
    <row r="819" spans="1:27" ht="16.5" thickTop="1" thickBot="1" x14ac:dyDescent="0.3">
      <c r="A819" s="3301" t="s">
        <v>522</v>
      </c>
      <c r="B819" s="3302"/>
      <c r="C819" s="3302"/>
      <c r="D819" s="3302"/>
      <c r="E819" s="3302"/>
      <c r="F819" s="2075">
        <f>F815</f>
        <v>5302</v>
      </c>
      <c r="G819" s="2075">
        <f>G815</f>
        <v>5281</v>
      </c>
      <c r="H819" s="2075">
        <f>H815</f>
        <v>5281</v>
      </c>
      <c r="I819" s="2074">
        <f>(H819/G819)*100</f>
        <v>100</v>
      </c>
      <c r="J819" s="1002">
        <f>F819</f>
        <v>5302</v>
      </c>
      <c r="K819" s="1002" t="e">
        <f>G819+#REF!</f>
        <v>#REF!</v>
      </c>
      <c r="L819" s="1002" t="e">
        <f>H819+#REF!</f>
        <v>#REF!</v>
      </c>
      <c r="R819" s="2691">
        <f>F819</f>
        <v>5302</v>
      </c>
      <c r="S819" s="2691">
        <f>G819</f>
        <v>5281</v>
      </c>
      <c r="T819" s="2691">
        <f>H819</f>
        <v>5281</v>
      </c>
      <c r="U819" s="1002"/>
      <c r="V819" s="1002"/>
      <c r="W819" s="1002"/>
      <c r="Y819" s="1002"/>
      <c r="Z819" s="1002"/>
      <c r="AA819" s="1002"/>
    </row>
    <row r="820" spans="1:27" s="1037" customFormat="1" ht="13.5" thickTop="1" x14ac:dyDescent="0.2">
      <c r="A820" s="997"/>
      <c r="B820" s="1829"/>
      <c r="C820" s="997"/>
      <c r="D820" s="1841"/>
      <c r="E820" s="997"/>
      <c r="F820" s="1002"/>
      <c r="G820" s="1002"/>
      <c r="H820" s="1002"/>
      <c r="I820" s="2071"/>
      <c r="R820" s="2690"/>
      <c r="S820" s="2690"/>
      <c r="T820" s="2690"/>
    </row>
    <row r="821" spans="1:27" s="1037" customFormat="1" x14ac:dyDescent="0.2">
      <c r="A821" s="997"/>
      <c r="B821" s="1829"/>
      <c r="C821" s="997"/>
      <c r="D821" s="1841"/>
      <c r="E821" s="997"/>
      <c r="F821" s="1002"/>
      <c r="G821" s="1002"/>
      <c r="H821" s="1002"/>
      <c r="I821" s="2071"/>
      <c r="R821" s="2690"/>
      <c r="S821" s="2690"/>
      <c r="T821" s="2690"/>
    </row>
    <row r="822" spans="1:27" ht="13.5" thickBot="1" x14ac:dyDescent="0.25">
      <c r="A822" s="1719" t="s">
        <v>176</v>
      </c>
      <c r="I822" s="2071" t="s">
        <v>92</v>
      </c>
    </row>
    <row r="823" spans="1:27" ht="14.25" thickTop="1" thickBot="1" x14ac:dyDescent="0.25">
      <c r="A823" s="1047" t="s">
        <v>324</v>
      </c>
      <c r="B823" s="1044" t="s">
        <v>93</v>
      </c>
      <c r="C823" s="1046" t="s">
        <v>94</v>
      </c>
      <c r="D823" s="1069" t="s">
        <v>364</v>
      </c>
      <c r="E823" s="1069" t="s">
        <v>95</v>
      </c>
      <c r="F823" s="1069" t="s">
        <v>328</v>
      </c>
      <c r="G823" s="1069" t="s">
        <v>329</v>
      </c>
      <c r="H823" s="1749" t="s">
        <v>448</v>
      </c>
      <c r="I823" s="2089" t="s">
        <v>449</v>
      </c>
    </row>
    <row r="824" spans="1:27" ht="14.25" thickTop="1" thickBot="1" x14ac:dyDescent="0.25">
      <c r="A824" s="1042">
        <v>1</v>
      </c>
      <c r="B824" s="1041">
        <v>2</v>
      </c>
      <c r="C824" s="1041">
        <v>3</v>
      </c>
      <c r="D824" s="1041">
        <v>4</v>
      </c>
      <c r="E824" s="1041">
        <v>5</v>
      </c>
      <c r="F824" s="1040">
        <v>6</v>
      </c>
      <c r="G824" s="1040">
        <v>7</v>
      </c>
      <c r="H824" s="1164">
        <v>8</v>
      </c>
      <c r="I824" s="1039" t="s">
        <v>393</v>
      </c>
    </row>
    <row r="825" spans="1:27" ht="18" customHeight="1" thickTop="1" x14ac:dyDescent="0.25">
      <c r="A825" s="2080">
        <v>1206</v>
      </c>
      <c r="B825" s="2079">
        <v>3127</v>
      </c>
      <c r="C825" s="2079">
        <v>5331</v>
      </c>
      <c r="D825" s="2099"/>
      <c r="E825" s="2096" t="s">
        <v>481</v>
      </c>
      <c r="F825" s="2095">
        <f>F826+F827+F829+F828</f>
        <v>3760</v>
      </c>
      <c r="G825" s="2095">
        <f t="shared" ref="G825:H825" si="130">G826+G827+G829+G828</f>
        <v>3754</v>
      </c>
      <c r="H825" s="2095">
        <f t="shared" si="130"/>
        <v>3754</v>
      </c>
      <c r="I825" s="2098">
        <f t="shared" ref="I825:I830" si="131">(H825/G825)*100</f>
        <v>100</v>
      </c>
    </row>
    <row r="826" spans="1:27" ht="16.5" customHeight="1" x14ac:dyDescent="0.2">
      <c r="A826" s="2080"/>
      <c r="B826" s="2079"/>
      <c r="C826" s="2079"/>
      <c r="D826" s="2630" t="s">
        <v>1394</v>
      </c>
      <c r="E826" s="923" t="s">
        <v>1537</v>
      </c>
      <c r="F826" s="2122">
        <v>3160</v>
      </c>
      <c r="G826" s="2091">
        <v>3160</v>
      </c>
      <c r="H826" s="2091">
        <v>3160</v>
      </c>
      <c r="I826" s="2076">
        <f t="shared" si="131"/>
        <v>100</v>
      </c>
    </row>
    <row r="827" spans="1:27" ht="14.25" x14ac:dyDescent="0.2">
      <c r="A827" s="2080"/>
      <c r="B827" s="2079"/>
      <c r="C827" s="2079"/>
      <c r="D827" s="811" t="s">
        <v>994</v>
      </c>
      <c r="E827" s="2627" t="s">
        <v>1541</v>
      </c>
      <c r="F827" s="2122">
        <v>30</v>
      </c>
      <c r="G827" s="2091">
        <v>30</v>
      </c>
      <c r="H827" s="2091">
        <v>30</v>
      </c>
      <c r="I827" s="2076">
        <f t="shared" si="131"/>
        <v>100</v>
      </c>
    </row>
    <row r="828" spans="1:27" ht="15" thickBot="1" x14ac:dyDescent="0.25">
      <c r="A828" s="2080"/>
      <c r="B828" s="2079"/>
      <c r="C828" s="2079"/>
      <c r="D828" s="811" t="s">
        <v>993</v>
      </c>
      <c r="E828" s="2627" t="s">
        <v>1538</v>
      </c>
      <c r="F828" s="2122">
        <v>570</v>
      </c>
      <c r="G828" s="2091">
        <v>564</v>
      </c>
      <c r="H828" s="2091">
        <v>564</v>
      </c>
      <c r="I828" s="2076">
        <f t="shared" si="131"/>
        <v>100</v>
      </c>
    </row>
    <row r="829" spans="1:27" ht="15" hidden="1" thickBot="1" x14ac:dyDescent="0.25">
      <c r="A829" s="2080"/>
      <c r="B829" s="2079"/>
      <c r="C829" s="2079"/>
      <c r="D829" s="2636" t="s">
        <v>1397</v>
      </c>
      <c r="E829" s="2637" t="s">
        <v>1542</v>
      </c>
      <c r="F829" s="2122"/>
      <c r="G829" s="2091"/>
      <c r="H829" s="2091"/>
      <c r="I829" s="2076" t="e">
        <f t="shared" si="131"/>
        <v>#DIV/0!</v>
      </c>
    </row>
    <row r="830" spans="1:27" s="1043" customFormat="1" ht="16.5" thickTop="1" thickBot="1" x14ac:dyDescent="0.3">
      <c r="A830" s="3301" t="s">
        <v>522</v>
      </c>
      <c r="B830" s="3302"/>
      <c r="C830" s="3302"/>
      <c r="D830" s="3302"/>
      <c r="E830" s="3302"/>
      <c r="F830" s="2075">
        <f>F825</f>
        <v>3760</v>
      </c>
      <c r="G830" s="2075">
        <f>G825</f>
        <v>3754</v>
      </c>
      <c r="H830" s="2075">
        <f>H825</f>
        <v>3754</v>
      </c>
      <c r="I830" s="2074">
        <f t="shared" si="131"/>
        <v>100</v>
      </c>
      <c r="R830" s="2691">
        <f>F830</f>
        <v>3760</v>
      </c>
      <c r="S830" s="2691">
        <f>G830</f>
        <v>3754</v>
      </c>
      <c r="T830" s="2691">
        <f>H830</f>
        <v>3754</v>
      </c>
    </row>
    <row r="831" spans="1:27" s="1043" customFormat="1" ht="15.75" thickTop="1" x14ac:dyDescent="0.25">
      <c r="A831" s="2640">
        <v>1206</v>
      </c>
      <c r="B831" s="19">
        <v>3127</v>
      </c>
      <c r="C831" s="151">
        <v>6351</v>
      </c>
      <c r="D831" s="2641"/>
      <c r="E831" s="845" t="s">
        <v>551</v>
      </c>
      <c r="F831" s="2642">
        <f>F832</f>
        <v>0</v>
      </c>
      <c r="G831" s="2642">
        <f t="shared" ref="G831:H831" si="132">G832</f>
        <v>530</v>
      </c>
      <c r="H831" s="2642">
        <f t="shared" si="132"/>
        <v>530</v>
      </c>
      <c r="I831" s="2643">
        <v>100</v>
      </c>
      <c r="R831" s="2691"/>
      <c r="S831" s="2691"/>
      <c r="T831" s="2691"/>
    </row>
    <row r="832" spans="1:27" s="1043" customFormat="1" ht="29.25" thickBot="1" x14ac:dyDescent="0.25">
      <c r="A832" s="2644"/>
      <c r="B832" s="822"/>
      <c r="C832" s="2645"/>
      <c r="D832" s="3034" t="s">
        <v>972</v>
      </c>
      <c r="E832" s="2952" t="s">
        <v>1540</v>
      </c>
      <c r="F832" s="3039">
        <v>0</v>
      </c>
      <c r="G832" s="3039">
        <v>530</v>
      </c>
      <c r="H832" s="3039">
        <v>530</v>
      </c>
      <c r="I832" s="3040">
        <v>100</v>
      </c>
      <c r="R832" s="2691"/>
      <c r="S832" s="2691"/>
      <c r="T832" s="2691"/>
    </row>
    <row r="833" spans="1:20" s="1043" customFormat="1" ht="16.5" thickTop="1" thickBot="1" x14ac:dyDescent="0.3">
      <c r="A833" s="3241" t="s">
        <v>523</v>
      </c>
      <c r="B833" s="3242"/>
      <c r="C833" s="3242"/>
      <c r="D833" s="3242"/>
      <c r="E833" s="3243"/>
      <c r="F833" s="2648">
        <f>F831</f>
        <v>0</v>
      </c>
      <c r="G833" s="2648">
        <f t="shared" ref="G833:H833" si="133">G831</f>
        <v>530</v>
      </c>
      <c r="H833" s="2648">
        <f t="shared" si="133"/>
        <v>530</v>
      </c>
      <c r="I833" s="2649">
        <v>100</v>
      </c>
      <c r="R833" s="2691"/>
      <c r="S833" s="2691"/>
      <c r="T833" s="2691"/>
    </row>
    <row r="834" spans="1:20" s="1043" customFormat="1" ht="15.75" thickTop="1" x14ac:dyDescent="0.25">
      <c r="A834" s="1137"/>
      <c r="B834" s="1137"/>
      <c r="C834" s="1137"/>
      <c r="D834" s="1137"/>
      <c r="E834" s="1137"/>
      <c r="F834" s="2073"/>
      <c r="G834" s="2073"/>
      <c r="H834" s="2073"/>
      <c r="I834" s="2072"/>
      <c r="R834" s="2691"/>
      <c r="S834" s="2691"/>
      <c r="T834" s="2691"/>
    </row>
    <row r="835" spans="1:20" ht="13.5" thickBot="1" x14ac:dyDescent="0.25">
      <c r="A835" s="1719" t="s">
        <v>177</v>
      </c>
      <c r="I835" s="2071" t="s">
        <v>92</v>
      </c>
    </row>
    <row r="836" spans="1:20" ht="14.25" thickTop="1" thickBot="1" x14ac:dyDescent="0.25">
      <c r="A836" s="1047" t="s">
        <v>324</v>
      </c>
      <c r="B836" s="1044" t="s">
        <v>93</v>
      </c>
      <c r="C836" s="1046" t="s">
        <v>94</v>
      </c>
      <c r="D836" s="1069" t="s">
        <v>364</v>
      </c>
      <c r="E836" s="1069" t="s">
        <v>95</v>
      </c>
      <c r="F836" s="1069" t="s">
        <v>328</v>
      </c>
      <c r="G836" s="1069" t="s">
        <v>329</v>
      </c>
      <c r="H836" s="1749" t="s">
        <v>448</v>
      </c>
      <c r="I836" s="2089" t="s">
        <v>449</v>
      </c>
    </row>
    <row r="837" spans="1:20" ht="14.25" thickTop="1" thickBot="1" x14ac:dyDescent="0.25">
      <c r="A837" s="1042">
        <v>1</v>
      </c>
      <c r="B837" s="1041">
        <v>2</v>
      </c>
      <c r="C837" s="1041">
        <v>3</v>
      </c>
      <c r="D837" s="1041">
        <v>4</v>
      </c>
      <c r="E837" s="1041">
        <v>5</v>
      </c>
      <c r="F837" s="1040">
        <v>6</v>
      </c>
      <c r="G837" s="1040">
        <v>7</v>
      </c>
      <c r="H837" s="1164">
        <v>8</v>
      </c>
      <c r="I837" s="1039" t="s">
        <v>393</v>
      </c>
    </row>
    <row r="838" spans="1:20" ht="15.75" thickTop="1" x14ac:dyDescent="0.25">
      <c r="A838" s="2080">
        <v>1207</v>
      </c>
      <c r="B838" s="2079">
        <v>3127</v>
      </c>
      <c r="C838" s="2079">
        <v>5331</v>
      </c>
      <c r="D838" s="2099"/>
      <c r="E838" s="2096" t="s">
        <v>481</v>
      </c>
      <c r="F838" s="2095">
        <f>F839+F840+F841</f>
        <v>3659</v>
      </c>
      <c r="G838" s="2095">
        <f t="shared" ref="G838:H838" si="134">G839+G840+G841</f>
        <v>3686</v>
      </c>
      <c r="H838" s="2095">
        <f t="shared" si="134"/>
        <v>3686</v>
      </c>
      <c r="I838" s="2098">
        <f>(H838/G838)*100</f>
        <v>100</v>
      </c>
    </row>
    <row r="839" spans="1:20" ht="14.25" x14ac:dyDescent="0.2">
      <c r="A839" s="2080"/>
      <c r="B839" s="2079"/>
      <c r="C839" s="2079"/>
      <c r="D839" s="2630" t="s">
        <v>1394</v>
      </c>
      <c r="E839" s="923" t="s">
        <v>1537</v>
      </c>
      <c r="F839" s="2122">
        <v>2871</v>
      </c>
      <c r="G839" s="2091">
        <v>2871</v>
      </c>
      <c r="H839" s="2091">
        <v>2871</v>
      </c>
      <c r="I839" s="2076">
        <f>(H839/G839)*100</f>
        <v>100</v>
      </c>
    </row>
    <row r="840" spans="1:20" ht="14.25" hidden="1" x14ac:dyDescent="0.2">
      <c r="A840" s="2080"/>
      <c r="B840" s="2079"/>
      <c r="C840" s="2079"/>
      <c r="D840" s="811" t="s">
        <v>994</v>
      </c>
      <c r="E840" s="2627" t="s">
        <v>1541</v>
      </c>
      <c r="F840" s="2122"/>
      <c r="G840" s="2091"/>
      <c r="H840" s="2091"/>
      <c r="I840" s="2076" t="e">
        <f>(H840/G840)*100</f>
        <v>#DIV/0!</v>
      </c>
    </row>
    <row r="841" spans="1:20" ht="15" thickBot="1" x14ac:dyDescent="0.25">
      <c r="A841" s="2080"/>
      <c r="B841" s="2079"/>
      <c r="C841" s="2079"/>
      <c r="D841" s="811" t="s">
        <v>993</v>
      </c>
      <c r="E841" s="2627" t="s">
        <v>1538</v>
      </c>
      <c r="F841" s="2122">
        <v>788</v>
      </c>
      <c r="G841" s="2091">
        <v>815</v>
      </c>
      <c r="H841" s="2091">
        <v>815</v>
      </c>
      <c r="I841" s="2076">
        <f>(H841/G841)*100</f>
        <v>100</v>
      </c>
    </row>
    <row r="842" spans="1:20" s="1043" customFormat="1" ht="16.5" thickTop="1" thickBot="1" x14ac:dyDescent="0.3">
      <c r="A842" s="3301" t="s">
        <v>522</v>
      </c>
      <c r="B842" s="3302"/>
      <c r="C842" s="3302"/>
      <c r="D842" s="3302"/>
      <c r="E842" s="3302"/>
      <c r="F842" s="2075">
        <f>F838</f>
        <v>3659</v>
      </c>
      <c r="G842" s="2075">
        <f>G838</f>
        <v>3686</v>
      </c>
      <c r="H842" s="2075">
        <f>H838</f>
        <v>3686</v>
      </c>
      <c r="I842" s="2074">
        <f>(H842/G842)*100</f>
        <v>100</v>
      </c>
      <c r="R842" s="2691">
        <f>F842</f>
        <v>3659</v>
      </c>
      <c r="S842" s="2691">
        <f>G842</f>
        <v>3686</v>
      </c>
      <c r="T842" s="2691">
        <f>H842</f>
        <v>3686</v>
      </c>
    </row>
    <row r="843" spans="1:20" s="1037" customFormat="1" ht="15.75" thickTop="1" x14ac:dyDescent="0.25">
      <c r="A843" s="1137"/>
      <c r="B843" s="1137"/>
      <c r="C843" s="1137"/>
      <c r="D843" s="1137"/>
      <c r="E843" s="1137"/>
      <c r="F843" s="2073"/>
      <c r="G843" s="2073"/>
      <c r="H843" s="2073"/>
      <c r="I843" s="2072"/>
      <c r="R843" s="2690"/>
      <c r="S843" s="2690"/>
      <c r="T843" s="2690"/>
    </row>
    <row r="844" spans="1:20" ht="13.5" thickBot="1" x14ac:dyDescent="0.25">
      <c r="A844" s="1719" t="s">
        <v>707</v>
      </c>
      <c r="I844" s="2071" t="s">
        <v>92</v>
      </c>
    </row>
    <row r="845" spans="1:20" ht="14.25" thickTop="1" thickBot="1" x14ac:dyDescent="0.25">
      <c r="A845" s="1047" t="s">
        <v>324</v>
      </c>
      <c r="B845" s="1044" t="s">
        <v>93</v>
      </c>
      <c r="C845" s="1046" t="s">
        <v>94</v>
      </c>
      <c r="D845" s="1069" t="s">
        <v>364</v>
      </c>
      <c r="E845" s="1069" t="s">
        <v>95</v>
      </c>
      <c r="F845" s="1069" t="s">
        <v>328</v>
      </c>
      <c r="G845" s="1069" t="s">
        <v>329</v>
      </c>
      <c r="H845" s="1749" t="s">
        <v>448</v>
      </c>
      <c r="I845" s="2089" t="s">
        <v>449</v>
      </c>
    </row>
    <row r="846" spans="1:20" ht="14.25" thickTop="1" thickBot="1" x14ac:dyDescent="0.25">
      <c r="A846" s="1042">
        <v>1</v>
      </c>
      <c r="B846" s="1041">
        <v>2</v>
      </c>
      <c r="C846" s="1041">
        <v>3</v>
      </c>
      <c r="D846" s="1041">
        <v>4</v>
      </c>
      <c r="E846" s="1041">
        <v>5</v>
      </c>
      <c r="F846" s="1040">
        <v>6</v>
      </c>
      <c r="G846" s="1040">
        <v>7</v>
      </c>
      <c r="H846" s="1164">
        <v>8</v>
      </c>
      <c r="I846" s="1039" t="s">
        <v>393</v>
      </c>
    </row>
    <row r="847" spans="1:20" ht="15.75" thickTop="1" x14ac:dyDescent="0.25">
      <c r="A847" s="2080">
        <v>1208</v>
      </c>
      <c r="B847" s="2079">
        <v>3127</v>
      </c>
      <c r="C847" s="2079">
        <v>5331</v>
      </c>
      <c r="D847" s="2099"/>
      <c r="E847" s="2096" t="s">
        <v>481</v>
      </c>
      <c r="F847" s="2095">
        <f>F848+F850+F849+F851</f>
        <v>5350</v>
      </c>
      <c r="G847" s="2095">
        <f t="shared" ref="G847:H847" si="135">G848+G850+G849+G851</f>
        <v>5630</v>
      </c>
      <c r="H847" s="2095">
        <f t="shared" si="135"/>
        <v>5630</v>
      </c>
      <c r="I847" s="2098">
        <f t="shared" ref="I847:I852" si="136">(H847/G847)*100</f>
        <v>100</v>
      </c>
    </row>
    <row r="848" spans="1:20" ht="14.25" x14ac:dyDescent="0.2">
      <c r="A848" s="2080"/>
      <c r="B848" s="2079"/>
      <c r="C848" s="2079"/>
      <c r="D848" s="2630" t="s">
        <v>1394</v>
      </c>
      <c r="E848" s="923" t="s">
        <v>1537</v>
      </c>
      <c r="F848" s="2122">
        <v>4400</v>
      </c>
      <c r="G848" s="2091">
        <v>4384</v>
      </c>
      <c r="H848" s="2091">
        <v>4384</v>
      </c>
      <c r="I848" s="2076">
        <f t="shared" si="136"/>
        <v>100</v>
      </c>
    </row>
    <row r="849" spans="1:20" ht="14.25" x14ac:dyDescent="0.2">
      <c r="A849" s="2080"/>
      <c r="B849" s="2079"/>
      <c r="C849" s="2079"/>
      <c r="D849" s="811" t="s">
        <v>994</v>
      </c>
      <c r="E849" s="2627" t="s">
        <v>1541</v>
      </c>
      <c r="F849" s="2122">
        <v>0</v>
      </c>
      <c r="G849" s="2091">
        <v>16</v>
      </c>
      <c r="H849" s="2091">
        <v>16</v>
      </c>
      <c r="I849" s="2076">
        <f t="shared" si="136"/>
        <v>100</v>
      </c>
    </row>
    <row r="850" spans="1:20" ht="14.25" x14ac:dyDescent="0.2">
      <c r="A850" s="2080"/>
      <c r="B850" s="2079"/>
      <c r="C850" s="2079"/>
      <c r="D850" s="811" t="s">
        <v>993</v>
      </c>
      <c r="E850" s="2627" t="s">
        <v>1538</v>
      </c>
      <c r="F850" s="2122">
        <v>830</v>
      </c>
      <c r="G850" s="2091">
        <v>833</v>
      </c>
      <c r="H850" s="2091">
        <v>833</v>
      </c>
      <c r="I850" s="2076">
        <f t="shared" si="136"/>
        <v>100</v>
      </c>
    </row>
    <row r="851" spans="1:20" ht="15" thickBot="1" x14ac:dyDescent="0.25">
      <c r="A851" s="2080"/>
      <c r="B851" s="2079"/>
      <c r="C851" s="2079"/>
      <c r="D851" s="811" t="s">
        <v>1395</v>
      </c>
      <c r="E851" s="2627" t="s">
        <v>1539</v>
      </c>
      <c r="F851" s="2122">
        <v>120</v>
      </c>
      <c r="G851" s="2091">
        <v>397</v>
      </c>
      <c r="H851" s="2091">
        <v>397</v>
      </c>
      <c r="I851" s="2076">
        <f t="shared" si="136"/>
        <v>100</v>
      </c>
    </row>
    <row r="852" spans="1:20" ht="16.5" thickTop="1" thickBot="1" x14ac:dyDescent="0.3">
      <c r="A852" s="3301" t="s">
        <v>522</v>
      </c>
      <c r="B852" s="3302"/>
      <c r="C852" s="3302"/>
      <c r="D852" s="3302"/>
      <c r="E852" s="3302"/>
      <c r="F852" s="2075">
        <f>F847</f>
        <v>5350</v>
      </c>
      <c r="G852" s="2075">
        <f>G847</f>
        <v>5630</v>
      </c>
      <c r="H852" s="2075">
        <f>H847</f>
        <v>5630</v>
      </c>
      <c r="I852" s="2074">
        <f t="shared" si="136"/>
        <v>100</v>
      </c>
      <c r="R852" s="2691">
        <f>F852</f>
        <v>5350</v>
      </c>
      <c r="S852" s="2691">
        <f>G852</f>
        <v>5630</v>
      </c>
      <c r="T852" s="2691">
        <f>H852</f>
        <v>5630</v>
      </c>
    </row>
    <row r="853" spans="1:20" ht="15.75" thickTop="1" x14ac:dyDescent="0.25">
      <c r="A853" s="2640">
        <v>1208</v>
      </c>
      <c r="B853" s="19">
        <v>3127</v>
      </c>
      <c r="C853" s="151">
        <v>6351</v>
      </c>
      <c r="D853" s="2641"/>
      <c r="E853" s="845" t="s">
        <v>551</v>
      </c>
      <c r="F853" s="2642">
        <f>F854</f>
        <v>0</v>
      </c>
      <c r="G853" s="2642">
        <f t="shared" ref="G853:H853" si="137">G854</f>
        <v>462</v>
      </c>
      <c r="H853" s="2642">
        <f t="shared" si="137"/>
        <v>462</v>
      </c>
      <c r="I853" s="2643">
        <v>100</v>
      </c>
      <c r="R853" s="2691"/>
      <c r="S853" s="2691"/>
      <c r="T853" s="2691"/>
    </row>
    <row r="854" spans="1:20" ht="29.25" thickBot="1" x14ac:dyDescent="0.25">
      <c r="A854" s="2644"/>
      <c r="B854" s="822"/>
      <c r="C854" s="2645"/>
      <c r="D854" s="3034" t="s">
        <v>972</v>
      </c>
      <c r="E854" s="2952" t="s">
        <v>1540</v>
      </c>
      <c r="F854" s="3039">
        <v>0</v>
      </c>
      <c r="G854" s="3039">
        <v>462</v>
      </c>
      <c r="H854" s="3039">
        <v>462</v>
      </c>
      <c r="I854" s="3040">
        <v>100</v>
      </c>
      <c r="R854" s="2691"/>
      <c r="S854" s="2691"/>
      <c r="T854" s="2691"/>
    </row>
    <row r="855" spans="1:20" s="1037" customFormat="1" ht="17.25" customHeight="1" thickTop="1" thickBot="1" x14ac:dyDescent="0.3">
      <c r="A855" s="3241" t="s">
        <v>523</v>
      </c>
      <c r="B855" s="3242"/>
      <c r="C855" s="3242"/>
      <c r="D855" s="3242"/>
      <c r="E855" s="3243"/>
      <c r="F855" s="2648">
        <f>F853</f>
        <v>0</v>
      </c>
      <c r="G855" s="2648">
        <f t="shared" ref="G855:H855" si="138">G853</f>
        <v>462</v>
      </c>
      <c r="H855" s="2648">
        <f t="shared" si="138"/>
        <v>462</v>
      </c>
      <c r="I855" s="2649">
        <v>100</v>
      </c>
      <c r="R855" s="2690"/>
      <c r="S855" s="2690"/>
      <c r="T855" s="2690"/>
    </row>
    <row r="856" spans="1:20" s="1037" customFormat="1" ht="12" customHeight="1" thickTop="1" x14ac:dyDescent="0.2">
      <c r="A856" s="997"/>
      <c r="B856" s="1829"/>
      <c r="C856" s="997"/>
      <c r="D856" s="1841"/>
      <c r="E856" s="997"/>
      <c r="F856" s="1002"/>
      <c r="G856" s="1002"/>
      <c r="H856" s="1002"/>
      <c r="I856" s="2071"/>
      <c r="R856" s="2690"/>
      <c r="S856" s="2690"/>
      <c r="T856" s="2690"/>
    </row>
    <row r="857" spans="1:20" s="1037" customFormat="1" ht="12" customHeight="1" x14ac:dyDescent="0.2">
      <c r="A857" s="997"/>
      <c r="B857" s="1829"/>
      <c r="C857" s="997"/>
      <c r="D857" s="1841"/>
      <c r="E857" s="997"/>
      <c r="F857" s="1002"/>
      <c r="G857" s="1002"/>
      <c r="H857" s="1002"/>
      <c r="I857" s="2071"/>
      <c r="R857" s="2690"/>
      <c r="S857" s="2690"/>
      <c r="T857" s="2690"/>
    </row>
    <row r="858" spans="1:20" ht="13.5" thickBot="1" x14ac:dyDescent="0.25">
      <c r="A858" s="1719" t="s">
        <v>999</v>
      </c>
      <c r="I858" s="2071" t="s">
        <v>92</v>
      </c>
    </row>
    <row r="859" spans="1:20" ht="14.25" thickTop="1" thickBot="1" x14ac:dyDescent="0.25">
      <c r="A859" s="1047" t="s">
        <v>324</v>
      </c>
      <c r="B859" s="1044" t="s">
        <v>93</v>
      </c>
      <c r="C859" s="1046" t="s">
        <v>94</v>
      </c>
      <c r="D859" s="1069" t="s">
        <v>364</v>
      </c>
      <c r="E859" s="1069" t="s">
        <v>95</v>
      </c>
      <c r="F859" s="1069" t="s">
        <v>328</v>
      </c>
      <c r="G859" s="1069" t="s">
        <v>329</v>
      </c>
      <c r="H859" s="1749" t="s">
        <v>448</v>
      </c>
      <c r="I859" s="2089" t="s">
        <v>449</v>
      </c>
    </row>
    <row r="860" spans="1:20" ht="14.25" thickTop="1" thickBot="1" x14ac:dyDescent="0.25">
      <c r="A860" s="1042">
        <v>1</v>
      </c>
      <c r="B860" s="1041">
        <v>2</v>
      </c>
      <c r="C860" s="1041">
        <v>3</v>
      </c>
      <c r="D860" s="1041">
        <v>4</v>
      </c>
      <c r="E860" s="1041">
        <v>5</v>
      </c>
      <c r="F860" s="1040">
        <v>6</v>
      </c>
      <c r="G860" s="1040">
        <v>7</v>
      </c>
      <c r="H860" s="1164">
        <v>8</v>
      </c>
      <c r="I860" s="1039" t="s">
        <v>393</v>
      </c>
    </row>
    <row r="861" spans="1:20" ht="15.75" thickTop="1" x14ac:dyDescent="0.25">
      <c r="A861" s="2080">
        <v>1212</v>
      </c>
      <c r="B861" s="2079">
        <v>3127</v>
      </c>
      <c r="C861" s="2079">
        <v>5331</v>
      </c>
      <c r="D861" s="2099"/>
      <c r="E861" s="2096" t="s">
        <v>481</v>
      </c>
      <c r="F861" s="2095">
        <f>F863+F864+F862</f>
        <v>3024</v>
      </c>
      <c r="G861" s="2095">
        <f t="shared" ref="G861:H861" si="139">G863+G864+G862</f>
        <v>3460</v>
      </c>
      <c r="H861" s="2095">
        <f t="shared" si="139"/>
        <v>3460</v>
      </c>
      <c r="I861" s="2098">
        <f t="shared" ref="I861:I868" si="140">(H861/G861)*100</f>
        <v>100</v>
      </c>
    </row>
    <row r="862" spans="1:20" ht="28.5" x14ac:dyDescent="0.2">
      <c r="A862" s="2080"/>
      <c r="B862" s="2079"/>
      <c r="C862" s="2079"/>
      <c r="D862" s="3034" t="s">
        <v>972</v>
      </c>
      <c r="E862" s="2951" t="s">
        <v>1540</v>
      </c>
      <c r="F862" s="3045">
        <v>0</v>
      </c>
      <c r="G862" s="3045">
        <v>435</v>
      </c>
      <c r="H862" s="3045">
        <v>435</v>
      </c>
      <c r="I862" s="2147">
        <f t="shared" si="140"/>
        <v>100</v>
      </c>
    </row>
    <row r="863" spans="1:20" ht="14.25" x14ac:dyDescent="0.2">
      <c r="A863" s="2080"/>
      <c r="B863" s="2079"/>
      <c r="C863" s="2079"/>
      <c r="D863" s="2630" t="s">
        <v>1394</v>
      </c>
      <c r="E863" s="923" t="s">
        <v>1537</v>
      </c>
      <c r="F863" s="2122">
        <v>2789</v>
      </c>
      <c r="G863" s="2091">
        <v>2789</v>
      </c>
      <c r="H863" s="2091">
        <v>2789</v>
      </c>
      <c r="I863" s="2076">
        <f t="shared" si="140"/>
        <v>100</v>
      </c>
    </row>
    <row r="864" spans="1:20" ht="15" thickBot="1" x14ac:dyDescent="0.25">
      <c r="A864" s="2080"/>
      <c r="B864" s="2079"/>
      <c r="C864" s="2079"/>
      <c r="D864" s="811" t="s">
        <v>993</v>
      </c>
      <c r="E864" s="2627" t="s">
        <v>1538</v>
      </c>
      <c r="F864" s="2122">
        <v>235</v>
      </c>
      <c r="G864" s="2091">
        <v>236</v>
      </c>
      <c r="H864" s="2091">
        <v>236</v>
      </c>
      <c r="I864" s="2076">
        <f t="shared" si="140"/>
        <v>100</v>
      </c>
    </row>
    <row r="865" spans="1:23" ht="16.5" thickTop="1" thickBot="1" x14ac:dyDescent="0.3">
      <c r="A865" s="3301" t="s">
        <v>522</v>
      </c>
      <c r="B865" s="3302"/>
      <c r="C865" s="3302"/>
      <c r="D865" s="3302"/>
      <c r="E865" s="3302"/>
      <c r="F865" s="2075">
        <f>F861</f>
        <v>3024</v>
      </c>
      <c r="G865" s="2075">
        <f>G861</f>
        <v>3460</v>
      </c>
      <c r="H865" s="2075">
        <f>H861</f>
        <v>3460</v>
      </c>
      <c r="I865" s="2074">
        <f t="shared" si="140"/>
        <v>100</v>
      </c>
      <c r="R865" s="2691">
        <f>F865</f>
        <v>3024</v>
      </c>
      <c r="S865" s="2691">
        <f>G865</f>
        <v>3460</v>
      </c>
      <c r="T865" s="2691">
        <f>H865</f>
        <v>3460</v>
      </c>
    </row>
    <row r="866" spans="1:23" ht="15.75" thickTop="1" x14ac:dyDescent="0.25">
      <c r="A866" s="2108">
        <v>1212</v>
      </c>
      <c r="B866" s="2079">
        <v>3127</v>
      </c>
      <c r="C866" s="2093">
        <v>6351</v>
      </c>
      <c r="D866" s="2107"/>
      <c r="E866" s="1739" t="s">
        <v>551</v>
      </c>
      <c r="F866" s="2106">
        <f>F867</f>
        <v>0</v>
      </c>
      <c r="G866" s="2106">
        <f t="shared" ref="G866:H866" si="141">G867</f>
        <v>150</v>
      </c>
      <c r="H866" s="2106">
        <f t="shared" si="141"/>
        <v>150</v>
      </c>
      <c r="I866" s="2105">
        <f t="shared" si="140"/>
        <v>100</v>
      </c>
      <c r="R866" s="2691"/>
      <c r="S866" s="2691"/>
      <c r="T866" s="2691"/>
    </row>
    <row r="867" spans="1:23" ht="29.25" thickBot="1" x14ac:dyDescent="0.25">
      <c r="A867" s="2104"/>
      <c r="B867" s="2103"/>
      <c r="C867" s="1017"/>
      <c r="D867" s="3041" t="s">
        <v>972</v>
      </c>
      <c r="E867" s="2952" t="s">
        <v>1540</v>
      </c>
      <c r="F867" s="2148">
        <v>0</v>
      </c>
      <c r="G867" s="2148">
        <v>150</v>
      </c>
      <c r="H867" s="2148">
        <v>150</v>
      </c>
      <c r="I867" s="2147">
        <f t="shared" si="140"/>
        <v>100</v>
      </c>
      <c r="R867" s="2691"/>
      <c r="S867" s="2691"/>
      <c r="T867" s="2691"/>
    </row>
    <row r="868" spans="1:23" ht="16.5" thickTop="1" thickBot="1" x14ac:dyDescent="0.3">
      <c r="A868" s="3305" t="s">
        <v>523</v>
      </c>
      <c r="B868" s="3306"/>
      <c r="C868" s="3306"/>
      <c r="D868" s="3306"/>
      <c r="E868" s="3307"/>
      <c r="F868" s="2075">
        <f>F866</f>
        <v>0</v>
      </c>
      <c r="G868" s="2075">
        <f t="shared" ref="G868:H868" si="142">G866</f>
        <v>150</v>
      </c>
      <c r="H868" s="2075">
        <f t="shared" si="142"/>
        <v>150</v>
      </c>
      <c r="I868" s="2074">
        <f t="shared" si="140"/>
        <v>100</v>
      </c>
      <c r="U868" s="1002">
        <f>F868</f>
        <v>0</v>
      </c>
      <c r="V868" s="1002">
        <f>G868</f>
        <v>150</v>
      </c>
      <c r="W868" s="1002">
        <f>H868</f>
        <v>150</v>
      </c>
    </row>
    <row r="869" spans="1:23" ht="13.5" thickTop="1" x14ac:dyDescent="0.2"/>
    <row r="870" spans="1:23" ht="13.5" thickBot="1" x14ac:dyDescent="0.25">
      <c r="A870" s="1719" t="s">
        <v>178</v>
      </c>
      <c r="I870" s="2071" t="s">
        <v>92</v>
      </c>
    </row>
    <row r="871" spans="1:23" ht="14.25" thickTop="1" thickBot="1" x14ac:dyDescent="0.25">
      <c r="A871" s="1047" t="s">
        <v>324</v>
      </c>
      <c r="B871" s="1044" t="s">
        <v>93</v>
      </c>
      <c r="C871" s="1046" t="s">
        <v>94</v>
      </c>
      <c r="D871" s="1069" t="s">
        <v>364</v>
      </c>
      <c r="E871" s="1069" t="s">
        <v>95</v>
      </c>
      <c r="F871" s="1069" t="s">
        <v>328</v>
      </c>
      <c r="G871" s="1069" t="s">
        <v>329</v>
      </c>
      <c r="H871" s="1749" t="s">
        <v>448</v>
      </c>
      <c r="I871" s="2089" t="s">
        <v>449</v>
      </c>
    </row>
    <row r="872" spans="1:23" ht="14.25" thickTop="1" thickBot="1" x14ac:dyDescent="0.25">
      <c r="A872" s="1042">
        <v>1</v>
      </c>
      <c r="B872" s="1041">
        <v>2</v>
      </c>
      <c r="C872" s="1041">
        <v>3</v>
      </c>
      <c r="D872" s="1041">
        <v>4</v>
      </c>
      <c r="E872" s="1041">
        <v>5</v>
      </c>
      <c r="F872" s="1040">
        <v>6</v>
      </c>
      <c r="G872" s="1040">
        <v>7</v>
      </c>
      <c r="H872" s="1164">
        <v>8</v>
      </c>
      <c r="I872" s="1039" t="s">
        <v>393</v>
      </c>
    </row>
    <row r="873" spans="1:23" ht="15.75" thickTop="1" x14ac:dyDescent="0.25">
      <c r="A873" s="2088">
        <v>1216</v>
      </c>
      <c r="B873" s="2087">
        <v>3127</v>
      </c>
      <c r="C873" s="2087">
        <v>5331</v>
      </c>
      <c r="D873" s="2086"/>
      <c r="E873" s="2085" t="s">
        <v>481</v>
      </c>
      <c r="F873" s="2084">
        <f>F874+F875+F876</f>
        <v>1977</v>
      </c>
      <c r="G873" s="2084">
        <f>G874+G875+G876</f>
        <v>2342</v>
      </c>
      <c r="H873" s="2084">
        <f>H874+H875+H876</f>
        <v>2342</v>
      </c>
      <c r="I873" s="2083">
        <f>(H873/G873)*100</f>
        <v>100</v>
      </c>
    </row>
    <row r="874" spans="1:23" ht="28.5" hidden="1" x14ac:dyDescent="0.2">
      <c r="A874" s="2080"/>
      <c r="B874" s="2079"/>
      <c r="C874" s="2079"/>
      <c r="D874" s="2634" t="s">
        <v>972</v>
      </c>
      <c r="E874" s="2632" t="s">
        <v>1540</v>
      </c>
      <c r="F874" s="2638"/>
      <c r="G874" s="2638"/>
      <c r="H874" s="2638"/>
      <c r="I874" s="2635" t="e">
        <f>(H874/G874)*100</f>
        <v>#DIV/0!</v>
      </c>
    </row>
    <row r="875" spans="1:23" ht="14.25" x14ac:dyDescent="0.2">
      <c r="A875" s="2080"/>
      <c r="B875" s="2079"/>
      <c r="C875" s="2079"/>
      <c r="D875" s="2630" t="s">
        <v>1394</v>
      </c>
      <c r="E875" s="923" t="s">
        <v>1537</v>
      </c>
      <c r="F875" s="2077">
        <v>1770</v>
      </c>
      <c r="G875" s="2077">
        <v>2130</v>
      </c>
      <c r="H875" s="2077">
        <v>2130</v>
      </c>
      <c r="I875" s="2076">
        <f>(H875/G875)*100</f>
        <v>100</v>
      </c>
    </row>
    <row r="876" spans="1:23" ht="15" thickBot="1" x14ac:dyDescent="0.25">
      <c r="A876" s="2080"/>
      <c r="B876" s="2079"/>
      <c r="C876" s="2079"/>
      <c r="D876" s="811" t="s">
        <v>993</v>
      </c>
      <c r="E876" s="2627" t="s">
        <v>1538</v>
      </c>
      <c r="F876" s="2077">
        <v>207</v>
      </c>
      <c r="G876" s="2077">
        <v>212</v>
      </c>
      <c r="H876" s="2077">
        <v>212</v>
      </c>
      <c r="I876" s="2076">
        <f>(H876/G876)*100</f>
        <v>100</v>
      </c>
    </row>
    <row r="877" spans="1:23" ht="16.5" thickTop="1" thickBot="1" x14ac:dyDescent="0.3">
      <c r="A877" s="3301" t="s">
        <v>522</v>
      </c>
      <c r="B877" s="3302"/>
      <c r="C877" s="3302"/>
      <c r="D877" s="3302"/>
      <c r="E877" s="3302"/>
      <c r="F877" s="2075">
        <f>F873</f>
        <v>1977</v>
      </c>
      <c r="G877" s="2075">
        <f>G873</f>
        <v>2342</v>
      </c>
      <c r="H877" s="2075">
        <f>H873</f>
        <v>2342</v>
      </c>
      <c r="I877" s="2074">
        <f>(H877/G877)*100</f>
        <v>100</v>
      </c>
      <c r="J877" s="1002">
        <f>F877</f>
        <v>1977</v>
      </c>
      <c r="K877" s="1002" t="e">
        <f>G877+#REF!</f>
        <v>#REF!</v>
      </c>
      <c r="L877" s="1002" t="e">
        <f>H877+#REF!</f>
        <v>#REF!</v>
      </c>
      <c r="R877" s="2691">
        <f>F877</f>
        <v>1977</v>
      </c>
      <c r="S877" s="2691">
        <f>G877</f>
        <v>2342</v>
      </c>
      <c r="T877" s="2691">
        <f>H877</f>
        <v>2342</v>
      </c>
      <c r="U877" s="1002"/>
      <c r="V877" s="1002"/>
      <c r="W877" s="1002"/>
    </row>
    <row r="878" spans="1:23" s="1037" customFormat="1" ht="13.5" thickTop="1" x14ac:dyDescent="0.2">
      <c r="A878" s="997"/>
      <c r="B878" s="1829"/>
      <c r="C878" s="997"/>
      <c r="D878" s="1841"/>
      <c r="E878" s="997"/>
      <c r="F878" s="1002"/>
      <c r="G878" s="1002"/>
      <c r="H878" s="1002"/>
      <c r="I878" s="2071"/>
      <c r="R878" s="2690"/>
      <c r="S878" s="2690"/>
      <c r="T878" s="2690"/>
    </row>
    <row r="879" spans="1:23" ht="13.5" thickBot="1" x14ac:dyDescent="0.25">
      <c r="A879" s="1719" t="s">
        <v>595</v>
      </c>
      <c r="I879" s="2071" t="s">
        <v>92</v>
      </c>
    </row>
    <row r="880" spans="1:23" ht="14.25" thickTop="1" thickBot="1" x14ac:dyDescent="0.25">
      <c r="A880" s="1047" t="s">
        <v>324</v>
      </c>
      <c r="B880" s="1044" t="s">
        <v>93</v>
      </c>
      <c r="C880" s="1046" t="s">
        <v>94</v>
      </c>
      <c r="D880" s="1069" t="s">
        <v>364</v>
      </c>
      <c r="E880" s="1069" t="s">
        <v>95</v>
      </c>
      <c r="F880" s="1069" t="s">
        <v>328</v>
      </c>
      <c r="G880" s="1069" t="s">
        <v>329</v>
      </c>
      <c r="H880" s="1749" t="s">
        <v>448</v>
      </c>
      <c r="I880" s="2089" t="s">
        <v>449</v>
      </c>
    </row>
    <row r="881" spans="1:23" ht="14.25" thickTop="1" thickBot="1" x14ac:dyDescent="0.25">
      <c r="A881" s="1042">
        <v>1</v>
      </c>
      <c r="B881" s="1041">
        <v>2</v>
      </c>
      <c r="C881" s="1041">
        <v>3</v>
      </c>
      <c r="D881" s="1041">
        <v>4</v>
      </c>
      <c r="E881" s="1041">
        <v>5</v>
      </c>
      <c r="F881" s="1040">
        <v>6</v>
      </c>
      <c r="G881" s="1040">
        <v>7</v>
      </c>
      <c r="H881" s="1164">
        <v>8</v>
      </c>
      <c r="I881" s="1039" t="s">
        <v>393</v>
      </c>
    </row>
    <row r="882" spans="1:23" ht="15.75" thickTop="1" x14ac:dyDescent="0.25">
      <c r="A882" s="2088">
        <v>1218</v>
      </c>
      <c r="B882" s="2087">
        <v>3124</v>
      </c>
      <c r="C882" s="2087">
        <v>5331</v>
      </c>
      <c r="D882" s="2086"/>
      <c r="E882" s="2085" t="s">
        <v>481</v>
      </c>
      <c r="F882" s="2084">
        <f>F883+F884+F885</f>
        <v>1906</v>
      </c>
      <c r="G882" s="2084">
        <f>G883+G884+G885</f>
        <v>2218</v>
      </c>
      <c r="H882" s="2084">
        <f>H883+H884+H885</f>
        <v>2218</v>
      </c>
      <c r="I882" s="2083">
        <f t="shared" ref="I882:I891" si="143">(H882/G882)*100</f>
        <v>100</v>
      </c>
    </row>
    <row r="883" spans="1:23" ht="14.25" x14ac:dyDescent="0.2">
      <c r="A883" s="2080"/>
      <c r="B883" s="2079"/>
      <c r="C883" s="2079"/>
      <c r="D883" s="2630" t="s">
        <v>1394</v>
      </c>
      <c r="E883" s="923" t="s">
        <v>1537</v>
      </c>
      <c r="F883" s="2077">
        <v>1525</v>
      </c>
      <c r="G883" s="2077">
        <v>1855</v>
      </c>
      <c r="H883" s="2077">
        <v>1855</v>
      </c>
      <c r="I883" s="2090">
        <f t="shared" si="143"/>
        <v>100</v>
      </c>
    </row>
    <row r="884" spans="1:23" ht="14.25" hidden="1" x14ac:dyDescent="0.2">
      <c r="A884" s="2080"/>
      <c r="B884" s="2079"/>
      <c r="C884" s="2079"/>
      <c r="D884" s="1888" t="s">
        <v>972</v>
      </c>
      <c r="E884" s="2100" t="s">
        <v>368</v>
      </c>
      <c r="F884" s="2021"/>
      <c r="G884" s="1062"/>
      <c r="H884" s="1062"/>
      <c r="I884" s="1061" t="e">
        <f t="shared" si="143"/>
        <v>#DIV/0!</v>
      </c>
    </row>
    <row r="885" spans="1:23" ht="15" thickBot="1" x14ac:dyDescent="0.25">
      <c r="A885" s="2080"/>
      <c r="B885" s="2079"/>
      <c r="C885" s="2079"/>
      <c r="D885" s="811" t="s">
        <v>993</v>
      </c>
      <c r="E885" s="2627" t="s">
        <v>1538</v>
      </c>
      <c r="F885" s="2077">
        <v>381</v>
      </c>
      <c r="G885" s="2077">
        <v>363</v>
      </c>
      <c r="H885" s="2077">
        <v>363</v>
      </c>
      <c r="I885" s="2090">
        <f t="shared" si="143"/>
        <v>100</v>
      </c>
    </row>
    <row r="886" spans="1:23" ht="16.5" thickTop="1" thickBot="1" x14ac:dyDescent="0.3">
      <c r="A886" s="3301" t="s">
        <v>522</v>
      </c>
      <c r="B886" s="3302"/>
      <c r="C886" s="3302"/>
      <c r="D886" s="3302"/>
      <c r="E886" s="3302"/>
      <c r="F886" s="2075">
        <f>F882</f>
        <v>1906</v>
      </c>
      <c r="G886" s="2075">
        <f>G882</f>
        <v>2218</v>
      </c>
      <c r="H886" s="2075">
        <f>H882</f>
        <v>2218</v>
      </c>
      <c r="I886" s="2074">
        <f t="shared" si="143"/>
        <v>100</v>
      </c>
      <c r="R886" s="2691">
        <f>F886</f>
        <v>1906</v>
      </c>
      <c r="S886" s="2691">
        <f>G886</f>
        <v>2218</v>
      </c>
      <c r="T886" s="2691">
        <f>H886</f>
        <v>2218</v>
      </c>
    </row>
    <row r="887" spans="1:23" ht="15.75" thickTop="1" x14ac:dyDescent="0.25">
      <c r="A887" s="2108">
        <v>1218</v>
      </c>
      <c r="B887" s="2079">
        <v>3124</v>
      </c>
      <c r="C887" s="2093">
        <v>6351</v>
      </c>
      <c r="D887" s="2107"/>
      <c r="E887" s="1739" t="s">
        <v>551</v>
      </c>
      <c r="F887" s="2106">
        <f>F888</f>
        <v>0</v>
      </c>
      <c r="G887" s="2106">
        <f t="shared" ref="G887:H887" si="144">G888</f>
        <v>299</v>
      </c>
      <c r="H887" s="2106">
        <f t="shared" si="144"/>
        <v>299</v>
      </c>
      <c r="I887" s="2105">
        <f t="shared" si="143"/>
        <v>100</v>
      </c>
      <c r="R887" s="2691"/>
      <c r="S887" s="2691"/>
      <c r="T887" s="2691"/>
    </row>
    <row r="888" spans="1:23" ht="26.25" customHeight="1" x14ac:dyDescent="0.2">
      <c r="A888" s="2108"/>
      <c r="B888" s="2079"/>
      <c r="C888" s="1743"/>
      <c r="D888" s="3041" t="s">
        <v>972</v>
      </c>
      <c r="E888" s="2952" t="s">
        <v>1540</v>
      </c>
      <c r="F888" s="2711">
        <v>0</v>
      </c>
      <c r="G888" s="2702">
        <v>299</v>
      </c>
      <c r="H888" s="2702">
        <v>299</v>
      </c>
      <c r="I888" s="2700">
        <f t="shared" si="143"/>
        <v>100</v>
      </c>
      <c r="R888" s="2691"/>
      <c r="S888" s="2691"/>
      <c r="T888" s="2691"/>
    </row>
    <row r="889" spans="1:23" ht="15" x14ac:dyDescent="0.25">
      <c r="A889" s="2080">
        <v>1218</v>
      </c>
      <c r="B889" s="2079">
        <v>3127</v>
      </c>
      <c r="C889" s="2093">
        <v>6351</v>
      </c>
      <c r="D889" s="2107"/>
      <c r="E889" s="1739" t="s">
        <v>551</v>
      </c>
      <c r="F889" s="2106">
        <f>F890</f>
        <v>0</v>
      </c>
      <c r="G889" s="2106">
        <f t="shared" ref="G889:H889" si="145">G890</f>
        <v>1007</v>
      </c>
      <c r="H889" s="2106">
        <f t="shared" si="145"/>
        <v>1007</v>
      </c>
      <c r="I889" s="2105">
        <f t="shared" si="143"/>
        <v>100</v>
      </c>
      <c r="R889" s="2691"/>
      <c r="S889" s="2691"/>
      <c r="T889" s="2691"/>
    </row>
    <row r="890" spans="1:23" ht="29.25" thickBot="1" x14ac:dyDescent="0.25">
      <c r="A890" s="2104"/>
      <c r="B890" s="2103"/>
      <c r="C890" s="1017"/>
      <c r="D890" s="3041" t="s">
        <v>972</v>
      </c>
      <c r="E890" s="2952" t="s">
        <v>1540</v>
      </c>
      <c r="F890" s="2711">
        <v>0</v>
      </c>
      <c r="G890" s="2702">
        <v>1007</v>
      </c>
      <c r="H890" s="2702">
        <v>1007</v>
      </c>
      <c r="I890" s="2700">
        <f t="shared" si="143"/>
        <v>100</v>
      </c>
      <c r="R890" s="2691"/>
      <c r="S890" s="2691"/>
      <c r="T890" s="2691"/>
    </row>
    <row r="891" spans="1:23" ht="16.5" thickTop="1" thickBot="1" x14ac:dyDescent="0.3">
      <c r="A891" s="3305" t="s">
        <v>523</v>
      </c>
      <c r="B891" s="3306"/>
      <c r="C891" s="3306"/>
      <c r="D891" s="3306"/>
      <c r="E891" s="3307"/>
      <c r="F891" s="2075">
        <f>F887+F889</f>
        <v>0</v>
      </c>
      <c r="G891" s="2075">
        <f t="shared" ref="G891:H891" si="146">G887+G889</f>
        <v>1306</v>
      </c>
      <c r="H891" s="2075">
        <f t="shared" si="146"/>
        <v>1306</v>
      </c>
      <c r="I891" s="2074">
        <f t="shared" si="143"/>
        <v>100</v>
      </c>
      <c r="U891" s="1002">
        <f>F891</f>
        <v>0</v>
      </c>
      <c r="V891" s="1002">
        <f>G891</f>
        <v>1306</v>
      </c>
      <c r="W891" s="1002">
        <f>H891</f>
        <v>1306</v>
      </c>
    </row>
    <row r="892" spans="1:23" ht="15.75" thickTop="1" x14ac:dyDescent="0.25">
      <c r="A892" s="1137"/>
      <c r="B892" s="1137"/>
      <c r="C892" s="1137"/>
      <c r="D892" s="1137"/>
      <c r="E892" s="1137"/>
      <c r="F892" s="2073"/>
      <c r="G892" s="2073"/>
      <c r="H892" s="2073"/>
      <c r="I892" s="2072"/>
      <c r="R892" s="2691"/>
      <c r="S892" s="2691"/>
      <c r="T892" s="2691"/>
    </row>
    <row r="893" spans="1:23" ht="13.5" thickBot="1" x14ac:dyDescent="0.25">
      <c r="A893" s="1719" t="s">
        <v>80</v>
      </c>
      <c r="I893" s="2071" t="s">
        <v>92</v>
      </c>
    </row>
    <row r="894" spans="1:23" ht="14.25" thickTop="1" thickBot="1" x14ac:dyDescent="0.25">
      <c r="A894" s="1047" t="s">
        <v>324</v>
      </c>
      <c r="B894" s="1044" t="s">
        <v>93</v>
      </c>
      <c r="C894" s="1046" t="s">
        <v>94</v>
      </c>
      <c r="D894" s="1069" t="s">
        <v>364</v>
      </c>
      <c r="E894" s="1069" t="s">
        <v>95</v>
      </c>
      <c r="F894" s="1069" t="s">
        <v>328</v>
      </c>
      <c r="G894" s="1069" t="s">
        <v>329</v>
      </c>
      <c r="H894" s="1749" t="s">
        <v>448</v>
      </c>
      <c r="I894" s="2089" t="s">
        <v>449</v>
      </c>
    </row>
    <row r="895" spans="1:23" ht="14.25" thickTop="1" thickBot="1" x14ac:dyDescent="0.25">
      <c r="A895" s="1042">
        <v>1</v>
      </c>
      <c r="B895" s="1041">
        <v>2</v>
      </c>
      <c r="C895" s="1041">
        <v>3</v>
      </c>
      <c r="D895" s="1041">
        <v>4</v>
      </c>
      <c r="E895" s="1041">
        <v>5</v>
      </c>
      <c r="F895" s="1040">
        <v>6</v>
      </c>
      <c r="G895" s="1040">
        <v>7</v>
      </c>
      <c r="H895" s="1164">
        <v>8</v>
      </c>
      <c r="I895" s="1039" t="s">
        <v>393</v>
      </c>
    </row>
    <row r="896" spans="1:23" ht="15.75" thickTop="1" x14ac:dyDescent="0.25">
      <c r="A896" s="2088">
        <v>1222</v>
      </c>
      <c r="B896" s="2087">
        <v>3124</v>
      </c>
      <c r="C896" s="2087">
        <v>5331</v>
      </c>
      <c r="D896" s="2086"/>
      <c r="E896" s="2085" t="s">
        <v>481</v>
      </c>
      <c r="F896" s="2084">
        <f>F897+F898</f>
        <v>1046</v>
      </c>
      <c r="G896" s="2084">
        <f>G897+G898</f>
        <v>1046</v>
      </c>
      <c r="H896" s="2084">
        <f>H897+H898</f>
        <v>1046</v>
      </c>
      <c r="I896" s="2083">
        <f>(H896/G896)*100</f>
        <v>100</v>
      </c>
    </row>
    <row r="897" spans="1:23" ht="14.25" x14ac:dyDescent="0.2">
      <c r="A897" s="2080"/>
      <c r="B897" s="2079"/>
      <c r="C897" s="2079"/>
      <c r="D897" s="2630" t="s">
        <v>1394</v>
      </c>
      <c r="E897" s="923" t="s">
        <v>1537</v>
      </c>
      <c r="F897" s="2077">
        <v>1005</v>
      </c>
      <c r="G897" s="2077">
        <v>1005</v>
      </c>
      <c r="H897" s="2077">
        <v>1005</v>
      </c>
      <c r="I897" s="2076">
        <f>(H897/G897)*100</f>
        <v>100</v>
      </c>
    </row>
    <row r="898" spans="1:23" ht="15" thickBot="1" x14ac:dyDescent="0.25">
      <c r="A898" s="2080"/>
      <c r="B898" s="2079"/>
      <c r="C898" s="2079"/>
      <c r="D898" s="811" t="s">
        <v>993</v>
      </c>
      <c r="E898" s="2627" t="s">
        <v>1538</v>
      </c>
      <c r="F898" s="2077">
        <v>41</v>
      </c>
      <c r="G898" s="2077">
        <v>41</v>
      </c>
      <c r="H898" s="2077">
        <v>41</v>
      </c>
      <c r="I898" s="2076">
        <f>(H898/G898)*100</f>
        <v>100</v>
      </c>
    </row>
    <row r="899" spans="1:23" ht="16.5" thickTop="1" thickBot="1" x14ac:dyDescent="0.3">
      <c r="A899" s="3301" t="s">
        <v>522</v>
      </c>
      <c r="B899" s="3302"/>
      <c r="C899" s="3302"/>
      <c r="D899" s="3302"/>
      <c r="E899" s="3302"/>
      <c r="F899" s="2075">
        <f>F896</f>
        <v>1046</v>
      </c>
      <c r="G899" s="2075">
        <f>G896</f>
        <v>1046</v>
      </c>
      <c r="H899" s="2075">
        <f>H896</f>
        <v>1046</v>
      </c>
      <c r="I899" s="2074">
        <f>(H899/G899)*100</f>
        <v>100</v>
      </c>
      <c r="R899" s="2691">
        <f>F899</f>
        <v>1046</v>
      </c>
      <c r="S899" s="2691">
        <f>G899</f>
        <v>1046</v>
      </c>
      <c r="T899" s="2691">
        <f>H899</f>
        <v>1046</v>
      </c>
    </row>
    <row r="900" spans="1:23" ht="15.75" thickTop="1" x14ac:dyDescent="0.25">
      <c r="A900" s="1137"/>
      <c r="B900" s="1137"/>
      <c r="C900" s="1137"/>
      <c r="D900" s="1137"/>
      <c r="E900" s="1137"/>
      <c r="F900" s="2073"/>
      <c r="G900" s="2073"/>
      <c r="H900" s="2073"/>
      <c r="I900" s="2072"/>
      <c r="R900" s="2691"/>
      <c r="S900" s="2691"/>
      <c r="T900" s="2691"/>
    </row>
    <row r="901" spans="1:23" ht="13.5" thickBot="1" x14ac:dyDescent="0.25">
      <c r="A901" s="1719" t="s">
        <v>81</v>
      </c>
      <c r="I901" s="2071" t="s">
        <v>92</v>
      </c>
    </row>
    <row r="902" spans="1:23" ht="18" customHeight="1" thickTop="1" thickBot="1" x14ac:dyDescent="0.25">
      <c r="A902" s="1047" t="s">
        <v>324</v>
      </c>
      <c r="B902" s="1044" t="s">
        <v>93</v>
      </c>
      <c r="C902" s="1046" t="s">
        <v>94</v>
      </c>
      <c r="D902" s="1069" t="s">
        <v>364</v>
      </c>
      <c r="E902" s="1069" t="s">
        <v>95</v>
      </c>
      <c r="F902" s="1069" t="s">
        <v>328</v>
      </c>
      <c r="G902" s="1069" t="s">
        <v>329</v>
      </c>
      <c r="H902" s="1749" t="s">
        <v>448</v>
      </c>
      <c r="I902" s="2089" t="s">
        <v>449</v>
      </c>
    </row>
    <row r="903" spans="1:23" ht="14.25" thickTop="1" thickBot="1" x14ac:dyDescent="0.25">
      <c r="A903" s="1042">
        <v>1</v>
      </c>
      <c r="B903" s="1041">
        <v>2</v>
      </c>
      <c r="C903" s="1041">
        <v>3</v>
      </c>
      <c r="D903" s="1041">
        <v>4</v>
      </c>
      <c r="E903" s="1041">
        <v>5</v>
      </c>
      <c r="F903" s="1040">
        <v>6</v>
      </c>
      <c r="G903" s="1040">
        <v>7</v>
      </c>
      <c r="H903" s="1164">
        <v>8</v>
      </c>
      <c r="I903" s="1039" t="s">
        <v>393</v>
      </c>
    </row>
    <row r="904" spans="1:23" ht="15.75" thickTop="1" x14ac:dyDescent="0.25">
      <c r="A904" s="2088">
        <v>1223</v>
      </c>
      <c r="B904" s="2087">
        <v>3127</v>
      </c>
      <c r="C904" s="2087">
        <v>5331</v>
      </c>
      <c r="D904" s="2086"/>
      <c r="E904" s="2085" t="s">
        <v>481</v>
      </c>
      <c r="F904" s="2084">
        <f>F905+F906+F907+F908</f>
        <v>4009</v>
      </c>
      <c r="G904" s="2084">
        <f t="shared" ref="G904:H904" si="147">G905+G906+G907+G908</f>
        <v>4460</v>
      </c>
      <c r="H904" s="2084">
        <f t="shared" si="147"/>
        <v>4460</v>
      </c>
      <c r="I904" s="2083">
        <f t="shared" ref="I904:I912" si="148">(H904/G904)*100</f>
        <v>100</v>
      </c>
    </row>
    <row r="905" spans="1:23" ht="28.5" x14ac:dyDescent="0.2">
      <c r="A905" s="2080"/>
      <c r="B905" s="2079"/>
      <c r="C905" s="2079"/>
      <c r="D905" s="3034" t="s">
        <v>972</v>
      </c>
      <c r="E905" s="2632" t="s">
        <v>1540</v>
      </c>
      <c r="F905" s="3038">
        <v>0</v>
      </c>
      <c r="G905" s="3038">
        <v>218</v>
      </c>
      <c r="H905" s="3038">
        <v>218</v>
      </c>
      <c r="I905" s="2147">
        <f t="shared" si="148"/>
        <v>100</v>
      </c>
    </row>
    <row r="906" spans="1:23" ht="14.25" x14ac:dyDescent="0.2">
      <c r="A906" s="2080"/>
      <c r="B906" s="2079"/>
      <c r="C906" s="2079"/>
      <c r="D906" s="2630" t="s">
        <v>1394</v>
      </c>
      <c r="E906" s="923" t="s">
        <v>1537</v>
      </c>
      <c r="F906" s="2081">
        <v>3097</v>
      </c>
      <c r="G906" s="2081">
        <v>3177</v>
      </c>
      <c r="H906" s="2081">
        <v>3177</v>
      </c>
      <c r="I906" s="2076">
        <f t="shared" si="148"/>
        <v>100</v>
      </c>
    </row>
    <row r="907" spans="1:23" ht="14.25" x14ac:dyDescent="0.2">
      <c r="A907" s="2080"/>
      <c r="B907" s="2079"/>
      <c r="C907" s="2079"/>
      <c r="D907" s="811" t="s">
        <v>993</v>
      </c>
      <c r="E907" s="2627" t="s">
        <v>1538</v>
      </c>
      <c r="F907" s="2081">
        <v>912</v>
      </c>
      <c r="G907" s="2077">
        <v>936</v>
      </c>
      <c r="H907" s="2077">
        <v>936</v>
      </c>
      <c r="I907" s="2076">
        <f t="shared" si="148"/>
        <v>100</v>
      </c>
    </row>
    <row r="908" spans="1:23" ht="15" thickBot="1" x14ac:dyDescent="0.25">
      <c r="A908" s="2080"/>
      <c r="B908" s="2079"/>
      <c r="C908" s="2079"/>
      <c r="D908" s="811" t="s">
        <v>1395</v>
      </c>
      <c r="E908" s="2627" t="s">
        <v>1539</v>
      </c>
      <c r="F908" s="2081"/>
      <c r="G908" s="2077">
        <v>129</v>
      </c>
      <c r="H908" s="2077">
        <v>129</v>
      </c>
      <c r="I908" s="2076">
        <f t="shared" si="148"/>
        <v>100</v>
      </c>
    </row>
    <row r="909" spans="1:23" ht="16.5" thickTop="1" thickBot="1" x14ac:dyDescent="0.3">
      <c r="A909" s="3301" t="s">
        <v>522</v>
      </c>
      <c r="B909" s="3302"/>
      <c r="C909" s="3302"/>
      <c r="D909" s="3302"/>
      <c r="E909" s="3302"/>
      <c r="F909" s="2075">
        <f>F904</f>
        <v>4009</v>
      </c>
      <c r="G909" s="2075">
        <f>G904</f>
        <v>4460</v>
      </c>
      <c r="H909" s="2075">
        <f>H904</f>
        <v>4460</v>
      </c>
      <c r="I909" s="2074">
        <f t="shared" si="148"/>
        <v>100</v>
      </c>
      <c r="R909" s="2691">
        <f>F909</f>
        <v>4009</v>
      </c>
      <c r="S909" s="2691">
        <f>G909</f>
        <v>4460</v>
      </c>
      <c r="T909" s="2691">
        <f>H909</f>
        <v>4460</v>
      </c>
    </row>
    <row r="910" spans="1:23" ht="15.75" thickTop="1" x14ac:dyDescent="0.25">
      <c r="A910" s="2108">
        <v>1223</v>
      </c>
      <c r="B910" s="2079">
        <v>3127</v>
      </c>
      <c r="C910" s="2093">
        <v>6351</v>
      </c>
      <c r="D910" s="2107"/>
      <c r="E910" s="1739" t="s">
        <v>551</v>
      </c>
      <c r="F910" s="2106">
        <f>F911</f>
        <v>0</v>
      </c>
      <c r="G910" s="2106">
        <f t="shared" ref="G910:H910" si="149">G911</f>
        <v>674</v>
      </c>
      <c r="H910" s="2106">
        <f t="shared" si="149"/>
        <v>674</v>
      </c>
      <c r="I910" s="2105">
        <f t="shared" si="148"/>
        <v>100</v>
      </c>
      <c r="R910" s="2691">
        <f>F912</f>
        <v>0</v>
      </c>
      <c r="S910" s="2691">
        <f t="shared" ref="S910:T910" si="150">G912</f>
        <v>674</v>
      </c>
      <c r="T910" s="2691">
        <f t="shared" si="150"/>
        <v>674</v>
      </c>
    </row>
    <row r="911" spans="1:23" ht="29.25" thickBot="1" x14ac:dyDescent="0.25">
      <c r="A911" s="2104"/>
      <c r="B911" s="2103"/>
      <c r="C911" s="1017"/>
      <c r="D911" s="3034" t="s">
        <v>972</v>
      </c>
      <c r="E911" s="2632" t="s">
        <v>1540</v>
      </c>
      <c r="F911" s="2711">
        <v>0</v>
      </c>
      <c r="G911" s="2702">
        <v>674</v>
      </c>
      <c r="H911" s="2702">
        <v>674</v>
      </c>
      <c r="I911" s="2700">
        <f t="shared" si="148"/>
        <v>100</v>
      </c>
      <c r="R911" s="2691">
        <f>R909+R910</f>
        <v>4009</v>
      </c>
      <c r="S911" s="2691">
        <f t="shared" ref="S911:T911" si="151">S909+S910</f>
        <v>5134</v>
      </c>
      <c r="T911" s="2691">
        <f t="shared" si="151"/>
        <v>5134</v>
      </c>
    </row>
    <row r="912" spans="1:23" ht="16.5" thickTop="1" thickBot="1" x14ac:dyDescent="0.3">
      <c r="A912" s="3305" t="s">
        <v>523</v>
      </c>
      <c r="B912" s="3306"/>
      <c r="C912" s="3306"/>
      <c r="D912" s="3306"/>
      <c r="E912" s="3307"/>
      <c r="F912" s="2075">
        <f>F910</f>
        <v>0</v>
      </c>
      <c r="G912" s="2075">
        <f t="shared" ref="G912:H912" si="152">G910</f>
        <v>674</v>
      </c>
      <c r="H912" s="2075">
        <f t="shared" si="152"/>
        <v>674</v>
      </c>
      <c r="I912" s="2074">
        <f t="shared" si="148"/>
        <v>100</v>
      </c>
      <c r="U912" s="1002"/>
      <c r="V912" s="1002"/>
      <c r="W912" s="1002"/>
    </row>
    <row r="913" spans="1:20" s="1043" customFormat="1" ht="13.5" thickTop="1" x14ac:dyDescent="0.2">
      <c r="A913" s="997"/>
      <c r="B913" s="1829"/>
      <c r="C913" s="997"/>
      <c r="D913" s="1841"/>
      <c r="E913" s="997"/>
      <c r="F913" s="1002"/>
      <c r="G913" s="1002"/>
      <c r="H913" s="1002"/>
      <c r="I913" s="2071"/>
      <c r="R913" s="2689"/>
      <c r="S913" s="2689"/>
      <c r="T913" s="2689"/>
    </row>
    <row r="914" spans="1:20" ht="13.5" thickBot="1" x14ac:dyDescent="0.25">
      <c r="A914" s="1719" t="s">
        <v>82</v>
      </c>
      <c r="I914" s="2071" t="s">
        <v>92</v>
      </c>
    </row>
    <row r="915" spans="1:20" ht="14.25" thickTop="1" thickBot="1" x14ac:dyDescent="0.25">
      <c r="A915" s="1047" t="s">
        <v>324</v>
      </c>
      <c r="B915" s="1044" t="s">
        <v>93</v>
      </c>
      <c r="C915" s="1046" t="s">
        <v>94</v>
      </c>
      <c r="D915" s="1069" t="s">
        <v>364</v>
      </c>
      <c r="E915" s="1069" t="s">
        <v>95</v>
      </c>
      <c r="F915" s="1069" t="s">
        <v>328</v>
      </c>
      <c r="G915" s="1069" t="s">
        <v>329</v>
      </c>
      <c r="H915" s="1749" t="s">
        <v>448</v>
      </c>
      <c r="I915" s="2089" t="s">
        <v>449</v>
      </c>
    </row>
    <row r="916" spans="1:20" ht="14.25" thickTop="1" thickBot="1" x14ac:dyDescent="0.25">
      <c r="A916" s="1042">
        <v>1</v>
      </c>
      <c r="B916" s="1041">
        <v>2</v>
      </c>
      <c r="C916" s="1041">
        <v>3</v>
      </c>
      <c r="D916" s="1041">
        <v>4</v>
      </c>
      <c r="E916" s="1041">
        <v>5</v>
      </c>
      <c r="F916" s="1040">
        <v>6</v>
      </c>
      <c r="G916" s="1040">
        <v>7</v>
      </c>
      <c r="H916" s="1164">
        <v>8</v>
      </c>
      <c r="I916" s="1039" t="s">
        <v>393</v>
      </c>
    </row>
    <row r="917" spans="1:20" ht="15" customHeight="1" thickTop="1" x14ac:dyDescent="0.25">
      <c r="A917" s="2088">
        <v>1225</v>
      </c>
      <c r="B917" s="2087">
        <v>3124</v>
      </c>
      <c r="C917" s="2087">
        <v>5331</v>
      </c>
      <c r="D917" s="2086"/>
      <c r="E917" s="2085" t="s">
        <v>481</v>
      </c>
      <c r="F917" s="2084">
        <f>F918+F919+F920</f>
        <v>3379</v>
      </c>
      <c r="G917" s="2084">
        <f>G918+G919+G920</f>
        <v>3390</v>
      </c>
      <c r="H917" s="2084">
        <f>H918+H919+H920</f>
        <v>3390</v>
      </c>
      <c r="I917" s="2083">
        <f t="shared" ref="I917:I923" si="153">(H917/G917)*100</f>
        <v>100</v>
      </c>
    </row>
    <row r="918" spans="1:20" ht="14.25" x14ac:dyDescent="0.2">
      <c r="A918" s="2080"/>
      <c r="B918" s="2079"/>
      <c r="C918" s="2079"/>
      <c r="D918" s="2630" t="s">
        <v>1394</v>
      </c>
      <c r="E918" s="923" t="s">
        <v>1537</v>
      </c>
      <c r="F918" s="2081">
        <v>2775</v>
      </c>
      <c r="G918" s="2077">
        <v>2775</v>
      </c>
      <c r="H918" s="2077">
        <v>2775</v>
      </c>
      <c r="I918" s="2076">
        <f t="shared" si="153"/>
        <v>100</v>
      </c>
    </row>
    <row r="919" spans="1:20" ht="14.25" x14ac:dyDescent="0.2">
      <c r="A919" s="2080"/>
      <c r="B919" s="2079"/>
      <c r="C919" s="2079"/>
      <c r="D919" s="811" t="s">
        <v>994</v>
      </c>
      <c r="E919" s="2627" t="s">
        <v>1541</v>
      </c>
      <c r="F919" s="2081">
        <v>50</v>
      </c>
      <c r="G919" s="2077">
        <v>50</v>
      </c>
      <c r="H919" s="2077">
        <v>50</v>
      </c>
      <c r="I919" s="2076">
        <f t="shared" si="153"/>
        <v>100</v>
      </c>
    </row>
    <row r="920" spans="1:20" ht="15.75" customHeight="1" x14ac:dyDescent="0.2">
      <c r="A920" s="2080"/>
      <c r="B920" s="2093"/>
      <c r="C920" s="2093"/>
      <c r="D920" s="811" t="s">
        <v>993</v>
      </c>
      <c r="E920" s="2627" t="s">
        <v>1538</v>
      </c>
      <c r="F920" s="2122">
        <v>554</v>
      </c>
      <c r="G920" s="2091">
        <v>565</v>
      </c>
      <c r="H920" s="2091">
        <v>565</v>
      </c>
      <c r="I920" s="2076">
        <f t="shared" si="153"/>
        <v>100</v>
      </c>
    </row>
    <row r="921" spans="1:20" ht="15.75" customHeight="1" x14ac:dyDescent="0.25">
      <c r="A921" s="2080"/>
      <c r="B921" s="2093">
        <v>3127</v>
      </c>
      <c r="C921" s="2093">
        <v>5331</v>
      </c>
      <c r="D921" s="811"/>
      <c r="E921" s="2096" t="s">
        <v>481</v>
      </c>
      <c r="F921" s="2123">
        <f>F922</f>
        <v>0</v>
      </c>
      <c r="G921" s="2123">
        <f t="shared" ref="G921:H921" si="154">G922</f>
        <v>50</v>
      </c>
      <c r="H921" s="2123">
        <f t="shared" si="154"/>
        <v>50</v>
      </c>
      <c r="I921" s="2094">
        <f t="shared" si="153"/>
        <v>100</v>
      </c>
    </row>
    <row r="922" spans="1:20" ht="15.75" customHeight="1" thickBot="1" x14ac:dyDescent="0.25">
      <c r="A922" s="2080"/>
      <c r="B922" s="2093"/>
      <c r="C922" s="2093"/>
      <c r="D922" s="2636" t="s">
        <v>1397</v>
      </c>
      <c r="E922" s="2637" t="s">
        <v>1542</v>
      </c>
      <c r="F922" s="2122">
        <v>0</v>
      </c>
      <c r="G922" s="2091">
        <v>50</v>
      </c>
      <c r="H922" s="2091">
        <v>50</v>
      </c>
      <c r="I922" s="2076">
        <f t="shared" si="153"/>
        <v>100</v>
      </c>
    </row>
    <row r="923" spans="1:20" ht="16.5" thickTop="1" thickBot="1" x14ac:dyDescent="0.3">
      <c r="A923" s="3301" t="s">
        <v>522</v>
      </c>
      <c r="B923" s="3302"/>
      <c r="C923" s="3302"/>
      <c r="D923" s="3302"/>
      <c r="E923" s="3302"/>
      <c r="F923" s="2075">
        <f>F917+F921</f>
        <v>3379</v>
      </c>
      <c r="G923" s="2075">
        <f t="shared" ref="G923:H923" si="155">G917+G921</f>
        <v>3440</v>
      </c>
      <c r="H923" s="2075">
        <f t="shared" si="155"/>
        <v>3440</v>
      </c>
      <c r="I923" s="2074">
        <f t="shared" si="153"/>
        <v>100</v>
      </c>
      <c r="R923" s="2691">
        <f>F923</f>
        <v>3379</v>
      </c>
      <c r="S923" s="2691">
        <f>G923</f>
        <v>3440</v>
      </c>
      <c r="T923" s="2691">
        <f>H923</f>
        <v>3440</v>
      </c>
    </row>
    <row r="924" spans="1:20" ht="15.75" thickTop="1" x14ac:dyDescent="0.25">
      <c r="A924" s="2108">
        <v>1225</v>
      </c>
      <c r="B924" s="2079">
        <v>3124</v>
      </c>
      <c r="C924" s="2093">
        <v>6351</v>
      </c>
      <c r="D924" s="2107"/>
      <c r="E924" s="1739" t="s">
        <v>551</v>
      </c>
      <c r="F924" s="2106">
        <f>F925</f>
        <v>0</v>
      </c>
      <c r="G924" s="2106">
        <f t="shared" ref="G924:H924" si="156">G925</f>
        <v>950</v>
      </c>
      <c r="H924" s="2106">
        <f t="shared" si="156"/>
        <v>950</v>
      </c>
      <c r="I924" s="2105">
        <f>(H924/G924)*100</f>
        <v>100</v>
      </c>
      <c r="R924" s="2691"/>
      <c r="S924" s="2691"/>
      <c r="T924" s="2691"/>
    </row>
    <row r="925" spans="1:20" ht="29.25" thickBot="1" x14ac:dyDescent="0.25">
      <c r="A925" s="2104"/>
      <c r="B925" s="2103"/>
      <c r="C925" s="1017"/>
      <c r="D925" s="3034" t="s">
        <v>972</v>
      </c>
      <c r="E925" s="2952" t="s">
        <v>1540</v>
      </c>
      <c r="F925" s="2711">
        <v>0</v>
      </c>
      <c r="G925" s="2702">
        <v>950</v>
      </c>
      <c r="H925" s="2702">
        <v>950</v>
      </c>
      <c r="I925" s="2700">
        <f>(H925/G925)*100</f>
        <v>100</v>
      </c>
      <c r="R925" s="2691"/>
      <c r="S925" s="2691"/>
      <c r="T925" s="2691"/>
    </row>
    <row r="926" spans="1:20" ht="16.5" thickTop="1" thickBot="1" x14ac:dyDescent="0.3">
      <c r="A926" s="3305" t="s">
        <v>523</v>
      </c>
      <c r="B926" s="3306"/>
      <c r="C926" s="3306"/>
      <c r="D926" s="3306"/>
      <c r="E926" s="3307"/>
      <c r="F926" s="2075">
        <f>F924</f>
        <v>0</v>
      </c>
      <c r="G926" s="2075">
        <f>G924</f>
        <v>950</v>
      </c>
      <c r="H926" s="2075">
        <f>SUM(H924)</f>
        <v>950</v>
      </c>
      <c r="I926" s="2074">
        <f>(H926/G926)*100</f>
        <v>100</v>
      </c>
      <c r="R926" s="2691"/>
      <c r="S926" s="2691"/>
      <c r="T926" s="2691"/>
    </row>
    <row r="927" spans="1:20" ht="13.5" thickTop="1" x14ac:dyDescent="0.2"/>
    <row r="928" spans="1:20" s="1879" customFormat="1" ht="13.5" thickBot="1" x14ac:dyDescent="0.25">
      <c r="A928" s="1756" t="s">
        <v>869</v>
      </c>
      <c r="B928" s="2121"/>
      <c r="D928" s="2120"/>
      <c r="F928" s="2119"/>
      <c r="G928" s="2119"/>
      <c r="H928" s="2119"/>
      <c r="I928" s="2118" t="s">
        <v>92</v>
      </c>
      <c r="R928" s="2692"/>
      <c r="S928" s="2692"/>
      <c r="T928" s="2692"/>
    </row>
    <row r="929" spans="1:23" ht="14.25" thickTop="1" thickBot="1" x14ac:dyDescent="0.25">
      <c r="A929" s="1047" t="s">
        <v>324</v>
      </c>
      <c r="B929" s="1044" t="s">
        <v>93</v>
      </c>
      <c r="C929" s="1046" t="s">
        <v>94</v>
      </c>
      <c r="D929" s="1069" t="s">
        <v>364</v>
      </c>
      <c r="E929" s="1069" t="s">
        <v>95</v>
      </c>
      <c r="F929" s="1069" t="s">
        <v>328</v>
      </c>
      <c r="G929" s="1069" t="s">
        <v>329</v>
      </c>
      <c r="H929" s="1749" t="s">
        <v>448</v>
      </c>
      <c r="I929" s="2089" t="s">
        <v>449</v>
      </c>
    </row>
    <row r="930" spans="1:23" ht="14.25" thickTop="1" thickBot="1" x14ac:dyDescent="0.25">
      <c r="A930" s="1042">
        <v>1</v>
      </c>
      <c r="B930" s="1041">
        <v>2</v>
      </c>
      <c r="C930" s="1041">
        <v>3</v>
      </c>
      <c r="D930" s="1041">
        <v>4</v>
      </c>
      <c r="E930" s="1041">
        <v>5</v>
      </c>
      <c r="F930" s="1040">
        <v>6</v>
      </c>
      <c r="G930" s="1040">
        <v>7</v>
      </c>
      <c r="H930" s="1164">
        <v>8</v>
      </c>
      <c r="I930" s="1039" t="s">
        <v>393</v>
      </c>
    </row>
    <row r="931" spans="1:23" ht="15.75" thickTop="1" x14ac:dyDescent="0.25">
      <c r="A931" s="2080">
        <v>1226</v>
      </c>
      <c r="B931" s="2079">
        <v>3127</v>
      </c>
      <c r="C931" s="2079">
        <v>5331</v>
      </c>
      <c r="D931" s="2099"/>
      <c r="E931" s="2096" t="s">
        <v>481</v>
      </c>
      <c r="F931" s="2095">
        <f>F932+F933+F934+F935</f>
        <v>9184</v>
      </c>
      <c r="G931" s="2095">
        <f>G932+G933+G934+G935</f>
        <v>9505</v>
      </c>
      <c r="H931" s="2095">
        <f>H932+H933+H934+H935</f>
        <v>9505</v>
      </c>
      <c r="I931" s="2098">
        <f>(H931/G931)*100</f>
        <v>100</v>
      </c>
    </row>
    <row r="932" spans="1:23" ht="14.25" x14ac:dyDescent="0.2">
      <c r="A932" s="2080"/>
      <c r="B932" s="2079"/>
      <c r="C932" s="2079"/>
      <c r="D932" s="2630" t="s">
        <v>1394</v>
      </c>
      <c r="E932" s="923" t="s">
        <v>1537</v>
      </c>
      <c r="F932" s="2077">
        <v>5454</v>
      </c>
      <c r="G932" s="2077">
        <v>5454</v>
      </c>
      <c r="H932" s="2077">
        <v>5454</v>
      </c>
      <c r="I932" s="2076">
        <f>(H932/G932)*100</f>
        <v>100</v>
      </c>
    </row>
    <row r="933" spans="1:23" ht="14.25" x14ac:dyDescent="0.2">
      <c r="A933" s="2080"/>
      <c r="B933" s="2079"/>
      <c r="C933" s="2079"/>
      <c r="D933" s="811" t="s">
        <v>994</v>
      </c>
      <c r="E933" s="2627" t="s">
        <v>1541</v>
      </c>
      <c r="F933" s="2081">
        <v>415</v>
      </c>
      <c r="G933" s="2081">
        <v>415</v>
      </c>
      <c r="H933" s="2081">
        <v>415</v>
      </c>
      <c r="I933" s="2076">
        <f>(H933/G933)*100</f>
        <v>100</v>
      </c>
    </row>
    <row r="934" spans="1:23" ht="14.25" x14ac:dyDescent="0.2">
      <c r="A934" s="2080"/>
      <c r="B934" s="2079"/>
      <c r="C934" s="2079"/>
      <c r="D934" s="811" t="s">
        <v>993</v>
      </c>
      <c r="E934" s="2627" t="s">
        <v>1538</v>
      </c>
      <c r="F934" s="2081">
        <v>3315</v>
      </c>
      <c r="G934" s="2077">
        <v>3344</v>
      </c>
      <c r="H934" s="2077">
        <v>3344</v>
      </c>
      <c r="I934" s="2076">
        <v>100</v>
      </c>
    </row>
    <row r="935" spans="1:23" ht="15" thickBot="1" x14ac:dyDescent="0.25">
      <c r="A935" s="2080"/>
      <c r="B935" s="2079"/>
      <c r="C935" s="2079"/>
      <c r="D935" s="811" t="s">
        <v>1395</v>
      </c>
      <c r="E935" s="2627" t="s">
        <v>1539</v>
      </c>
      <c r="F935" s="2122">
        <v>0</v>
      </c>
      <c r="G935" s="2091">
        <v>292</v>
      </c>
      <c r="H935" s="2091">
        <v>292</v>
      </c>
      <c r="I935" s="2090">
        <f>(H935/G935)*100</f>
        <v>100</v>
      </c>
    </row>
    <row r="936" spans="1:23" ht="16.5" thickTop="1" thickBot="1" x14ac:dyDescent="0.3">
      <c r="A936" s="3301" t="s">
        <v>522</v>
      </c>
      <c r="B936" s="3302"/>
      <c r="C936" s="3302"/>
      <c r="D936" s="3302"/>
      <c r="E936" s="3302"/>
      <c r="F936" s="2075">
        <f>F931</f>
        <v>9184</v>
      </c>
      <c r="G936" s="2075">
        <f>G931</f>
        <v>9505</v>
      </c>
      <c r="H936" s="2075">
        <f>H931</f>
        <v>9505</v>
      </c>
      <c r="I936" s="2074">
        <f>(H936/G936)*100</f>
        <v>100</v>
      </c>
      <c r="R936" s="2691">
        <f>F936</f>
        <v>9184</v>
      </c>
      <c r="S936" s="2691">
        <f>G936</f>
        <v>9505</v>
      </c>
      <c r="T936" s="2691">
        <f>H936</f>
        <v>9505</v>
      </c>
    </row>
    <row r="937" spans="1:23" ht="15.75" thickTop="1" x14ac:dyDescent="0.25">
      <c r="A937" s="2108">
        <v>1226</v>
      </c>
      <c r="B937" s="2079">
        <v>3127</v>
      </c>
      <c r="C937" s="2093">
        <v>6351</v>
      </c>
      <c r="D937" s="2107"/>
      <c r="E937" s="1739" t="s">
        <v>551</v>
      </c>
      <c r="F937" s="2106">
        <f>F938</f>
        <v>0</v>
      </c>
      <c r="G937" s="2106">
        <f t="shared" ref="G937:H937" si="157">G938</f>
        <v>2530</v>
      </c>
      <c r="H937" s="2106">
        <f t="shared" si="157"/>
        <v>2530</v>
      </c>
      <c r="I937" s="2105">
        <f>(H937/G937)*100</f>
        <v>100</v>
      </c>
      <c r="R937" s="2691">
        <f>F939</f>
        <v>0</v>
      </c>
      <c r="S937" s="2691">
        <f t="shared" ref="S937:T937" si="158">G939</f>
        <v>2530</v>
      </c>
      <c r="T937" s="2691">
        <f t="shared" si="158"/>
        <v>2530</v>
      </c>
    </row>
    <row r="938" spans="1:23" ht="29.25" thickBot="1" x14ac:dyDescent="0.25">
      <c r="A938" s="2104"/>
      <c r="B938" s="2103"/>
      <c r="C938" s="1017"/>
      <c r="D938" s="3034" t="s">
        <v>972</v>
      </c>
      <c r="E938" s="2633" t="s">
        <v>1540</v>
      </c>
      <c r="F938" s="2711">
        <v>0</v>
      </c>
      <c r="G938" s="2702">
        <v>2530</v>
      </c>
      <c r="H938" s="2702">
        <v>2530</v>
      </c>
      <c r="I938" s="2700">
        <f>(H938/G938)*100</f>
        <v>100</v>
      </c>
      <c r="R938" s="2691">
        <f>R936+R937</f>
        <v>9184</v>
      </c>
      <c r="S938" s="2691">
        <f t="shared" ref="S938:T938" si="159">S936+S937</f>
        <v>12035</v>
      </c>
      <c r="T938" s="2691">
        <f t="shared" si="159"/>
        <v>12035</v>
      </c>
    </row>
    <row r="939" spans="1:23" ht="16.5" thickTop="1" thickBot="1" x14ac:dyDescent="0.3">
      <c r="A939" s="3305" t="s">
        <v>523</v>
      </c>
      <c r="B939" s="3306"/>
      <c r="C939" s="3306"/>
      <c r="D939" s="3306"/>
      <c r="E939" s="3307"/>
      <c r="F939" s="2075">
        <f>F937</f>
        <v>0</v>
      </c>
      <c r="G939" s="2075">
        <f>G937</f>
        <v>2530</v>
      </c>
      <c r="H939" s="2075">
        <f>SUM(H937)</f>
        <v>2530</v>
      </c>
      <c r="I939" s="2074">
        <f>(H939/G939)*100</f>
        <v>100</v>
      </c>
      <c r="U939" s="1002"/>
      <c r="V939" s="1002"/>
      <c r="W939" s="1002"/>
    </row>
    <row r="940" spans="1:23" ht="15.75" thickTop="1" x14ac:dyDescent="0.25">
      <c r="A940" s="1137"/>
      <c r="B940" s="1137"/>
      <c r="C940" s="1137"/>
      <c r="D940" s="1137"/>
      <c r="E940" s="1137"/>
      <c r="F940" s="2073"/>
      <c r="G940" s="2073"/>
      <c r="H940" s="2073"/>
      <c r="I940" s="2072"/>
      <c r="R940" s="2691"/>
      <c r="S940" s="2691"/>
      <c r="T940" s="2691"/>
    </row>
    <row r="941" spans="1:23" ht="15" x14ac:dyDescent="0.25">
      <c r="A941" s="1137"/>
      <c r="B941" s="1137"/>
      <c r="C941" s="1137"/>
      <c r="D941" s="1137"/>
      <c r="E941" s="1137"/>
      <c r="F941" s="2073"/>
      <c r="G941" s="2073"/>
      <c r="H941" s="2073"/>
      <c r="I941" s="2072"/>
      <c r="R941" s="2691"/>
      <c r="S941" s="2691"/>
      <c r="T941" s="2691"/>
    </row>
    <row r="942" spans="1:23" ht="13.5" thickBot="1" x14ac:dyDescent="0.25">
      <c r="A942" s="1719" t="s">
        <v>511</v>
      </c>
      <c r="I942" s="2071" t="s">
        <v>92</v>
      </c>
    </row>
    <row r="943" spans="1:23" ht="14.25" thickTop="1" thickBot="1" x14ac:dyDescent="0.25">
      <c r="A943" s="1047" t="s">
        <v>324</v>
      </c>
      <c r="B943" s="1044" t="s">
        <v>93</v>
      </c>
      <c r="C943" s="1046" t="s">
        <v>94</v>
      </c>
      <c r="D943" s="1069" t="s">
        <v>364</v>
      </c>
      <c r="E943" s="1069" t="s">
        <v>95</v>
      </c>
      <c r="F943" s="1069" t="s">
        <v>328</v>
      </c>
      <c r="G943" s="1069" t="s">
        <v>329</v>
      </c>
      <c r="H943" s="1749" t="s">
        <v>448</v>
      </c>
      <c r="I943" s="2089" t="s">
        <v>449</v>
      </c>
    </row>
    <row r="944" spans="1:23" ht="14.25" thickTop="1" thickBot="1" x14ac:dyDescent="0.25">
      <c r="A944" s="1042">
        <v>1</v>
      </c>
      <c r="B944" s="1041">
        <v>2</v>
      </c>
      <c r="C944" s="1041">
        <v>3</v>
      </c>
      <c r="D944" s="1041">
        <v>4</v>
      </c>
      <c r="E944" s="1041">
        <v>5</v>
      </c>
      <c r="F944" s="1040">
        <v>6</v>
      </c>
      <c r="G944" s="1040">
        <v>7</v>
      </c>
      <c r="H944" s="1164">
        <v>8</v>
      </c>
      <c r="I944" s="1039" t="s">
        <v>393</v>
      </c>
    </row>
    <row r="945" spans="1:20" ht="18" customHeight="1" thickTop="1" x14ac:dyDescent="0.25">
      <c r="A945" s="2088">
        <v>1300</v>
      </c>
      <c r="B945" s="2087">
        <v>3231</v>
      </c>
      <c r="C945" s="2087">
        <v>5331</v>
      </c>
      <c r="D945" s="2086"/>
      <c r="E945" s="2085" t="s">
        <v>481</v>
      </c>
      <c r="F945" s="2084">
        <f>F946+F947</f>
        <v>166</v>
      </c>
      <c r="G945" s="2084">
        <f>G946+G947</f>
        <v>212</v>
      </c>
      <c r="H945" s="2084">
        <f>H946+H947</f>
        <v>212</v>
      </c>
      <c r="I945" s="2083">
        <f t="shared" ref="I945:I951" si="160">(H945/G945)*100</f>
        <v>100</v>
      </c>
    </row>
    <row r="946" spans="1:20" ht="14.25" x14ac:dyDescent="0.2">
      <c r="A946" s="2080"/>
      <c r="B946" s="2079"/>
      <c r="C946" s="2079"/>
      <c r="D946" s="811" t="s">
        <v>993</v>
      </c>
      <c r="E946" s="2627" t="s">
        <v>1538</v>
      </c>
      <c r="F946" s="2077">
        <v>166</v>
      </c>
      <c r="G946" s="2077">
        <v>166</v>
      </c>
      <c r="H946" s="2077">
        <v>166</v>
      </c>
      <c r="I946" s="2076">
        <f t="shared" si="160"/>
        <v>100</v>
      </c>
      <c r="R946" s="2691"/>
      <c r="S946" s="2691"/>
      <c r="T946" s="2691"/>
    </row>
    <row r="947" spans="1:20" ht="15" thickBot="1" x14ac:dyDescent="0.25">
      <c r="A947" s="2080"/>
      <c r="B947" s="2079"/>
      <c r="C947" s="2079"/>
      <c r="D947" s="2636" t="s">
        <v>1397</v>
      </c>
      <c r="E947" s="2637" t="s">
        <v>1542</v>
      </c>
      <c r="F947" s="2081">
        <v>0</v>
      </c>
      <c r="G947" s="2081">
        <v>46</v>
      </c>
      <c r="H947" s="2081">
        <v>46</v>
      </c>
      <c r="I947" s="2076">
        <f t="shared" si="160"/>
        <v>100</v>
      </c>
      <c r="R947" s="2691"/>
      <c r="S947" s="2691"/>
      <c r="T947" s="2691"/>
    </row>
    <row r="948" spans="1:20" ht="16.5" thickTop="1" thickBot="1" x14ac:dyDescent="0.3">
      <c r="A948" s="3301" t="s">
        <v>522</v>
      </c>
      <c r="B948" s="3302"/>
      <c r="C948" s="3302"/>
      <c r="D948" s="3302"/>
      <c r="E948" s="3302"/>
      <c r="F948" s="2075">
        <f>SUM(F945)</f>
        <v>166</v>
      </c>
      <c r="G948" s="2075">
        <f>G945</f>
        <v>212</v>
      </c>
      <c r="H948" s="2075">
        <f>H945</f>
        <v>212</v>
      </c>
      <c r="I948" s="2074">
        <f t="shared" si="160"/>
        <v>100</v>
      </c>
      <c r="R948" s="2691">
        <f>F948</f>
        <v>166</v>
      </c>
      <c r="S948" s="2691">
        <f>G948</f>
        <v>212</v>
      </c>
      <c r="T948" s="2691">
        <f>H948</f>
        <v>212</v>
      </c>
    </row>
    <row r="949" spans="1:20" ht="15.75" thickTop="1" x14ac:dyDescent="0.25">
      <c r="A949" s="2108">
        <v>1300</v>
      </c>
      <c r="B949" s="2079">
        <v>3231</v>
      </c>
      <c r="C949" s="2093">
        <v>6351</v>
      </c>
      <c r="D949" s="2107"/>
      <c r="E949" s="1739" t="s">
        <v>551</v>
      </c>
      <c r="F949" s="2106">
        <f>F950</f>
        <v>0</v>
      </c>
      <c r="G949" s="2106">
        <f t="shared" ref="G949:H949" si="161">G950</f>
        <v>67</v>
      </c>
      <c r="H949" s="2106">
        <f t="shared" si="161"/>
        <v>67</v>
      </c>
      <c r="I949" s="2105">
        <f t="shared" si="160"/>
        <v>100</v>
      </c>
      <c r="R949" s="2691"/>
      <c r="S949" s="2691"/>
      <c r="T949" s="2691"/>
    </row>
    <row r="950" spans="1:20" ht="29.25" thickBot="1" x14ac:dyDescent="0.25">
      <c r="A950" s="2104"/>
      <c r="B950" s="2103"/>
      <c r="C950" s="1017"/>
      <c r="D950" s="3034" t="s">
        <v>972</v>
      </c>
      <c r="E950" s="2952" t="s">
        <v>1540</v>
      </c>
      <c r="F950" s="2711">
        <v>0</v>
      </c>
      <c r="G950" s="2702">
        <v>67</v>
      </c>
      <c r="H950" s="2702">
        <v>67</v>
      </c>
      <c r="I950" s="2700">
        <f t="shared" si="160"/>
        <v>100</v>
      </c>
      <c r="R950" s="2691"/>
      <c r="S950" s="2691"/>
      <c r="T950" s="2691"/>
    </row>
    <row r="951" spans="1:20" ht="16.5" thickTop="1" thickBot="1" x14ac:dyDescent="0.3">
      <c r="A951" s="3305" t="s">
        <v>523</v>
      </c>
      <c r="B951" s="3306"/>
      <c r="C951" s="3306"/>
      <c r="D951" s="3306"/>
      <c r="E951" s="3307"/>
      <c r="F951" s="2075">
        <f>F949</f>
        <v>0</v>
      </c>
      <c r="G951" s="2075">
        <f>G949</f>
        <v>67</v>
      </c>
      <c r="H951" s="2075">
        <f>SUM(H949)</f>
        <v>67</v>
      </c>
      <c r="I951" s="2074">
        <f t="shared" si="160"/>
        <v>100</v>
      </c>
      <c r="R951" s="2691"/>
      <c r="S951" s="2691"/>
      <c r="T951" s="2691"/>
    </row>
    <row r="952" spans="1:20" ht="15.75" thickTop="1" x14ac:dyDescent="0.25">
      <c r="A952" s="1137"/>
      <c r="B952" s="1137"/>
      <c r="C952" s="1137"/>
      <c r="D952" s="1137"/>
      <c r="E952" s="1137"/>
      <c r="F952" s="2073"/>
      <c r="G952" s="2073"/>
      <c r="H952" s="2073"/>
      <c r="I952" s="2072"/>
      <c r="R952" s="2691"/>
      <c r="S952" s="2691"/>
      <c r="T952" s="2691"/>
    </row>
    <row r="953" spans="1:20" ht="15" customHeight="1" thickBot="1" x14ac:dyDescent="0.25">
      <c r="A953" s="1719" t="s">
        <v>512</v>
      </c>
      <c r="I953" s="2071" t="s">
        <v>92</v>
      </c>
    </row>
    <row r="954" spans="1:20" ht="14.25" thickTop="1" thickBot="1" x14ac:dyDescent="0.25">
      <c r="A954" s="1047" t="s">
        <v>324</v>
      </c>
      <c r="B954" s="1044" t="s">
        <v>93</v>
      </c>
      <c r="C954" s="1046" t="s">
        <v>94</v>
      </c>
      <c r="D954" s="1069" t="s">
        <v>364</v>
      </c>
      <c r="E954" s="1069" t="s">
        <v>95</v>
      </c>
      <c r="F954" s="1069" t="s">
        <v>328</v>
      </c>
      <c r="G954" s="1069" t="s">
        <v>329</v>
      </c>
      <c r="H954" s="1749" t="s">
        <v>448</v>
      </c>
      <c r="I954" s="2089" t="s">
        <v>449</v>
      </c>
    </row>
    <row r="955" spans="1:20" ht="14.25" thickTop="1" thickBot="1" x14ac:dyDescent="0.25">
      <c r="A955" s="1042">
        <v>1</v>
      </c>
      <c r="B955" s="1041">
        <v>2</v>
      </c>
      <c r="C955" s="1041">
        <v>3</v>
      </c>
      <c r="D955" s="1041">
        <v>4</v>
      </c>
      <c r="E955" s="1041">
        <v>5</v>
      </c>
      <c r="F955" s="1040">
        <v>6</v>
      </c>
      <c r="G955" s="1040">
        <v>7</v>
      </c>
      <c r="H955" s="1164">
        <v>8</v>
      </c>
      <c r="I955" s="1039" t="s">
        <v>393</v>
      </c>
    </row>
    <row r="956" spans="1:20" ht="15.75" thickTop="1" x14ac:dyDescent="0.25">
      <c r="A956" s="2088">
        <v>1301</v>
      </c>
      <c r="B956" s="2087">
        <v>3231</v>
      </c>
      <c r="C956" s="2087">
        <v>5331</v>
      </c>
      <c r="D956" s="2086"/>
      <c r="E956" s="2085" t="s">
        <v>481</v>
      </c>
      <c r="F956" s="2084">
        <f>F957</f>
        <v>608</v>
      </c>
      <c r="G956" s="2084">
        <f t="shared" ref="G956:H956" si="162">G957</f>
        <v>640</v>
      </c>
      <c r="H956" s="2084">
        <f t="shared" si="162"/>
        <v>640</v>
      </c>
      <c r="I956" s="2083">
        <f>(H956/G956)*100</f>
        <v>100</v>
      </c>
    </row>
    <row r="957" spans="1:20" ht="15" thickBot="1" x14ac:dyDescent="0.25">
      <c r="A957" s="2080"/>
      <c r="B957" s="2079"/>
      <c r="C957" s="2079"/>
      <c r="D957" s="811" t="s">
        <v>993</v>
      </c>
      <c r="E957" s="2627" t="s">
        <v>1538</v>
      </c>
      <c r="F957" s="2077">
        <v>608</v>
      </c>
      <c r="G957" s="2077">
        <v>640</v>
      </c>
      <c r="H957" s="2077">
        <v>640</v>
      </c>
      <c r="I957" s="2076">
        <f>(H957/G957)*100</f>
        <v>100</v>
      </c>
    </row>
    <row r="958" spans="1:20" ht="16.5" thickTop="1" thickBot="1" x14ac:dyDescent="0.3">
      <c r="A958" s="3301" t="s">
        <v>522</v>
      </c>
      <c r="B958" s="3302"/>
      <c r="C958" s="3302"/>
      <c r="D958" s="3302"/>
      <c r="E958" s="3302"/>
      <c r="F958" s="2075">
        <f>SUM(F956)</f>
        <v>608</v>
      </c>
      <c r="G958" s="2075">
        <f>G956</f>
        <v>640</v>
      </c>
      <c r="H958" s="2075">
        <f>H956</f>
        <v>640</v>
      </c>
      <c r="I958" s="2074">
        <f>(H958/G958)*100</f>
        <v>100</v>
      </c>
      <c r="R958" s="2691">
        <f>F958</f>
        <v>608</v>
      </c>
      <c r="S958" s="2691">
        <f>G958</f>
        <v>640</v>
      </c>
      <c r="T958" s="2691">
        <f>H958</f>
        <v>640</v>
      </c>
    </row>
    <row r="959" spans="1:20" s="1037" customFormat="1" ht="13.5" thickTop="1" x14ac:dyDescent="0.2">
      <c r="A959" s="997"/>
      <c r="B959" s="1829"/>
      <c r="C959" s="997"/>
      <c r="D959" s="1841"/>
      <c r="E959" s="997"/>
      <c r="F959" s="1002"/>
      <c r="G959" s="1002"/>
      <c r="H959" s="1002"/>
      <c r="I959" s="2071"/>
      <c r="R959" s="2690"/>
      <c r="S959" s="2690"/>
      <c r="T959" s="2690"/>
    </row>
    <row r="960" spans="1:20" ht="13.5" thickBot="1" x14ac:dyDescent="0.25">
      <c r="A960" s="1719" t="s">
        <v>83</v>
      </c>
      <c r="I960" s="2071" t="s">
        <v>92</v>
      </c>
    </row>
    <row r="961" spans="1:20" ht="14.25" thickTop="1" thickBot="1" x14ac:dyDescent="0.25">
      <c r="A961" s="1047" t="s">
        <v>324</v>
      </c>
      <c r="B961" s="1044" t="s">
        <v>93</v>
      </c>
      <c r="C961" s="1046" t="s">
        <v>94</v>
      </c>
      <c r="D961" s="1069" t="s">
        <v>364</v>
      </c>
      <c r="E961" s="1069" t="s">
        <v>95</v>
      </c>
      <c r="F961" s="1069" t="s">
        <v>328</v>
      </c>
      <c r="G961" s="1069" t="s">
        <v>329</v>
      </c>
      <c r="H961" s="1749" t="s">
        <v>448</v>
      </c>
      <c r="I961" s="2089" t="s">
        <v>449</v>
      </c>
    </row>
    <row r="962" spans="1:20" ht="14.25" thickTop="1" thickBot="1" x14ac:dyDescent="0.25">
      <c r="A962" s="1042">
        <v>1</v>
      </c>
      <c r="B962" s="1041">
        <v>2</v>
      </c>
      <c r="C962" s="1041">
        <v>3</v>
      </c>
      <c r="D962" s="1041">
        <v>4</v>
      </c>
      <c r="E962" s="1041">
        <v>5</v>
      </c>
      <c r="F962" s="1040">
        <v>6</v>
      </c>
      <c r="G962" s="1040">
        <v>7</v>
      </c>
      <c r="H962" s="1164">
        <v>8</v>
      </c>
      <c r="I962" s="1039" t="s">
        <v>393</v>
      </c>
    </row>
    <row r="963" spans="1:20" ht="15.75" thickTop="1" x14ac:dyDescent="0.25">
      <c r="A963" s="2088">
        <v>1302</v>
      </c>
      <c r="B963" s="2087">
        <v>3231</v>
      </c>
      <c r="C963" s="2087">
        <v>5331</v>
      </c>
      <c r="D963" s="2086"/>
      <c r="E963" s="2085" t="s">
        <v>481</v>
      </c>
      <c r="F963" s="2084">
        <f>F964</f>
        <v>86</v>
      </c>
      <c r="G963" s="2084">
        <f t="shared" ref="G963:H963" si="163">G964</f>
        <v>87</v>
      </c>
      <c r="H963" s="2084">
        <f t="shared" si="163"/>
        <v>87</v>
      </c>
      <c r="I963" s="2083">
        <f>(H963/G963)*100</f>
        <v>100</v>
      </c>
    </row>
    <row r="964" spans="1:20" ht="15" thickBot="1" x14ac:dyDescent="0.25">
      <c r="A964" s="2080"/>
      <c r="B964" s="2079"/>
      <c r="C964" s="2079"/>
      <c r="D964" s="811" t="s">
        <v>993</v>
      </c>
      <c r="E964" s="2627" t="s">
        <v>1538</v>
      </c>
      <c r="F964" s="2077">
        <v>86</v>
      </c>
      <c r="G964" s="2077">
        <v>87</v>
      </c>
      <c r="H964" s="2077">
        <v>87</v>
      </c>
      <c r="I964" s="2076">
        <f>(H964/G964)*100</f>
        <v>100</v>
      </c>
    </row>
    <row r="965" spans="1:20" ht="16.5" thickTop="1" thickBot="1" x14ac:dyDescent="0.3">
      <c r="A965" s="3301" t="s">
        <v>522</v>
      </c>
      <c r="B965" s="3302"/>
      <c r="C965" s="3302"/>
      <c r="D965" s="3302"/>
      <c r="E965" s="3302"/>
      <c r="F965" s="2075">
        <f>F963</f>
        <v>86</v>
      </c>
      <c r="G965" s="2075">
        <f t="shared" ref="G965:H965" si="164">G963</f>
        <v>87</v>
      </c>
      <c r="H965" s="2075">
        <f t="shared" si="164"/>
        <v>87</v>
      </c>
      <c r="I965" s="2074">
        <f>(H965/G965)*100</f>
        <v>100</v>
      </c>
      <c r="R965" s="2691">
        <f>F965</f>
        <v>86</v>
      </c>
      <c r="S965" s="2691">
        <f>G965</f>
        <v>87</v>
      </c>
      <c r="T965" s="2691">
        <f>H965</f>
        <v>87</v>
      </c>
    </row>
    <row r="966" spans="1:20" s="1037" customFormat="1" ht="13.5" thickTop="1" x14ac:dyDescent="0.2">
      <c r="A966" s="997"/>
      <c r="B966" s="1829"/>
      <c r="C966" s="997"/>
      <c r="D966" s="1841"/>
      <c r="E966" s="997"/>
      <c r="F966" s="1002"/>
      <c r="G966" s="1002"/>
      <c r="H966" s="1002"/>
      <c r="I966" s="2071"/>
      <c r="R966" s="2690"/>
      <c r="S966" s="2690"/>
      <c r="T966" s="2690"/>
    </row>
    <row r="967" spans="1:20" ht="13.5" customHeight="1" thickBot="1" x14ac:dyDescent="0.25">
      <c r="A967" s="1719" t="s">
        <v>342</v>
      </c>
      <c r="I967" s="2071" t="s">
        <v>92</v>
      </c>
    </row>
    <row r="968" spans="1:20" ht="13.5" customHeight="1" thickTop="1" thickBot="1" x14ac:dyDescent="0.25">
      <c r="A968" s="1047" t="s">
        <v>324</v>
      </c>
      <c r="B968" s="1044" t="s">
        <v>93</v>
      </c>
      <c r="C968" s="1046" t="s">
        <v>94</v>
      </c>
      <c r="D968" s="1069" t="s">
        <v>364</v>
      </c>
      <c r="E968" s="1069" t="s">
        <v>95</v>
      </c>
      <c r="F968" s="1069" t="s">
        <v>328</v>
      </c>
      <c r="G968" s="1069" t="s">
        <v>329</v>
      </c>
      <c r="H968" s="1749" t="s">
        <v>448</v>
      </c>
      <c r="I968" s="2089" t="s">
        <v>449</v>
      </c>
    </row>
    <row r="969" spans="1:20" ht="14.25" thickTop="1" thickBot="1" x14ac:dyDescent="0.25">
      <c r="A969" s="1042">
        <v>1</v>
      </c>
      <c r="B969" s="1041">
        <v>2</v>
      </c>
      <c r="C969" s="1041">
        <v>3</v>
      </c>
      <c r="D969" s="1041">
        <v>4</v>
      </c>
      <c r="E969" s="1041">
        <v>5</v>
      </c>
      <c r="F969" s="1040">
        <v>6</v>
      </c>
      <c r="G969" s="1040">
        <v>7</v>
      </c>
      <c r="H969" s="1164">
        <v>8</v>
      </c>
      <c r="I969" s="1039" t="s">
        <v>393</v>
      </c>
    </row>
    <row r="970" spans="1:20" ht="15.75" thickTop="1" x14ac:dyDescent="0.25">
      <c r="A970" s="2088">
        <v>1303</v>
      </c>
      <c r="B970" s="2087">
        <v>3231</v>
      </c>
      <c r="C970" s="2087">
        <v>5331</v>
      </c>
      <c r="D970" s="2086"/>
      <c r="E970" s="2085" t="s">
        <v>481</v>
      </c>
      <c r="F970" s="2084">
        <f>F971</f>
        <v>89</v>
      </c>
      <c r="G970" s="2084">
        <f t="shared" ref="G970:H970" si="165">G971</f>
        <v>98</v>
      </c>
      <c r="H970" s="2084">
        <f t="shared" si="165"/>
        <v>98</v>
      </c>
      <c r="I970" s="2083">
        <f>(H970/G970)*100</f>
        <v>100</v>
      </c>
    </row>
    <row r="971" spans="1:20" ht="15" thickBot="1" x14ac:dyDescent="0.25">
      <c r="A971" s="2080"/>
      <c r="B971" s="2079"/>
      <c r="C971" s="2079"/>
      <c r="D971" s="811" t="s">
        <v>993</v>
      </c>
      <c r="E971" s="2627" t="s">
        <v>1538</v>
      </c>
      <c r="F971" s="2077">
        <v>89</v>
      </c>
      <c r="G971" s="2077">
        <v>98</v>
      </c>
      <c r="H971" s="2077">
        <v>98</v>
      </c>
      <c r="I971" s="2076">
        <f>(H971/G971)*100</f>
        <v>100</v>
      </c>
    </row>
    <row r="972" spans="1:20" ht="16.5" thickTop="1" thickBot="1" x14ac:dyDescent="0.3">
      <c r="A972" s="3301" t="s">
        <v>522</v>
      </c>
      <c r="B972" s="3302"/>
      <c r="C972" s="3302"/>
      <c r="D972" s="3302"/>
      <c r="E972" s="3302"/>
      <c r="F972" s="2075">
        <f>F970</f>
        <v>89</v>
      </c>
      <c r="G972" s="2075">
        <f t="shared" ref="G972:H972" si="166">G970</f>
        <v>98</v>
      </c>
      <c r="H972" s="2075">
        <f t="shared" si="166"/>
        <v>98</v>
      </c>
      <c r="I972" s="2074">
        <f>(H972/G972)*100</f>
        <v>100</v>
      </c>
      <c r="R972" s="2691">
        <f>F972</f>
        <v>89</v>
      </c>
      <c r="S972" s="2691">
        <f>G972</f>
        <v>98</v>
      </c>
      <c r="T972" s="2691">
        <f>H972</f>
        <v>98</v>
      </c>
    </row>
    <row r="973" spans="1:20" ht="15.75" thickTop="1" x14ac:dyDescent="0.25">
      <c r="A973" s="1137"/>
      <c r="B973" s="1137"/>
      <c r="C973" s="1137"/>
      <c r="D973" s="1137"/>
      <c r="E973" s="1137"/>
      <c r="F973" s="2073"/>
      <c r="G973" s="2073"/>
      <c r="H973" s="2073"/>
      <c r="I973" s="2072"/>
      <c r="R973" s="2691"/>
      <c r="S973" s="2691"/>
      <c r="T973" s="2691"/>
    </row>
    <row r="974" spans="1:20" ht="13.5" thickBot="1" x14ac:dyDescent="0.25">
      <c r="A974" s="1719" t="s">
        <v>84</v>
      </c>
      <c r="I974" s="2071" t="s">
        <v>92</v>
      </c>
    </row>
    <row r="975" spans="1:20" ht="14.25" thickTop="1" thickBot="1" x14ac:dyDescent="0.25">
      <c r="A975" s="1047" t="s">
        <v>324</v>
      </c>
      <c r="B975" s="1044" t="s">
        <v>93</v>
      </c>
      <c r="C975" s="1046" t="s">
        <v>94</v>
      </c>
      <c r="D975" s="1069" t="s">
        <v>364</v>
      </c>
      <c r="E975" s="1069" t="s">
        <v>95</v>
      </c>
      <c r="F975" s="1069" t="s">
        <v>328</v>
      </c>
      <c r="G975" s="1069" t="s">
        <v>329</v>
      </c>
      <c r="H975" s="1749" t="s">
        <v>448</v>
      </c>
      <c r="I975" s="2089" t="s">
        <v>449</v>
      </c>
    </row>
    <row r="976" spans="1:20" ht="14.25" thickTop="1" thickBot="1" x14ac:dyDescent="0.25">
      <c r="A976" s="1042">
        <v>1</v>
      </c>
      <c r="B976" s="1041">
        <v>2</v>
      </c>
      <c r="C976" s="1041">
        <v>3</v>
      </c>
      <c r="D976" s="1041">
        <v>4</v>
      </c>
      <c r="E976" s="1041">
        <v>5</v>
      </c>
      <c r="F976" s="1040">
        <v>6</v>
      </c>
      <c r="G976" s="1040">
        <v>7</v>
      </c>
      <c r="H976" s="1164">
        <v>8</v>
      </c>
      <c r="I976" s="1039" t="s">
        <v>393</v>
      </c>
    </row>
    <row r="977" spans="1:20" ht="18" customHeight="1" thickTop="1" x14ac:dyDescent="0.25">
      <c r="A977" s="2088">
        <v>1304</v>
      </c>
      <c r="B977" s="2087">
        <v>3231</v>
      </c>
      <c r="C977" s="2087">
        <v>5331</v>
      </c>
      <c r="D977" s="2086"/>
      <c r="E977" s="2085" t="s">
        <v>481</v>
      </c>
      <c r="F977" s="2084">
        <f>F978+F979</f>
        <v>91</v>
      </c>
      <c r="G977" s="2084">
        <f>G978+G979</f>
        <v>91</v>
      </c>
      <c r="H977" s="2084">
        <f>H978+H979</f>
        <v>91</v>
      </c>
      <c r="I977" s="2083">
        <f>(H977/G977)*100</f>
        <v>100</v>
      </c>
    </row>
    <row r="978" spans="1:20" ht="14.25" x14ac:dyDescent="0.2">
      <c r="A978" s="2080"/>
      <c r="B978" s="2079"/>
      <c r="C978" s="2079"/>
      <c r="D978" s="2630" t="s">
        <v>1394</v>
      </c>
      <c r="E978" s="923" t="s">
        <v>1537</v>
      </c>
      <c r="F978" s="2077">
        <v>85</v>
      </c>
      <c r="G978" s="2077">
        <v>85</v>
      </c>
      <c r="H978" s="2077">
        <v>85</v>
      </c>
      <c r="I978" s="2076">
        <f>(H978/G978)*100</f>
        <v>100</v>
      </c>
    </row>
    <row r="979" spans="1:20" ht="15" thickBot="1" x14ac:dyDescent="0.25">
      <c r="A979" s="2080"/>
      <c r="B979" s="2079"/>
      <c r="C979" s="2079"/>
      <c r="D979" s="811" t="s">
        <v>993</v>
      </c>
      <c r="E979" s="2627" t="s">
        <v>1538</v>
      </c>
      <c r="F979" s="2077">
        <v>6</v>
      </c>
      <c r="G979" s="2077">
        <v>6</v>
      </c>
      <c r="H979" s="2077">
        <v>6</v>
      </c>
      <c r="I979" s="2076">
        <f>(H979/G979)*100</f>
        <v>100</v>
      </c>
    </row>
    <row r="980" spans="1:20" ht="16.5" thickTop="1" thickBot="1" x14ac:dyDescent="0.3">
      <c r="A980" s="3301" t="s">
        <v>522</v>
      </c>
      <c r="B980" s="3302"/>
      <c r="C980" s="3302"/>
      <c r="D980" s="3302"/>
      <c r="E980" s="3302"/>
      <c r="F980" s="2075">
        <f>F977</f>
        <v>91</v>
      </c>
      <c r="G980" s="2075">
        <f t="shared" ref="G980:H980" si="167">G977</f>
        <v>91</v>
      </c>
      <c r="H980" s="2075">
        <f t="shared" si="167"/>
        <v>91</v>
      </c>
      <c r="I980" s="2074">
        <f>(H980/G980)*100</f>
        <v>100</v>
      </c>
      <c r="R980" s="2691">
        <f>F980</f>
        <v>91</v>
      </c>
      <c r="S980" s="2691">
        <f>G980</f>
        <v>91</v>
      </c>
      <c r="T980" s="2691">
        <f>H980</f>
        <v>91</v>
      </c>
    </row>
    <row r="981" spans="1:20" s="1037" customFormat="1" ht="13.5" thickTop="1" x14ac:dyDescent="0.2">
      <c r="A981" s="997"/>
      <c r="B981" s="1829"/>
      <c r="C981" s="997"/>
      <c r="D981" s="1841"/>
      <c r="E981" s="997"/>
      <c r="F981" s="1002"/>
      <c r="G981" s="1002"/>
      <c r="H981" s="1002"/>
      <c r="I981" s="2071"/>
      <c r="R981" s="2690"/>
      <c r="S981" s="2690"/>
      <c r="T981" s="2690"/>
    </row>
    <row r="982" spans="1:20" ht="13.5" thickBot="1" x14ac:dyDescent="0.25">
      <c r="A982" s="1719" t="s">
        <v>85</v>
      </c>
      <c r="I982" s="2071" t="s">
        <v>92</v>
      </c>
    </row>
    <row r="983" spans="1:20" ht="14.25" thickTop="1" thickBot="1" x14ac:dyDescent="0.25">
      <c r="A983" s="1047" t="s">
        <v>324</v>
      </c>
      <c r="B983" s="1044" t="s">
        <v>93</v>
      </c>
      <c r="C983" s="1046" t="s">
        <v>94</v>
      </c>
      <c r="D983" s="1069" t="s">
        <v>364</v>
      </c>
      <c r="E983" s="1069" t="s">
        <v>95</v>
      </c>
      <c r="F983" s="1069" t="s">
        <v>328</v>
      </c>
      <c r="G983" s="1069" t="s">
        <v>329</v>
      </c>
      <c r="H983" s="1749" t="s">
        <v>448</v>
      </c>
      <c r="I983" s="2089" t="s">
        <v>449</v>
      </c>
    </row>
    <row r="984" spans="1:20" ht="14.25" thickTop="1" thickBot="1" x14ac:dyDescent="0.25">
      <c r="A984" s="1042">
        <v>1</v>
      </c>
      <c r="B984" s="1041">
        <v>2</v>
      </c>
      <c r="C984" s="1041">
        <v>3</v>
      </c>
      <c r="D984" s="1041">
        <v>4</v>
      </c>
      <c r="E984" s="1041">
        <v>5</v>
      </c>
      <c r="F984" s="1040">
        <v>6</v>
      </c>
      <c r="G984" s="1040">
        <v>7</v>
      </c>
      <c r="H984" s="1164">
        <v>8</v>
      </c>
      <c r="I984" s="1039" t="s">
        <v>393</v>
      </c>
    </row>
    <row r="985" spans="1:20" ht="15.75" thickTop="1" x14ac:dyDescent="0.25">
      <c r="A985" s="2088">
        <v>1305</v>
      </c>
      <c r="B985" s="2087">
        <v>3231</v>
      </c>
      <c r="C985" s="2087">
        <v>5331</v>
      </c>
      <c r="D985" s="2086"/>
      <c r="E985" s="2085" t="s">
        <v>481</v>
      </c>
      <c r="F985" s="2084">
        <f>F986+F987</f>
        <v>50</v>
      </c>
      <c r="G985" s="2084">
        <f>G986+G987</f>
        <v>50</v>
      </c>
      <c r="H985" s="2084">
        <f>H986+H987</f>
        <v>50</v>
      </c>
      <c r="I985" s="2083">
        <f>(H985/G985)*100</f>
        <v>100</v>
      </c>
    </row>
    <row r="986" spans="1:20" ht="14.25" x14ac:dyDescent="0.2">
      <c r="A986" s="2080"/>
      <c r="B986" s="2079"/>
      <c r="C986" s="2079"/>
      <c r="D986" s="2630" t="s">
        <v>1394</v>
      </c>
      <c r="E986" s="923" t="s">
        <v>1537</v>
      </c>
      <c r="F986" s="2077">
        <v>45</v>
      </c>
      <c r="G986" s="2077">
        <v>45</v>
      </c>
      <c r="H986" s="2077">
        <v>45</v>
      </c>
      <c r="I986" s="2076">
        <f>(H986/G986)*100</f>
        <v>100</v>
      </c>
    </row>
    <row r="987" spans="1:20" ht="12.75" customHeight="1" thickBot="1" x14ac:dyDescent="0.25">
      <c r="A987" s="2080"/>
      <c r="B987" s="2079"/>
      <c r="C987" s="2079"/>
      <c r="D987" s="811" t="s">
        <v>993</v>
      </c>
      <c r="E987" s="2627" t="s">
        <v>1538</v>
      </c>
      <c r="F987" s="2077">
        <v>5</v>
      </c>
      <c r="G987" s="2077">
        <v>5</v>
      </c>
      <c r="H987" s="2077">
        <v>5</v>
      </c>
      <c r="I987" s="2076">
        <f>(H987/G987)*100</f>
        <v>100</v>
      </c>
    </row>
    <row r="988" spans="1:20" ht="16.5" thickTop="1" thickBot="1" x14ac:dyDescent="0.3">
      <c r="A988" s="3301" t="s">
        <v>522</v>
      </c>
      <c r="B988" s="3302"/>
      <c r="C988" s="3302"/>
      <c r="D988" s="3302"/>
      <c r="E988" s="3302"/>
      <c r="F988" s="2075">
        <f>F985</f>
        <v>50</v>
      </c>
      <c r="G988" s="2075">
        <f t="shared" ref="G988:H988" si="168">G985</f>
        <v>50</v>
      </c>
      <c r="H988" s="2075">
        <f t="shared" si="168"/>
        <v>50</v>
      </c>
      <c r="I988" s="2074">
        <f>(H988/G988)*100</f>
        <v>100</v>
      </c>
      <c r="R988" s="2691">
        <f>F988</f>
        <v>50</v>
      </c>
      <c r="S988" s="2691">
        <f>G988</f>
        <v>50</v>
      </c>
      <c r="T988" s="2691">
        <f>H988</f>
        <v>50</v>
      </c>
    </row>
    <row r="989" spans="1:20" s="1037" customFormat="1" ht="13.5" thickTop="1" x14ac:dyDescent="0.2">
      <c r="A989" s="997"/>
      <c r="B989" s="1829"/>
      <c r="C989" s="997"/>
      <c r="D989" s="1841"/>
      <c r="E989" s="997"/>
      <c r="F989" s="1002"/>
      <c r="G989" s="1002"/>
      <c r="H989" s="1002"/>
      <c r="I989" s="2071"/>
      <c r="R989" s="2690"/>
      <c r="S989" s="2690"/>
      <c r="T989" s="2690"/>
    </row>
    <row r="990" spans="1:20" ht="13.5" thickBot="1" x14ac:dyDescent="0.25">
      <c r="A990" s="1719" t="s">
        <v>513</v>
      </c>
      <c r="I990" s="2071" t="s">
        <v>92</v>
      </c>
    </row>
    <row r="991" spans="1:20" ht="14.25" thickTop="1" thickBot="1" x14ac:dyDescent="0.25">
      <c r="A991" s="1047" t="s">
        <v>324</v>
      </c>
      <c r="B991" s="1044" t="s">
        <v>93</v>
      </c>
      <c r="C991" s="1046" t="s">
        <v>94</v>
      </c>
      <c r="D991" s="1069" t="s">
        <v>364</v>
      </c>
      <c r="E991" s="1069" t="s">
        <v>95</v>
      </c>
      <c r="F991" s="1069" t="s">
        <v>328</v>
      </c>
      <c r="G991" s="1069" t="s">
        <v>329</v>
      </c>
      <c r="H991" s="1749" t="s">
        <v>448</v>
      </c>
      <c r="I991" s="2089" t="s">
        <v>449</v>
      </c>
    </row>
    <row r="992" spans="1:20" ht="14.25" thickTop="1" thickBot="1" x14ac:dyDescent="0.25">
      <c r="A992" s="1042">
        <v>1</v>
      </c>
      <c r="B992" s="1041">
        <v>2</v>
      </c>
      <c r="C992" s="1041">
        <v>3</v>
      </c>
      <c r="D992" s="1041">
        <v>4</v>
      </c>
      <c r="E992" s="1041">
        <v>5</v>
      </c>
      <c r="F992" s="1040">
        <v>6</v>
      </c>
      <c r="G992" s="1040">
        <v>7</v>
      </c>
      <c r="H992" s="1164">
        <v>8</v>
      </c>
      <c r="I992" s="1039" t="s">
        <v>393</v>
      </c>
    </row>
    <row r="993" spans="1:20" ht="15.75" thickTop="1" x14ac:dyDescent="0.25">
      <c r="A993" s="2088">
        <v>1306</v>
      </c>
      <c r="B993" s="2087">
        <v>3231</v>
      </c>
      <c r="C993" s="2087">
        <v>5331</v>
      </c>
      <c r="D993" s="2086"/>
      <c r="E993" s="2085" t="s">
        <v>481</v>
      </c>
      <c r="F993" s="2084">
        <f>F994</f>
        <v>77</v>
      </c>
      <c r="G993" s="2084">
        <f t="shared" ref="G993:H993" si="169">G994</f>
        <v>77</v>
      </c>
      <c r="H993" s="2084">
        <f t="shared" si="169"/>
        <v>77</v>
      </c>
      <c r="I993" s="2083">
        <f>(H993/G993)*100</f>
        <v>100</v>
      </c>
    </row>
    <row r="994" spans="1:20" ht="15" thickBot="1" x14ac:dyDescent="0.25">
      <c r="A994" s="2080"/>
      <c r="B994" s="2079"/>
      <c r="C994" s="2079"/>
      <c r="D994" s="2630" t="s">
        <v>1394</v>
      </c>
      <c r="E994" s="923" t="s">
        <v>1537</v>
      </c>
      <c r="F994" s="2077">
        <v>77</v>
      </c>
      <c r="G994" s="2077">
        <v>77</v>
      </c>
      <c r="H994" s="2077">
        <v>77</v>
      </c>
      <c r="I994" s="2076">
        <f>(H994/G994)*100</f>
        <v>100</v>
      </c>
    </row>
    <row r="995" spans="1:20" ht="16.5" thickTop="1" thickBot="1" x14ac:dyDescent="0.3">
      <c r="A995" s="3301" t="s">
        <v>522</v>
      </c>
      <c r="B995" s="3302"/>
      <c r="C995" s="3302"/>
      <c r="D995" s="3302"/>
      <c r="E995" s="3302"/>
      <c r="F995" s="2075">
        <f>F993</f>
        <v>77</v>
      </c>
      <c r="G995" s="2075">
        <f t="shared" ref="G995:H995" si="170">G993</f>
        <v>77</v>
      </c>
      <c r="H995" s="2075">
        <f t="shared" si="170"/>
        <v>77</v>
      </c>
      <c r="I995" s="2074">
        <f>(H995/G995)*100</f>
        <v>100</v>
      </c>
      <c r="R995" s="2691">
        <f>F995</f>
        <v>77</v>
      </c>
      <c r="S995" s="2691">
        <f>G995</f>
        <v>77</v>
      </c>
      <c r="T995" s="2691">
        <f>H995</f>
        <v>77</v>
      </c>
    </row>
    <row r="996" spans="1:20" s="1037" customFormat="1" ht="13.5" thickTop="1" x14ac:dyDescent="0.2">
      <c r="A996" s="997"/>
      <c r="B996" s="1829"/>
      <c r="C996" s="997"/>
      <c r="D996" s="1841"/>
      <c r="E996" s="997"/>
      <c r="F996" s="1002"/>
      <c r="G996" s="1002"/>
      <c r="H996" s="1002"/>
      <c r="I996" s="2071"/>
      <c r="R996" s="2690"/>
      <c r="S996" s="2690"/>
      <c r="T996" s="2690"/>
    </row>
    <row r="997" spans="1:20" s="1037" customFormat="1" x14ac:dyDescent="0.2">
      <c r="A997" s="997"/>
      <c r="B997" s="1829"/>
      <c r="C997" s="997"/>
      <c r="D997" s="1841"/>
      <c r="E997" s="997"/>
      <c r="F997" s="1002"/>
      <c r="G997" s="1002"/>
      <c r="H997" s="1002"/>
      <c r="I997" s="2071"/>
      <c r="R997" s="2690"/>
      <c r="S997" s="2690"/>
      <c r="T997" s="2690"/>
    </row>
    <row r="998" spans="1:20" ht="13.5" thickBot="1" x14ac:dyDescent="0.25">
      <c r="A998" s="1719" t="s">
        <v>514</v>
      </c>
      <c r="I998" s="2071" t="s">
        <v>92</v>
      </c>
    </row>
    <row r="999" spans="1:20" ht="14.25" thickTop="1" thickBot="1" x14ac:dyDescent="0.25">
      <c r="A999" s="1047" t="s">
        <v>324</v>
      </c>
      <c r="B999" s="1044" t="s">
        <v>93</v>
      </c>
      <c r="C999" s="1046" t="s">
        <v>94</v>
      </c>
      <c r="D999" s="1069" t="s">
        <v>364</v>
      </c>
      <c r="E999" s="1069" t="s">
        <v>95</v>
      </c>
      <c r="F999" s="1069" t="s">
        <v>328</v>
      </c>
      <c r="G999" s="1069" t="s">
        <v>329</v>
      </c>
      <c r="H999" s="1749" t="s">
        <v>448</v>
      </c>
      <c r="I999" s="2089" t="s">
        <v>449</v>
      </c>
    </row>
    <row r="1000" spans="1:20" ht="14.25" thickTop="1" thickBot="1" x14ac:dyDescent="0.25">
      <c r="A1000" s="1042">
        <v>1</v>
      </c>
      <c r="B1000" s="1041">
        <v>2</v>
      </c>
      <c r="C1000" s="1041">
        <v>3</v>
      </c>
      <c r="D1000" s="1041">
        <v>4</v>
      </c>
      <c r="E1000" s="1041">
        <v>5</v>
      </c>
      <c r="F1000" s="1040">
        <v>6</v>
      </c>
      <c r="G1000" s="1040">
        <v>7</v>
      </c>
      <c r="H1000" s="1164">
        <v>8</v>
      </c>
      <c r="I1000" s="1039" t="s">
        <v>393</v>
      </c>
    </row>
    <row r="1001" spans="1:20" ht="15.75" thickTop="1" x14ac:dyDescent="0.25">
      <c r="A1001" s="2088">
        <v>1307</v>
      </c>
      <c r="B1001" s="2087">
        <v>3231</v>
      </c>
      <c r="C1001" s="2087">
        <v>5331</v>
      </c>
      <c r="D1001" s="2086"/>
      <c r="E1001" s="2085" t="s">
        <v>481</v>
      </c>
      <c r="F1001" s="2084">
        <f>F1002+F1003</f>
        <v>178</v>
      </c>
      <c r="G1001" s="2084">
        <f>G1002+G1003</f>
        <v>178</v>
      </c>
      <c r="H1001" s="2084">
        <f>H1002+H1003</f>
        <v>178</v>
      </c>
      <c r="I1001" s="2083">
        <f>(H1001/G1001)*100</f>
        <v>100</v>
      </c>
    </row>
    <row r="1002" spans="1:20" ht="14.25" x14ac:dyDescent="0.2">
      <c r="A1002" s="2080"/>
      <c r="B1002" s="2079"/>
      <c r="C1002" s="2079"/>
      <c r="D1002" s="2630" t="s">
        <v>1394</v>
      </c>
      <c r="E1002" s="923" t="s">
        <v>1537</v>
      </c>
      <c r="F1002" s="2077">
        <v>170</v>
      </c>
      <c r="G1002" s="2077">
        <v>170</v>
      </c>
      <c r="H1002" s="2077">
        <v>170</v>
      </c>
      <c r="I1002" s="2076">
        <f>(H1002/G1002)*100</f>
        <v>100</v>
      </c>
    </row>
    <row r="1003" spans="1:20" ht="15" thickBot="1" x14ac:dyDescent="0.25">
      <c r="A1003" s="2080"/>
      <c r="B1003" s="2079"/>
      <c r="C1003" s="2079"/>
      <c r="D1003" s="811" t="s">
        <v>993</v>
      </c>
      <c r="E1003" s="2627" t="s">
        <v>1538</v>
      </c>
      <c r="F1003" s="2077">
        <v>8</v>
      </c>
      <c r="G1003" s="2077">
        <v>8</v>
      </c>
      <c r="H1003" s="2077">
        <v>8</v>
      </c>
      <c r="I1003" s="2076">
        <f>(H1003/G1003)*100</f>
        <v>100</v>
      </c>
    </row>
    <row r="1004" spans="1:20" ht="16.5" thickTop="1" thickBot="1" x14ac:dyDescent="0.3">
      <c r="A1004" s="3301" t="s">
        <v>522</v>
      </c>
      <c r="B1004" s="3302"/>
      <c r="C1004" s="3302"/>
      <c r="D1004" s="3302"/>
      <c r="E1004" s="3302"/>
      <c r="F1004" s="2075">
        <f>F1001</f>
        <v>178</v>
      </c>
      <c r="G1004" s="2075">
        <f t="shared" ref="G1004:H1004" si="171">G1001</f>
        <v>178</v>
      </c>
      <c r="H1004" s="2075">
        <f t="shared" si="171"/>
        <v>178</v>
      </c>
      <c r="I1004" s="2074">
        <f>(H1004/G1004)*100</f>
        <v>100</v>
      </c>
      <c r="R1004" s="2691">
        <f>F1004</f>
        <v>178</v>
      </c>
      <c r="S1004" s="2691">
        <f>G1004</f>
        <v>178</v>
      </c>
      <c r="T1004" s="2691">
        <f>H1004</f>
        <v>178</v>
      </c>
    </row>
    <row r="1005" spans="1:20" s="1037" customFormat="1" ht="13.5" thickTop="1" x14ac:dyDescent="0.2">
      <c r="A1005" s="997"/>
      <c r="B1005" s="1829"/>
      <c r="C1005" s="997"/>
      <c r="D1005" s="1841"/>
      <c r="E1005" s="997"/>
      <c r="F1005" s="1002"/>
      <c r="G1005" s="1002"/>
      <c r="H1005" s="1002"/>
      <c r="I1005" s="2071"/>
      <c r="R1005" s="2690"/>
      <c r="S1005" s="2690"/>
      <c r="T1005" s="2690"/>
    </row>
    <row r="1006" spans="1:20" s="1037" customFormat="1" x14ac:dyDescent="0.2">
      <c r="A1006" s="997"/>
      <c r="B1006" s="1829"/>
      <c r="C1006" s="997"/>
      <c r="D1006" s="1841"/>
      <c r="E1006" s="997"/>
      <c r="F1006" s="1002"/>
      <c r="G1006" s="1002"/>
      <c r="H1006" s="1002"/>
      <c r="I1006" s="2071"/>
      <c r="R1006" s="2690"/>
      <c r="S1006" s="2690"/>
      <c r="T1006" s="2690"/>
    </row>
    <row r="1007" spans="1:20" ht="13.5" thickBot="1" x14ac:dyDescent="0.25">
      <c r="A1007" s="1719" t="s">
        <v>515</v>
      </c>
      <c r="I1007" s="2071" t="s">
        <v>92</v>
      </c>
    </row>
    <row r="1008" spans="1:20" ht="14.25" thickTop="1" thickBot="1" x14ac:dyDescent="0.25">
      <c r="A1008" s="1047" t="s">
        <v>324</v>
      </c>
      <c r="B1008" s="1044" t="s">
        <v>93</v>
      </c>
      <c r="C1008" s="1046" t="s">
        <v>94</v>
      </c>
      <c r="D1008" s="1069" t="s">
        <v>364</v>
      </c>
      <c r="E1008" s="1069" t="s">
        <v>95</v>
      </c>
      <c r="F1008" s="1069" t="s">
        <v>328</v>
      </c>
      <c r="G1008" s="1069" t="s">
        <v>329</v>
      </c>
      <c r="H1008" s="1749" t="s">
        <v>448</v>
      </c>
      <c r="I1008" s="2089" t="s">
        <v>449</v>
      </c>
    </row>
    <row r="1009" spans="1:20" ht="14.25" thickTop="1" thickBot="1" x14ac:dyDescent="0.25">
      <c r="A1009" s="1042">
        <v>1</v>
      </c>
      <c r="B1009" s="1041">
        <v>2</v>
      </c>
      <c r="C1009" s="1041">
        <v>3</v>
      </c>
      <c r="D1009" s="1041">
        <v>4</v>
      </c>
      <c r="E1009" s="1041">
        <v>5</v>
      </c>
      <c r="F1009" s="1040">
        <v>6</v>
      </c>
      <c r="G1009" s="1040">
        <v>7</v>
      </c>
      <c r="H1009" s="1164">
        <v>8</v>
      </c>
      <c r="I1009" s="1039" t="s">
        <v>393</v>
      </c>
    </row>
    <row r="1010" spans="1:20" ht="15.75" thickTop="1" x14ac:dyDescent="0.25">
      <c r="A1010" s="2088">
        <v>1308</v>
      </c>
      <c r="B1010" s="2087">
        <v>3231</v>
      </c>
      <c r="C1010" s="2087">
        <v>5331</v>
      </c>
      <c r="D1010" s="2086"/>
      <c r="E1010" s="2085" t="s">
        <v>481</v>
      </c>
      <c r="F1010" s="2084">
        <f>F1011</f>
        <v>23</v>
      </c>
      <c r="G1010" s="2084">
        <f t="shared" ref="G1010:H1010" si="172">G1011</f>
        <v>23</v>
      </c>
      <c r="H1010" s="2084">
        <f t="shared" si="172"/>
        <v>23</v>
      </c>
      <c r="I1010" s="2083">
        <f>(H1010/G1010)*100</f>
        <v>100</v>
      </c>
    </row>
    <row r="1011" spans="1:20" ht="15" thickBot="1" x14ac:dyDescent="0.25">
      <c r="A1011" s="2080"/>
      <c r="B1011" s="2079"/>
      <c r="C1011" s="2079"/>
      <c r="D1011" s="2630" t="s">
        <v>1394</v>
      </c>
      <c r="E1011" s="923" t="s">
        <v>1537</v>
      </c>
      <c r="F1011" s="2077">
        <v>23</v>
      </c>
      <c r="G1011" s="2077">
        <v>23</v>
      </c>
      <c r="H1011" s="2077">
        <v>23</v>
      </c>
      <c r="I1011" s="2076">
        <v>100</v>
      </c>
    </row>
    <row r="1012" spans="1:20" ht="16.5" thickTop="1" thickBot="1" x14ac:dyDescent="0.3">
      <c r="A1012" s="3301" t="s">
        <v>522</v>
      </c>
      <c r="B1012" s="3302"/>
      <c r="C1012" s="3302"/>
      <c r="D1012" s="3302"/>
      <c r="E1012" s="3302"/>
      <c r="F1012" s="2075">
        <f>SUM(F1010)</f>
        <v>23</v>
      </c>
      <c r="G1012" s="2075">
        <f t="shared" ref="G1012:H1012" si="173">SUM(G1010)</f>
        <v>23</v>
      </c>
      <c r="H1012" s="2075">
        <f t="shared" si="173"/>
        <v>23</v>
      </c>
      <c r="I1012" s="2074">
        <f>(H1012/G1012)*100</f>
        <v>100</v>
      </c>
      <c r="R1012" s="2691">
        <f>F1012</f>
        <v>23</v>
      </c>
      <c r="S1012" s="2691">
        <f>G1012</f>
        <v>23</v>
      </c>
      <c r="T1012" s="2691">
        <f>H1012</f>
        <v>23</v>
      </c>
    </row>
    <row r="1013" spans="1:20" ht="16.5" customHeight="1" thickTop="1" x14ac:dyDescent="0.25">
      <c r="A1013" s="1137"/>
      <c r="B1013" s="1137"/>
      <c r="C1013" s="1137"/>
      <c r="D1013" s="1137"/>
      <c r="E1013" s="1137"/>
      <c r="F1013" s="2073"/>
      <c r="G1013" s="2073"/>
      <c r="H1013" s="2073"/>
      <c r="I1013" s="2072"/>
      <c r="R1013" s="2691"/>
      <c r="S1013" s="2691"/>
      <c r="T1013" s="2691"/>
    </row>
    <row r="1014" spans="1:20" ht="16.5" customHeight="1" x14ac:dyDescent="0.25">
      <c r="A1014" s="1137"/>
      <c r="B1014" s="1137"/>
      <c r="C1014" s="1137"/>
      <c r="D1014" s="1137"/>
      <c r="E1014" s="1137"/>
      <c r="F1014" s="2073"/>
      <c r="G1014" s="2073"/>
      <c r="H1014" s="2073"/>
      <c r="I1014" s="2072"/>
      <c r="R1014" s="2691"/>
      <c r="S1014" s="2691"/>
      <c r="T1014" s="2691"/>
    </row>
    <row r="1015" spans="1:20" ht="15" hidden="1" customHeight="1" x14ac:dyDescent="0.25">
      <c r="A1015" s="1137"/>
      <c r="B1015" s="1137"/>
      <c r="C1015" s="1137"/>
      <c r="D1015" s="1137"/>
      <c r="E1015" s="1137"/>
      <c r="F1015" s="2073"/>
      <c r="G1015" s="2073"/>
      <c r="H1015" s="2073"/>
      <c r="I1015" s="2072"/>
      <c r="R1015" s="2691"/>
      <c r="S1015" s="2691"/>
      <c r="T1015" s="2691"/>
    </row>
    <row r="1016" spans="1:20" ht="15" hidden="1" customHeight="1" x14ac:dyDescent="0.25">
      <c r="A1016" s="1137"/>
      <c r="B1016" s="1137"/>
      <c r="C1016" s="1137"/>
      <c r="D1016" s="1137"/>
      <c r="E1016" s="1137"/>
      <c r="F1016" s="2073"/>
      <c r="G1016" s="2073"/>
      <c r="H1016" s="2073"/>
      <c r="I1016" s="2072"/>
      <c r="R1016" s="2691"/>
      <c r="S1016" s="2691"/>
      <c r="T1016" s="2691"/>
    </row>
    <row r="1017" spans="1:20" ht="13.5" thickBot="1" x14ac:dyDescent="0.25">
      <c r="A1017" s="1719" t="s">
        <v>86</v>
      </c>
      <c r="I1017" s="2071" t="s">
        <v>92</v>
      </c>
    </row>
    <row r="1018" spans="1:20" ht="14.25" thickTop="1" thickBot="1" x14ac:dyDescent="0.25">
      <c r="A1018" s="1047" t="s">
        <v>324</v>
      </c>
      <c r="B1018" s="1044" t="s">
        <v>93</v>
      </c>
      <c r="C1018" s="1046" t="s">
        <v>94</v>
      </c>
      <c r="D1018" s="1069" t="s">
        <v>364</v>
      </c>
      <c r="E1018" s="1069" t="s">
        <v>95</v>
      </c>
      <c r="F1018" s="1069" t="s">
        <v>328</v>
      </c>
      <c r="G1018" s="1069" t="s">
        <v>329</v>
      </c>
      <c r="H1018" s="1749" t="s">
        <v>448</v>
      </c>
      <c r="I1018" s="2089" t="s">
        <v>449</v>
      </c>
    </row>
    <row r="1019" spans="1:20" ht="14.25" thickTop="1" thickBot="1" x14ac:dyDescent="0.25">
      <c r="A1019" s="1042">
        <v>1</v>
      </c>
      <c r="B1019" s="1041">
        <v>2</v>
      </c>
      <c r="C1019" s="1041">
        <v>3</v>
      </c>
      <c r="D1019" s="1041">
        <v>4</v>
      </c>
      <c r="E1019" s="1041">
        <v>5</v>
      </c>
      <c r="F1019" s="1040">
        <v>6</v>
      </c>
      <c r="G1019" s="1040">
        <v>7</v>
      </c>
      <c r="H1019" s="1164">
        <v>8</v>
      </c>
      <c r="I1019" s="1039" t="s">
        <v>393</v>
      </c>
    </row>
    <row r="1020" spans="1:20" ht="15.75" thickTop="1" x14ac:dyDescent="0.25">
      <c r="A1020" s="2088">
        <v>1309</v>
      </c>
      <c r="B1020" s="2087">
        <v>3231</v>
      </c>
      <c r="C1020" s="2087">
        <v>5331</v>
      </c>
      <c r="D1020" s="2086"/>
      <c r="E1020" s="2085" t="s">
        <v>481</v>
      </c>
      <c r="F1020" s="2084">
        <f>F1021+F1022+F1023</f>
        <v>256</v>
      </c>
      <c r="G1020" s="2084">
        <f t="shared" ref="G1020:H1020" si="174">G1021+G1022+G1023</f>
        <v>270</v>
      </c>
      <c r="H1020" s="2084">
        <f t="shared" si="174"/>
        <v>270</v>
      </c>
      <c r="I1020" s="2083">
        <f>(H1020/G1020)*100</f>
        <v>100</v>
      </c>
      <c r="R1020" s="2691">
        <f>F1024</f>
        <v>256</v>
      </c>
      <c r="S1020" s="2691">
        <f>G1024</f>
        <v>270</v>
      </c>
      <c r="T1020" s="2691">
        <f>H1024</f>
        <v>270</v>
      </c>
    </row>
    <row r="1021" spans="1:20" ht="14.25" x14ac:dyDescent="0.2">
      <c r="A1021" s="2080"/>
      <c r="B1021" s="2079"/>
      <c r="C1021" s="2079"/>
      <c r="D1021" s="2630" t="s">
        <v>1394</v>
      </c>
      <c r="E1021" s="923" t="s">
        <v>1537</v>
      </c>
      <c r="F1021" s="2077">
        <v>68</v>
      </c>
      <c r="G1021" s="2077">
        <v>68</v>
      </c>
      <c r="H1021" s="2077">
        <v>68</v>
      </c>
      <c r="I1021" s="2076">
        <f>(H1021/G1021)*100</f>
        <v>100</v>
      </c>
      <c r="Q1021" s="1002"/>
      <c r="R1021" s="2691">
        <f>F1027</f>
        <v>0</v>
      </c>
      <c r="S1021" s="2691">
        <f>G1027</f>
        <v>0</v>
      </c>
      <c r="T1021" s="2691">
        <f>H1027</f>
        <v>0</v>
      </c>
    </row>
    <row r="1022" spans="1:20" ht="15" thickBot="1" x14ac:dyDescent="0.25">
      <c r="A1022" s="2080"/>
      <c r="B1022" s="2079"/>
      <c r="C1022" s="2079"/>
      <c r="D1022" s="811" t="s">
        <v>993</v>
      </c>
      <c r="E1022" s="2627" t="s">
        <v>1538</v>
      </c>
      <c r="F1022" s="2077">
        <v>188</v>
      </c>
      <c r="G1022" s="2077">
        <v>202</v>
      </c>
      <c r="H1022" s="2077">
        <v>202</v>
      </c>
      <c r="I1022" s="2076">
        <f>(H1022/G1022)*100</f>
        <v>100</v>
      </c>
      <c r="R1022" s="2691">
        <f>R1020+R1021</f>
        <v>256</v>
      </c>
      <c r="S1022" s="2691">
        <f t="shared" ref="S1022:T1022" si="175">S1020+S1021</f>
        <v>270</v>
      </c>
      <c r="T1022" s="2691">
        <f t="shared" si="175"/>
        <v>270</v>
      </c>
    </row>
    <row r="1023" spans="1:20" ht="15" hidden="1" thickBot="1" x14ac:dyDescent="0.25">
      <c r="A1023" s="2080"/>
      <c r="B1023" s="2079"/>
      <c r="C1023" s="2079"/>
      <c r="D1023" s="811" t="s">
        <v>1395</v>
      </c>
      <c r="E1023" s="2627" t="s">
        <v>1539</v>
      </c>
      <c r="F1023" s="2077"/>
      <c r="G1023" s="2077"/>
      <c r="H1023" s="2077"/>
      <c r="I1023" s="2076" t="e">
        <f>(H1023/G1023)*100</f>
        <v>#DIV/0!</v>
      </c>
    </row>
    <row r="1024" spans="1:20" s="1043" customFormat="1" ht="16.5" thickTop="1" thickBot="1" x14ac:dyDescent="0.3">
      <c r="A1024" s="3301" t="s">
        <v>522</v>
      </c>
      <c r="B1024" s="3302"/>
      <c r="C1024" s="3302"/>
      <c r="D1024" s="3302"/>
      <c r="E1024" s="3302"/>
      <c r="F1024" s="2075">
        <f>F1020</f>
        <v>256</v>
      </c>
      <c r="G1024" s="2075">
        <f t="shared" ref="G1024:H1024" si="176">G1020</f>
        <v>270</v>
      </c>
      <c r="H1024" s="2075">
        <f t="shared" si="176"/>
        <v>270</v>
      </c>
      <c r="I1024" s="2074">
        <f>(H1024/G1024)*100</f>
        <v>100</v>
      </c>
    </row>
    <row r="1025" spans="1:20" s="1043" customFormat="1" ht="15.75" hidden="1" thickTop="1" x14ac:dyDescent="0.25">
      <c r="A1025" s="2640">
        <v>1309</v>
      </c>
      <c r="B1025" s="19">
        <v>3231</v>
      </c>
      <c r="C1025" s="151">
        <v>6351</v>
      </c>
      <c r="D1025" s="2641"/>
      <c r="E1025" s="845" t="s">
        <v>551</v>
      </c>
      <c r="F1025" s="2642">
        <f>F1026</f>
        <v>0</v>
      </c>
      <c r="G1025" s="2642">
        <f t="shared" ref="G1025:H1025" si="177">G1026</f>
        <v>0</v>
      </c>
      <c r="H1025" s="2642">
        <f t="shared" si="177"/>
        <v>0</v>
      </c>
      <c r="I1025" s="2643">
        <v>100</v>
      </c>
    </row>
    <row r="1026" spans="1:20" s="1043" customFormat="1" ht="29.25" hidden="1" thickBot="1" x14ac:dyDescent="0.25">
      <c r="A1026" s="2644"/>
      <c r="B1026" s="822"/>
      <c r="C1026" s="2645"/>
      <c r="D1026" s="2634" t="s">
        <v>972</v>
      </c>
      <c r="E1026" s="2633" t="s">
        <v>1540</v>
      </c>
      <c r="F1026" s="2654"/>
      <c r="G1026" s="2655"/>
      <c r="H1026" s="2656"/>
      <c r="I1026" s="2657">
        <v>100</v>
      </c>
    </row>
    <row r="1027" spans="1:20" s="1043" customFormat="1" ht="16.5" hidden="1" thickTop="1" thickBot="1" x14ac:dyDescent="0.3">
      <c r="A1027" s="3241" t="s">
        <v>523</v>
      </c>
      <c r="B1027" s="3242"/>
      <c r="C1027" s="3242"/>
      <c r="D1027" s="3242"/>
      <c r="E1027" s="3243"/>
      <c r="F1027" s="2648">
        <f>F1025</f>
        <v>0</v>
      </c>
      <c r="G1027" s="2648">
        <f t="shared" ref="G1027:H1027" si="178">G1025</f>
        <v>0</v>
      </c>
      <c r="H1027" s="2648">
        <f t="shared" si="178"/>
        <v>0</v>
      </c>
      <c r="I1027" s="2649">
        <v>100</v>
      </c>
      <c r="R1027" s="2691"/>
      <c r="S1027" s="2691"/>
      <c r="T1027" s="2691"/>
    </row>
    <row r="1028" spans="1:20" s="1043" customFormat="1" ht="15.75" thickTop="1" x14ac:dyDescent="0.25">
      <c r="A1028" s="1137"/>
      <c r="B1028" s="1137"/>
      <c r="C1028" s="1137"/>
      <c r="D1028" s="1137"/>
      <c r="E1028" s="1137"/>
      <c r="F1028" s="2073"/>
      <c r="G1028" s="2073"/>
      <c r="H1028" s="2073"/>
      <c r="I1028" s="2072"/>
      <c r="R1028" s="2691"/>
      <c r="S1028" s="2691"/>
      <c r="T1028" s="2691"/>
    </row>
    <row r="1029" spans="1:20" s="1043" customFormat="1" ht="15" hidden="1" x14ac:dyDescent="0.25">
      <c r="A1029" s="1137"/>
      <c r="B1029" s="1137"/>
      <c r="C1029" s="1137"/>
      <c r="D1029" s="1137"/>
      <c r="E1029" s="1137"/>
      <c r="F1029" s="2073"/>
      <c r="G1029" s="2073"/>
      <c r="H1029" s="2073"/>
      <c r="I1029" s="2072"/>
      <c r="R1029" s="2691"/>
      <c r="S1029" s="2691"/>
      <c r="T1029" s="2691"/>
    </row>
    <row r="1030" spans="1:20" s="1043" customFormat="1" ht="15" hidden="1" x14ac:dyDescent="0.25">
      <c r="A1030" s="1137"/>
      <c r="B1030" s="1137"/>
      <c r="C1030" s="1137"/>
      <c r="D1030" s="1137"/>
      <c r="E1030" s="1137"/>
      <c r="F1030" s="2073"/>
      <c r="G1030" s="2073"/>
      <c r="H1030" s="2073"/>
      <c r="I1030" s="2072"/>
      <c r="R1030" s="2691"/>
      <c r="S1030" s="2691"/>
      <c r="T1030" s="2691"/>
    </row>
    <row r="1031" spans="1:20" s="1043" customFormat="1" ht="15" hidden="1" x14ac:dyDescent="0.25">
      <c r="A1031" s="1137"/>
      <c r="B1031" s="1137"/>
      <c r="C1031" s="1137"/>
      <c r="D1031" s="1137"/>
      <c r="E1031" s="1137"/>
      <c r="F1031" s="2073"/>
      <c r="G1031" s="2073"/>
      <c r="H1031" s="2073"/>
      <c r="I1031" s="2072"/>
      <c r="R1031" s="2691"/>
      <c r="S1031" s="2691"/>
      <c r="T1031" s="2691"/>
    </row>
    <row r="1032" spans="1:20" s="1043" customFormat="1" ht="15" x14ac:dyDescent="0.25">
      <c r="A1032" s="1137"/>
      <c r="B1032" s="1137"/>
      <c r="C1032" s="1137"/>
      <c r="D1032" s="1137"/>
      <c r="E1032" s="1137"/>
      <c r="F1032" s="2073"/>
      <c r="G1032" s="2073"/>
      <c r="H1032" s="2073"/>
      <c r="I1032" s="2072"/>
      <c r="R1032" s="2691"/>
      <c r="S1032" s="2691"/>
      <c r="T1032" s="2691"/>
    </row>
    <row r="1033" spans="1:20" ht="13.5" thickBot="1" x14ac:dyDescent="0.25">
      <c r="A1033" s="1719" t="s">
        <v>113</v>
      </c>
      <c r="I1033" s="2071" t="s">
        <v>92</v>
      </c>
    </row>
    <row r="1034" spans="1:20" ht="14.25" thickTop="1" thickBot="1" x14ac:dyDescent="0.25">
      <c r="A1034" s="1047" t="s">
        <v>324</v>
      </c>
      <c r="B1034" s="1044" t="s">
        <v>93</v>
      </c>
      <c r="C1034" s="1046" t="s">
        <v>94</v>
      </c>
      <c r="D1034" s="1069" t="s">
        <v>364</v>
      </c>
      <c r="E1034" s="1069" t="s">
        <v>95</v>
      </c>
      <c r="F1034" s="1069" t="s">
        <v>328</v>
      </c>
      <c r="G1034" s="1069" t="s">
        <v>329</v>
      </c>
      <c r="H1034" s="1749" t="s">
        <v>448</v>
      </c>
      <c r="I1034" s="2089" t="s">
        <v>449</v>
      </c>
    </row>
    <row r="1035" spans="1:20" ht="14.25" thickTop="1" thickBot="1" x14ac:dyDescent="0.25">
      <c r="A1035" s="1042">
        <v>1</v>
      </c>
      <c r="B1035" s="1041">
        <v>2</v>
      </c>
      <c r="C1035" s="1041">
        <v>3</v>
      </c>
      <c r="D1035" s="1041">
        <v>4</v>
      </c>
      <c r="E1035" s="1041">
        <v>5</v>
      </c>
      <c r="F1035" s="1040">
        <v>6</v>
      </c>
      <c r="G1035" s="1040">
        <v>7</v>
      </c>
      <c r="H1035" s="1164">
        <v>8</v>
      </c>
      <c r="I1035" s="1039" t="s">
        <v>393</v>
      </c>
    </row>
    <row r="1036" spans="1:20" ht="15.75" thickTop="1" x14ac:dyDescent="0.25">
      <c r="A1036" s="2088">
        <v>1310</v>
      </c>
      <c r="B1036" s="2087">
        <v>3231</v>
      </c>
      <c r="C1036" s="2087">
        <v>5331</v>
      </c>
      <c r="D1036" s="2086"/>
      <c r="E1036" s="2085" t="s">
        <v>481</v>
      </c>
      <c r="F1036" s="2084">
        <f>F1037+F1038</f>
        <v>63</v>
      </c>
      <c r="G1036" s="2084">
        <f>G1037+G1038</f>
        <v>62</v>
      </c>
      <c r="H1036" s="2084">
        <f>H1037+H1038</f>
        <v>62</v>
      </c>
      <c r="I1036" s="2083">
        <f>(H1036/G1036)*100</f>
        <v>100</v>
      </c>
    </row>
    <row r="1037" spans="1:20" ht="14.25" x14ac:dyDescent="0.2">
      <c r="A1037" s="2080"/>
      <c r="B1037" s="2079"/>
      <c r="C1037" s="2079"/>
      <c r="D1037" s="2630" t="s">
        <v>1394</v>
      </c>
      <c r="E1037" s="923" t="s">
        <v>1537</v>
      </c>
      <c r="F1037" s="2077">
        <v>44</v>
      </c>
      <c r="G1037" s="2077">
        <v>44</v>
      </c>
      <c r="H1037" s="2077">
        <v>44</v>
      </c>
      <c r="I1037" s="2076">
        <f>(H1037/G1037)*100</f>
        <v>100</v>
      </c>
    </row>
    <row r="1038" spans="1:20" ht="15" thickBot="1" x14ac:dyDescent="0.25">
      <c r="A1038" s="2080"/>
      <c r="B1038" s="2079"/>
      <c r="C1038" s="2079"/>
      <c r="D1038" s="811" t="s">
        <v>993</v>
      </c>
      <c r="E1038" s="2627" t="s">
        <v>1538</v>
      </c>
      <c r="F1038" s="2077">
        <v>19</v>
      </c>
      <c r="G1038" s="2077">
        <v>18</v>
      </c>
      <c r="H1038" s="2077">
        <v>18</v>
      </c>
      <c r="I1038" s="2076">
        <f>(H1038/G1038)*100</f>
        <v>100</v>
      </c>
    </row>
    <row r="1039" spans="1:20" ht="16.5" thickTop="1" thickBot="1" x14ac:dyDescent="0.3">
      <c r="A1039" s="3301" t="s">
        <v>522</v>
      </c>
      <c r="B1039" s="3302"/>
      <c r="C1039" s="3302"/>
      <c r="D1039" s="3302"/>
      <c r="E1039" s="3302"/>
      <c r="F1039" s="2075">
        <f>F1036</f>
        <v>63</v>
      </c>
      <c r="G1039" s="2075">
        <f t="shared" ref="G1039:H1039" si="179">G1036</f>
        <v>62</v>
      </c>
      <c r="H1039" s="2075">
        <f t="shared" si="179"/>
        <v>62</v>
      </c>
      <c r="I1039" s="2074">
        <f>(H1039/G1039)*100</f>
        <v>100</v>
      </c>
      <c r="R1039" s="2691">
        <f>F1039</f>
        <v>63</v>
      </c>
      <c r="S1039" s="2691">
        <f>G1039</f>
        <v>62</v>
      </c>
      <c r="T1039" s="2691">
        <f>H1039</f>
        <v>62</v>
      </c>
    </row>
    <row r="1040" spans="1:20" s="1043" customFormat="1" ht="14.45" customHeight="1" thickTop="1" x14ac:dyDescent="0.2">
      <c r="A1040" s="997"/>
      <c r="B1040" s="1829"/>
      <c r="C1040" s="997"/>
      <c r="D1040" s="1841"/>
      <c r="E1040" s="997"/>
      <c r="F1040" s="1002"/>
      <c r="G1040" s="1002"/>
      <c r="H1040" s="1002"/>
      <c r="I1040" s="2071"/>
      <c r="R1040" s="2689"/>
      <c r="S1040" s="2689"/>
      <c r="T1040" s="2689"/>
    </row>
    <row r="1041" spans="1:20" ht="13.5" thickBot="1" x14ac:dyDescent="0.25">
      <c r="A1041" s="1719" t="s">
        <v>516</v>
      </c>
      <c r="I1041" s="2071" t="s">
        <v>92</v>
      </c>
    </row>
    <row r="1042" spans="1:20" ht="14.25" thickTop="1" thickBot="1" x14ac:dyDescent="0.25">
      <c r="A1042" s="1047" t="s">
        <v>324</v>
      </c>
      <c r="B1042" s="1044" t="s">
        <v>93</v>
      </c>
      <c r="C1042" s="1046" t="s">
        <v>94</v>
      </c>
      <c r="D1042" s="1069" t="s">
        <v>364</v>
      </c>
      <c r="E1042" s="1069" t="s">
        <v>95</v>
      </c>
      <c r="F1042" s="1069" t="s">
        <v>328</v>
      </c>
      <c r="G1042" s="1069" t="s">
        <v>329</v>
      </c>
      <c r="H1042" s="1749" t="s">
        <v>448</v>
      </c>
      <c r="I1042" s="2089" t="s">
        <v>449</v>
      </c>
    </row>
    <row r="1043" spans="1:20" s="1879" customFormat="1" ht="14.25" thickTop="1" thickBot="1" x14ac:dyDescent="0.25">
      <c r="A1043" s="1042">
        <v>1</v>
      </c>
      <c r="B1043" s="1041">
        <v>2</v>
      </c>
      <c r="C1043" s="1041">
        <v>3</v>
      </c>
      <c r="D1043" s="1041">
        <v>4</v>
      </c>
      <c r="E1043" s="1041">
        <v>5</v>
      </c>
      <c r="F1043" s="1040">
        <v>6</v>
      </c>
      <c r="G1043" s="1040">
        <v>7</v>
      </c>
      <c r="H1043" s="1164">
        <v>8</v>
      </c>
      <c r="I1043" s="1039" t="s">
        <v>393</v>
      </c>
      <c r="R1043" s="2692"/>
      <c r="S1043" s="2692"/>
      <c r="T1043" s="2692"/>
    </row>
    <row r="1044" spans="1:20" ht="15.75" thickTop="1" x14ac:dyDescent="0.25">
      <c r="A1044" s="2088">
        <v>1311</v>
      </c>
      <c r="B1044" s="2087">
        <v>3231</v>
      </c>
      <c r="C1044" s="2087">
        <v>5331</v>
      </c>
      <c r="D1044" s="2086"/>
      <c r="E1044" s="2085" t="s">
        <v>481</v>
      </c>
      <c r="F1044" s="2084">
        <f>F1045+F1046</f>
        <v>104</v>
      </c>
      <c r="G1044" s="2084">
        <f>G1045+G1046</f>
        <v>113</v>
      </c>
      <c r="H1044" s="2084">
        <f>H1045+H1046</f>
        <v>113</v>
      </c>
      <c r="I1044" s="2083">
        <f>(H1044/G1044)*100</f>
        <v>100</v>
      </c>
    </row>
    <row r="1045" spans="1:20" ht="14.25" x14ac:dyDescent="0.2">
      <c r="A1045" s="2080"/>
      <c r="B1045" s="2079"/>
      <c r="C1045" s="2079"/>
      <c r="D1045" s="811" t="s">
        <v>993</v>
      </c>
      <c r="E1045" s="2627" t="s">
        <v>1538</v>
      </c>
      <c r="F1045" s="2077">
        <v>79</v>
      </c>
      <c r="G1045" s="2077">
        <v>88</v>
      </c>
      <c r="H1045" s="2077">
        <v>88</v>
      </c>
      <c r="I1045" s="2076">
        <f>(H1045/G1045)*100</f>
        <v>100</v>
      </c>
    </row>
    <row r="1046" spans="1:20" ht="15.75" thickBot="1" x14ac:dyDescent="0.3">
      <c r="A1046" s="2080"/>
      <c r="B1046" s="2079"/>
      <c r="C1046" s="2079"/>
      <c r="D1046" s="811" t="s">
        <v>1395</v>
      </c>
      <c r="E1046" s="2627" t="s">
        <v>1539</v>
      </c>
      <c r="F1046" s="2095">
        <v>25</v>
      </c>
      <c r="G1046" s="2081">
        <v>25</v>
      </c>
      <c r="H1046" s="2081">
        <v>25</v>
      </c>
      <c r="I1046" s="2076">
        <f>(H1046/G1046)*100</f>
        <v>100</v>
      </c>
    </row>
    <row r="1047" spans="1:20" ht="16.5" thickTop="1" thickBot="1" x14ac:dyDescent="0.3">
      <c r="A1047" s="3301" t="s">
        <v>522</v>
      </c>
      <c r="B1047" s="3302"/>
      <c r="C1047" s="3302"/>
      <c r="D1047" s="3302"/>
      <c r="E1047" s="3302"/>
      <c r="F1047" s="2075">
        <f>SUM(F1044)</f>
        <v>104</v>
      </c>
      <c r="G1047" s="2075">
        <f t="shared" ref="G1047:H1047" si="180">SUM(G1044)</f>
        <v>113</v>
      </c>
      <c r="H1047" s="2075">
        <f t="shared" si="180"/>
        <v>113</v>
      </c>
      <c r="I1047" s="2074">
        <f>(H1047/G1047)*100</f>
        <v>100</v>
      </c>
      <c r="R1047" s="2691">
        <f>F1047</f>
        <v>104</v>
      </c>
      <c r="S1047" s="2691">
        <f>G1047</f>
        <v>113</v>
      </c>
      <c r="T1047" s="2691">
        <f>H1047</f>
        <v>113</v>
      </c>
    </row>
    <row r="1048" spans="1:20" s="1043" customFormat="1" ht="13.5" thickTop="1" x14ac:dyDescent="0.2">
      <c r="A1048" s="997"/>
      <c r="B1048" s="1829"/>
      <c r="C1048" s="997"/>
      <c r="D1048" s="1841"/>
      <c r="E1048" s="997"/>
      <c r="F1048" s="1002"/>
      <c r="G1048" s="1002"/>
      <c r="H1048" s="1002"/>
      <c r="I1048" s="2071"/>
      <c r="R1048" s="2689"/>
      <c r="S1048" s="2689"/>
      <c r="T1048" s="2689"/>
    </row>
    <row r="1049" spans="1:20" ht="13.5" thickBot="1" x14ac:dyDescent="0.25">
      <c r="A1049" s="1719" t="s">
        <v>517</v>
      </c>
      <c r="I1049" s="2071" t="s">
        <v>92</v>
      </c>
    </row>
    <row r="1050" spans="1:20" ht="14.25" thickTop="1" thickBot="1" x14ac:dyDescent="0.25">
      <c r="A1050" s="1047" t="s">
        <v>324</v>
      </c>
      <c r="B1050" s="1044" t="s">
        <v>93</v>
      </c>
      <c r="C1050" s="1046" t="s">
        <v>94</v>
      </c>
      <c r="D1050" s="1069" t="s">
        <v>364</v>
      </c>
      <c r="E1050" s="1069" t="s">
        <v>95</v>
      </c>
      <c r="F1050" s="1069" t="s">
        <v>328</v>
      </c>
      <c r="G1050" s="1069" t="s">
        <v>329</v>
      </c>
      <c r="H1050" s="1749" t="s">
        <v>448</v>
      </c>
      <c r="I1050" s="2089" t="s">
        <v>449</v>
      </c>
    </row>
    <row r="1051" spans="1:20" ht="14.25" thickTop="1" thickBot="1" x14ac:dyDescent="0.25">
      <c r="A1051" s="1042">
        <v>1</v>
      </c>
      <c r="B1051" s="1041">
        <v>2</v>
      </c>
      <c r="C1051" s="1041">
        <v>3</v>
      </c>
      <c r="D1051" s="1041">
        <v>4</v>
      </c>
      <c r="E1051" s="1041">
        <v>5</v>
      </c>
      <c r="F1051" s="1040">
        <v>6</v>
      </c>
      <c r="G1051" s="1040">
        <v>7</v>
      </c>
      <c r="H1051" s="1164">
        <v>8</v>
      </c>
      <c r="I1051" s="1039" t="s">
        <v>393</v>
      </c>
    </row>
    <row r="1052" spans="1:20" ht="15.75" thickTop="1" x14ac:dyDescent="0.25">
      <c r="A1052" s="2088">
        <v>1312</v>
      </c>
      <c r="B1052" s="2087">
        <v>3231</v>
      </c>
      <c r="C1052" s="2087">
        <v>5331</v>
      </c>
      <c r="D1052" s="2086"/>
      <c r="E1052" s="2085" t="s">
        <v>481</v>
      </c>
      <c r="F1052" s="2117">
        <f>F1053+F1054</f>
        <v>141</v>
      </c>
      <c r="G1052" s="2117">
        <f>G1053+G1054</f>
        <v>141</v>
      </c>
      <c r="H1052" s="2117">
        <f>H1053+H1054</f>
        <v>141</v>
      </c>
      <c r="I1052" s="2116">
        <f>(H1052/G1052)*100</f>
        <v>100</v>
      </c>
    </row>
    <row r="1053" spans="1:20" ht="14.25" x14ac:dyDescent="0.2">
      <c r="A1053" s="2080"/>
      <c r="B1053" s="2079"/>
      <c r="C1053" s="2079"/>
      <c r="D1053" s="2630" t="s">
        <v>1394</v>
      </c>
      <c r="E1053" s="923" t="s">
        <v>1537</v>
      </c>
      <c r="F1053" s="2081">
        <v>110</v>
      </c>
      <c r="G1053" s="2081">
        <v>110</v>
      </c>
      <c r="H1053" s="2081">
        <v>110</v>
      </c>
      <c r="I1053" s="2115">
        <f>(H1053/G1053)*100</f>
        <v>100</v>
      </c>
    </row>
    <row r="1054" spans="1:20" ht="15" thickBot="1" x14ac:dyDescent="0.25">
      <c r="A1054" s="2080"/>
      <c r="B1054" s="2079"/>
      <c r="C1054" s="2079"/>
      <c r="D1054" s="811" t="s">
        <v>993</v>
      </c>
      <c r="E1054" s="2627" t="s">
        <v>1538</v>
      </c>
      <c r="F1054" s="2081">
        <v>31</v>
      </c>
      <c r="G1054" s="2081">
        <v>31</v>
      </c>
      <c r="H1054" s="2081">
        <v>31</v>
      </c>
      <c r="I1054" s="2115">
        <f>(H1054/G1054)*100</f>
        <v>100</v>
      </c>
    </row>
    <row r="1055" spans="1:20" ht="16.5" thickTop="1" thickBot="1" x14ac:dyDescent="0.3">
      <c r="A1055" s="3301" t="s">
        <v>522</v>
      </c>
      <c r="B1055" s="3302"/>
      <c r="C1055" s="3302"/>
      <c r="D1055" s="3302"/>
      <c r="E1055" s="3302"/>
      <c r="F1055" s="2114">
        <f>SUM(F1052)</f>
        <v>141</v>
      </c>
      <c r="G1055" s="2114">
        <f t="shared" ref="G1055:H1055" si="181">SUM(G1052)</f>
        <v>141</v>
      </c>
      <c r="H1055" s="2114">
        <f t="shared" si="181"/>
        <v>141</v>
      </c>
      <c r="I1055" s="2113">
        <f>(H1055/G1055)*100</f>
        <v>100</v>
      </c>
      <c r="R1055" s="2691">
        <f>F1055</f>
        <v>141</v>
      </c>
      <c r="S1055" s="2691">
        <f>G1055</f>
        <v>141</v>
      </c>
      <c r="T1055" s="2691">
        <f>H1055</f>
        <v>141</v>
      </c>
    </row>
    <row r="1056" spans="1:20" s="1037" customFormat="1" ht="13.5" thickTop="1" x14ac:dyDescent="0.2">
      <c r="A1056" s="997"/>
      <c r="B1056" s="1829"/>
      <c r="C1056" s="997"/>
      <c r="D1056" s="1841"/>
      <c r="E1056" s="997"/>
      <c r="F1056" s="1002"/>
      <c r="G1056" s="1002"/>
      <c r="H1056" s="1002"/>
      <c r="I1056" s="2071"/>
      <c r="R1056" s="2690"/>
      <c r="S1056" s="2690"/>
      <c r="T1056" s="2690"/>
    </row>
    <row r="1057" spans="1:20" ht="13.5" thickBot="1" x14ac:dyDescent="0.25">
      <c r="A1057" s="1719" t="s">
        <v>998</v>
      </c>
      <c r="I1057" s="2071" t="s">
        <v>92</v>
      </c>
    </row>
    <row r="1058" spans="1:20" ht="14.25" thickTop="1" thickBot="1" x14ac:dyDescent="0.25">
      <c r="A1058" s="1047" t="s">
        <v>324</v>
      </c>
      <c r="B1058" s="1044" t="s">
        <v>93</v>
      </c>
      <c r="C1058" s="1046" t="s">
        <v>94</v>
      </c>
      <c r="D1058" s="1069" t="s">
        <v>364</v>
      </c>
      <c r="E1058" s="1069" t="s">
        <v>95</v>
      </c>
      <c r="F1058" s="1069" t="s">
        <v>328</v>
      </c>
      <c r="G1058" s="1069" t="s">
        <v>329</v>
      </c>
      <c r="H1058" s="1749" t="s">
        <v>448</v>
      </c>
      <c r="I1058" s="2089" t="s">
        <v>449</v>
      </c>
    </row>
    <row r="1059" spans="1:20" ht="14.25" thickTop="1" thickBot="1" x14ac:dyDescent="0.25">
      <c r="A1059" s="1042">
        <v>1</v>
      </c>
      <c r="B1059" s="1041">
        <v>2</v>
      </c>
      <c r="C1059" s="1041">
        <v>3</v>
      </c>
      <c r="D1059" s="1041">
        <v>4</v>
      </c>
      <c r="E1059" s="1041">
        <v>5</v>
      </c>
      <c r="F1059" s="1040">
        <v>6</v>
      </c>
      <c r="G1059" s="1040">
        <v>7</v>
      </c>
      <c r="H1059" s="1164">
        <v>8</v>
      </c>
      <c r="I1059" s="1039" t="s">
        <v>393</v>
      </c>
    </row>
    <row r="1060" spans="1:20" ht="15.75" thickTop="1" x14ac:dyDescent="0.25">
      <c r="A1060" s="2088">
        <v>1313</v>
      </c>
      <c r="B1060" s="2087">
        <v>3231</v>
      </c>
      <c r="C1060" s="2087">
        <v>5331</v>
      </c>
      <c r="D1060" s="2086"/>
      <c r="E1060" s="2085" t="s">
        <v>481</v>
      </c>
      <c r="F1060" s="2084">
        <f>F1061+F1062+F1063</f>
        <v>351</v>
      </c>
      <c r="G1060" s="2084">
        <f>G1061+G1062+G1063</f>
        <v>351</v>
      </c>
      <c r="H1060" s="2084">
        <f>H1061+H1062+H1063</f>
        <v>351</v>
      </c>
      <c r="I1060" s="2083">
        <f>(H1060/G1060)*100</f>
        <v>100</v>
      </c>
    </row>
    <row r="1061" spans="1:20" ht="14.25" x14ac:dyDescent="0.2">
      <c r="A1061" s="2080"/>
      <c r="B1061" s="2079"/>
      <c r="C1061" s="2079"/>
      <c r="D1061" s="2630" t="s">
        <v>1394</v>
      </c>
      <c r="E1061" s="923" t="s">
        <v>1537</v>
      </c>
      <c r="F1061" s="2077">
        <v>294</v>
      </c>
      <c r="G1061" s="2077">
        <v>294</v>
      </c>
      <c r="H1061" s="2077">
        <v>294</v>
      </c>
      <c r="I1061" s="2076">
        <f>(H1061/G1061)*100</f>
        <v>100</v>
      </c>
    </row>
    <row r="1062" spans="1:20" ht="15" thickBot="1" x14ac:dyDescent="0.25">
      <c r="A1062" s="2080"/>
      <c r="B1062" s="2079"/>
      <c r="C1062" s="2079"/>
      <c r="D1062" s="811" t="s">
        <v>993</v>
      </c>
      <c r="E1062" s="2627" t="s">
        <v>1538</v>
      </c>
      <c r="F1062" s="2077">
        <v>57</v>
      </c>
      <c r="G1062" s="2077">
        <v>57</v>
      </c>
      <c r="H1062" s="2077">
        <v>57</v>
      </c>
      <c r="I1062" s="2076">
        <f>(H1062/G1062)*100</f>
        <v>100</v>
      </c>
    </row>
    <row r="1063" spans="1:20" ht="15" hidden="1" thickBot="1" x14ac:dyDescent="0.25">
      <c r="A1063" s="2080"/>
      <c r="B1063" s="2079"/>
      <c r="C1063" s="2079"/>
      <c r="D1063" s="1813" t="s">
        <v>954</v>
      </c>
      <c r="E1063" s="2112" t="s">
        <v>997</v>
      </c>
      <c r="F1063" s="2091"/>
      <c r="G1063" s="2091"/>
      <c r="H1063" s="2091"/>
      <c r="I1063" s="2090" t="e">
        <f>(H1063/G1063)*100</f>
        <v>#DIV/0!</v>
      </c>
    </row>
    <row r="1064" spans="1:20" ht="16.5" thickTop="1" thickBot="1" x14ac:dyDescent="0.3">
      <c r="A1064" s="3301" t="s">
        <v>522</v>
      </c>
      <c r="B1064" s="3302"/>
      <c r="C1064" s="3302"/>
      <c r="D1064" s="3302"/>
      <c r="E1064" s="3302"/>
      <c r="F1064" s="2075">
        <f>SUM(F1060)</f>
        <v>351</v>
      </c>
      <c r="G1064" s="2075">
        <f>G1060</f>
        <v>351</v>
      </c>
      <c r="H1064" s="2075">
        <f>H1060</f>
        <v>351</v>
      </c>
      <c r="I1064" s="2074">
        <f>(H1064/G1064)*100</f>
        <v>100</v>
      </c>
      <c r="R1064" s="2691">
        <f>F1064</f>
        <v>351</v>
      </c>
      <c r="S1064" s="2691">
        <f>G1064</f>
        <v>351</v>
      </c>
      <c r="T1064" s="2691">
        <f>H1064</f>
        <v>351</v>
      </c>
    </row>
    <row r="1065" spans="1:20" s="1043" customFormat="1" ht="13.5" thickTop="1" x14ac:dyDescent="0.2">
      <c r="A1065" s="997"/>
      <c r="B1065" s="1829"/>
      <c r="C1065" s="997"/>
      <c r="D1065" s="1841"/>
      <c r="E1065" s="997"/>
      <c r="F1065" s="1002"/>
      <c r="G1065" s="1002"/>
      <c r="H1065" s="1002"/>
      <c r="I1065" s="2071"/>
      <c r="R1065" s="2689"/>
      <c r="S1065" s="2689"/>
      <c r="T1065" s="2689"/>
    </row>
    <row r="1066" spans="1:20" ht="13.5" thickBot="1" x14ac:dyDescent="0.25">
      <c r="A1066" s="1719" t="s">
        <v>87</v>
      </c>
      <c r="I1066" s="2071" t="s">
        <v>92</v>
      </c>
    </row>
    <row r="1067" spans="1:20" ht="14.25" thickTop="1" thickBot="1" x14ac:dyDescent="0.25">
      <c r="A1067" s="1047" t="s">
        <v>324</v>
      </c>
      <c r="B1067" s="1044" t="s">
        <v>93</v>
      </c>
      <c r="C1067" s="1046" t="s">
        <v>94</v>
      </c>
      <c r="D1067" s="1069" t="s">
        <v>364</v>
      </c>
      <c r="E1067" s="1069" t="s">
        <v>95</v>
      </c>
      <c r="F1067" s="1069" t="s">
        <v>328</v>
      </c>
      <c r="G1067" s="1069" t="s">
        <v>329</v>
      </c>
      <c r="H1067" s="1749" t="s">
        <v>448</v>
      </c>
      <c r="I1067" s="2089" t="s">
        <v>449</v>
      </c>
    </row>
    <row r="1068" spans="1:20" ht="14.25" thickTop="1" thickBot="1" x14ac:dyDescent="0.25">
      <c r="A1068" s="1042">
        <v>1</v>
      </c>
      <c r="B1068" s="1041">
        <v>2</v>
      </c>
      <c r="C1068" s="1041">
        <v>3</v>
      </c>
      <c r="D1068" s="1041">
        <v>4</v>
      </c>
      <c r="E1068" s="1041">
        <v>5</v>
      </c>
      <c r="F1068" s="1040">
        <v>6</v>
      </c>
      <c r="G1068" s="1040">
        <v>7</v>
      </c>
      <c r="H1068" s="1164">
        <v>8</v>
      </c>
      <c r="I1068" s="1039" t="s">
        <v>393</v>
      </c>
    </row>
    <row r="1069" spans="1:20" ht="15.75" thickTop="1" x14ac:dyDescent="0.25">
      <c r="A1069" s="2088">
        <v>1314</v>
      </c>
      <c r="B1069" s="2087">
        <v>3231</v>
      </c>
      <c r="C1069" s="2087">
        <v>5331</v>
      </c>
      <c r="D1069" s="2086"/>
      <c r="E1069" s="2085" t="s">
        <v>481</v>
      </c>
      <c r="F1069" s="2084">
        <f>F1070+F1071</f>
        <v>166</v>
      </c>
      <c r="G1069" s="2084">
        <f>G1070+G1071</f>
        <v>166</v>
      </c>
      <c r="H1069" s="2084">
        <f>H1070+H1071</f>
        <v>166</v>
      </c>
      <c r="I1069" s="2083">
        <f>(H1069/G1069)*100</f>
        <v>100</v>
      </c>
    </row>
    <row r="1070" spans="1:20" ht="14.25" x14ac:dyDescent="0.2">
      <c r="A1070" s="2080"/>
      <c r="B1070" s="2079"/>
      <c r="C1070" s="2079"/>
      <c r="D1070" s="2630" t="s">
        <v>1394</v>
      </c>
      <c r="E1070" s="923" t="s">
        <v>1537</v>
      </c>
      <c r="F1070" s="2077">
        <v>141</v>
      </c>
      <c r="G1070" s="2077">
        <v>141</v>
      </c>
      <c r="H1070" s="2077">
        <v>141</v>
      </c>
      <c r="I1070" s="2076">
        <f>(H1070/G1070)*100</f>
        <v>100</v>
      </c>
    </row>
    <row r="1071" spans="1:20" ht="15" thickBot="1" x14ac:dyDescent="0.25">
      <c r="A1071" s="2080"/>
      <c r="B1071" s="2079"/>
      <c r="C1071" s="2079"/>
      <c r="D1071" s="811" t="s">
        <v>993</v>
      </c>
      <c r="E1071" s="2627" t="s">
        <v>1538</v>
      </c>
      <c r="F1071" s="2077">
        <v>25</v>
      </c>
      <c r="G1071" s="2077">
        <v>25</v>
      </c>
      <c r="H1071" s="2077">
        <v>25</v>
      </c>
      <c r="I1071" s="2076">
        <f>(H1071/G1071)*100</f>
        <v>100</v>
      </c>
    </row>
    <row r="1072" spans="1:20" ht="16.5" thickTop="1" thickBot="1" x14ac:dyDescent="0.3">
      <c r="A1072" s="3301" t="s">
        <v>522</v>
      </c>
      <c r="B1072" s="3302"/>
      <c r="C1072" s="3302"/>
      <c r="D1072" s="3302"/>
      <c r="E1072" s="3302"/>
      <c r="F1072" s="2075">
        <f>SUM(F1069)</f>
        <v>166</v>
      </c>
      <c r="G1072" s="2075">
        <f t="shared" ref="G1072:H1072" si="182">SUM(G1069)</f>
        <v>166</v>
      </c>
      <c r="H1072" s="2075">
        <f t="shared" si="182"/>
        <v>166</v>
      </c>
      <c r="I1072" s="2074">
        <f>(H1072/G1072)*100</f>
        <v>100</v>
      </c>
      <c r="R1072" s="2691">
        <f>F1072</f>
        <v>166</v>
      </c>
      <c r="S1072" s="2691">
        <f>G1072</f>
        <v>166</v>
      </c>
      <c r="T1072" s="2691">
        <f>H1072</f>
        <v>166</v>
      </c>
    </row>
    <row r="1073" spans="1:20" ht="13.5" thickTop="1" x14ac:dyDescent="0.2"/>
    <row r="1074" spans="1:20" ht="13.5" thickBot="1" x14ac:dyDescent="0.25">
      <c r="A1074" s="1719" t="s">
        <v>546</v>
      </c>
      <c r="I1074" s="2071" t="s">
        <v>92</v>
      </c>
    </row>
    <row r="1075" spans="1:20" ht="14.25" thickTop="1" thickBot="1" x14ac:dyDescent="0.25">
      <c r="A1075" s="1047" t="s">
        <v>324</v>
      </c>
      <c r="B1075" s="1044" t="s">
        <v>93</v>
      </c>
      <c r="C1075" s="1046" t="s">
        <v>94</v>
      </c>
      <c r="D1075" s="1069" t="s">
        <v>364</v>
      </c>
      <c r="E1075" s="1069" t="s">
        <v>95</v>
      </c>
      <c r="F1075" s="1069" t="s">
        <v>328</v>
      </c>
      <c r="G1075" s="1069" t="s">
        <v>329</v>
      </c>
      <c r="H1075" s="1749" t="s">
        <v>448</v>
      </c>
      <c r="I1075" s="2089" t="s">
        <v>449</v>
      </c>
    </row>
    <row r="1076" spans="1:20" ht="14.25" thickTop="1" thickBot="1" x14ac:dyDescent="0.25">
      <c r="A1076" s="1042">
        <v>1</v>
      </c>
      <c r="B1076" s="1041">
        <v>2</v>
      </c>
      <c r="C1076" s="1041">
        <v>3</v>
      </c>
      <c r="D1076" s="1041">
        <v>4</v>
      </c>
      <c r="E1076" s="1041">
        <v>5</v>
      </c>
      <c r="F1076" s="1040">
        <v>6</v>
      </c>
      <c r="G1076" s="1040">
        <v>7</v>
      </c>
      <c r="H1076" s="1164">
        <v>8</v>
      </c>
      <c r="I1076" s="1039" t="s">
        <v>393</v>
      </c>
    </row>
    <row r="1077" spans="1:20" ht="15.75" thickTop="1" x14ac:dyDescent="0.25">
      <c r="A1077" s="2088">
        <v>1315</v>
      </c>
      <c r="B1077" s="2087">
        <v>3231</v>
      </c>
      <c r="C1077" s="2087">
        <v>5331</v>
      </c>
      <c r="D1077" s="2086"/>
      <c r="E1077" s="2085" t="s">
        <v>481</v>
      </c>
      <c r="F1077" s="2084">
        <f>F1078+F1079</f>
        <v>97</v>
      </c>
      <c r="G1077" s="2084">
        <f>G1078+G1079</f>
        <v>97</v>
      </c>
      <c r="H1077" s="2084">
        <f>H1078+H1079</f>
        <v>97</v>
      </c>
      <c r="I1077" s="2083">
        <f>(H1077/G1077)*100</f>
        <v>100</v>
      </c>
    </row>
    <row r="1078" spans="1:20" ht="14.25" x14ac:dyDescent="0.2">
      <c r="A1078" s="2080"/>
      <c r="B1078" s="2079"/>
      <c r="C1078" s="2079"/>
      <c r="D1078" s="2630" t="s">
        <v>1394</v>
      </c>
      <c r="E1078" s="923" t="s">
        <v>1537</v>
      </c>
      <c r="F1078" s="2077">
        <v>90</v>
      </c>
      <c r="G1078" s="2077">
        <v>90</v>
      </c>
      <c r="H1078" s="2077">
        <v>90</v>
      </c>
      <c r="I1078" s="2076">
        <f>(H1078/G1078)*100</f>
        <v>100</v>
      </c>
    </row>
    <row r="1079" spans="1:20" ht="15" thickBot="1" x14ac:dyDescent="0.25">
      <c r="A1079" s="2080"/>
      <c r="B1079" s="2079"/>
      <c r="C1079" s="2079"/>
      <c r="D1079" s="811" t="s">
        <v>993</v>
      </c>
      <c r="E1079" s="2627" t="s">
        <v>1538</v>
      </c>
      <c r="F1079" s="2077">
        <v>7</v>
      </c>
      <c r="G1079" s="2077">
        <v>7</v>
      </c>
      <c r="H1079" s="2077">
        <v>7</v>
      </c>
      <c r="I1079" s="2076">
        <f>(H1079/G1079)*100</f>
        <v>100</v>
      </c>
    </row>
    <row r="1080" spans="1:20" ht="16.5" thickTop="1" thickBot="1" x14ac:dyDescent="0.3">
      <c r="A1080" s="3301" t="s">
        <v>522</v>
      </c>
      <c r="B1080" s="3302"/>
      <c r="C1080" s="3302"/>
      <c r="D1080" s="3302"/>
      <c r="E1080" s="3302"/>
      <c r="F1080" s="2075">
        <f>SUM(F1077)</f>
        <v>97</v>
      </c>
      <c r="G1080" s="2075">
        <f t="shared" ref="G1080:H1080" si="183">SUM(G1077)</f>
        <v>97</v>
      </c>
      <c r="H1080" s="2075">
        <f t="shared" si="183"/>
        <v>97</v>
      </c>
      <c r="I1080" s="2074">
        <f>(H1080/G1080)*100</f>
        <v>100</v>
      </c>
      <c r="R1080" s="2691">
        <f>F1080</f>
        <v>97</v>
      </c>
      <c r="S1080" s="2691">
        <f>G1080</f>
        <v>97</v>
      </c>
      <c r="T1080" s="2691">
        <f>H1080</f>
        <v>97</v>
      </c>
    </row>
    <row r="1081" spans="1:20" ht="13.5" thickTop="1" x14ac:dyDescent="0.2"/>
    <row r="1082" spans="1:20" ht="13.5" thickBot="1" x14ac:dyDescent="0.25">
      <c r="A1082" s="1719" t="s">
        <v>116</v>
      </c>
      <c r="I1082" s="2071" t="s">
        <v>92</v>
      </c>
    </row>
    <row r="1083" spans="1:20" ht="14.25" thickTop="1" thickBot="1" x14ac:dyDescent="0.25">
      <c r="A1083" s="1047" t="s">
        <v>324</v>
      </c>
      <c r="B1083" s="1044" t="s">
        <v>93</v>
      </c>
      <c r="C1083" s="1046" t="s">
        <v>94</v>
      </c>
      <c r="D1083" s="1069" t="s">
        <v>364</v>
      </c>
      <c r="E1083" s="1069" t="s">
        <v>95</v>
      </c>
      <c r="F1083" s="1069" t="s">
        <v>328</v>
      </c>
      <c r="G1083" s="1069" t="s">
        <v>329</v>
      </c>
      <c r="H1083" s="1749" t="s">
        <v>448</v>
      </c>
      <c r="I1083" s="2089" t="s">
        <v>449</v>
      </c>
    </row>
    <row r="1084" spans="1:20" ht="14.25" thickTop="1" thickBot="1" x14ac:dyDescent="0.25">
      <c r="A1084" s="1042">
        <v>1</v>
      </c>
      <c r="B1084" s="1041">
        <v>2</v>
      </c>
      <c r="C1084" s="1041">
        <v>3</v>
      </c>
      <c r="D1084" s="1041">
        <v>4</v>
      </c>
      <c r="E1084" s="1041">
        <v>5</v>
      </c>
      <c r="F1084" s="1040">
        <v>6</v>
      </c>
      <c r="G1084" s="1040">
        <v>7</v>
      </c>
      <c r="H1084" s="1164">
        <v>8</v>
      </c>
      <c r="I1084" s="1039" t="s">
        <v>393</v>
      </c>
    </row>
    <row r="1085" spans="1:20" ht="15.75" thickTop="1" x14ac:dyDescent="0.25">
      <c r="A1085" s="2080">
        <v>1350</v>
      </c>
      <c r="B1085" s="2093">
        <v>3233</v>
      </c>
      <c r="C1085" s="2092">
        <v>5331</v>
      </c>
      <c r="D1085" s="2111"/>
      <c r="E1085" s="1739" t="s">
        <v>481</v>
      </c>
      <c r="F1085" s="2110">
        <f>F1086+F1087+F1088</f>
        <v>1423</v>
      </c>
      <c r="G1085" s="2110">
        <f>G1086+G1087+G1088</f>
        <v>1470</v>
      </c>
      <c r="H1085" s="2110">
        <f>H1086+H1087+H1088</f>
        <v>1470</v>
      </c>
      <c r="I1085" s="2094">
        <v>100</v>
      </c>
    </row>
    <row r="1086" spans="1:20" ht="18" customHeight="1" x14ac:dyDescent="0.2">
      <c r="A1086" s="2080"/>
      <c r="B1086" s="2079"/>
      <c r="C1086" s="2079"/>
      <c r="D1086" s="2630" t="s">
        <v>1394</v>
      </c>
      <c r="E1086" s="923" t="s">
        <v>1537</v>
      </c>
      <c r="F1086" s="2077">
        <v>941</v>
      </c>
      <c r="G1086" s="2077">
        <v>941</v>
      </c>
      <c r="H1086" s="2077">
        <v>941</v>
      </c>
      <c r="I1086" s="2076">
        <f>(H1086/G1086)*100</f>
        <v>100</v>
      </c>
    </row>
    <row r="1087" spans="1:20" ht="14.25" x14ac:dyDescent="0.2">
      <c r="A1087" s="2080"/>
      <c r="B1087" s="2079"/>
      <c r="C1087" s="2109"/>
      <c r="D1087" s="811" t="s">
        <v>993</v>
      </c>
      <c r="E1087" s="2627" t="s">
        <v>1538</v>
      </c>
      <c r="F1087" s="2077">
        <v>348</v>
      </c>
      <c r="G1087" s="2077">
        <v>384</v>
      </c>
      <c r="H1087" s="2077">
        <v>384</v>
      </c>
      <c r="I1087" s="2076">
        <f>(H1087/G1087)*100</f>
        <v>100</v>
      </c>
    </row>
    <row r="1088" spans="1:20" ht="15" thickBot="1" x14ac:dyDescent="0.25">
      <c r="A1088" s="2080"/>
      <c r="B1088" s="2079"/>
      <c r="C1088" s="2109"/>
      <c r="D1088" s="1738" t="s">
        <v>1396</v>
      </c>
      <c r="E1088" s="2078" t="s">
        <v>1544</v>
      </c>
      <c r="F1088" s="2077">
        <v>134</v>
      </c>
      <c r="G1088" s="2077">
        <v>145</v>
      </c>
      <c r="H1088" s="2077">
        <v>145</v>
      </c>
      <c r="I1088" s="2076">
        <f>(H1088/G1088)*100</f>
        <v>100</v>
      </c>
    </row>
    <row r="1089" spans="1:20" ht="16.5" thickTop="1" thickBot="1" x14ac:dyDescent="0.3">
      <c r="A1089" s="3301" t="s">
        <v>522</v>
      </c>
      <c r="B1089" s="3302"/>
      <c r="C1089" s="3302"/>
      <c r="D1089" s="3302"/>
      <c r="E1089" s="3302"/>
      <c r="F1089" s="2075">
        <f>F1085</f>
        <v>1423</v>
      </c>
      <c r="G1089" s="2075">
        <f>G1085</f>
        <v>1470</v>
      </c>
      <c r="H1089" s="2075">
        <f>H1085</f>
        <v>1470</v>
      </c>
      <c r="I1089" s="2074">
        <f>(H1089/G1089)*100</f>
        <v>100</v>
      </c>
      <c r="R1089" s="2691">
        <f>F1089</f>
        <v>1423</v>
      </c>
      <c r="S1089" s="2691">
        <f>G1089</f>
        <v>1470</v>
      </c>
      <c r="T1089" s="2691">
        <f>H1089</f>
        <v>1470</v>
      </c>
    </row>
    <row r="1090" spans="1:20" s="1037" customFormat="1" ht="13.5" thickTop="1" x14ac:dyDescent="0.2">
      <c r="A1090" s="997"/>
      <c r="B1090" s="1829"/>
      <c r="C1090" s="997"/>
      <c r="D1090" s="1841"/>
      <c r="E1090" s="997"/>
      <c r="F1090" s="1002"/>
      <c r="G1090" s="1002"/>
      <c r="H1090" s="1002"/>
      <c r="I1090" s="2071"/>
      <c r="R1090" s="2690"/>
      <c r="S1090" s="2690"/>
      <c r="T1090" s="2690"/>
    </row>
    <row r="1091" spans="1:20" ht="13.5" thickBot="1" x14ac:dyDescent="0.25">
      <c r="A1091" s="1719" t="s">
        <v>197</v>
      </c>
      <c r="I1091" s="2071" t="s">
        <v>92</v>
      </c>
    </row>
    <row r="1092" spans="1:20" ht="14.25" thickTop="1" thickBot="1" x14ac:dyDescent="0.25">
      <c r="A1092" s="1047" t="s">
        <v>324</v>
      </c>
      <c r="B1092" s="1044" t="s">
        <v>93</v>
      </c>
      <c r="C1092" s="1046" t="s">
        <v>94</v>
      </c>
      <c r="D1092" s="1069" t="s">
        <v>364</v>
      </c>
      <c r="E1092" s="1069" t="s">
        <v>95</v>
      </c>
      <c r="F1092" s="1069" t="s">
        <v>328</v>
      </c>
      <c r="G1092" s="1069" t="s">
        <v>329</v>
      </c>
      <c r="H1092" s="1749" t="s">
        <v>448</v>
      </c>
      <c r="I1092" s="2089" t="s">
        <v>449</v>
      </c>
    </row>
    <row r="1093" spans="1:20" ht="18" customHeight="1" thickTop="1" thickBot="1" x14ac:dyDescent="0.25">
      <c r="A1093" s="1042">
        <v>1</v>
      </c>
      <c r="B1093" s="1041">
        <v>2</v>
      </c>
      <c r="C1093" s="1041">
        <v>3</v>
      </c>
      <c r="D1093" s="1041">
        <v>4</v>
      </c>
      <c r="E1093" s="1041">
        <v>5</v>
      </c>
      <c r="F1093" s="1040">
        <v>6</v>
      </c>
      <c r="G1093" s="1040">
        <v>7</v>
      </c>
      <c r="H1093" s="1164">
        <v>8</v>
      </c>
      <c r="I1093" s="1039" t="s">
        <v>393</v>
      </c>
    </row>
    <row r="1094" spans="1:20" ht="18" customHeight="1" thickTop="1" x14ac:dyDescent="0.25">
      <c r="A1094" s="2080">
        <v>1351</v>
      </c>
      <c r="B1094" s="2079">
        <v>3233</v>
      </c>
      <c r="C1094" s="2079">
        <v>5331</v>
      </c>
      <c r="D1094" s="2099"/>
      <c r="E1094" s="2096" t="s">
        <v>481</v>
      </c>
      <c r="F1094" s="2095">
        <f>F1095+F1096</f>
        <v>272</v>
      </c>
      <c r="G1094" s="2095">
        <f>G1095+G1096</f>
        <v>274</v>
      </c>
      <c r="H1094" s="2095">
        <f>H1095+H1096</f>
        <v>274</v>
      </c>
      <c r="I1094" s="2098">
        <v>100</v>
      </c>
    </row>
    <row r="1095" spans="1:20" ht="14.25" x14ac:dyDescent="0.2">
      <c r="A1095" s="2080"/>
      <c r="B1095" s="2079"/>
      <c r="C1095" s="2079"/>
      <c r="D1095" s="2630" t="s">
        <v>1394</v>
      </c>
      <c r="E1095" s="923" t="s">
        <v>1537</v>
      </c>
      <c r="F1095" s="2077">
        <v>239</v>
      </c>
      <c r="G1095" s="2077">
        <v>239</v>
      </c>
      <c r="H1095" s="2077">
        <v>239</v>
      </c>
      <c r="I1095" s="2076">
        <f>(H1095/G1095)*100</f>
        <v>100</v>
      </c>
    </row>
    <row r="1096" spans="1:20" ht="15" thickBot="1" x14ac:dyDescent="0.25">
      <c r="A1096" s="2080"/>
      <c r="B1096" s="2079"/>
      <c r="C1096" s="2079"/>
      <c r="D1096" s="811" t="s">
        <v>993</v>
      </c>
      <c r="E1096" s="2627" t="s">
        <v>1538</v>
      </c>
      <c r="F1096" s="2077">
        <v>33</v>
      </c>
      <c r="G1096" s="2077">
        <v>35</v>
      </c>
      <c r="H1096" s="2077">
        <v>35</v>
      </c>
      <c r="I1096" s="2076">
        <f>(H1096/G1096)*100</f>
        <v>100</v>
      </c>
    </row>
    <row r="1097" spans="1:20" ht="16.5" thickTop="1" thickBot="1" x14ac:dyDescent="0.3">
      <c r="A1097" s="3301" t="s">
        <v>522</v>
      </c>
      <c r="B1097" s="3302"/>
      <c r="C1097" s="3302"/>
      <c r="D1097" s="3302"/>
      <c r="E1097" s="3302"/>
      <c r="F1097" s="2075">
        <f>F1094</f>
        <v>272</v>
      </c>
      <c r="G1097" s="2075">
        <f t="shared" ref="G1097:H1097" si="184">G1094</f>
        <v>274</v>
      </c>
      <c r="H1097" s="2075">
        <f t="shared" si="184"/>
        <v>274</v>
      </c>
      <c r="I1097" s="2074">
        <f>(H1097/G1097)*100</f>
        <v>100</v>
      </c>
      <c r="R1097" s="2691">
        <f>F1097</f>
        <v>272</v>
      </c>
      <c r="S1097" s="2691">
        <f>G1097</f>
        <v>274</v>
      </c>
      <c r="T1097" s="2691">
        <f>H1097</f>
        <v>274</v>
      </c>
    </row>
    <row r="1098" spans="1:20" s="1043" customFormat="1" ht="13.5" thickTop="1" x14ac:dyDescent="0.2">
      <c r="A1098" s="997"/>
      <c r="B1098" s="1829"/>
      <c r="C1098" s="997"/>
      <c r="D1098" s="1841"/>
      <c r="E1098" s="997"/>
      <c r="F1098" s="1002"/>
      <c r="G1098" s="1002"/>
      <c r="H1098" s="1002"/>
      <c r="I1098" s="2071"/>
      <c r="R1098" s="2689"/>
      <c r="S1098" s="2689"/>
      <c r="T1098" s="2689"/>
    </row>
    <row r="1099" spans="1:20" ht="13.15" customHeight="1" thickBot="1" x14ac:dyDescent="0.25">
      <c r="A1099" s="1719" t="s">
        <v>64</v>
      </c>
      <c r="I1099" s="2071" t="s">
        <v>92</v>
      </c>
    </row>
    <row r="1100" spans="1:20" ht="14.25" thickTop="1" thickBot="1" x14ac:dyDescent="0.25">
      <c r="A1100" s="1047" t="s">
        <v>324</v>
      </c>
      <c r="B1100" s="1044" t="s">
        <v>93</v>
      </c>
      <c r="C1100" s="1046" t="s">
        <v>94</v>
      </c>
      <c r="D1100" s="1069" t="s">
        <v>364</v>
      </c>
      <c r="E1100" s="1069" t="s">
        <v>95</v>
      </c>
      <c r="F1100" s="1069" t="s">
        <v>328</v>
      </c>
      <c r="G1100" s="1069" t="s">
        <v>329</v>
      </c>
      <c r="H1100" s="1749" t="s">
        <v>448</v>
      </c>
      <c r="I1100" s="2089" t="s">
        <v>449</v>
      </c>
    </row>
    <row r="1101" spans="1:20" ht="14.25" thickTop="1" thickBot="1" x14ac:dyDescent="0.25">
      <c r="A1101" s="1042">
        <v>1</v>
      </c>
      <c r="B1101" s="1041">
        <v>2</v>
      </c>
      <c r="C1101" s="1041">
        <v>3</v>
      </c>
      <c r="D1101" s="1041">
        <v>4</v>
      </c>
      <c r="E1101" s="1041">
        <v>5</v>
      </c>
      <c r="F1101" s="1040">
        <v>6</v>
      </c>
      <c r="G1101" s="1040">
        <v>7</v>
      </c>
      <c r="H1101" s="1164">
        <v>8</v>
      </c>
      <c r="I1101" s="1039" t="s">
        <v>393</v>
      </c>
    </row>
    <row r="1102" spans="1:20" ht="15.75" thickTop="1" x14ac:dyDescent="0.25">
      <c r="A1102" s="2080">
        <v>1352</v>
      </c>
      <c r="B1102" s="2079">
        <v>3233</v>
      </c>
      <c r="C1102" s="2079">
        <v>5331</v>
      </c>
      <c r="D1102" s="2099"/>
      <c r="E1102" s="2096" t="s">
        <v>481</v>
      </c>
      <c r="F1102" s="2095">
        <f>F1103+F1104</f>
        <v>432</v>
      </c>
      <c r="G1102" s="2095">
        <f>G1103+G1104</f>
        <v>432</v>
      </c>
      <c r="H1102" s="2095">
        <f>H1103+H1104</f>
        <v>432</v>
      </c>
      <c r="I1102" s="2098">
        <v>100</v>
      </c>
    </row>
    <row r="1103" spans="1:20" ht="14.25" x14ac:dyDescent="0.2">
      <c r="A1103" s="2080"/>
      <c r="B1103" s="2079"/>
      <c r="C1103" s="2079"/>
      <c r="D1103" s="2630" t="s">
        <v>1394</v>
      </c>
      <c r="E1103" s="923" t="s">
        <v>1537</v>
      </c>
      <c r="F1103" s="2081">
        <v>368</v>
      </c>
      <c r="G1103" s="2077">
        <v>368</v>
      </c>
      <c r="H1103" s="2077">
        <v>368</v>
      </c>
      <c r="I1103" s="2076">
        <f>(H1103/G1103)*100</f>
        <v>100</v>
      </c>
    </row>
    <row r="1104" spans="1:20" ht="15" thickBot="1" x14ac:dyDescent="0.25">
      <c r="A1104" s="2080"/>
      <c r="B1104" s="2079"/>
      <c r="C1104" s="2079"/>
      <c r="D1104" s="811" t="s">
        <v>993</v>
      </c>
      <c r="E1104" s="2627" t="s">
        <v>1538</v>
      </c>
      <c r="F1104" s="2077">
        <v>64</v>
      </c>
      <c r="G1104" s="2077">
        <v>64</v>
      </c>
      <c r="H1104" s="2077">
        <v>64</v>
      </c>
      <c r="I1104" s="2076">
        <f>(H1104/G1104)*100</f>
        <v>100</v>
      </c>
    </row>
    <row r="1105" spans="1:20" ht="16.5" thickTop="1" thickBot="1" x14ac:dyDescent="0.3">
      <c r="A1105" s="3301" t="s">
        <v>522</v>
      </c>
      <c r="B1105" s="3302"/>
      <c r="C1105" s="3302"/>
      <c r="D1105" s="3302"/>
      <c r="E1105" s="3302"/>
      <c r="F1105" s="2075">
        <f>F1102</f>
        <v>432</v>
      </c>
      <c r="G1105" s="2075">
        <f t="shared" ref="G1105:H1105" si="185">G1102</f>
        <v>432</v>
      </c>
      <c r="H1105" s="2075">
        <f t="shared" si="185"/>
        <v>432</v>
      </c>
      <c r="I1105" s="2074">
        <f>(H1105/G1105)*100</f>
        <v>100</v>
      </c>
      <c r="R1105" s="2691">
        <f>F1105</f>
        <v>432</v>
      </c>
      <c r="S1105" s="2691">
        <f>G1105</f>
        <v>432</v>
      </c>
      <c r="T1105" s="2691">
        <f>H1105</f>
        <v>432</v>
      </c>
    </row>
    <row r="1106" spans="1:20" s="1037" customFormat="1" ht="13.5" thickTop="1" x14ac:dyDescent="0.2">
      <c r="A1106" s="997"/>
      <c r="B1106" s="1829"/>
      <c r="C1106" s="997"/>
      <c r="D1106" s="1841"/>
      <c r="E1106" s="997"/>
      <c r="F1106" s="1002"/>
      <c r="G1106" s="1002"/>
      <c r="H1106" s="1002"/>
      <c r="I1106" s="2071"/>
      <c r="R1106" s="2690"/>
      <c r="S1106" s="2690"/>
      <c r="T1106" s="2690"/>
    </row>
    <row r="1107" spans="1:20" ht="13.5" thickBot="1" x14ac:dyDescent="0.25">
      <c r="A1107" s="1719" t="s">
        <v>351</v>
      </c>
      <c r="I1107" s="2071" t="s">
        <v>92</v>
      </c>
    </row>
    <row r="1108" spans="1:20" ht="14.25" thickTop="1" thickBot="1" x14ac:dyDescent="0.25">
      <c r="A1108" s="1047" t="s">
        <v>324</v>
      </c>
      <c r="B1108" s="1044" t="s">
        <v>93</v>
      </c>
      <c r="C1108" s="1046" t="s">
        <v>94</v>
      </c>
      <c r="D1108" s="1069" t="s">
        <v>364</v>
      </c>
      <c r="E1108" s="1069" t="s">
        <v>95</v>
      </c>
      <c r="F1108" s="1069" t="s">
        <v>328</v>
      </c>
      <c r="G1108" s="1069" t="s">
        <v>329</v>
      </c>
      <c r="H1108" s="1749" t="s">
        <v>448</v>
      </c>
      <c r="I1108" s="2089" t="s">
        <v>449</v>
      </c>
    </row>
    <row r="1109" spans="1:20" ht="14.25" thickTop="1" thickBot="1" x14ac:dyDescent="0.25">
      <c r="A1109" s="1042">
        <v>1</v>
      </c>
      <c r="B1109" s="1041">
        <v>2</v>
      </c>
      <c r="C1109" s="1041">
        <v>3</v>
      </c>
      <c r="D1109" s="1041">
        <v>4</v>
      </c>
      <c r="E1109" s="1041">
        <v>5</v>
      </c>
      <c r="F1109" s="1040">
        <v>6</v>
      </c>
      <c r="G1109" s="1040">
        <v>7</v>
      </c>
      <c r="H1109" s="1164">
        <v>8</v>
      </c>
      <c r="I1109" s="1039" t="s">
        <v>393</v>
      </c>
    </row>
    <row r="1110" spans="1:20" ht="15.75" thickTop="1" x14ac:dyDescent="0.25">
      <c r="A1110" s="2080">
        <v>1353</v>
      </c>
      <c r="B1110" s="2079">
        <v>3233</v>
      </c>
      <c r="C1110" s="2079">
        <v>5331</v>
      </c>
      <c r="D1110" s="2099"/>
      <c r="E1110" s="2096" t="s">
        <v>481</v>
      </c>
      <c r="F1110" s="2095">
        <f>F1111+F1112+F1113</f>
        <v>689</v>
      </c>
      <c r="G1110" s="2095">
        <f t="shared" ref="G1110:H1110" si="186">G1111+G1112+G1113</f>
        <v>939</v>
      </c>
      <c r="H1110" s="2095">
        <f t="shared" si="186"/>
        <v>939</v>
      </c>
      <c r="I1110" s="2098">
        <v>100</v>
      </c>
    </row>
    <row r="1111" spans="1:20" ht="14.25" x14ac:dyDescent="0.2">
      <c r="A1111" s="2080"/>
      <c r="B1111" s="2079"/>
      <c r="C1111" s="2079"/>
      <c r="D1111" s="2630" t="s">
        <v>1394</v>
      </c>
      <c r="E1111" s="923" t="s">
        <v>1537</v>
      </c>
      <c r="F1111" s="2077">
        <v>649</v>
      </c>
      <c r="G1111" s="2077">
        <v>649</v>
      </c>
      <c r="H1111" s="2077">
        <v>649</v>
      </c>
      <c r="I1111" s="2076">
        <f>(H1111/G1111)*100</f>
        <v>100</v>
      </c>
    </row>
    <row r="1112" spans="1:20" ht="14.25" x14ac:dyDescent="0.2">
      <c r="A1112" s="2080"/>
      <c r="B1112" s="2079"/>
      <c r="C1112" s="2079"/>
      <c r="D1112" s="811" t="s">
        <v>993</v>
      </c>
      <c r="E1112" s="2627" t="s">
        <v>1538</v>
      </c>
      <c r="F1112" s="2077">
        <v>40</v>
      </c>
      <c r="G1112" s="2077">
        <v>40</v>
      </c>
      <c r="H1112" s="2077">
        <v>40</v>
      </c>
      <c r="I1112" s="2076">
        <f>(H1112/G1112)*100</f>
        <v>100</v>
      </c>
    </row>
    <row r="1113" spans="1:20" ht="15" thickBot="1" x14ac:dyDescent="0.25">
      <c r="A1113" s="2080"/>
      <c r="B1113" s="2079"/>
      <c r="C1113" s="2079"/>
      <c r="D1113" s="811" t="s">
        <v>1395</v>
      </c>
      <c r="E1113" s="2627" t="s">
        <v>1539</v>
      </c>
      <c r="F1113" s="2077">
        <v>0</v>
      </c>
      <c r="G1113" s="2077">
        <v>250</v>
      </c>
      <c r="H1113" s="2077">
        <v>250</v>
      </c>
      <c r="I1113" s="2076">
        <f>(H1113/G1113)*100</f>
        <v>100</v>
      </c>
    </row>
    <row r="1114" spans="1:20" s="1043" customFormat="1" ht="16.5" thickTop="1" thickBot="1" x14ac:dyDescent="0.3">
      <c r="A1114" s="3301" t="s">
        <v>522</v>
      </c>
      <c r="B1114" s="3302"/>
      <c r="C1114" s="3302"/>
      <c r="D1114" s="3302"/>
      <c r="E1114" s="3302"/>
      <c r="F1114" s="2075">
        <f>F1110</f>
        <v>689</v>
      </c>
      <c r="G1114" s="2075">
        <f>G1110</f>
        <v>939</v>
      </c>
      <c r="H1114" s="2075">
        <f>H1110</f>
        <v>939</v>
      </c>
      <c r="I1114" s="2074">
        <f>(H1114/G1114)*100</f>
        <v>100</v>
      </c>
      <c r="R1114" s="2691">
        <f>F1114</f>
        <v>689</v>
      </c>
      <c r="S1114" s="2691">
        <f>G1114</f>
        <v>939</v>
      </c>
      <c r="T1114" s="2691">
        <f>H1114</f>
        <v>939</v>
      </c>
    </row>
    <row r="1115" spans="1:20" s="1037" customFormat="1" ht="13.5" thickTop="1" x14ac:dyDescent="0.2">
      <c r="A1115" s="997"/>
      <c r="B1115" s="1829"/>
      <c r="C1115" s="997"/>
      <c r="D1115" s="1841"/>
      <c r="E1115" s="997"/>
      <c r="F1115" s="1002"/>
      <c r="G1115" s="1002"/>
      <c r="H1115" s="1002"/>
      <c r="I1115" s="2071"/>
      <c r="R1115" s="2690"/>
      <c r="S1115" s="2690"/>
      <c r="T1115" s="2690"/>
    </row>
    <row r="1116" spans="1:20" ht="13.5" thickBot="1" x14ac:dyDescent="0.25">
      <c r="A1116" s="1719" t="s">
        <v>65</v>
      </c>
      <c r="I1116" s="2071" t="s">
        <v>92</v>
      </c>
    </row>
    <row r="1117" spans="1:20" ht="14.25" thickTop="1" thickBot="1" x14ac:dyDescent="0.25">
      <c r="A1117" s="1047" t="s">
        <v>324</v>
      </c>
      <c r="B1117" s="1044" t="s">
        <v>93</v>
      </c>
      <c r="C1117" s="1046" t="s">
        <v>94</v>
      </c>
      <c r="D1117" s="1069" t="s">
        <v>364</v>
      </c>
      <c r="E1117" s="1069" t="s">
        <v>95</v>
      </c>
      <c r="F1117" s="1069" t="s">
        <v>328</v>
      </c>
      <c r="G1117" s="1069" t="s">
        <v>329</v>
      </c>
      <c r="H1117" s="1749" t="s">
        <v>448</v>
      </c>
      <c r="I1117" s="2089" t="s">
        <v>449</v>
      </c>
    </row>
    <row r="1118" spans="1:20" ht="14.25" thickTop="1" thickBot="1" x14ac:dyDescent="0.25">
      <c r="A1118" s="1042">
        <v>1</v>
      </c>
      <c r="B1118" s="1041">
        <v>2</v>
      </c>
      <c r="C1118" s="1041">
        <v>3</v>
      </c>
      <c r="D1118" s="1041">
        <v>4</v>
      </c>
      <c r="E1118" s="1041">
        <v>5</v>
      </c>
      <c r="F1118" s="1040">
        <v>6</v>
      </c>
      <c r="G1118" s="1040">
        <v>7</v>
      </c>
      <c r="H1118" s="1164">
        <v>8</v>
      </c>
      <c r="I1118" s="1039" t="s">
        <v>393</v>
      </c>
    </row>
    <row r="1119" spans="1:20" ht="15.75" thickTop="1" x14ac:dyDescent="0.25">
      <c r="A1119" s="2080">
        <v>1354</v>
      </c>
      <c r="B1119" s="2079">
        <v>3233</v>
      </c>
      <c r="C1119" s="2079">
        <v>5331</v>
      </c>
      <c r="D1119" s="2099"/>
      <c r="E1119" s="2096" t="s">
        <v>481</v>
      </c>
      <c r="F1119" s="2095">
        <f>F1120+F1121</f>
        <v>469</v>
      </c>
      <c r="G1119" s="2095">
        <f>G1120+G1121</f>
        <v>469</v>
      </c>
      <c r="H1119" s="2095">
        <f>H1120+H1121</f>
        <v>469</v>
      </c>
      <c r="I1119" s="2098">
        <v>100</v>
      </c>
    </row>
    <row r="1120" spans="1:20" ht="14.25" x14ac:dyDescent="0.2">
      <c r="A1120" s="2080"/>
      <c r="B1120" s="2079"/>
      <c r="C1120" s="2079"/>
      <c r="D1120" s="2630" t="s">
        <v>1394</v>
      </c>
      <c r="E1120" s="923" t="s">
        <v>1537</v>
      </c>
      <c r="F1120" s="2077">
        <v>461</v>
      </c>
      <c r="G1120" s="2077">
        <v>461</v>
      </c>
      <c r="H1120" s="2077">
        <v>461</v>
      </c>
      <c r="I1120" s="2076">
        <f>(H1120/G1120)*100</f>
        <v>100</v>
      </c>
    </row>
    <row r="1121" spans="1:23" ht="15" thickBot="1" x14ac:dyDescent="0.25">
      <c r="A1121" s="2080"/>
      <c r="B1121" s="2079"/>
      <c r="C1121" s="2079"/>
      <c r="D1121" s="811" t="s">
        <v>993</v>
      </c>
      <c r="E1121" s="2627" t="s">
        <v>1538</v>
      </c>
      <c r="F1121" s="2077">
        <v>8</v>
      </c>
      <c r="G1121" s="2077">
        <v>8</v>
      </c>
      <c r="H1121" s="2077">
        <v>8</v>
      </c>
      <c r="I1121" s="2076">
        <f>(H1121/G1121)*100</f>
        <v>100</v>
      </c>
    </row>
    <row r="1122" spans="1:23" s="1043" customFormat="1" ht="16.5" thickTop="1" thickBot="1" x14ac:dyDescent="0.3">
      <c r="A1122" s="3301" t="s">
        <v>522</v>
      </c>
      <c r="B1122" s="3302"/>
      <c r="C1122" s="3302"/>
      <c r="D1122" s="3302"/>
      <c r="E1122" s="3302"/>
      <c r="F1122" s="2075">
        <f>F1119</f>
        <v>469</v>
      </c>
      <c r="G1122" s="2075">
        <f>G1119</f>
        <v>469</v>
      </c>
      <c r="H1122" s="2075">
        <f>H1119</f>
        <v>469</v>
      </c>
      <c r="I1122" s="2074">
        <f>(H1122/G1122)*100</f>
        <v>100</v>
      </c>
      <c r="R1122" s="2691">
        <f>F1122</f>
        <v>469</v>
      </c>
      <c r="S1122" s="2691">
        <f>G1122</f>
        <v>469</v>
      </c>
      <c r="T1122" s="2691">
        <f>H1122</f>
        <v>469</v>
      </c>
    </row>
    <row r="1123" spans="1:23" s="1037" customFormat="1" ht="13.5" thickTop="1" x14ac:dyDescent="0.2">
      <c r="A1123" s="997"/>
      <c r="B1123" s="1829"/>
      <c r="C1123" s="997"/>
      <c r="D1123" s="1841"/>
      <c r="E1123" s="997"/>
      <c r="F1123" s="1002"/>
      <c r="G1123" s="1002"/>
      <c r="H1123" s="1002"/>
      <c r="I1123" s="2071"/>
      <c r="R1123" s="2690"/>
      <c r="S1123" s="2690"/>
      <c r="T1123" s="2690"/>
    </row>
    <row r="1124" spans="1:23" ht="13.5" thickBot="1" x14ac:dyDescent="0.25">
      <c r="A1124" s="1719" t="s">
        <v>359</v>
      </c>
      <c r="I1124" s="2071" t="s">
        <v>92</v>
      </c>
    </row>
    <row r="1125" spans="1:23" ht="14.25" thickTop="1" thickBot="1" x14ac:dyDescent="0.25">
      <c r="A1125" s="1047" t="s">
        <v>324</v>
      </c>
      <c r="B1125" s="1044" t="s">
        <v>93</v>
      </c>
      <c r="C1125" s="1046" t="s">
        <v>94</v>
      </c>
      <c r="D1125" s="1069" t="s">
        <v>364</v>
      </c>
      <c r="E1125" s="1069" t="s">
        <v>95</v>
      </c>
      <c r="F1125" s="1069" t="s">
        <v>328</v>
      </c>
      <c r="G1125" s="1069" t="s">
        <v>329</v>
      </c>
      <c r="H1125" s="1749" t="s">
        <v>448</v>
      </c>
      <c r="I1125" s="2089" t="s">
        <v>449</v>
      </c>
    </row>
    <row r="1126" spans="1:23" ht="14.25" thickTop="1" thickBot="1" x14ac:dyDescent="0.25">
      <c r="A1126" s="1042">
        <v>1</v>
      </c>
      <c r="B1126" s="1041">
        <v>2</v>
      </c>
      <c r="C1126" s="1041">
        <v>3</v>
      </c>
      <c r="D1126" s="1041">
        <v>4</v>
      </c>
      <c r="E1126" s="1041">
        <v>5</v>
      </c>
      <c r="F1126" s="1040">
        <v>6</v>
      </c>
      <c r="G1126" s="1040">
        <v>7</v>
      </c>
      <c r="H1126" s="1164">
        <v>8</v>
      </c>
      <c r="I1126" s="1039" t="s">
        <v>393</v>
      </c>
    </row>
    <row r="1127" spans="1:23" ht="15.75" thickTop="1" x14ac:dyDescent="0.25">
      <c r="A1127" s="2080">
        <v>1400</v>
      </c>
      <c r="B1127" s="2079">
        <v>3133</v>
      </c>
      <c r="C1127" s="2079">
        <v>5331</v>
      </c>
      <c r="D1127" s="2099"/>
      <c r="E1127" s="2096" t="s">
        <v>481</v>
      </c>
      <c r="F1127" s="2095">
        <f>F1128+F1129+F1130</f>
        <v>3772</v>
      </c>
      <c r="G1127" s="2095">
        <f t="shared" ref="G1127:H1127" si="187">G1128+G1129+G1130</f>
        <v>4380</v>
      </c>
      <c r="H1127" s="2095">
        <f t="shared" si="187"/>
        <v>4380</v>
      </c>
      <c r="I1127" s="2098">
        <v>100</v>
      </c>
    </row>
    <row r="1128" spans="1:23" ht="28.5" x14ac:dyDescent="0.2">
      <c r="A1128" s="2080"/>
      <c r="B1128" s="2079"/>
      <c r="C1128" s="2079"/>
      <c r="D1128" s="3034" t="s">
        <v>972</v>
      </c>
      <c r="E1128" s="2633" t="s">
        <v>1540</v>
      </c>
      <c r="F1128" s="2148">
        <v>0</v>
      </c>
      <c r="G1128" s="2148">
        <v>448</v>
      </c>
      <c r="H1128" s="2148">
        <v>448</v>
      </c>
      <c r="I1128" s="2147">
        <f t="shared" ref="I1128:I1134" si="188">(H1128/G1128)*100</f>
        <v>100</v>
      </c>
    </row>
    <row r="1129" spans="1:23" ht="14.25" x14ac:dyDescent="0.2">
      <c r="A1129" s="2080"/>
      <c r="B1129" s="2079"/>
      <c r="C1129" s="2079"/>
      <c r="D1129" s="2630" t="s">
        <v>1394</v>
      </c>
      <c r="E1129" s="923" t="s">
        <v>1537</v>
      </c>
      <c r="F1129" s="2021">
        <v>3275</v>
      </c>
      <c r="G1129" s="1062">
        <v>3467</v>
      </c>
      <c r="H1129" s="1062">
        <v>3467</v>
      </c>
      <c r="I1129" s="1061">
        <f t="shared" si="188"/>
        <v>100</v>
      </c>
    </row>
    <row r="1130" spans="1:23" ht="15" thickBot="1" x14ac:dyDescent="0.25">
      <c r="A1130" s="2080"/>
      <c r="B1130" s="2079"/>
      <c r="C1130" s="2079"/>
      <c r="D1130" s="811" t="s">
        <v>993</v>
      </c>
      <c r="E1130" s="2627" t="s">
        <v>1538</v>
      </c>
      <c r="F1130" s="2021">
        <v>497</v>
      </c>
      <c r="G1130" s="1062">
        <v>465</v>
      </c>
      <c r="H1130" s="1062">
        <v>465</v>
      </c>
      <c r="I1130" s="1061">
        <f t="shared" si="188"/>
        <v>100</v>
      </c>
    </row>
    <row r="1131" spans="1:23" ht="16.5" thickTop="1" thickBot="1" x14ac:dyDescent="0.3">
      <c r="A1131" s="3301" t="s">
        <v>522</v>
      </c>
      <c r="B1131" s="3302"/>
      <c r="C1131" s="3302"/>
      <c r="D1131" s="3302"/>
      <c r="E1131" s="3302"/>
      <c r="F1131" s="2075">
        <f>F1127</f>
        <v>3772</v>
      </c>
      <c r="G1131" s="2075">
        <f>G1127</f>
        <v>4380</v>
      </c>
      <c r="H1131" s="2075">
        <f>H1127</f>
        <v>4380</v>
      </c>
      <c r="I1131" s="2074">
        <f t="shared" si="188"/>
        <v>100</v>
      </c>
      <c r="R1131" s="2691">
        <f>F1131</f>
        <v>3772</v>
      </c>
      <c r="S1131" s="2691">
        <f>G1131</f>
        <v>4380</v>
      </c>
      <c r="T1131" s="2691">
        <f>H1131</f>
        <v>4380</v>
      </c>
    </row>
    <row r="1132" spans="1:23" ht="15.75" thickTop="1" x14ac:dyDescent="0.25">
      <c r="A1132" s="2108">
        <v>1400</v>
      </c>
      <c r="B1132" s="2079">
        <v>3133</v>
      </c>
      <c r="C1132" s="2093">
        <v>6351</v>
      </c>
      <c r="D1132" s="2107"/>
      <c r="E1132" s="1739" t="s">
        <v>551</v>
      </c>
      <c r="F1132" s="2106">
        <f>F1133</f>
        <v>0</v>
      </c>
      <c r="G1132" s="2106">
        <f t="shared" ref="G1132:H1132" si="189">G1133</f>
        <v>96</v>
      </c>
      <c r="H1132" s="2106">
        <f t="shared" si="189"/>
        <v>96</v>
      </c>
      <c r="I1132" s="2105">
        <f t="shared" si="188"/>
        <v>100</v>
      </c>
      <c r="R1132" s="2691">
        <f>F1134</f>
        <v>0</v>
      </c>
      <c r="S1132" s="2691">
        <f t="shared" ref="S1132:T1132" si="190">G1134</f>
        <v>96</v>
      </c>
      <c r="T1132" s="2691">
        <f t="shared" si="190"/>
        <v>96</v>
      </c>
    </row>
    <row r="1133" spans="1:23" ht="29.25" thickBot="1" x14ac:dyDescent="0.25">
      <c r="A1133" s="2104"/>
      <c r="B1133" s="2103"/>
      <c r="C1133" s="1017"/>
      <c r="D1133" s="3034" t="s">
        <v>972</v>
      </c>
      <c r="E1133" s="2633" t="s">
        <v>1540</v>
      </c>
      <c r="F1133" s="2711">
        <v>0</v>
      </c>
      <c r="G1133" s="2702">
        <v>96</v>
      </c>
      <c r="H1133" s="2702">
        <v>96</v>
      </c>
      <c r="I1133" s="2700">
        <f t="shared" si="188"/>
        <v>100</v>
      </c>
      <c r="R1133" s="2691">
        <f>R1131+R1132</f>
        <v>3772</v>
      </c>
      <c r="S1133" s="2691">
        <f t="shared" ref="S1133:T1133" si="191">S1131+S1132</f>
        <v>4476</v>
      </c>
      <c r="T1133" s="2691">
        <f t="shared" si="191"/>
        <v>4476</v>
      </c>
    </row>
    <row r="1134" spans="1:23" ht="16.5" thickTop="1" thickBot="1" x14ac:dyDescent="0.3">
      <c r="A1134" s="3305" t="s">
        <v>523</v>
      </c>
      <c r="B1134" s="3306"/>
      <c r="C1134" s="3306"/>
      <c r="D1134" s="3306"/>
      <c r="E1134" s="3307"/>
      <c r="F1134" s="2075">
        <f>F1132</f>
        <v>0</v>
      </c>
      <c r="G1134" s="2075">
        <f>G1132</f>
        <v>96</v>
      </c>
      <c r="H1134" s="2075">
        <f>SUM(H1132)</f>
        <v>96</v>
      </c>
      <c r="I1134" s="2074">
        <f t="shared" si="188"/>
        <v>100</v>
      </c>
      <c r="U1134" s="1002"/>
      <c r="V1134" s="1002"/>
      <c r="W1134" s="1002"/>
    </row>
    <row r="1135" spans="1:23" ht="13.5" thickTop="1" x14ac:dyDescent="0.2"/>
    <row r="1136" spans="1:23" ht="13.5" thickBot="1" x14ac:dyDescent="0.25">
      <c r="A1136" s="1719" t="s">
        <v>360</v>
      </c>
      <c r="B1136" s="2102"/>
      <c r="C1136" s="1719"/>
      <c r="D1136" s="2101"/>
      <c r="E1136" s="1719"/>
      <c r="I1136" s="2071" t="s">
        <v>92</v>
      </c>
    </row>
    <row r="1137" spans="1:20" ht="14.25" thickTop="1" thickBot="1" x14ac:dyDescent="0.25">
      <c r="A1137" s="1047" t="s">
        <v>324</v>
      </c>
      <c r="B1137" s="1044" t="s">
        <v>93</v>
      </c>
      <c r="C1137" s="1046" t="s">
        <v>94</v>
      </c>
      <c r="D1137" s="1069" t="s">
        <v>364</v>
      </c>
      <c r="E1137" s="1069" t="s">
        <v>95</v>
      </c>
      <c r="F1137" s="1069" t="s">
        <v>328</v>
      </c>
      <c r="G1137" s="1069" t="s">
        <v>329</v>
      </c>
      <c r="H1137" s="1749" t="s">
        <v>448</v>
      </c>
      <c r="I1137" s="2089" t="s">
        <v>449</v>
      </c>
    </row>
    <row r="1138" spans="1:20" ht="14.25" thickTop="1" thickBot="1" x14ac:dyDescent="0.25">
      <c r="A1138" s="1042">
        <v>1</v>
      </c>
      <c r="B1138" s="1041">
        <v>2</v>
      </c>
      <c r="C1138" s="1041">
        <v>3</v>
      </c>
      <c r="D1138" s="1041">
        <v>4</v>
      </c>
      <c r="E1138" s="1041">
        <v>5</v>
      </c>
      <c r="F1138" s="1040">
        <v>6</v>
      </c>
      <c r="G1138" s="1040">
        <v>7</v>
      </c>
      <c r="H1138" s="1164">
        <v>8</v>
      </c>
      <c r="I1138" s="1039" t="s">
        <v>393</v>
      </c>
    </row>
    <row r="1139" spans="1:20" ht="15.75" thickTop="1" x14ac:dyDescent="0.25">
      <c r="A1139" s="2080">
        <v>1401</v>
      </c>
      <c r="B1139" s="2079">
        <v>3133</v>
      </c>
      <c r="C1139" s="2079">
        <v>5331</v>
      </c>
      <c r="D1139" s="2099"/>
      <c r="E1139" s="2096" t="s">
        <v>481</v>
      </c>
      <c r="F1139" s="2095">
        <f>F1140+F1141</f>
        <v>1271</v>
      </c>
      <c r="G1139" s="2095">
        <f>G1140+G1141</f>
        <v>1271</v>
      </c>
      <c r="H1139" s="2095">
        <f>H1140+H1141</f>
        <v>1271</v>
      </c>
      <c r="I1139" s="2098">
        <v>100</v>
      </c>
    </row>
    <row r="1140" spans="1:20" ht="14.25" x14ac:dyDescent="0.2">
      <c r="A1140" s="2080"/>
      <c r="B1140" s="2079"/>
      <c r="C1140" s="2079"/>
      <c r="D1140" s="2630" t="s">
        <v>1394</v>
      </c>
      <c r="E1140" s="923" t="s">
        <v>1537</v>
      </c>
      <c r="F1140" s="2077">
        <v>1060</v>
      </c>
      <c r="G1140" s="2077">
        <v>1060</v>
      </c>
      <c r="H1140" s="2077">
        <v>1060</v>
      </c>
      <c r="I1140" s="2076">
        <f>(H1140/G1140)*100</f>
        <v>100</v>
      </c>
    </row>
    <row r="1141" spans="1:20" ht="15" thickBot="1" x14ac:dyDescent="0.25">
      <c r="A1141" s="2080"/>
      <c r="B1141" s="2079"/>
      <c r="C1141" s="2079"/>
      <c r="D1141" s="811" t="s">
        <v>993</v>
      </c>
      <c r="E1141" s="2627" t="s">
        <v>1538</v>
      </c>
      <c r="F1141" s="2077">
        <v>211</v>
      </c>
      <c r="G1141" s="2077">
        <v>211</v>
      </c>
      <c r="H1141" s="2077">
        <v>211</v>
      </c>
      <c r="I1141" s="2076">
        <f>(H1141/G1141)*100</f>
        <v>100</v>
      </c>
    </row>
    <row r="1142" spans="1:20" ht="16.5" thickTop="1" thickBot="1" x14ac:dyDescent="0.3">
      <c r="A1142" s="3301" t="s">
        <v>522</v>
      </c>
      <c r="B1142" s="3302"/>
      <c r="C1142" s="3302"/>
      <c r="D1142" s="3302"/>
      <c r="E1142" s="3302"/>
      <c r="F1142" s="2075">
        <f>F1139</f>
        <v>1271</v>
      </c>
      <c r="G1142" s="2075">
        <f>G1139</f>
        <v>1271</v>
      </c>
      <c r="H1142" s="2075">
        <f>H1139</f>
        <v>1271</v>
      </c>
      <c r="I1142" s="2074">
        <f>(H1142/G1142)*100</f>
        <v>100</v>
      </c>
      <c r="R1142" s="2691">
        <f>F1142</f>
        <v>1271</v>
      </c>
      <c r="S1142" s="2691">
        <f>G1142</f>
        <v>1271</v>
      </c>
      <c r="T1142" s="2691">
        <f>H1142</f>
        <v>1271</v>
      </c>
    </row>
    <row r="1143" spans="1:20" ht="13.5" thickTop="1" x14ac:dyDescent="0.2"/>
    <row r="1144" spans="1:20" ht="13.5" thickBot="1" x14ac:dyDescent="0.25">
      <c r="A1144" s="1719" t="s">
        <v>361</v>
      </c>
      <c r="I1144" s="2071" t="s">
        <v>92</v>
      </c>
    </row>
    <row r="1145" spans="1:20" ht="14.25" thickTop="1" thickBot="1" x14ac:dyDescent="0.25">
      <c r="A1145" s="1047" t="s">
        <v>324</v>
      </c>
      <c r="B1145" s="1044" t="s">
        <v>93</v>
      </c>
      <c r="C1145" s="1046" t="s">
        <v>94</v>
      </c>
      <c r="D1145" s="1069" t="s">
        <v>364</v>
      </c>
      <c r="E1145" s="1069" t="s">
        <v>95</v>
      </c>
      <c r="F1145" s="1069" t="s">
        <v>328</v>
      </c>
      <c r="G1145" s="1069" t="s">
        <v>329</v>
      </c>
      <c r="H1145" s="1749" t="s">
        <v>448</v>
      </c>
      <c r="I1145" s="2089" t="s">
        <v>449</v>
      </c>
    </row>
    <row r="1146" spans="1:20" ht="14.25" thickTop="1" thickBot="1" x14ac:dyDescent="0.25">
      <c r="A1146" s="1042">
        <v>1</v>
      </c>
      <c r="B1146" s="1041">
        <v>2</v>
      </c>
      <c r="C1146" s="1041">
        <v>3</v>
      </c>
      <c r="D1146" s="1041">
        <v>4</v>
      </c>
      <c r="E1146" s="1041">
        <v>5</v>
      </c>
      <c r="F1146" s="1040">
        <v>6</v>
      </c>
      <c r="G1146" s="1040">
        <v>7</v>
      </c>
      <c r="H1146" s="1164">
        <v>8</v>
      </c>
      <c r="I1146" s="1039" t="s">
        <v>393</v>
      </c>
    </row>
    <row r="1147" spans="1:20" ht="15.75" thickTop="1" x14ac:dyDescent="0.25">
      <c r="A1147" s="2080">
        <v>1402</v>
      </c>
      <c r="B1147" s="2079">
        <v>3133</v>
      </c>
      <c r="C1147" s="2079">
        <v>5331</v>
      </c>
      <c r="D1147" s="2099"/>
      <c r="E1147" s="2096" t="s">
        <v>481</v>
      </c>
      <c r="F1147" s="2095">
        <f>F1148+F1149+F1150</f>
        <v>1533</v>
      </c>
      <c r="G1147" s="2095">
        <f>G1148+G1149+G1150</f>
        <v>1945</v>
      </c>
      <c r="H1147" s="2095">
        <f>H1148+H1149+H1150</f>
        <v>1945</v>
      </c>
      <c r="I1147" s="2098">
        <v>100</v>
      </c>
    </row>
    <row r="1148" spans="1:20" ht="28.5" x14ac:dyDescent="0.2">
      <c r="A1148" s="2080"/>
      <c r="B1148" s="2079"/>
      <c r="C1148" s="2079"/>
      <c r="D1148" s="3034" t="s">
        <v>972</v>
      </c>
      <c r="E1148" s="2658" t="s">
        <v>1540</v>
      </c>
      <c r="F1148" s="2148">
        <v>0</v>
      </c>
      <c r="G1148" s="2148">
        <v>300</v>
      </c>
      <c r="H1148" s="2148">
        <v>300</v>
      </c>
      <c r="I1148" s="2147">
        <f>(H1148/G1148)*100</f>
        <v>100</v>
      </c>
    </row>
    <row r="1149" spans="1:20" ht="14.25" x14ac:dyDescent="0.2">
      <c r="A1149" s="2080"/>
      <c r="B1149" s="2079"/>
      <c r="C1149" s="2079"/>
      <c r="D1149" s="2630" t="s">
        <v>1394</v>
      </c>
      <c r="E1149" s="923" t="s">
        <v>1537</v>
      </c>
      <c r="F1149" s="2077">
        <v>1504</v>
      </c>
      <c r="G1149" s="2077">
        <v>1600</v>
      </c>
      <c r="H1149" s="2077">
        <v>1600</v>
      </c>
      <c r="I1149" s="2076">
        <f>(H1149/G1149)*100</f>
        <v>100</v>
      </c>
    </row>
    <row r="1150" spans="1:20" ht="15" thickBot="1" x14ac:dyDescent="0.25">
      <c r="A1150" s="2080"/>
      <c r="B1150" s="2079"/>
      <c r="C1150" s="2079"/>
      <c r="D1150" s="811" t="s">
        <v>993</v>
      </c>
      <c r="E1150" s="2627" t="s">
        <v>1538</v>
      </c>
      <c r="F1150" s="2077">
        <v>29</v>
      </c>
      <c r="G1150" s="2077">
        <v>45</v>
      </c>
      <c r="H1150" s="2077">
        <v>45</v>
      </c>
      <c r="I1150" s="2076">
        <f>(H1150/G1150)*100</f>
        <v>100</v>
      </c>
    </row>
    <row r="1151" spans="1:20" ht="16.5" thickTop="1" thickBot="1" x14ac:dyDescent="0.3">
      <c r="A1151" s="3301" t="s">
        <v>522</v>
      </c>
      <c r="B1151" s="3302"/>
      <c r="C1151" s="3302"/>
      <c r="D1151" s="3302"/>
      <c r="E1151" s="3302"/>
      <c r="F1151" s="2075">
        <f>F1147</f>
        <v>1533</v>
      </c>
      <c r="G1151" s="2075">
        <f>G1147</f>
        <v>1945</v>
      </c>
      <c r="H1151" s="2075">
        <f>H1147</f>
        <v>1945</v>
      </c>
      <c r="I1151" s="2074">
        <f>(H1151/G1151)*100</f>
        <v>100</v>
      </c>
      <c r="R1151" s="2691">
        <f>F1151</f>
        <v>1533</v>
      </c>
      <c r="S1151" s="2691">
        <f>G1151</f>
        <v>1945</v>
      </c>
      <c r="T1151" s="2691">
        <f>H1151</f>
        <v>1945</v>
      </c>
    </row>
    <row r="1152" spans="1:20" ht="15.75" thickTop="1" x14ac:dyDescent="0.25">
      <c r="A1152" s="2108">
        <v>1402</v>
      </c>
      <c r="B1152" s="2079">
        <v>3133</v>
      </c>
      <c r="C1152" s="2093">
        <v>6351</v>
      </c>
      <c r="D1152" s="2107"/>
      <c r="E1152" s="1739" t="s">
        <v>551</v>
      </c>
      <c r="F1152" s="2106">
        <f>F1153</f>
        <v>0</v>
      </c>
      <c r="G1152" s="2106">
        <f t="shared" ref="G1152:H1152" si="192">G1153</f>
        <v>695</v>
      </c>
      <c r="H1152" s="2106">
        <f t="shared" si="192"/>
        <v>695</v>
      </c>
      <c r="I1152" s="2105">
        <f t="shared" ref="I1152:I1154" si="193">(H1152/G1152)*100</f>
        <v>100</v>
      </c>
      <c r="R1152" s="2691"/>
      <c r="S1152" s="2691"/>
      <c r="T1152" s="2691"/>
    </row>
    <row r="1153" spans="1:20" ht="29.25" thickBot="1" x14ac:dyDescent="0.25">
      <c r="A1153" s="2104"/>
      <c r="B1153" s="2103"/>
      <c r="C1153" s="1017"/>
      <c r="D1153" s="3034" t="s">
        <v>972</v>
      </c>
      <c r="E1153" s="2952" t="s">
        <v>1540</v>
      </c>
      <c r="F1153" s="2711">
        <v>0</v>
      </c>
      <c r="G1153" s="2702">
        <v>695</v>
      </c>
      <c r="H1153" s="2702">
        <v>695</v>
      </c>
      <c r="I1153" s="2700">
        <f t="shared" si="193"/>
        <v>100</v>
      </c>
      <c r="R1153" s="2691"/>
      <c r="S1153" s="2691"/>
      <c r="T1153" s="2691"/>
    </row>
    <row r="1154" spans="1:20" ht="16.5" thickTop="1" thickBot="1" x14ac:dyDescent="0.3">
      <c r="A1154" s="3305" t="s">
        <v>523</v>
      </c>
      <c r="B1154" s="3306"/>
      <c r="C1154" s="3306"/>
      <c r="D1154" s="3306"/>
      <c r="E1154" s="3307"/>
      <c r="F1154" s="2075">
        <f>F1152</f>
        <v>0</v>
      </c>
      <c r="G1154" s="2075">
        <f>G1152</f>
        <v>695</v>
      </c>
      <c r="H1154" s="2075">
        <f>SUM(H1152)</f>
        <v>695</v>
      </c>
      <c r="I1154" s="2074">
        <f t="shared" si="193"/>
        <v>100</v>
      </c>
      <c r="R1154" s="2691"/>
      <c r="S1154" s="2691"/>
      <c r="T1154" s="2691"/>
    </row>
    <row r="1155" spans="1:20" ht="13.5" thickTop="1" x14ac:dyDescent="0.2"/>
    <row r="1156" spans="1:20" ht="13.5" thickBot="1" x14ac:dyDescent="0.25">
      <c r="A1156" s="1719" t="s">
        <v>362</v>
      </c>
      <c r="I1156" s="2071" t="s">
        <v>92</v>
      </c>
    </row>
    <row r="1157" spans="1:20" ht="14.25" thickTop="1" thickBot="1" x14ac:dyDescent="0.25">
      <c r="A1157" s="1047" t="s">
        <v>324</v>
      </c>
      <c r="B1157" s="1044" t="s">
        <v>93</v>
      </c>
      <c r="C1157" s="1046" t="s">
        <v>94</v>
      </c>
      <c r="D1157" s="1069" t="s">
        <v>364</v>
      </c>
      <c r="E1157" s="1069" t="s">
        <v>95</v>
      </c>
      <c r="F1157" s="1069" t="s">
        <v>328</v>
      </c>
      <c r="G1157" s="1069" t="s">
        <v>329</v>
      </c>
      <c r="H1157" s="1749" t="s">
        <v>448</v>
      </c>
      <c r="I1157" s="2089" t="s">
        <v>449</v>
      </c>
    </row>
    <row r="1158" spans="1:20" ht="14.25" thickTop="1" thickBot="1" x14ac:dyDescent="0.25">
      <c r="A1158" s="1042">
        <v>1</v>
      </c>
      <c r="B1158" s="1041">
        <v>2</v>
      </c>
      <c r="C1158" s="1041">
        <v>3</v>
      </c>
      <c r="D1158" s="1041">
        <v>4</v>
      </c>
      <c r="E1158" s="1041">
        <v>5</v>
      </c>
      <c r="F1158" s="1040">
        <v>6</v>
      </c>
      <c r="G1158" s="1040">
        <v>7</v>
      </c>
      <c r="H1158" s="1164">
        <v>8</v>
      </c>
      <c r="I1158" s="1039" t="s">
        <v>393</v>
      </c>
    </row>
    <row r="1159" spans="1:20" ht="15.75" thickTop="1" x14ac:dyDescent="0.25">
      <c r="A1159" s="2080">
        <v>1403</v>
      </c>
      <c r="B1159" s="2079">
        <v>3133</v>
      </c>
      <c r="C1159" s="2079">
        <v>5331</v>
      </c>
      <c r="D1159" s="2099"/>
      <c r="E1159" s="2096" t="s">
        <v>481</v>
      </c>
      <c r="F1159" s="2095">
        <f>F1160+F1161</f>
        <v>1703</v>
      </c>
      <c r="G1159" s="2095">
        <f>G1160+G1161</f>
        <v>1830</v>
      </c>
      <c r="H1159" s="2095">
        <f>H1160+H1161</f>
        <v>1830</v>
      </c>
      <c r="I1159" s="2098">
        <v>100</v>
      </c>
    </row>
    <row r="1160" spans="1:20" ht="14.25" x14ac:dyDescent="0.2">
      <c r="A1160" s="2080"/>
      <c r="B1160" s="2079"/>
      <c r="C1160" s="2079"/>
      <c r="D1160" s="2630" t="s">
        <v>1394</v>
      </c>
      <c r="E1160" s="923" t="s">
        <v>1537</v>
      </c>
      <c r="F1160" s="2077">
        <v>1615</v>
      </c>
      <c r="G1160" s="2077">
        <v>1743</v>
      </c>
      <c r="H1160" s="2077">
        <v>1743</v>
      </c>
      <c r="I1160" s="2076">
        <f>(H1160/G1160)*100</f>
        <v>100</v>
      </c>
    </row>
    <row r="1161" spans="1:20" ht="15" thickBot="1" x14ac:dyDescent="0.25">
      <c r="A1161" s="2080"/>
      <c r="B1161" s="2079"/>
      <c r="C1161" s="2079"/>
      <c r="D1161" s="811" t="s">
        <v>993</v>
      </c>
      <c r="E1161" s="2627" t="s">
        <v>1538</v>
      </c>
      <c r="F1161" s="2077">
        <v>88</v>
      </c>
      <c r="G1161" s="2077">
        <v>87</v>
      </c>
      <c r="H1161" s="2077">
        <v>87</v>
      </c>
      <c r="I1161" s="2076">
        <f>(H1161/G1161)*100</f>
        <v>100</v>
      </c>
    </row>
    <row r="1162" spans="1:20" ht="16.5" thickTop="1" thickBot="1" x14ac:dyDescent="0.3">
      <c r="A1162" s="3301" t="s">
        <v>522</v>
      </c>
      <c r="B1162" s="3302"/>
      <c r="C1162" s="3302"/>
      <c r="D1162" s="3302"/>
      <c r="E1162" s="3302"/>
      <c r="F1162" s="2075">
        <f>F1159</f>
        <v>1703</v>
      </c>
      <c r="G1162" s="2075">
        <f>G1159</f>
        <v>1830</v>
      </c>
      <c r="H1162" s="2075">
        <f>H1159</f>
        <v>1830</v>
      </c>
      <c r="I1162" s="2074">
        <f>(H1162/G1162)*100</f>
        <v>100</v>
      </c>
      <c r="R1162" s="2691">
        <f>F1162</f>
        <v>1703</v>
      </c>
      <c r="S1162" s="2691">
        <f>G1162</f>
        <v>1830</v>
      </c>
      <c r="T1162" s="2691">
        <f>H1162</f>
        <v>1830</v>
      </c>
    </row>
    <row r="1163" spans="1:20" ht="15.75" thickTop="1" x14ac:dyDescent="0.25">
      <c r="A1163" s="2108">
        <v>1403</v>
      </c>
      <c r="B1163" s="2079">
        <v>3133</v>
      </c>
      <c r="C1163" s="2093">
        <v>6351</v>
      </c>
      <c r="D1163" s="2107"/>
      <c r="E1163" s="1739" t="s">
        <v>551</v>
      </c>
      <c r="F1163" s="2106">
        <f>F1164</f>
        <v>0</v>
      </c>
      <c r="G1163" s="2106">
        <f t="shared" ref="G1163:H1163" si="194">G1164</f>
        <v>221</v>
      </c>
      <c r="H1163" s="2106">
        <f t="shared" si="194"/>
        <v>221</v>
      </c>
      <c r="I1163" s="2105">
        <f t="shared" ref="I1163:I1165" si="195">(H1163/G1163)*100</f>
        <v>100</v>
      </c>
      <c r="R1163" s="2691"/>
      <c r="S1163" s="2691"/>
      <c r="T1163" s="2691"/>
    </row>
    <row r="1164" spans="1:20" ht="29.25" thickBot="1" x14ac:dyDescent="0.25">
      <c r="A1164" s="2104"/>
      <c r="B1164" s="2103"/>
      <c r="C1164" s="1017"/>
      <c r="D1164" s="3034" t="s">
        <v>972</v>
      </c>
      <c r="E1164" s="2952" t="s">
        <v>1540</v>
      </c>
      <c r="F1164" s="2711">
        <v>0</v>
      </c>
      <c r="G1164" s="2702">
        <v>221</v>
      </c>
      <c r="H1164" s="2702">
        <v>221</v>
      </c>
      <c r="I1164" s="2700">
        <f t="shared" si="195"/>
        <v>100</v>
      </c>
      <c r="R1164" s="2691"/>
      <c r="S1164" s="2691"/>
      <c r="T1164" s="2691"/>
    </row>
    <row r="1165" spans="1:20" ht="16.5" thickTop="1" thickBot="1" x14ac:dyDescent="0.3">
      <c r="A1165" s="3305" t="s">
        <v>523</v>
      </c>
      <c r="B1165" s="3306"/>
      <c r="C1165" s="3306"/>
      <c r="D1165" s="3306"/>
      <c r="E1165" s="3307"/>
      <c r="F1165" s="2075">
        <f>F1163</f>
        <v>0</v>
      </c>
      <c r="G1165" s="2075">
        <f>G1163</f>
        <v>221</v>
      </c>
      <c r="H1165" s="2075">
        <f>SUM(H1163)</f>
        <v>221</v>
      </c>
      <c r="I1165" s="2074">
        <f t="shared" si="195"/>
        <v>100</v>
      </c>
      <c r="R1165" s="2691"/>
      <c r="S1165" s="2691"/>
      <c r="T1165" s="2691"/>
    </row>
    <row r="1166" spans="1:20" ht="13.5" thickTop="1" x14ac:dyDescent="0.2"/>
    <row r="1167" spans="1:20" ht="13.5" thickBot="1" x14ac:dyDescent="0.25">
      <c r="A1167" s="1719" t="s">
        <v>390</v>
      </c>
      <c r="I1167" s="2071" t="s">
        <v>92</v>
      </c>
    </row>
    <row r="1168" spans="1:20" ht="14.25" thickTop="1" thickBot="1" x14ac:dyDescent="0.25">
      <c r="A1168" s="1047" t="s">
        <v>324</v>
      </c>
      <c r="B1168" s="1044" t="s">
        <v>93</v>
      </c>
      <c r="C1168" s="1046" t="s">
        <v>94</v>
      </c>
      <c r="D1168" s="1069" t="s">
        <v>364</v>
      </c>
      <c r="E1168" s="1069" t="s">
        <v>95</v>
      </c>
      <c r="F1168" s="1069" t="s">
        <v>328</v>
      </c>
      <c r="G1168" s="1069" t="s">
        <v>329</v>
      </c>
      <c r="H1168" s="1749" t="s">
        <v>448</v>
      </c>
      <c r="I1168" s="2089" t="s">
        <v>449</v>
      </c>
    </row>
    <row r="1169" spans="1:20" ht="14.25" thickTop="1" thickBot="1" x14ac:dyDescent="0.25">
      <c r="A1169" s="1042">
        <v>1</v>
      </c>
      <c r="B1169" s="1041">
        <v>2</v>
      </c>
      <c r="C1169" s="1041">
        <v>3</v>
      </c>
      <c r="D1169" s="1041">
        <v>4</v>
      </c>
      <c r="E1169" s="1041">
        <v>5</v>
      </c>
      <c r="F1169" s="1040">
        <v>6</v>
      </c>
      <c r="G1169" s="1040">
        <v>7</v>
      </c>
      <c r="H1169" s="1164">
        <v>8</v>
      </c>
      <c r="I1169" s="1039" t="s">
        <v>393</v>
      </c>
    </row>
    <row r="1170" spans="1:20" ht="15.75" thickTop="1" x14ac:dyDescent="0.25">
      <c r="A1170" s="2080">
        <v>1404</v>
      </c>
      <c r="B1170" s="2079">
        <v>3133</v>
      </c>
      <c r="C1170" s="2079">
        <v>5331</v>
      </c>
      <c r="D1170" s="2099"/>
      <c r="E1170" s="2096" t="s">
        <v>481</v>
      </c>
      <c r="F1170" s="2095">
        <f>F1171+F1172</f>
        <v>1408</v>
      </c>
      <c r="G1170" s="2095">
        <f>G1171+G1172</f>
        <v>1504</v>
      </c>
      <c r="H1170" s="2095">
        <f>H1171+H1172</f>
        <v>1504</v>
      </c>
      <c r="I1170" s="2098">
        <v>100</v>
      </c>
    </row>
    <row r="1171" spans="1:20" ht="14.25" x14ac:dyDescent="0.2">
      <c r="A1171" s="2080"/>
      <c r="B1171" s="2079"/>
      <c r="C1171" s="2079"/>
      <c r="D1171" s="2630" t="s">
        <v>1394</v>
      </c>
      <c r="E1171" s="923" t="s">
        <v>1537</v>
      </c>
      <c r="F1171" s="2077">
        <v>1210</v>
      </c>
      <c r="G1171" s="2077">
        <v>1306</v>
      </c>
      <c r="H1171" s="2077">
        <v>1306</v>
      </c>
      <c r="I1171" s="2076">
        <f>(H1171/G1171)*100</f>
        <v>100</v>
      </c>
    </row>
    <row r="1172" spans="1:20" ht="15" thickBot="1" x14ac:dyDescent="0.25">
      <c r="A1172" s="2080"/>
      <c r="B1172" s="2079"/>
      <c r="C1172" s="2079"/>
      <c r="D1172" s="811" t="s">
        <v>993</v>
      </c>
      <c r="E1172" s="2627" t="s">
        <v>1538</v>
      </c>
      <c r="F1172" s="2077">
        <v>198</v>
      </c>
      <c r="G1172" s="2077">
        <v>198</v>
      </c>
      <c r="H1172" s="2077">
        <v>198</v>
      </c>
      <c r="I1172" s="2076">
        <f>(H1172/G1172)*100</f>
        <v>100</v>
      </c>
    </row>
    <row r="1173" spans="1:20" ht="16.5" thickTop="1" thickBot="1" x14ac:dyDescent="0.3">
      <c r="A1173" s="3301" t="s">
        <v>522</v>
      </c>
      <c r="B1173" s="3302"/>
      <c r="C1173" s="3302"/>
      <c r="D1173" s="3302"/>
      <c r="E1173" s="3302"/>
      <c r="F1173" s="2075">
        <f>F1170</f>
        <v>1408</v>
      </c>
      <c r="G1173" s="2075">
        <f>G1170</f>
        <v>1504</v>
      </c>
      <c r="H1173" s="2075">
        <f>H1170</f>
        <v>1504</v>
      </c>
      <c r="I1173" s="2074">
        <f>(H1173/G1173)*100</f>
        <v>100</v>
      </c>
      <c r="R1173" s="2691">
        <f>F1173</f>
        <v>1408</v>
      </c>
      <c r="S1173" s="2691">
        <f>G1173</f>
        <v>1504</v>
      </c>
      <c r="T1173" s="2691">
        <f>H1173</f>
        <v>1504</v>
      </c>
    </row>
    <row r="1174" spans="1:20" ht="13.5" thickTop="1" x14ac:dyDescent="0.2"/>
    <row r="1176" spans="1:20" hidden="1" x14ac:dyDescent="0.2"/>
    <row r="1177" spans="1:20" hidden="1" x14ac:dyDescent="0.2"/>
    <row r="1178" spans="1:20" hidden="1" x14ac:dyDescent="0.2"/>
    <row r="1179" spans="1:20" hidden="1" x14ac:dyDescent="0.2"/>
    <row r="1180" spans="1:20" hidden="1" x14ac:dyDescent="0.2"/>
    <row r="1181" spans="1:20" hidden="1" x14ac:dyDescent="0.2"/>
    <row r="1182" spans="1:20" ht="13.5" thickBot="1" x14ac:dyDescent="0.25">
      <c r="A1182" s="1719" t="s">
        <v>458</v>
      </c>
      <c r="I1182" s="2071" t="s">
        <v>92</v>
      </c>
    </row>
    <row r="1183" spans="1:20" ht="14.25" thickTop="1" thickBot="1" x14ac:dyDescent="0.25">
      <c r="A1183" s="1047" t="s">
        <v>324</v>
      </c>
      <c r="B1183" s="1044" t="s">
        <v>93</v>
      </c>
      <c r="C1183" s="1046" t="s">
        <v>94</v>
      </c>
      <c r="D1183" s="1069" t="s">
        <v>364</v>
      </c>
      <c r="E1183" s="1069" t="s">
        <v>95</v>
      </c>
      <c r="F1183" s="1069" t="s">
        <v>328</v>
      </c>
      <c r="G1183" s="1069" t="s">
        <v>329</v>
      </c>
      <c r="H1183" s="1749" t="s">
        <v>448</v>
      </c>
      <c r="I1183" s="2089" t="s">
        <v>449</v>
      </c>
    </row>
    <row r="1184" spans="1:20" ht="14.25" thickTop="1" thickBot="1" x14ac:dyDescent="0.25">
      <c r="A1184" s="1042">
        <v>1</v>
      </c>
      <c r="B1184" s="1041">
        <v>2</v>
      </c>
      <c r="C1184" s="1041">
        <v>3</v>
      </c>
      <c r="D1184" s="1041">
        <v>4</v>
      </c>
      <c r="E1184" s="1041">
        <v>5</v>
      </c>
      <c r="F1184" s="1040">
        <v>6</v>
      </c>
      <c r="G1184" s="1040">
        <v>7</v>
      </c>
      <c r="H1184" s="1164">
        <v>8</v>
      </c>
      <c r="I1184" s="1039" t="s">
        <v>393</v>
      </c>
    </row>
    <row r="1185" spans="1:20" ht="15.75" thickTop="1" x14ac:dyDescent="0.25">
      <c r="A1185" s="2080">
        <v>1405</v>
      </c>
      <c r="B1185" s="2079">
        <v>3133</v>
      </c>
      <c r="C1185" s="2079">
        <v>5331</v>
      </c>
      <c r="D1185" s="2099"/>
      <c r="E1185" s="2085" t="s">
        <v>481</v>
      </c>
      <c r="F1185" s="2095">
        <f>F1186+F1187+F1188</f>
        <v>1651</v>
      </c>
      <c r="G1185" s="2095">
        <f>G1186+G1187+G1188</f>
        <v>1747</v>
      </c>
      <c r="H1185" s="2095">
        <f>H1186+H1187+H1188</f>
        <v>1747</v>
      </c>
      <c r="I1185" s="2098">
        <f>(H1185/G1185)*100</f>
        <v>100</v>
      </c>
    </row>
    <row r="1186" spans="1:20" ht="28.5" hidden="1" x14ac:dyDescent="0.2">
      <c r="A1186" s="2080"/>
      <c r="B1186" s="2079"/>
      <c r="C1186" s="2079"/>
      <c r="D1186" s="2634" t="s">
        <v>972</v>
      </c>
      <c r="E1186" s="2658" t="s">
        <v>1540</v>
      </c>
      <c r="F1186" s="2638"/>
      <c r="G1186" s="2638"/>
      <c r="H1186" s="2638"/>
      <c r="I1186" s="2635" t="e">
        <f>(H1186/G1186)*100</f>
        <v>#DIV/0!</v>
      </c>
    </row>
    <row r="1187" spans="1:20" ht="14.25" x14ac:dyDescent="0.2">
      <c r="A1187" s="2080"/>
      <c r="B1187" s="2079"/>
      <c r="C1187" s="2079"/>
      <c r="D1187" s="2630" t="s">
        <v>1394</v>
      </c>
      <c r="E1187" s="923" t="s">
        <v>1537</v>
      </c>
      <c r="F1187" s="2081">
        <v>1639</v>
      </c>
      <c r="G1187" s="2081">
        <v>1735</v>
      </c>
      <c r="H1187" s="2081">
        <v>1735</v>
      </c>
      <c r="I1187" s="2076">
        <f>(H1187/G1187)*100</f>
        <v>100</v>
      </c>
    </row>
    <row r="1188" spans="1:20" ht="15" thickBot="1" x14ac:dyDescent="0.25">
      <c r="A1188" s="2080"/>
      <c r="B1188" s="2079"/>
      <c r="C1188" s="2079"/>
      <c r="D1188" s="811" t="s">
        <v>993</v>
      </c>
      <c r="E1188" s="2627" t="s">
        <v>1538</v>
      </c>
      <c r="F1188" s="2077">
        <v>12</v>
      </c>
      <c r="G1188" s="2077">
        <v>12</v>
      </c>
      <c r="H1188" s="2077">
        <v>12</v>
      </c>
      <c r="I1188" s="2076">
        <v>100</v>
      </c>
    </row>
    <row r="1189" spans="1:20" ht="16.5" thickTop="1" thickBot="1" x14ac:dyDescent="0.3">
      <c r="A1189" s="3301" t="s">
        <v>522</v>
      </c>
      <c r="B1189" s="3302"/>
      <c r="C1189" s="3302"/>
      <c r="D1189" s="3302"/>
      <c r="E1189" s="3302"/>
      <c r="F1189" s="2075">
        <f>F1185</f>
        <v>1651</v>
      </c>
      <c r="G1189" s="2075">
        <f>G1185</f>
        <v>1747</v>
      </c>
      <c r="H1189" s="2075">
        <f>H1185</f>
        <v>1747</v>
      </c>
      <c r="I1189" s="2074">
        <f>(H1189/G1189)*100</f>
        <v>100</v>
      </c>
      <c r="R1189" s="2691">
        <f>F1189</f>
        <v>1651</v>
      </c>
      <c r="S1189" s="2691">
        <f>G1189</f>
        <v>1747</v>
      </c>
      <c r="T1189" s="2691">
        <f>H1189</f>
        <v>1747</v>
      </c>
    </row>
    <row r="1190" spans="1:20" ht="15.75" thickTop="1" x14ac:dyDescent="0.25">
      <c r="A1190" s="1137"/>
      <c r="B1190" s="1137"/>
      <c r="C1190" s="1137"/>
      <c r="D1190" s="1137"/>
      <c r="E1190" s="1137"/>
      <c r="F1190" s="2073"/>
      <c r="G1190" s="2073"/>
      <c r="H1190" s="2073"/>
      <c r="I1190" s="2072"/>
      <c r="R1190" s="2691"/>
      <c r="S1190" s="2691"/>
      <c r="T1190" s="2691"/>
    </row>
    <row r="1191" spans="1:20" ht="13.5" thickBot="1" x14ac:dyDescent="0.25">
      <c r="A1191" s="1719" t="s">
        <v>459</v>
      </c>
      <c r="I1191" s="2071" t="s">
        <v>92</v>
      </c>
      <c r="S1191" s="2691"/>
    </row>
    <row r="1192" spans="1:20" ht="14.25" thickTop="1" thickBot="1" x14ac:dyDescent="0.25">
      <c r="A1192" s="1047" t="s">
        <v>324</v>
      </c>
      <c r="B1192" s="1044" t="s">
        <v>93</v>
      </c>
      <c r="C1192" s="1046" t="s">
        <v>94</v>
      </c>
      <c r="D1192" s="1069" t="s">
        <v>364</v>
      </c>
      <c r="E1192" s="1069" t="s">
        <v>95</v>
      </c>
      <c r="F1192" s="1069" t="s">
        <v>328</v>
      </c>
      <c r="G1192" s="1069" t="s">
        <v>329</v>
      </c>
      <c r="H1192" s="1749" t="s">
        <v>448</v>
      </c>
      <c r="I1192" s="2089" t="s">
        <v>449</v>
      </c>
    </row>
    <row r="1193" spans="1:20" ht="14.25" thickTop="1" thickBot="1" x14ac:dyDescent="0.25">
      <c r="A1193" s="1042">
        <v>1</v>
      </c>
      <c r="B1193" s="1041">
        <v>2</v>
      </c>
      <c r="C1193" s="1041">
        <v>3</v>
      </c>
      <c r="D1193" s="1041">
        <v>4</v>
      </c>
      <c r="E1193" s="1041">
        <v>5</v>
      </c>
      <c r="F1193" s="1040">
        <v>6</v>
      </c>
      <c r="G1193" s="1040">
        <v>7</v>
      </c>
      <c r="H1193" s="1164">
        <v>8</v>
      </c>
      <c r="I1193" s="1039" t="s">
        <v>393</v>
      </c>
    </row>
    <row r="1194" spans="1:20" ht="15.75" thickTop="1" x14ac:dyDescent="0.25">
      <c r="A1194" s="2080">
        <v>1407</v>
      </c>
      <c r="B1194" s="2079">
        <v>3133</v>
      </c>
      <c r="C1194" s="2079">
        <v>5331</v>
      </c>
      <c r="D1194" s="2099"/>
      <c r="E1194" s="2085" t="s">
        <v>481</v>
      </c>
      <c r="F1194" s="2095">
        <f>F1195+F1197+F1196</f>
        <v>1484</v>
      </c>
      <c r="G1194" s="2095">
        <f>G1195+G1197+G1196</f>
        <v>1581</v>
      </c>
      <c r="H1194" s="2095">
        <f>H1195+H1197+H1196</f>
        <v>1581</v>
      </c>
      <c r="I1194" s="2098">
        <f>(H1194/G1194)*100</f>
        <v>100</v>
      </c>
    </row>
    <row r="1195" spans="1:20" ht="14.25" x14ac:dyDescent="0.2">
      <c r="A1195" s="2080"/>
      <c r="B1195" s="2079"/>
      <c r="C1195" s="2079"/>
      <c r="D1195" s="2630" t="s">
        <v>1394</v>
      </c>
      <c r="E1195" s="923" t="s">
        <v>1537</v>
      </c>
      <c r="F1195" s="2077">
        <v>1424</v>
      </c>
      <c r="G1195" s="2077">
        <v>1520</v>
      </c>
      <c r="H1195" s="2077">
        <v>1520</v>
      </c>
      <c r="I1195" s="2076">
        <f>(H1195/G1195)*100</f>
        <v>100</v>
      </c>
    </row>
    <row r="1196" spans="1:20" ht="15" thickBot="1" x14ac:dyDescent="0.25">
      <c r="A1196" s="2080"/>
      <c r="B1196" s="2079"/>
      <c r="C1196" s="2079"/>
      <c r="D1196" s="811" t="s">
        <v>993</v>
      </c>
      <c r="E1196" s="2627" t="s">
        <v>1538</v>
      </c>
      <c r="F1196" s="2077">
        <v>60</v>
      </c>
      <c r="G1196" s="2077">
        <v>61</v>
      </c>
      <c r="H1196" s="2077">
        <v>61</v>
      </c>
      <c r="I1196" s="2076">
        <f>(H1196/G1196)*100</f>
        <v>100</v>
      </c>
    </row>
    <row r="1197" spans="1:20" ht="15" hidden="1" thickBot="1" x14ac:dyDescent="0.25">
      <c r="A1197" s="2080"/>
      <c r="B1197" s="2079"/>
      <c r="C1197" s="2079"/>
      <c r="D1197" s="811" t="s">
        <v>1395</v>
      </c>
      <c r="E1197" s="2627" t="s">
        <v>1539</v>
      </c>
      <c r="F1197" s="2077"/>
      <c r="G1197" s="2077"/>
      <c r="H1197" s="2077"/>
      <c r="I1197" s="2076" t="e">
        <f>(H1197/G1197)*100</f>
        <v>#DIV/0!</v>
      </c>
    </row>
    <row r="1198" spans="1:20" ht="16.5" thickTop="1" thickBot="1" x14ac:dyDescent="0.3">
      <c r="A1198" s="3301" t="s">
        <v>522</v>
      </c>
      <c r="B1198" s="3302"/>
      <c r="C1198" s="3302"/>
      <c r="D1198" s="3302"/>
      <c r="E1198" s="3302"/>
      <c r="F1198" s="2075">
        <f>SUM(F1194)</f>
        <v>1484</v>
      </c>
      <c r="G1198" s="2075">
        <f>G1194</f>
        <v>1581</v>
      </c>
      <c r="H1198" s="2075">
        <f>H1194</f>
        <v>1581</v>
      </c>
      <c r="I1198" s="2074">
        <f>(H1198/G1198)*100</f>
        <v>100</v>
      </c>
      <c r="R1198" s="2691">
        <f>F1198</f>
        <v>1484</v>
      </c>
      <c r="S1198" s="2691">
        <f>G1198</f>
        <v>1581</v>
      </c>
      <c r="T1198" s="2691">
        <f>H1198</f>
        <v>1581</v>
      </c>
    </row>
    <row r="1199" spans="1:20" ht="15.75" thickTop="1" x14ac:dyDescent="0.25">
      <c r="A1199" s="2640">
        <v>1407</v>
      </c>
      <c r="B1199" s="19">
        <v>3133</v>
      </c>
      <c r="C1199" s="151">
        <v>6351</v>
      </c>
      <c r="D1199" s="2641"/>
      <c r="E1199" s="845" t="s">
        <v>551</v>
      </c>
      <c r="F1199" s="2642">
        <f>F1200</f>
        <v>0</v>
      </c>
      <c r="G1199" s="2642">
        <f t="shared" ref="G1199:H1199" si="196">G1200</f>
        <v>291</v>
      </c>
      <c r="H1199" s="2642">
        <f t="shared" si="196"/>
        <v>291</v>
      </c>
      <c r="I1199" s="2643">
        <v>100</v>
      </c>
      <c r="R1199" s="2691">
        <f>F1201</f>
        <v>0</v>
      </c>
      <c r="S1199" s="2691">
        <f t="shared" ref="S1199:T1199" si="197">G1201</f>
        <v>123</v>
      </c>
      <c r="T1199" s="2691">
        <f t="shared" si="197"/>
        <v>123</v>
      </c>
    </row>
    <row r="1200" spans="1:20" ht="29.25" thickBot="1" x14ac:dyDescent="0.25">
      <c r="A1200" s="2644"/>
      <c r="B1200" s="822"/>
      <c r="C1200" s="2645"/>
      <c r="D1200" s="3034" t="s">
        <v>972</v>
      </c>
      <c r="E1200" s="2633" t="s">
        <v>1540</v>
      </c>
      <c r="F1200" s="3046">
        <v>0</v>
      </c>
      <c r="G1200" s="3047">
        <v>291</v>
      </c>
      <c r="H1200" s="3048">
        <v>291</v>
      </c>
      <c r="I1200" s="903">
        <v>100</v>
      </c>
      <c r="R1200" s="2691">
        <f>R1198+R1199</f>
        <v>1484</v>
      </c>
      <c r="S1200" s="2691">
        <f t="shared" ref="S1200:T1200" si="198">S1198+S1199</f>
        <v>1704</v>
      </c>
      <c r="T1200" s="2691">
        <f t="shared" si="198"/>
        <v>1704</v>
      </c>
    </row>
    <row r="1201" spans="1:20" ht="16.5" thickTop="1" thickBot="1" x14ac:dyDescent="0.3">
      <c r="A1201" s="3241" t="s">
        <v>523</v>
      </c>
      <c r="B1201" s="3242"/>
      <c r="C1201" s="3242"/>
      <c r="D1201" s="3242"/>
      <c r="E1201" s="3243"/>
      <c r="F1201" s="2648">
        <v>0</v>
      </c>
      <c r="G1201" s="2648">
        <v>123</v>
      </c>
      <c r="H1201" s="2648">
        <v>123</v>
      </c>
      <c r="I1201" s="2649">
        <v>100</v>
      </c>
      <c r="R1201" s="2691"/>
      <c r="S1201" s="2691"/>
      <c r="T1201" s="2691"/>
    </row>
    <row r="1202" spans="1:20" ht="15.75" thickTop="1" x14ac:dyDescent="0.25">
      <c r="A1202" s="1137"/>
      <c r="B1202" s="1137"/>
      <c r="C1202" s="1137"/>
      <c r="D1202" s="1137"/>
      <c r="E1202" s="1137"/>
      <c r="F1202" s="2073"/>
      <c r="G1202" s="2073"/>
      <c r="H1202" s="2073"/>
      <c r="I1202" s="2072"/>
      <c r="R1202" s="2691"/>
      <c r="S1202" s="2691"/>
      <c r="T1202" s="2691"/>
    </row>
    <row r="1203" spans="1:20" hidden="1" x14ac:dyDescent="0.2"/>
    <row r="1205" spans="1:20" ht="13.5" thickBot="1" x14ac:dyDescent="0.25">
      <c r="A1205" s="1719" t="s">
        <v>996</v>
      </c>
      <c r="I1205" s="2071" t="s">
        <v>92</v>
      </c>
    </row>
    <row r="1206" spans="1:20" ht="14.25" thickTop="1" thickBot="1" x14ac:dyDescent="0.25">
      <c r="A1206" s="1047" t="s">
        <v>324</v>
      </c>
      <c r="B1206" s="1044" t="s">
        <v>93</v>
      </c>
      <c r="C1206" s="1046" t="s">
        <v>94</v>
      </c>
      <c r="D1206" s="1069" t="s">
        <v>364</v>
      </c>
      <c r="E1206" s="1069" t="s">
        <v>95</v>
      </c>
      <c r="F1206" s="1069" t="s">
        <v>328</v>
      </c>
      <c r="G1206" s="1069" t="s">
        <v>329</v>
      </c>
      <c r="H1206" s="1749" t="s">
        <v>448</v>
      </c>
      <c r="I1206" s="2089" t="s">
        <v>449</v>
      </c>
    </row>
    <row r="1207" spans="1:20" ht="14.25" thickTop="1" thickBot="1" x14ac:dyDescent="0.25">
      <c r="A1207" s="1042">
        <v>1</v>
      </c>
      <c r="B1207" s="1041">
        <v>2</v>
      </c>
      <c r="C1207" s="1041">
        <v>3</v>
      </c>
      <c r="D1207" s="1041">
        <v>4</v>
      </c>
      <c r="E1207" s="1041">
        <v>5</v>
      </c>
      <c r="F1207" s="1040">
        <v>6</v>
      </c>
      <c r="G1207" s="1040">
        <v>7</v>
      </c>
      <c r="H1207" s="1164">
        <v>8</v>
      </c>
      <c r="I1207" s="1039" t="s">
        <v>393</v>
      </c>
    </row>
    <row r="1208" spans="1:20" ht="15.75" thickTop="1" x14ac:dyDescent="0.25">
      <c r="A1208" s="2080">
        <v>1408</v>
      </c>
      <c r="B1208" s="2079">
        <v>3133</v>
      </c>
      <c r="C1208" s="2079">
        <v>5331</v>
      </c>
      <c r="D1208" s="2099"/>
      <c r="E1208" s="2096" t="s">
        <v>481</v>
      </c>
      <c r="F1208" s="2095">
        <f>F1209+F1210</f>
        <v>1600</v>
      </c>
      <c r="G1208" s="2095">
        <f t="shared" ref="G1208:H1208" si="199">G1209+G1210</f>
        <v>1631</v>
      </c>
      <c r="H1208" s="2095">
        <f t="shared" si="199"/>
        <v>1631</v>
      </c>
      <c r="I1208" s="2098">
        <v>100</v>
      </c>
    </row>
    <row r="1209" spans="1:20" ht="14.25" x14ac:dyDescent="0.2">
      <c r="A1209" s="2080"/>
      <c r="B1209" s="2079"/>
      <c r="C1209" s="2079"/>
      <c r="D1209" s="2630" t="s">
        <v>1394</v>
      </c>
      <c r="E1209" s="923" t="s">
        <v>1537</v>
      </c>
      <c r="F1209" s="2077">
        <v>1600</v>
      </c>
      <c r="G1209" s="2077">
        <v>1600</v>
      </c>
      <c r="H1209" s="2077">
        <v>1600</v>
      </c>
      <c r="I1209" s="2076">
        <f>(H1209/G1209)*100</f>
        <v>100</v>
      </c>
    </row>
    <row r="1210" spans="1:20" ht="15" thickBot="1" x14ac:dyDescent="0.25">
      <c r="A1210" s="2080"/>
      <c r="B1210" s="2079"/>
      <c r="C1210" s="2079"/>
      <c r="D1210" s="811" t="s">
        <v>993</v>
      </c>
      <c r="E1210" s="2627" t="s">
        <v>1538</v>
      </c>
      <c r="F1210" s="2077">
        <v>0</v>
      </c>
      <c r="G1210" s="2077">
        <v>31</v>
      </c>
      <c r="H1210" s="2077">
        <v>31</v>
      </c>
      <c r="I1210" s="2076">
        <f>(H1210/G1210)*100</f>
        <v>100</v>
      </c>
    </row>
    <row r="1211" spans="1:20" ht="16.5" thickTop="1" thickBot="1" x14ac:dyDescent="0.3">
      <c r="A1211" s="3301" t="s">
        <v>522</v>
      </c>
      <c r="B1211" s="3302"/>
      <c r="C1211" s="3302"/>
      <c r="D1211" s="3302"/>
      <c r="E1211" s="3302"/>
      <c r="F1211" s="2075">
        <f>F1208</f>
        <v>1600</v>
      </c>
      <c r="G1211" s="2075">
        <f t="shared" ref="G1211:H1211" si="200">G1208</f>
        <v>1631</v>
      </c>
      <c r="H1211" s="2075">
        <f t="shared" si="200"/>
        <v>1631</v>
      </c>
      <c r="I1211" s="2074">
        <f>(H1211/G1211)*100</f>
        <v>100</v>
      </c>
      <c r="R1211" s="2691">
        <f>F1211</f>
        <v>1600</v>
      </c>
      <c r="S1211" s="2691">
        <f>G1211</f>
        <v>1631</v>
      </c>
      <c r="T1211" s="2691">
        <f>H1211</f>
        <v>1631</v>
      </c>
    </row>
    <row r="1212" spans="1:20" ht="13.5" thickTop="1" x14ac:dyDescent="0.2"/>
    <row r="1214" spans="1:20" ht="13.5" thickBot="1" x14ac:dyDescent="0.25">
      <c r="A1214" s="1719" t="s">
        <v>708</v>
      </c>
      <c r="I1214" s="2071" t="s">
        <v>92</v>
      </c>
    </row>
    <row r="1215" spans="1:20" ht="14.25" thickTop="1" thickBot="1" x14ac:dyDescent="0.25">
      <c r="A1215" s="1047" t="s">
        <v>324</v>
      </c>
      <c r="B1215" s="1044" t="s">
        <v>93</v>
      </c>
      <c r="C1215" s="1046" t="s">
        <v>94</v>
      </c>
      <c r="D1215" s="1069" t="s">
        <v>364</v>
      </c>
      <c r="E1215" s="1069" t="s">
        <v>95</v>
      </c>
      <c r="F1215" s="1069" t="s">
        <v>328</v>
      </c>
      <c r="G1215" s="1069" t="s">
        <v>329</v>
      </c>
      <c r="H1215" s="1749" t="s">
        <v>448</v>
      </c>
      <c r="I1215" s="2089" t="s">
        <v>449</v>
      </c>
    </row>
    <row r="1216" spans="1:20" ht="14.25" thickTop="1" thickBot="1" x14ac:dyDescent="0.25">
      <c r="A1216" s="1042">
        <v>1</v>
      </c>
      <c r="B1216" s="1041">
        <v>2</v>
      </c>
      <c r="C1216" s="1041">
        <v>3</v>
      </c>
      <c r="D1216" s="1041">
        <v>4</v>
      </c>
      <c r="E1216" s="1041">
        <v>5</v>
      </c>
      <c r="F1216" s="1040">
        <v>6</v>
      </c>
      <c r="G1216" s="1040">
        <v>7</v>
      </c>
      <c r="H1216" s="1164">
        <v>8</v>
      </c>
      <c r="I1216" s="1039" t="s">
        <v>393</v>
      </c>
    </row>
    <row r="1217" spans="1:20" ht="15.75" thickTop="1" x14ac:dyDescent="0.25">
      <c r="A1217" s="2080">
        <v>1420</v>
      </c>
      <c r="B1217" s="2079">
        <v>3141</v>
      </c>
      <c r="C1217" s="2079">
        <v>5331</v>
      </c>
      <c r="D1217" s="2097"/>
      <c r="E1217" s="2096" t="s">
        <v>481</v>
      </c>
      <c r="F1217" s="2095">
        <f>F1218+F1219+F1220</f>
        <v>4707</v>
      </c>
      <c r="G1217" s="2095">
        <f>G1218+G1219+G1220</f>
        <v>0</v>
      </c>
      <c r="H1217" s="2095">
        <f>H1218+H1219+H1220</f>
        <v>0</v>
      </c>
      <c r="I1217" s="2094">
        <v>0</v>
      </c>
    </row>
    <row r="1218" spans="1:20" ht="14.25" x14ac:dyDescent="0.2">
      <c r="A1218" s="2080"/>
      <c r="B1218" s="2079"/>
      <c r="C1218" s="2079"/>
      <c r="D1218" s="2630" t="s">
        <v>1394</v>
      </c>
      <c r="E1218" s="923" t="s">
        <v>1537</v>
      </c>
      <c r="F1218" s="2077">
        <v>2439</v>
      </c>
      <c r="G1218" s="2077">
        <v>0</v>
      </c>
      <c r="H1218" s="2077">
        <v>0</v>
      </c>
      <c r="I1218" s="2076">
        <v>0</v>
      </c>
    </row>
    <row r="1219" spans="1:20" ht="14.25" x14ac:dyDescent="0.2">
      <c r="A1219" s="2080"/>
      <c r="B1219" s="2079"/>
      <c r="C1219" s="2079"/>
      <c r="D1219" s="811" t="s">
        <v>994</v>
      </c>
      <c r="E1219" s="2627" t="s">
        <v>1541</v>
      </c>
      <c r="F1219" s="2077">
        <v>125</v>
      </c>
      <c r="G1219" s="2077">
        <v>0</v>
      </c>
      <c r="H1219" s="2077">
        <v>0</v>
      </c>
      <c r="I1219" s="2076">
        <v>0</v>
      </c>
    </row>
    <row r="1220" spans="1:20" ht="15" thickBot="1" x14ac:dyDescent="0.25">
      <c r="A1220" s="2080"/>
      <c r="B1220" s="2079"/>
      <c r="C1220" s="2079"/>
      <c r="D1220" s="811" t="s">
        <v>993</v>
      </c>
      <c r="E1220" s="2627" t="s">
        <v>1538</v>
      </c>
      <c r="F1220" s="2021">
        <v>2143</v>
      </c>
      <c r="G1220" s="1062">
        <v>0</v>
      </c>
      <c r="H1220" s="1022">
        <v>0</v>
      </c>
      <c r="I1220" s="1061">
        <v>0</v>
      </c>
    </row>
    <row r="1221" spans="1:20" ht="16.5" thickTop="1" thickBot="1" x14ac:dyDescent="0.3">
      <c r="A1221" s="3301" t="s">
        <v>522</v>
      </c>
      <c r="B1221" s="3302"/>
      <c r="C1221" s="3302"/>
      <c r="D1221" s="3302"/>
      <c r="E1221" s="3302"/>
      <c r="F1221" s="2075">
        <f>F1217</f>
        <v>4707</v>
      </c>
      <c r="G1221" s="2075">
        <f>G1217</f>
        <v>0</v>
      </c>
      <c r="H1221" s="2075">
        <f>H1217</f>
        <v>0</v>
      </c>
      <c r="I1221" s="2074">
        <v>0</v>
      </c>
      <c r="R1221" s="2691">
        <f>F1221</f>
        <v>4707</v>
      </c>
      <c r="S1221" s="2691">
        <f>G1221</f>
        <v>0</v>
      </c>
      <c r="T1221" s="2691">
        <f>H1221</f>
        <v>0</v>
      </c>
    </row>
    <row r="1222" spans="1:20" ht="13.5" thickTop="1" x14ac:dyDescent="0.2"/>
    <row r="1224" spans="1:20" ht="13.5" thickBot="1" x14ac:dyDescent="0.25">
      <c r="A1224" s="1719" t="s">
        <v>526</v>
      </c>
      <c r="I1224" s="2071" t="s">
        <v>92</v>
      </c>
    </row>
    <row r="1225" spans="1:20" ht="14.25" thickTop="1" thickBot="1" x14ac:dyDescent="0.25">
      <c r="A1225" s="1047" t="s">
        <v>324</v>
      </c>
      <c r="B1225" s="1044" t="s">
        <v>93</v>
      </c>
      <c r="C1225" s="1046" t="s">
        <v>94</v>
      </c>
      <c r="D1225" s="1069" t="s">
        <v>364</v>
      </c>
      <c r="E1225" s="1069" t="s">
        <v>95</v>
      </c>
      <c r="F1225" s="1069" t="s">
        <v>328</v>
      </c>
      <c r="G1225" s="1069" t="s">
        <v>329</v>
      </c>
      <c r="H1225" s="1749" t="s">
        <v>448</v>
      </c>
      <c r="I1225" s="2089" t="s">
        <v>449</v>
      </c>
    </row>
    <row r="1226" spans="1:20" ht="14.25" thickTop="1" thickBot="1" x14ac:dyDescent="0.25">
      <c r="A1226" s="1042">
        <v>1</v>
      </c>
      <c r="B1226" s="1041">
        <v>2</v>
      </c>
      <c r="C1226" s="1041">
        <v>3</v>
      </c>
      <c r="D1226" s="1041">
        <v>4</v>
      </c>
      <c r="E1226" s="1041">
        <v>5</v>
      </c>
      <c r="F1226" s="1040">
        <v>6</v>
      </c>
      <c r="G1226" s="1040">
        <v>7</v>
      </c>
      <c r="H1226" s="1164">
        <v>8</v>
      </c>
      <c r="I1226" s="1039" t="s">
        <v>393</v>
      </c>
    </row>
    <row r="1227" spans="1:20" ht="15.75" thickTop="1" x14ac:dyDescent="0.25">
      <c r="A1227" s="2088">
        <v>1450</v>
      </c>
      <c r="B1227" s="2087">
        <v>3146</v>
      </c>
      <c r="C1227" s="2087">
        <v>5331</v>
      </c>
      <c r="D1227" s="2086"/>
      <c r="E1227" s="2085" t="s">
        <v>481</v>
      </c>
      <c r="F1227" s="2084">
        <f>F1228+F1229+F1230</f>
        <v>4636</v>
      </c>
      <c r="G1227" s="2084">
        <f t="shared" ref="G1227:H1227" si="201">G1228+G1229+G1230</f>
        <v>5133</v>
      </c>
      <c r="H1227" s="2084">
        <f t="shared" si="201"/>
        <v>5133</v>
      </c>
      <c r="I1227" s="2083">
        <f>(H1227/G1227)*100</f>
        <v>100</v>
      </c>
    </row>
    <row r="1228" spans="1:20" ht="14.25" x14ac:dyDescent="0.2">
      <c r="A1228" s="2080"/>
      <c r="B1228" s="2079"/>
      <c r="C1228" s="2079"/>
      <c r="D1228" s="2630" t="s">
        <v>1394</v>
      </c>
      <c r="E1228" s="923" t="s">
        <v>1537</v>
      </c>
      <c r="F1228" s="2077">
        <v>4560</v>
      </c>
      <c r="G1228" s="2077">
        <v>5036</v>
      </c>
      <c r="H1228" s="2077">
        <v>5036</v>
      </c>
      <c r="I1228" s="2076">
        <f>(H1228/G1228)*100</f>
        <v>100</v>
      </c>
    </row>
    <row r="1229" spans="1:20" ht="15" thickBot="1" x14ac:dyDescent="0.25">
      <c r="A1229" s="2080"/>
      <c r="B1229" s="2093"/>
      <c r="C1229" s="2092"/>
      <c r="D1229" s="811" t="s">
        <v>993</v>
      </c>
      <c r="E1229" s="2627" t="s">
        <v>1538</v>
      </c>
      <c r="F1229" s="2091">
        <v>76</v>
      </c>
      <c r="G1229" s="2091">
        <v>97</v>
      </c>
      <c r="H1229" s="2091">
        <v>97</v>
      </c>
      <c r="I1229" s="2090">
        <f>(H1229/G1229)*100</f>
        <v>100</v>
      </c>
    </row>
    <row r="1230" spans="1:20" ht="15" hidden="1" thickBot="1" x14ac:dyDescent="0.25">
      <c r="A1230" s="2080"/>
      <c r="B1230" s="2093"/>
      <c r="C1230" s="2092"/>
      <c r="D1230" s="811" t="s">
        <v>1395</v>
      </c>
      <c r="E1230" s="2627" t="s">
        <v>1539</v>
      </c>
      <c r="F1230" s="2091"/>
      <c r="G1230" s="2091"/>
      <c r="H1230" s="2091"/>
      <c r="I1230" s="2090" t="e">
        <f>(H1230/G1230)*100</f>
        <v>#DIV/0!</v>
      </c>
    </row>
    <row r="1231" spans="1:20" ht="16.5" thickTop="1" thickBot="1" x14ac:dyDescent="0.3">
      <c r="A1231" s="3301" t="s">
        <v>522</v>
      </c>
      <c r="B1231" s="3302"/>
      <c r="C1231" s="3302"/>
      <c r="D1231" s="3302"/>
      <c r="E1231" s="3302"/>
      <c r="F1231" s="2075">
        <f>F1227</f>
        <v>4636</v>
      </c>
      <c r="G1231" s="2075">
        <f>G1227</f>
        <v>5133</v>
      </c>
      <c r="H1231" s="2075">
        <f>H1227</f>
        <v>5133</v>
      </c>
      <c r="I1231" s="2074">
        <f>(H1231/G1231)*100</f>
        <v>100</v>
      </c>
      <c r="R1231" s="2691">
        <f>F1231</f>
        <v>4636</v>
      </c>
      <c r="S1231" s="2691">
        <f>G1231</f>
        <v>5133</v>
      </c>
      <c r="T1231" s="2691">
        <f>H1231</f>
        <v>5133</v>
      </c>
    </row>
    <row r="1232" spans="1:20" ht="15.75" thickTop="1" x14ac:dyDescent="0.25">
      <c r="A1232" s="1137"/>
      <c r="B1232" s="1137"/>
      <c r="C1232" s="1137"/>
      <c r="D1232" s="1137"/>
      <c r="E1232" s="1137"/>
      <c r="F1232" s="2073"/>
      <c r="G1232" s="2073"/>
      <c r="H1232" s="2073"/>
      <c r="I1232" s="2072"/>
      <c r="R1232" s="2691"/>
      <c r="S1232" s="2691"/>
      <c r="T1232" s="2691"/>
    </row>
    <row r="1233" spans="1:27" ht="13.5" thickBot="1" x14ac:dyDescent="0.25">
      <c r="A1233" s="1719" t="s">
        <v>709</v>
      </c>
      <c r="I1233" s="2071" t="s">
        <v>92</v>
      </c>
      <c r="X1233" s="997" t="s">
        <v>1882</v>
      </c>
      <c r="Y1233" s="1002">
        <f>F1236+F1237+F1238+F1239+F1240+F1241+F1242</f>
        <v>0</v>
      </c>
      <c r="Z1233" s="1002">
        <f t="shared" ref="Z1233:AA1233" si="202">G1236+G1237+G1238+G1239+G1240+G1241+G1242</f>
        <v>154</v>
      </c>
      <c r="AA1233" s="1002">
        <f t="shared" si="202"/>
        <v>123</v>
      </c>
    </row>
    <row r="1234" spans="1:27" ht="14.25" thickTop="1" thickBot="1" x14ac:dyDescent="0.25">
      <c r="A1234" s="1047" t="s">
        <v>324</v>
      </c>
      <c r="B1234" s="1044" t="s">
        <v>93</v>
      </c>
      <c r="C1234" s="1046" t="s">
        <v>94</v>
      </c>
      <c r="D1234" s="1069" t="s">
        <v>364</v>
      </c>
      <c r="E1234" s="1069" t="s">
        <v>95</v>
      </c>
      <c r="F1234" s="1069" t="s">
        <v>328</v>
      </c>
      <c r="G1234" s="1069" t="s">
        <v>329</v>
      </c>
      <c r="H1234" s="1749" t="s">
        <v>448</v>
      </c>
      <c r="I1234" s="2089" t="s">
        <v>449</v>
      </c>
    </row>
    <row r="1235" spans="1:27" ht="14.25" thickTop="1" thickBot="1" x14ac:dyDescent="0.25">
      <c r="A1235" s="1042">
        <v>1</v>
      </c>
      <c r="B1235" s="1041">
        <v>2</v>
      </c>
      <c r="C1235" s="1041">
        <v>3</v>
      </c>
      <c r="D1235" s="1041">
        <v>4</v>
      </c>
      <c r="E1235" s="1041">
        <v>5</v>
      </c>
      <c r="F1235" s="1040">
        <v>6</v>
      </c>
      <c r="G1235" s="1040">
        <v>7</v>
      </c>
      <c r="H1235" s="1164">
        <v>8</v>
      </c>
      <c r="I1235" s="1039" t="s">
        <v>393</v>
      </c>
      <c r="X1235" s="997" t="s">
        <v>1883</v>
      </c>
      <c r="Y1235" s="1002">
        <f>F24+F60+F71+F168+F223+F233+F245+F299+F315+F336+F345+F390+F458+F489+F516+F533+F548+F560+F570+F585+F598+F608+F621+F680+F732+F786+F862+F874+F905+F1128+F1148+F1186+F1244</f>
        <v>0</v>
      </c>
      <c r="Z1235" s="1002">
        <f>G24+G60+G71+G168+G223+G233+G245+G299+G315+G336+G345+G390+G458+G489+G516+G533+G548+G560+G570+G585+G598+G608+G621+G680+G732+G786+G862+G874+G905+G1128+G1148+G1186+G1244</f>
        <v>16375</v>
      </c>
      <c r="AA1235" s="1002">
        <f>H24+H60+H71+H168+H223+H233+H245+H299+H315+H336+H345+H390+H458+H489+H516+H533+H548+H560+H570+H585+H598+H608+H621+H680+H732+H786+H862+H874+H905+H1128+H1148+H1186+H1244</f>
        <v>16375</v>
      </c>
    </row>
    <row r="1236" spans="1:27" ht="15.75" thickTop="1" x14ac:dyDescent="0.25">
      <c r="A1236" s="2080">
        <v>1465</v>
      </c>
      <c r="B1236" s="3111">
        <v>3294</v>
      </c>
      <c r="C1236" s="3114">
        <v>5152</v>
      </c>
      <c r="D1236" s="2802"/>
      <c r="E1236" s="1863" t="s">
        <v>438</v>
      </c>
      <c r="F1236" s="1066">
        <v>0</v>
      </c>
      <c r="G1236" s="1066">
        <v>22</v>
      </c>
      <c r="H1236" s="1066">
        <v>0</v>
      </c>
      <c r="I1236" s="2098">
        <f t="shared" ref="I1236:I1242" si="203">(H1236/G1236)*100</f>
        <v>0</v>
      </c>
    </row>
    <row r="1237" spans="1:27" ht="15" x14ac:dyDescent="0.25">
      <c r="A1237" s="1366"/>
      <c r="B1237" s="3111">
        <v>3294</v>
      </c>
      <c r="C1237" s="3114">
        <v>5154</v>
      </c>
      <c r="D1237" s="2802"/>
      <c r="E1237" s="1863" t="s">
        <v>159</v>
      </c>
      <c r="F1237" s="1066">
        <v>0</v>
      </c>
      <c r="G1237" s="1066">
        <v>14</v>
      </c>
      <c r="H1237" s="1066">
        <v>14</v>
      </c>
      <c r="I1237" s="2098">
        <f t="shared" si="203"/>
        <v>100</v>
      </c>
      <c r="X1237" s="997" t="s">
        <v>1884</v>
      </c>
      <c r="Y1237" s="1002">
        <f>F25+F36+F45+F61+F72+F88+F100+F112+F121+F130+F139+F149+F158+F169+F182+F193+F202+F214+F224+F234+F246+F259+F267+F277+F289+F300+F316+F328+F337+F346+F354+F363+F371+F380+F391+F400+F413+F427+F436+F449+F459+F467+F477+F490+F498+F507+F517+F525+F535+F549+F561+F571+F586+F599+F609+F622+F633+F646+F658+F670+F681+F696+F704+F716+F724+F733+F746+F756+F765+F777+F787+F799+F816+F826+F839+F848+F863+F875+F883+F897+F906+F918+F932+F978+F986+F994+F1002+F1011+F1021+F1037+F1053+F1061+F1070+F1078+F1086+F1095+F1103+F1111+F1120+F1129+F1140+F1149+F1160+F1171+F1187+F1195+F1209+F1218+F1228+F1245</f>
        <v>275241</v>
      </c>
      <c r="Z1237" s="1002">
        <f>G25+G36+G45+G61+G72+G88+G100+G112+G121+G130+G139+G149+G158+G169+G182+G193+G202+G214+G224+G234+G246+G259+G267+G277+G289+G300+G316+G328+G337+G346+G354+G363+G371+G380+G391+G400+G413+G427+G436+G449+G459+G467+G477+G490+G498+G507+G517+G525+G535+G549+G561+G571+G586+G599+G609+G622+G633+G646+G658+G670+G681+G696+G704+G716+G724+G733+G746+G756+G765+G777+G787+G799+G816+G826+G839+G848+G863+G875+G883+G897+G906+G918+G932+G978+G986+G994+G1002+G1011+G1021+G1037+G1053+G1061+G1070+G1078+G1086+G1095+G1103+G1111+G1120+G1129+G1140+G1149+G1160+G1171+G1187+G1195+G1209+G1218+G1228+G1245</f>
        <v>278486</v>
      </c>
      <c r="AA1237" s="1002">
        <f>H25+H36+H45+H61+H72+H88+H100+H112+H121+H130+H139+H149+H158+H169+H182+H193+H202+H214+H224+H234+H246+H259+H267+H277+H289+H300+H316+H328+H337+H346+H354+H363+H371+H380+H391+H400+H413+H427+H436+H449+H459+H467+H477+H490+H498+H507+H517+H525+H535+H549+H561+H571+H586+H599+H609+H622+H633+H646+H658+H670+H681+H696+H704+H716+H724+H733+H746+H756+H765+H777+H787+H799+H816+H826+H839+H848+H863+H875+H883+H897+H906+H918+H932+H978+H986+H994+H1002+H1011+H1021+H1037+H1053+H1061+H1070+H1078+H1086+H1095+H1103+H1111+H1120+H1129+H1140+H1149+H1160+H1171+H1187+H1195+H1209+H1218+H1228+H1245</f>
        <v>278486</v>
      </c>
    </row>
    <row r="1238" spans="1:27" ht="15" x14ac:dyDescent="0.25">
      <c r="A1238" s="1366"/>
      <c r="B1238" s="3111">
        <v>3294</v>
      </c>
      <c r="C1238" s="3114">
        <v>5157</v>
      </c>
      <c r="D1238" s="2802"/>
      <c r="E1238" s="1863" t="s">
        <v>211</v>
      </c>
      <c r="F1238" s="1066">
        <v>0</v>
      </c>
      <c r="G1238" s="1066">
        <v>9</v>
      </c>
      <c r="H1238" s="1066">
        <v>0</v>
      </c>
      <c r="I1238" s="2098">
        <f t="shared" si="203"/>
        <v>0</v>
      </c>
    </row>
    <row r="1239" spans="1:27" ht="15" x14ac:dyDescent="0.25">
      <c r="A1239" s="1366"/>
      <c r="B1239" s="3111">
        <v>3294</v>
      </c>
      <c r="C1239" s="3114">
        <v>5162</v>
      </c>
      <c r="D1239" s="2802"/>
      <c r="E1239" s="1863" t="s">
        <v>439</v>
      </c>
      <c r="F1239" s="1066">
        <v>0</v>
      </c>
      <c r="G1239" s="1066">
        <v>1</v>
      </c>
      <c r="H1239" s="1066">
        <v>1</v>
      </c>
      <c r="I1239" s="2098">
        <f t="shared" si="203"/>
        <v>100</v>
      </c>
      <c r="X1239" s="997" t="s">
        <v>1885</v>
      </c>
      <c r="Y1239" s="1002">
        <f>F73+F101+F225+F301+F437+F469+F572+F659+F734+F778+F817+F827+F840+F849+F919+F933+F1219+F1246</f>
        <v>1854</v>
      </c>
      <c r="Z1239" s="1002">
        <f>G73+G101+G225+G301+G437+G469+G572+G659+G734+G778+G817+G827+G840+G849+G919+G933+G1219+G1246</f>
        <v>1886</v>
      </c>
      <c r="AA1239" s="1002">
        <f>H73+H101+H225+H301+H437+H469+H572+H659+H734+H778+H817+H827+H840+H849+H919+H933+H1219+H1246</f>
        <v>1886</v>
      </c>
    </row>
    <row r="1240" spans="1:27" ht="28.5" customHeight="1" x14ac:dyDescent="0.2">
      <c r="A1240" s="1366"/>
      <c r="B1240" s="3111">
        <v>3294</v>
      </c>
      <c r="C1240" s="3114">
        <v>5168</v>
      </c>
      <c r="D1240" s="2802"/>
      <c r="E1240" s="3296" t="s">
        <v>838</v>
      </c>
      <c r="F1240" s="3112">
        <v>0</v>
      </c>
      <c r="G1240" s="3112">
        <v>3</v>
      </c>
      <c r="H1240" s="3112">
        <v>3</v>
      </c>
      <c r="I1240" s="3113">
        <f t="shared" si="203"/>
        <v>100</v>
      </c>
      <c r="X1240" s="997" t="s">
        <v>1886</v>
      </c>
      <c r="Y1240" s="1002">
        <f>F26+F46+F62+F74+F89+F102+F131+F140+F159+F170+F183+F203+F216+F226+F235+F247+F260+F268+F278+F290+F302+F317+F329+F338+F347+F355+F364+F373+F382+F392+F401+F414+F429+F438+F450+F460+F470+F479+F491+F499+F508+F518+F526+F536+F550+F562+F573+F587+F600+F610+F623+F634+F648+F660+F671+F682+F697+F705+F717+F725+F735+F747+F757+F766+F779+F788+F800+F818+F828+F841+F850+F864+F876+F885+F898+F907+F920+F934+F946+F957+F964+F971+F979+F987+F1003+F1022+F1038+F1045+F1054+F1062+F1071+F1079+F1087+F1096+F1104+F1112+F1121+F1130+F1141+F1150+F1161+F1172+F1188+F1196+F1210+F1220+F1229+F1247</f>
        <v>80041</v>
      </c>
      <c r="Z1240" s="1002">
        <f>G26+G46+G62+G74+G89+G102+G131+G140+G159+G170+G183+G203+G216+G226+G235+G247+G260+G268+G278+G290+G302+G317+G329+G338+G347+G355+G364+G373+G382+G392+G401+G414+G429+G438+G450+G460+G470+G479+G491+G499+G508+G518+G526+G536+G550+G562+G573+G587+G600+G610+G623+G634+G648+G660+G671+G682+G697+G705+G717+G725+G735+G747+G757+G766+G779+G788+G800+G818+G828+G841+G850+G864+G876+G885+G898+G907+G920+G934+G946+G957+G964+G971+G979+G987+G1003+G1022+G1038+G1045+G1054+G1062+G1071+G1079+G1087+G1096+G1104+G1112+G1121+G1130+G1141+G1150+G1161+G1172+G1188+G1196+G1210+G1220+G1229+G1247</f>
        <v>80558</v>
      </c>
      <c r="AA1240" s="1002">
        <f>H26+H46+H62+H74+H89+H102+H131+H140+H159+H170+H183+H203+H216+H226+H235+H247+H260+H268+H278+H290+H302+H317+H329+H338+H347+H355+H364+H373+H382+H392+H401+H414+H429+H438+H450+H460+H470+H479+H491+H499+H508+H518+H526+H536+H550+H562+H573+H587+H600+H610+H623+H634+H648+H660+H671+H682+H697+H705+H717+H725+H735+H747+H757+H766+H779+H788+H800+H818+H828+H841+H850+H864+H876+H885+H898+H907+H920+H934+H946+H957+H964+H971+H979+H987+H1003+H1022+H1038+H1045+H1054+H1062+H1071+H1079+H1087+H1096+H1104+H1112+H1121+H1130+H1141+H1150+H1161+H1172+H1188+H1196+H1210+H1220+H1229+H1247</f>
        <v>80558</v>
      </c>
    </row>
    <row r="1241" spans="1:27" ht="11.25" hidden="1" customHeight="1" x14ac:dyDescent="0.25">
      <c r="A1241" s="1366"/>
      <c r="B1241" s="3111">
        <v>3294</v>
      </c>
      <c r="C1241" s="3114">
        <v>5169</v>
      </c>
      <c r="D1241" s="2802"/>
      <c r="E1241" s="3297"/>
      <c r="F1241" s="1066">
        <v>0</v>
      </c>
      <c r="G1241" s="1066">
        <v>0</v>
      </c>
      <c r="H1241" s="1066">
        <v>0</v>
      </c>
      <c r="I1241" s="2098" t="e">
        <f t="shared" si="203"/>
        <v>#DIV/0!</v>
      </c>
    </row>
    <row r="1242" spans="1:27" ht="15" x14ac:dyDescent="0.25">
      <c r="A1242" s="1366"/>
      <c r="B1242" s="3111">
        <v>3294</v>
      </c>
      <c r="C1242" s="3114">
        <v>5362</v>
      </c>
      <c r="D1242" s="2802"/>
      <c r="E1242" s="1863" t="s">
        <v>712</v>
      </c>
      <c r="F1242" s="1066">
        <v>0</v>
      </c>
      <c r="G1242" s="1066">
        <v>105</v>
      </c>
      <c r="H1242" s="1066">
        <v>105</v>
      </c>
      <c r="I1242" s="2098">
        <f t="shared" si="203"/>
        <v>100</v>
      </c>
    </row>
    <row r="1243" spans="1:27" ht="15" x14ac:dyDescent="0.25">
      <c r="A1243" s="2080">
        <v>1465</v>
      </c>
      <c r="B1243" s="3111">
        <v>3294</v>
      </c>
      <c r="C1243" s="3115">
        <v>5331</v>
      </c>
      <c r="D1243" s="2099"/>
      <c r="E1243" s="2096" t="s">
        <v>481</v>
      </c>
      <c r="F1243" s="2095">
        <f>F1244+F1245+F1246+F1247+F1248</f>
        <v>1559</v>
      </c>
      <c r="G1243" s="2095">
        <f>G1244+G1245+G1246+G1247+G1248</f>
        <v>1851</v>
      </c>
      <c r="H1243" s="2095">
        <f>H1244+H1245+H1246+H1247+H1248</f>
        <v>1851</v>
      </c>
      <c r="I1243" s="2098">
        <f>(H1243/G1243)*100</f>
        <v>100</v>
      </c>
      <c r="X1243" s="997" t="s">
        <v>1887</v>
      </c>
      <c r="Y1243" s="1002">
        <f>F27+F75+F90+F103+F160+F194+F204+F248+F279+F291+F303+F318+F393+F402+F415+F500+F537+F574+F588+F601+F706+F736+F758+F789+F801+F851+F908+F935+F1023+F1046+F1113+F1197+F1230+F1248</f>
        <v>875</v>
      </c>
      <c r="Z1243" s="1002">
        <f>G27+G75+G90+G103+G160+G194+G204+G248+G279+G291+G303+G318+G393+G402+G415+G500+G537+G574+G588+G601+G706+G736+G758+G789+G801+G851+G908+G935+G1023+G1046+G1113+G1197+G1230+G1248</f>
        <v>6036</v>
      </c>
      <c r="AA1243" s="1002">
        <f>H27+H75+H90+H103+H160+H194+H204+H248+H279+H291+H303+H318+H393+H402+H415+H500+H537+H574+H588+H601+H706+H736+H758+H789+H801+H851+H908+H935+H1023+H1046+H1113+H1197+H1230+H1248</f>
        <v>6036</v>
      </c>
    </row>
    <row r="1244" spans="1:27" ht="28.5" hidden="1" x14ac:dyDescent="0.2">
      <c r="A1244" s="2080"/>
      <c r="B1244" s="2079"/>
      <c r="C1244" s="2079"/>
      <c r="D1244" s="2634" t="s">
        <v>972</v>
      </c>
      <c r="E1244" s="2633" t="s">
        <v>1540</v>
      </c>
      <c r="F1244" s="2639"/>
      <c r="G1244" s="2639"/>
      <c r="H1244" s="2639"/>
      <c r="I1244" s="2635" t="e">
        <f>(H1244/G1244)*100</f>
        <v>#DIV/0!</v>
      </c>
    </row>
    <row r="1245" spans="1:27" ht="14.25" x14ac:dyDescent="0.2">
      <c r="A1245" s="2080"/>
      <c r="B1245" s="2079"/>
      <c r="C1245" s="2079"/>
      <c r="D1245" s="2630" t="s">
        <v>1394</v>
      </c>
      <c r="E1245" s="923" t="s">
        <v>1537</v>
      </c>
      <c r="F1245" s="2077">
        <v>523</v>
      </c>
      <c r="G1245" s="2077">
        <v>640</v>
      </c>
      <c r="H1245" s="2077">
        <v>640</v>
      </c>
      <c r="I1245" s="2076">
        <f>(H1245/G1245)*100</f>
        <v>100</v>
      </c>
      <c r="X1245" s="997" t="s">
        <v>1889</v>
      </c>
      <c r="Y1245" s="1002">
        <f>F1088</f>
        <v>134</v>
      </c>
      <c r="Z1245" s="1002">
        <f t="shared" ref="Z1245:AA1245" si="204">G1088</f>
        <v>145</v>
      </c>
      <c r="AA1245" s="1002">
        <f t="shared" si="204"/>
        <v>145</v>
      </c>
    </row>
    <row r="1246" spans="1:27" ht="14.25" x14ac:dyDescent="0.2">
      <c r="A1246" s="2080"/>
      <c r="B1246" s="2079"/>
      <c r="C1246" s="2079"/>
      <c r="D1246" s="811" t="s">
        <v>994</v>
      </c>
      <c r="E1246" s="2627" t="s">
        <v>1541</v>
      </c>
      <c r="F1246" s="2077">
        <v>896</v>
      </c>
      <c r="G1246" s="2077">
        <v>922</v>
      </c>
      <c r="H1246" s="2077">
        <v>922</v>
      </c>
      <c r="I1246" s="2076">
        <f t="shared" ref="I1246:I1248" si="205">(H1246/G1246)*100</f>
        <v>100</v>
      </c>
    </row>
    <row r="1247" spans="1:27" ht="14.25" x14ac:dyDescent="0.2">
      <c r="A1247" s="2080"/>
      <c r="B1247" s="2079"/>
      <c r="C1247" s="2079"/>
      <c r="D1247" s="811" t="s">
        <v>993</v>
      </c>
      <c r="E1247" s="2627" t="s">
        <v>1538</v>
      </c>
      <c r="F1247" s="2077">
        <v>140</v>
      </c>
      <c r="G1247" s="2077">
        <v>105</v>
      </c>
      <c r="H1247" s="2077">
        <v>105</v>
      </c>
      <c r="I1247" s="2076">
        <f t="shared" si="205"/>
        <v>100</v>
      </c>
      <c r="X1247" s="997" t="s">
        <v>1888</v>
      </c>
      <c r="Y1247" s="1002">
        <f>F76+F171+F195+F249+F416+F575+F683+F748+F829+F922+F947+F563</f>
        <v>0</v>
      </c>
      <c r="Z1247" s="1002">
        <f>G76+G171+G195+G249+G416+G575+G683+G748+G829+G922+G947+G563</f>
        <v>1050</v>
      </c>
      <c r="AA1247" s="1002">
        <f>H76+H171+H195+H249+H416+H575+H683+H748+H829+H922+H947+H563</f>
        <v>1050</v>
      </c>
    </row>
    <row r="1248" spans="1:27" ht="15" thickBot="1" x14ac:dyDescent="0.25">
      <c r="A1248" s="2080"/>
      <c r="B1248" s="2079"/>
      <c r="C1248" s="2079"/>
      <c r="D1248" s="811" t="s">
        <v>1395</v>
      </c>
      <c r="E1248" s="2627" t="s">
        <v>1539</v>
      </c>
      <c r="F1248" s="2077">
        <v>0</v>
      </c>
      <c r="G1248" s="2077">
        <v>184</v>
      </c>
      <c r="H1248" s="2077">
        <v>184</v>
      </c>
      <c r="I1248" s="2076">
        <f t="shared" si="205"/>
        <v>100</v>
      </c>
      <c r="Y1248" s="1002">
        <f>Y1233+Y1235+Y1237+Y1239+Y1240+Y1243+Y1245+Y1247</f>
        <v>358145</v>
      </c>
      <c r="Z1248" s="1002">
        <f>Z1233+Z1235+Z1237+Z1239+Z1240+Z1243+Z1245+Z1247</f>
        <v>384690</v>
      </c>
      <c r="AA1248" s="1002">
        <f>AA1233+AA1235+AA1237+AA1239+AA1240+AA1243+AA1245+AA1247</f>
        <v>384659</v>
      </c>
    </row>
    <row r="1249" spans="1:23" ht="16.5" thickTop="1" thickBot="1" x14ac:dyDescent="0.3">
      <c r="A1249" s="3301" t="s">
        <v>522</v>
      </c>
      <c r="B1249" s="3302"/>
      <c r="C1249" s="3302"/>
      <c r="D1249" s="3302"/>
      <c r="E1249" s="3302"/>
      <c r="F1249" s="2075">
        <f>F1243+F1236+F1237+F1238+F1239+F1240+F1241+F1242</f>
        <v>1559</v>
      </c>
      <c r="G1249" s="2075">
        <f t="shared" ref="G1249:H1249" si="206">G1243+G1236+G1237+G1238+G1239+G1240+G1241+G1242</f>
        <v>2005</v>
      </c>
      <c r="H1249" s="2075">
        <f t="shared" si="206"/>
        <v>1974</v>
      </c>
      <c r="I1249" s="2074">
        <f>(H1249/G1249)*100</f>
        <v>98.453865336658353</v>
      </c>
      <c r="J1249" s="1002">
        <f>F1249</f>
        <v>1559</v>
      </c>
      <c r="K1249" s="1002" t="e">
        <f>G1249+#REF!</f>
        <v>#REF!</v>
      </c>
      <c r="L1249" s="1002" t="e">
        <f>H1249+#REF!</f>
        <v>#REF!</v>
      </c>
      <c r="R1249" s="2691">
        <f>F1249</f>
        <v>1559</v>
      </c>
      <c r="S1249" s="2691">
        <f>G1249</f>
        <v>2005</v>
      </c>
      <c r="T1249" s="2691">
        <f>H1249</f>
        <v>1974</v>
      </c>
      <c r="U1249" s="1002"/>
      <c r="V1249" s="1002"/>
      <c r="W1249" s="1002"/>
    </row>
    <row r="1250" spans="1:23" ht="13.5" thickTop="1" x14ac:dyDescent="0.2">
      <c r="R1250" s="2696">
        <f>R17+R28+R37+R50+R63+R77+R91+R104+R113+R122+R132+R141+R150+R161+R172+R184+R196+R205+R217+R227+R236+R250+R261+R271+R280+R292+R304+R319+R330+R348+R356+R365+R374+R383+R394+R403+R412+R430+R435+R451+R461+R471+R480+R492+R501+R509+R519+R527+R538+R547+R564+R576+R589+R602+R611+R624+R631+R649+R661+R673+R684+R698+R707+R718+R726+R737+R749+R759+R767+R780+R790+R797+R819+R830+R842+R852+R865+R877+R886+R899+R909+R923+R936+R948+R958+R965+R972+R980+R988+R995+R1004+R1012+R1020+R1039+R1047+R1055+R1064+R1072+R1080+R1089+R1097+R1105+R1114+R1122+R1131+R1142+R1151+R1162+R1173+R1189+R1198+R1211+R1221+R1231+R1249+R339</f>
        <v>408145</v>
      </c>
      <c r="S1250" s="2696">
        <f>S17+S28+S37+S50+S63+S77+S91+S104+S113+S122+S132+S141+S150+S161+S172+S184+S196+S205+S217+S227+S236+S250+S261+S271+S280+S292+S304+S319+S330+S348+S356+S365+S374+S383+S394+S403+S412+S430+S435+S451+S461+S471+S480+S492+S501+S509+S519+S527+S538+S547+S564+S576+S589+S602+S611+S624+S631+S649+S661+S673+S684+S698+S707+S718+S726+S737+S749+S759+S767+S780+S790+S797+S819+S830+S842+S852+S865+S877+S886+S899+S909+S923+S936+S948+S958+S965+S972+S980+S988+S995+S1004+S1012+S1020+S1039+S1047+S1055+S1064+S1072+S1080+S1089+S1097+S1105+S1114+S1122+S1131+S1142+S1151+S1162+S1173+S1189+S1198+S1211+S1221+S1231+S1249+S339</f>
        <v>384690</v>
      </c>
      <c r="T1250" s="2696">
        <f>T17+T28+T37+T50+T63+T77+T91+T104+T113+T122+T132+T141+T150+T161+T172+T184+T196+T205+T217+T227+T236+T250+T261+T271+T280+T292+T304+T319+T330+T348+T356+T365+T374+T383+T394+T403+T412+T430+T435+T451+T461+T471+T480+T492+T501+T509+T519+T527+T538+T547+T564+T576+T589+T602+T611+T624+T631+T649+T661+T673+T684+T698+T707+T718+T726+T737+T749+T759+T767+T780+T790+T797+T819+T830+T842+T852+T865+T877+T886+T899+T909+T923+T936+T948+T958+T965+T972+T980+T988+T995+T1004+T1012+T1020+T1039+T1047+T1055+T1064+T1072+T1080+T1089+T1097+T1105+T1114+T1122+T1131+T1142+T1151+T1162+T1173+T1189+T1198+T1211+T1221+T1231+T1249+T339</f>
        <v>384659</v>
      </c>
      <c r="U1250" s="2696">
        <f>SUM(U17:U1249)</f>
        <v>0</v>
      </c>
      <c r="V1250" s="2696">
        <f>SUM(V17:V1249)</f>
        <v>2657</v>
      </c>
      <c r="W1250" s="2696">
        <f>SUM(W17:W1249)</f>
        <v>2657</v>
      </c>
    </row>
    <row r="1251" spans="1:23" x14ac:dyDescent="0.2">
      <c r="R1251" s="2697"/>
      <c r="S1251" s="2697"/>
      <c r="T1251" s="2697"/>
      <c r="U1251" s="2697"/>
      <c r="V1251" s="2697"/>
      <c r="W1251" s="2697"/>
    </row>
    <row r="1252" spans="1:23" x14ac:dyDescent="0.2">
      <c r="R1252" s="2696"/>
      <c r="S1252" s="2696"/>
      <c r="T1252" s="2696">
        <f>S1250+V1250</f>
        <v>387347</v>
      </c>
      <c r="U1252" s="2696">
        <f>T1250+W1250</f>
        <v>387316</v>
      </c>
      <c r="V1252" s="2696"/>
      <c r="W1252" s="2696"/>
    </row>
    <row r="1253" spans="1:23" ht="18" x14ac:dyDescent="0.25">
      <c r="A1253" s="2687" t="s">
        <v>1595</v>
      </c>
      <c r="R1253" s="2696"/>
      <c r="S1253" s="2697"/>
      <c r="T1253" s="2697"/>
      <c r="U1253" s="2697"/>
      <c r="V1253" s="2697"/>
      <c r="W1253" s="2697"/>
    </row>
    <row r="1254" spans="1:23" hidden="1" x14ac:dyDescent="0.2">
      <c r="R1254" s="2696"/>
      <c r="S1254" s="2697"/>
      <c r="T1254" s="2697"/>
      <c r="U1254" s="1688"/>
      <c r="V1254" s="1688"/>
      <c r="W1254" s="1688"/>
    </row>
    <row r="1255" spans="1:23" hidden="1" x14ac:dyDescent="0.2">
      <c r="R1255" s="2696"/>
      <c r="S1255" s="2697"/>
      <c r="T1255" s="2697"/>
      <c r="U1255" s="1688"/>
      <c r="V1255" s="1688"/>
      <c r="W1255" s="1688"/>
    </row>
    <row r="1256" spans="1:23" hidden="1" x14ac:dyDescent="0.2">
      <c r="R1256" s="2696"/>
      <c r="S1256" s="2697"/>
      <c r="T1256" s="2697"/>
      <c r="U1256" s="1688"/>
      <c r="V1256" s="1688"/>
      <c r="W1256" s="1688"/>
    </row>
    <row r="1257" spans="1:23" hidden="1" x14ac:dyDescent="0.2">
      <c r="R1257" s="2696"/>
      <c r="S1257" s="2697"/>
      <c r="T1257" s="2697"/>
      <c r="U1257" s="1688"/>
      <c r="V1257" s="1688"/>
      <c r="W1257" s="1688"/>
    </row>
    <row r="1258" spans="1:23" hidden="1" x14ac:dyDescent="0.2">
      <c r="R1258" s="2696"/>
      <c r="S1258" s="2697"/>
      <c r="T1258" s="2697"/>
      <c r="U1258" s="1688"/>
      <c r="V1258" s="1688"/>
      <c r="W1258" s="1688"/>
    </row>
    <row r="1259" spans="1:23" hidden="1" x14ac:dyDescent="0.2">
      <c r="R1259" s="2696"/>
      <c r="S1259" s="2697"/>
      <c r="T1259" s="2697"/>
      <c r="U1259" s="1688"/>
      <c r="V1259" s="1688"/>
      <c r="W1259" s="1688"/>
    </row>
    <row r="1260" spans="1:23" hidden="1" x14ac:dyDescent="0.2">
      <c r="R1260" s="2696"/>
      <c r="S1260" s="2697"/>
      <c r="T1260" s="2697"/>
      <c r="U1260" s="1688"/>
      <c r="V1260" s="1688"/>
      <c r="W1260" s="1688"/>
    </row>
    <row r="1261" spans="1:23" hidden="1" x14ac:dyDescent="0.2">
      <c r="R1261" s="2696"/>
      <c r="S1261" s="2697"/>
      <c r="T1261" s="2697"/>
      <c r="U1261" s="1688"/>
      <c r="V1261" s="1688"/>
      <c r="W1261" s="1688"/>
    </row>
    <row r="1262" spans="1:23" hidden="1" x14ac:dyDescent="0.2">
      <c r="R1262" s="2696"/>
      <c r="S1262" s="2697"/>
      <c r="T1262" s="2697"/>
      <c r="U1262" s="1688"/>
      <c r="V1262" s="1688"/>
      <c r="W1262" s="1688"/>
    </row>
    <row r="1263" spans="1:23" hidden="1" x14ac:dyDescent="0.2">
      <c r="R1263" s="2696"/>
      <c r="S1263" s="2697"/>
      <c r="T1263" s="2697"/>
      <c r="U1263" s="1688"/>
      <c r="V1263" s="1688"/>
      <c r="W1263" s="1688"/>
    </row>
    <row r="1264" spans="1:23" hidden="1" x14ac:dyDescent="0.2">
      <c r="R1264" s="2696"/>
      <c r="S1264" s="2697"/>
      <c r="T1264" s="2697"/>
      <c r="U1264" s="1688"/>
      <c r="V1264" s="1688"/>
      <c r="W1264" s="1688"/>
    </row>
    <row r="1265" spans="1:23" hidden="1" x14ac:dyDescent="0.2">
      <c r="R1265" s="2696"/>
      <c r="S1265" s="2697"/>
      <c r="T1265" s="2697"/>
      <c r="U1265" s="1688"/>
      <c r="V1265" s="1688"/>
      <c r="W1265" s="1688"/>
    </row>
    <row r="1266" spans="1:23" hidden="1" x14ac:dyDescent="0.2">
      <c r="R1266" s="2696"/>
      <c r="S1266" s="2697"/>
      <c r="T1266" s="2697"/>
      <c r="U1266" s="1688"/>
      <c r="V1266" s="1688"/>
      <c r="W1266" s="1688"/>
    </row>
    <row r="1267" spans="1:23" hidden="1" x14ac:dyDescent="0.2">
      <c r="R1267" s="2696"/>
      <c r="S1267" s="2697"/>
      <c r="T1267" s="2697"/>
      <c r="U1267" s="1688"/>
      <c r="V1267" s="1688"/>
      <c r="W1267" s="1688"/>
    </row>
    <row r="1268" spans="1:23" hidden="1" x14ac:dyDescent="0.2">
      <c r="R1268" s="2696"/>
      <c r="S1268" s="2697"/>
      <c r="T1268" s="2697"/>
      <c r="U1268" s="1688"/>
      <c r="V1268" s="1688"/>
      <c r="W1268" s="1688"/>
    </row>
    <row r="1269" spans="1:23" hidden="1" x14ac:dyDescent="0.2">
      <c r="R1269" s="2696"/>
      <c r="S1269" s="2697"/>
      <c r="T1269" s="2697"/>
      <c r="U1269" s="1688"/>
      <c r="V1269" s="1688"/>
      <c r="W1269" s="1688"/>
    </row>
    <row r="1270" spans="1:23" ht="13.5" thickBot="1" x14ac:dyDescent="0.25">
      <c r="A1270" s="1719" t="s">
        <v>1545</v>
      </c>
      <c r="I1270" s="2071" t="s">
        <v>92</v>
      </c>
      <c r="R1270" s="2698"/>
      <c r="S1270" s="2698"/>
      <c r="T1270" s="2698"/>
    </row>
    <row r="1271" spans="1:23" ht="14.25" thickTop="1" thickBot="1" x14ac:dyDescent="0.25">
      <c r="A1271" s="1047" t="s">
        <v>324</v>
      </c>
      <c r="B1271" s="1044" t="s">
        <v>93</v>
      </c>
      <c r="C1271" s="1046" t="s">
        <v>94</v>
      </c>
      <c r="D1271" s="1069" t="s">
        <v>364</v>
      </c>
      <c r="E1271" s="1069" t="s">
        <v>95</v>
      </c>
      <c r="F1271" s="1069" t="s">
        <v>328</v>
      </c>
      <c r="G1271" s="1069" t="s">
        <v>329</v>
      </c>
      <c r="H1271" s="1749" t="s">
        <v>448</v>
      </c>
      <c r="I1271" s="2089" t="s">
        <v>449</v>
      </c>
    </row>
    <row r="1272" spans="1:23" ht="14.25" thickTop="1" thickBot="1" x14ac:dyDescent="0.25">
      <c r="A1272" s="1042">
        <v>1</v>
      </c>
      <c r="B1272" s="1041">
        <v>2</v>
      </c>
      <c r="C1272" s="1041">
        <v>3</v>
      </c>
      <c r="D1272" s="1041">
        <v>4</v>
      </c>
      <c r="E1272" s="1041">
        <v>5</v>
      </c>
      <c r="F1272" s="1040">
        <v>6</v>
      </c>
      <c r="G1272" s="1040">
        <v>7</v>
      </c>
      <c r="H1272" s="1164">
        <v>8</v>
      </c>
      <c r="I1272" s="1039" t="s">
        <v>393</v>
      </c>
      <c r="R1272" s="2691">
        <f>F1277</f>
        <v>9712</v>
      </c>
      <c r="S1272" s="2691">
        <f>G1277</f>
        <v>9828</v>
      </c>
      <c r="T1272" s="2691">
        <f>H1277</f>
        <v>9828</v>
      </c>
    </row>
    <row r="1273" spans="1:23" ht="15.75" thickTop="1" x14ac:dyDescent="0.25">
      <c r="A1273" s="2088">
        <v>1631</v>
      </c>
      <c r="B1273" s="2087">
        <v>4350</v>
      </c>
      <c r="C1273" s="2087">
        <v>5331</v>
      </c>
      <c r="D1273" s="2086"/>
      <c r="E1273" s="2085" t="s">
        <v>481</v>
      </c>
      <c r="F1273" s="2084">
        <f>F1274+F1275+F1276</f>
        <v>9712</v>
      </c>
      <c r="G1273" s="2084">
        <f t="shared" ref="G1273:H1273" si="207">G1274+G1275+G1276</f>
        <v>9828</v>
      </c>
      <c r="H1273" s="2084">
        <f t="shared" si="207"/>
        <v>9828</v>
      </c>
      <c r="I1273" s="2083">
        <f>(H1273/G1273)*100</f>
        <v>100</v>
      </c>
      <c r="R1273" s="2691">
        <f>F1280</f>
        <v>0</v>
      </c>
      <c r="S1273" s="2691">
        <f>G1280</f>
        <v>0</v>
      </c>
      <c r="T1273" s="2691">
        <f>H1280</f>
        <v>0</v>
      </c>
    </row>
    <row r="1274" spans="1:23" ht="28.5" hidden="1" x14ac:dyDescent="0.2">
      <c r="A1274" s="2080"/>
      <c r="B1274" s="2079"/>
      <c r="C1274" s="2079"/>
      <c r="D1274" s="2634" t="s">
        <v>971</v>
      </c>
      <c r="E1274" s="2633" t="s">
        <v>1546</v>
      </c>
      <c r="F1274" s="2639"/>
      <c r="G1274" s="2639"/>
      <c r="H1274" s="2639"/>
      <c r="I1274" s="2635" t="e">
        <f>(H1274/G1274)*100</f>
        <v>#DIV/0!</v>
      </c>
      <c r="R1274" s="2691">
        <f>R1272+R1273</f>
        <v>9712</v>
      </c>
      <c r="S1274" s="2691">
        <f t="shared" ref="S1274:T1274" si="208">S1272+S1273</f>
        <v>9828</v>
      </c>
      <c r="T1274" s="2691">
        <f t="shared" si="208"/>
        <v>9828</v>
      </c>
    </row>
    <row r="1275" spans="1:23" ht="14.25" x14ac:dyDescent="0.2">
      <c r="A1275" s="2080"/>
      <c r="B1275" s="2079"/>
      <c r="C1275" s="2079"/>
      <c r="D1275" s="2630" t="s">
        <v>1394</v>
      </c>
      <c r="E1275" s="923" t="s">
        <v>1537</v>
      </c>
      <c r="F1275" s="2077">
        <v>8394</v>
      </c>
      <c r="G1275" s="2077">
        <v>8435</v>
      </c>
      <c r="H1275" s="2077">
        <v>8435</v>
      </c>
      <c r="I1275" s="2076">
        <f>(H1275/G1275)*100</f>
        <v>100</v>
      </c>
    </row>
    <row r="1276" spans="1:23" ht="15" thickBot="1" x14ac:dyDescent="0.25">
      <c r="A1276" s="2080"/>
      <c r="B1276" s="2079"/>
      <c r="C1276" s="2079"/>
      <c r="D1276" s="811" t="s">
        <v>993</v>
      </c>
      <c r="E1276" s="2627" t="s">
        <v>1538</v>
      </c>
      <c r="F1276" s="2077">
        <v>1318</v>
      </c>
      <c r="G1276" s="2077">
        <v>1393</v>
      </c>
      <c r="H1276" s="2077">
        <v>1393</v>
      </c>
      <c r="I1276" s="2076">
        <f t="shared" ref="I1276" si="209">(H1276/G1276)*100</f>
        <v>100</v>
      </c>
    </row>
    <row r="1277" spans="1:23" ht="16.5" thickTop="1" thickBot="1" x14ac:dyDescent="0.3">
      <c r="A1277" s="3301" t="s">
        <v>522</v>
      </c>
      <c r="B1277" s="3302"/>
      <c r="C1277" s="3302"/>
      <c r="D1277" s="3302"/>
      <c r="E1277" s="3302"/>
      <c r="F1277" s="2075">
        <f>F1273</f>
        <v>9712</v>
      </c>
      <c r="G1277" s="2075">
        <f>G1273</f>
        <v>9828</v>
      </c>
      <c r="H1277" s="2075">
        <f>H1273</f>
        <v>9828</v>
      </c>
      <c r="I1277" s="2074">
        <f>(H1277/G1277)*100</f>
        <v>100</v>
      </c>
    </row>
    <row r="1278" spans="1:23" ht="15.75" hidden="1" thickTop="1" x14ac:dyDescent="0.25">
      <c r="A1278" s="2640">
        <v>1631</v>
      </c>
      <c r="B1278" s="19">
        <v>4350</v>
      </c>
      <c r="C1278" s="151">
        <v>6351</v>
      </c>
      <c r="D1278" s="2641"/>
      <c r="E1278" s="845" t="s">
        <v>551</v>
      </c>
      <c r="F1278" s="2642">
        <f>F1279</f>
        <v>0</v>
      </c>
      <c r="G1278" s="2642">
        <f t="shared" ref="G1278:H1278" si="210">G1279</f>
        <v>0</v>
      </c>
      <c r="H1278" s="2642">
        <f t="shared" si="210"/>
        <v>0</v>
      </c>
      <c r="I1278" s="2643">
        <v>100</v>
      </c>
    </row>
    <row r="1279" spans="1:23" ht="29.25" hidden="1" thickBot="1" x14ac:dyDescent="0.25">
      <c r="A1279" s="2644"/>
      <c r="B1279" s="822"/>
      <c r="C1279" s="2645"/>
      <c r="D1279" s="2634" t="s">
        <v>971</v>
      </c>
      <c r="E1279" s="2633" t="s">
        <v>1546</v>
      </c>
      <c r="F1279" s="2654"/>
      <c r="G1279" s="2655"/>
      <c r="H1279" s="2656"/>
      <c r="I1279" s="2657">
        <v>100</v>
      </c>
    </row>
    <row r="1280" spans="1:23" ht="16.5" hidden="1" thickTop="1" thickBot="1" x14ac:dyDescent="0.3">
      <c r="A1280" s="3241" t="s">
        <v>523</v>
      </c>
      <c r="B1280" s="3242"/>
      <c r="C1280" s="3242"/>
      <c r="D1280" s="3242"/>
      <c r="E1280" s="3243"/>
      <c r="F1280" s="2648">
        <f>F1278</f>
        <v>0</v>
      </c>
      <c r="G1280" s="2648">
        <f t="shared" ref="G1280:H1280" si="211">G1278</f>
        <v>0</v>
      </c>
      <c r="H1280" s="2648">
        <f t="shared" si="211"/>
        <v>0</v>
      </c>
      <c r="I1280" s="2649">
        <v>100</v>
      </c>
    </row>
    <row r="1281" spans="1:20" ht="13.5" thickTop="1" x14ac:dyDescent="0.2"/>
    <row r="1283" spans="1:20" ht="13.5" thickBot="1" x14ac:dyDescent="0.25">
      <c r="A1283" s="70" t="s">
        <v>1547</v>
      </c>
      <c r="B1283" s="70"/>
      <c r="C1283" s="70"/>
      <c r="D1283" s="70"/>
      <c r="E1283" s="70"/>
      <c r="F1283" s="2659"/>
      <c r="G1283" s="2659"/>
      <c r="H1283" s="2659"/>
      <c r="I1283" s="2660" t="s">
        <v>92</v>
      </c>
    </row>
    <row r="1284" spans="1:20" ht="14.25" thickTop="1" thickBot="1" x14ac:dyDescent="0.25">
      <c r="A1284" s="2661" t="s">
        <v>324</v>
      </c>
      <c r="B1284" s="2662" t="s">
        <v>93</v>
      </c>
      <c r="C1284" s="2663" t="s">
        <v>94</v>
      </c>
      <c r="D1284" s="2664" t="s">
        <v>364</v>
      </c>
      <c r="E1284" s="2664" t="s">
        <v>95</v>
      </c>
      <c r="F1284" s="2664" t="s">
        <v>328</v>
      </c>
      <c r="G1284" s="2664" t="s">
        <v>329</v>
      </c>
      <c r="H1284" s="2665" t="s">
        <v>448</v>
      </c>
      <c r="I1284" s="2666" t="s">
        <v>449</v>
      </c>
    </row>
    <row r="1285" spans="1:20" ht="14.25" thickTop="1" thickBot="1" x14ac:dyDescent="0.25">
      <c r="A1285" s="2667">
        <v>1</v>
      </c>
      <c r="B1285" s="2668">
        <v>2</v>
      </c>
      <c r="C1285" s="2668">
        <v>3</v>
      </c>
      <c r="D1285" s="2668">
        <v>4</v>
      </c>
      <c r="E1285" s="2668">
        <v>5</v>
      </c>
      <c r="F1285" s="2669">
        <v>6</v>
      </c>
      <c r="G1285" s="2669">
        <v>7</v>
      </c>
      <c r="H1285" s="2670">
        <v>8</v>
      </c>
      <c r="I1285" s="2671" t="s">
        <v>393</v>
      </c>
    </row>
    <row r="1286" spans="1:20" ht="15.75" thickTop="1" x14ac:dyDescent="0.25">
      <c r="A1286" s="2672">
        <v>1633</v>
      </c>
      <c r="B1286" s="2673">
        <v>4357</v>
      </c>
      <c r="C1286" s="2673">
        <v>5331</v>
      </c>
      <c r="D1286" s="2674"/>
      <c r="E1286" s="2675" t="s">
        <v>481</v>
      </c>
      <c r="F1286" s="2676">
        <f>F1287+F1288+F1289</f>
        <v>3810</v>
      </c>
      <c r="G1286" s="2676">
        <f t="shared" ref="G1286:H1286" si="212">G1287+G1288+G1289</f>
        <v>3498</v>
      </c>
      <c r="H1286" s="2676">
        <f t="shared" si="212"/>
        <v>3498</v>
      </c>
      <c r="I1286" s="2677">
        <v>100</v>
      </c>
    </row>
    <row r="1287" spans="1:20" ht="28.5" x14ac:dyDescent="0.2">
      <c r="A1287" s="2624"/>
      <c r="B1287" s="151"/>
      <c r="C1287" s="151"/>
      <c r="D1287" s="3034" t="s">
        <v>971</v>
      </c>
      <c r="E1287" s="2633" t="s">
        <v>1546</v>
      </c>
      <c r="F1287" s="3049">
        <v>0</v>
      </c>
      <c r="G1287" s="3049">
        <v>545</v>
      </c>
      <c r="H1287" s="3049">
        <v>545</v>
      </c>
      <c r="I1287" s="3040">
        <v>100</v>
      </c>
      <c r="R1287" s="2696"/>
      <c r="S1287" s="2696"/>
      <c r="T1287" s="2696"/>
    </row>
    <row r="1288" spans="1:20" ht="14.25" x14ac:dyDescent="0.2">
      <c r="A1288" s="2624"/>
      <c r="B1288" s="151"/>
      <c r="C1288" s="151"/>
      <c r="D1288" s="2630" t="s">
        <v>1394</v>
      </c>
      <c r="E1288" s="923" t="s">
        <v>1537</v>
      </c>
      <c r="F1288" s="2628">
        <v>2776</v>
      </c>
      <c r="G1288" s="2628">
        <v>1916</v>
      </c>
      <c r="H1288" s="2628">
        <v>1916</v>
      </c>
      <c r="I1288" s="2679">
        <v>100</v>
      </c>
    </row>
    <row r="1289" spans="1:20" ht="15" thickBot="1" x14ac:dyDescent="0.25">
      <c r="A1289" s="2624"/>
      <c r="B1289" s="151"/>
      <c r="C1289" s="151"/>
      <c r="D1289" s="2625" t="s">
        <v>993</v>
      </c>
      <c r="E1289" s="2627" t="s">
        <v>1538</v>
      </c>
      <c r="F1289" s="2628">
        <v>1034</v>
      </c>
      <c r="G1289" s="2628">
        <v>1037</v>
      </c>
      <c r="H1289" s="2628">
        <v>1037</v>
      </c>
      <c r="I1289" s="2679">
        <v>100</v>
      </c>
    </row>
    <row r="1290" spans="1:20" ht="16.5" thickTop="1" thickBot="1" x14ac:dyDescent="0.3">
      <c r="A1290" s="3241" t="s">
        <v>522</v>
      </c>
      <c r="B1290" s="3242"/>
      <c r="C1290" s="3242"/>
      <c r="D1290" s="3242"/>
      <c r="E1290" s="3300"/>
      <c r="F1290" s="2648">
        <f>F1286</f>
        <v>3810</v>
      </c>
      <c r="G1290" s="2648">
        <f t="shared" ref="G1290:H1290" si="213">G1286</f>
        <v>3498</v>
      </c>
      <c r="H1290" s="2648">
        <f t="shared" si="213"/>
        <v>3498</v>
      </c>
      <c r="I1290" s="2649">
        <v>100</v>
      </c>
    </row>
    <row r="1291" spans="1:20" ht="15.75" thickTop="1" x14ac:dyDescent="0.25">
      <c r="A1291" s="2640">
        <v>1633</v>
      </c>
      <c r="B1291" s="19">
        <v>4357</v>
      </c>
      <c r="C1291" s="151">
        <v>6351</v>
      </c>
      <c r="D1291" s="2641"/>
      <c r="E1291" s="845" t="s">
        <v>551</v>
      </c>
      <c r="F1291" s="2642">
        <f>F1292</f>
        <v>0</v>
      </c>
      <c r="G1291" s="2642">
        <f t="shared" ref="G1291:H1291" si="214">G1292</f>
        <v>149</v>
      </c>
      <c r="H1291" s="2642">
        <f t="shared" si="214"/>
        <v>149</v>
      </c>
      <c r="I1291" s="2643">
        <v>100</v>
      </c>
    </row>
    <row r="1292" spans="1:20" ht="29.25" thickBot="1" x14ac:dyDescent="0.25">
      <c r="A1292" s="2644"/>
      <c r="B1292" s="822"/>
      <c r="C1292" s="2645"/>
      <c r="D1292" s="3034" t="s">
        <v>971</v>
      </c>
      <c r="E1292" s="2952" t="s">
        <v>1546</v>
      </c>
      <c r="F1292" s="3046">
        <v>0</v>
      </c>
      <c r="G1292" s="3047">
        <v>149</v>
      </c>
      <c r="H1292" s="3048">
        <v>149</v>
      </c>
      <c r="I1292" s="903">
        <v>100</v>
      </c>
    </row>
    <row r="1293" spans="1:20" ht="16.5" thickTop="1" thickBot="1" x14ac:dyDescent="0.3">
      <c r="A1293" s="3241" t="s">
        <v>523</v>
      </c>
      <c r="B1293" s="3242"/>
      <c r="C1293" s="3242"/>
      <c r="D1293" s="3242"/>
      <c r="E1293" s="3243"/>
      <c r="F1293" s="2648">
        <f>F1291</f>
        <v>0</v>
      </c>
      <c r="G1293" s="2648">
        <f t="shared" ref="G1293:H1293" si="215">G1291</f>
        <v>149</v>
      </c>
      <c r="H1293" s="2648">
        <f t="shared" si="215"/>
        <v>149</v>
      </c>
      <c r="I1293" s="2649">
        <v>100</v>
      </c>
    </row>
    <row r="1294" spans="1:20" ht="13.5" thickTop="1" x14ac:dyDescent="0.2"/>
    <row r="1296" spans="1:20" ht="13.5" thickBot="1" x14ac:dyDescent="0.25">
      <c r="A1296" s="70" t="s">
        <v>1548</v>
      </c>
      <c r="B1296" s="70"/>
      <c r="C1296" s="70"/>
      <c r="D1296" s="70"/>
      <c r="E1296" s="70"/>
      <c r="F1296" s="2659"/>
      <c r="G1296" s="2659"/>
      <c r="H1296" s="2659"/>
      <c r="I1296" s="2660" t="s">
        <v>92</v>
      </c>
    </row>
    <row r="1297" spans="1:9" ht="14.25" thickTop="1" thickBot="1" x14ac:dyDescent="0.25">
      <c r="A1297" s="2661" t="s">
        <v>324</v>
      </c>
      <c r="B1297" s="2662" t="s">
        <v>93</v>
      </c>
      <c r="C1297" s="2663" t="s">
        <v>94</v>
      </c>
      <c r="D1297" s="2664" t="s">
        <v>364</v>
      </c>
      <c r="E1297" s="2664" t="s">
        <v>95</v>
      </c>
      <c r="F1297" s="2664" t="s">
        <v>328</v>
      </c>
      <c r="G1297" s="2664" t="s">
        <v>329</v>
      </c>
      <c r="H1297" s="2665" t="s">
        <v>448</v>
      </c>
      <c r="I1297" s="2666" t="s">
        <v>449</v>
      </c>
    </row>
    <row r="1298" spans="1:9" ht="14.25" thickTop="1" thickBot="1" x14ac:dyDescent="0.25">
      <c r="A1298" s="2667">
        <v>1</v>
      </c>
      <c r="B1298" s="2668">
        <v>2</v>
      </c>
      <c r="C1298" s="2668">
        <v>3</v>
      </c>
      <c r="D1298" s="2668">
        <v>4</v>
      </c>
      <c r="E1298" s="2668">
        <v>5</v>
      </c>
      <c r="F1298" s="2669">
        <v>6</v>
      </c>
      <c r="G1298" s="2669">
        <v>7</v>
      </c>
      <c r="H1298" s="2670">
        <v>8</v>
      </c>
      <c r="I1298" s="2671" t="s">
        <v>393</v>
      </c>
    </row>
    <row r="1299" spans="1:9" ht="15.75" thickTop="1" x14ac:dyDescent="0.25">
      <c r="A1299" s="2672">
        <v>1634</v>
      </c>
      <c r="B1299" s="2673">
        <v>4351</v>
      </c>
      <c r="C1299" s="2673">
        <v>5331</v>
      </c>
      <c r="D1299" s="2674"/>
      <c r="E1299" s="2675" t="s">
        <v>481</v>
      </c>
      <c r="F1299" s="2676">
        <f>F1300+F1301+F1302</f>
        <v>723</v>
      </c>
      <c r="G1299" s="2676">
        <f t="shared" ref="G1299" si="216">G1300+G1301+G1302</f>
        <v>815</v>
      </c>
      <c r="H1299" s="2676">
        <f t="shared" ref="H1299" si="217">H1300+H1301+H1302</f>
        <v>815</v>
      </c>
      <c r="I1299" s="2677">
        <v>100</v>
      </c>
    </row>
    <row r="1300" spans="1:9" ht="28.5" hidden="1" x14ac:dyDescent="0.2">
      <c r="A1300" s="2624"/>
      <c r="B1300" s="151"/>
      <c r="C1300" s="151"/>
      <c r="D1300" s="2634" t="s">
        <v>971</v>
      </c>
      <c r="E1300" s="2633" t="s">
        <v>1546</v>
      </c>
      <c r="F1300" s="2678"/>
      <c r="G1300" s="2678"/>
      <c r="H1300" s="2678"/>
      <c r="I1300" s="2647">
        <v>100</v>
      </c>
    </row>
    <row r="1301" spans="1:9" ht="14.25" x14ac:dyDescent="0.2">
      <c r="A1301" s="2624"/>
      <c r="B1301" s="151"/>
      <c r="C1301" s="151"/>
      <c r="D1301" s="2630" t="s">
        <v>1394</v>
      </c>
      <c r="E1301" s="923" t="s">
        <v>1537</v>
      </c>
      <c r="F1301" s="2628">
        <v>606</v>
      </c>
      <c r="G1301" s="2628">
        <v>706</v>
      </c>
      <c r="H1301" s="2628">
        <v>706</v>
      </c>
      <c r="I1301" s="2679">
        <v>100</v>
      </c>
    </row>
    <row r="1302" spans="1:9" ht="15" thickBot="1" x14ac:dyDescent="0.25">
      <c r="A1302" s="2624"/>
      <c r="B1302" s="151"/>
      <c r="C1302" s="151"/>
      <c r="D1302" s="2625" t="s">
        <v>993</v>
      </c>
      <c r="E1302" s="2627" t="s">
        <v>1538</v>
      </c>
      <c r="F1302" s="2628">
        <v>117</v>
      </c>
      <c r="G1302" s="2628">
        <v>109</v>
      </c>
      <c r="H1302" s="2628">
        <v>109</v>
      </c>
      <c r="I1302" s="2679">
        <v>100</v>
      </c>
    </row>
    <row r="1303" spans="1:9" ht="16.5" thickTop="1" thickBot="1" x14ac:dyDescent="0.3">
      <c r="A1303" s="3241" t="s">
        <v>522</v>
      </c>
      <c r="B1303" s="3242"/>
      <c r="C1303" s="3242"/>
      <c r="D1303" s="3242"/>
      <c r="E1303" s="3300"/>
      <c r="F1303" s="2648">
        <f>F1299</f>
        <v>723</v>
      </c>
      <c r="G1303" s="2648">
        <f t="shared" ref="G1303:H1303" si="218">G1299</f>
        <v>815</v>
      </c>
      <c r="H1303" s="2648">
        <f t="shared" si="218"/>
        <v>815</v>
      </c>
      <c r="I1303" s="2649">
        <v>100</v>
      </c>
    </row>
    <row r="1304" spans="1:9" ht="15.75" thickTop="1" x14ac:dyDescent="0.25">
      <c r="A1304" s="2640">
        <v>1634</v>
      </c>
      <c r="B1304" s="19">
        <v>4351</v>
      </c>
      <c r="C1304" s="151">
        <v>6351</v>
      </c>
      <c r="D1304" s="2641"/>
      <c r="E1304" s="845" t="s">
        <v>551</v>
      </c>
      <c r="F1304" s="2642">
        <f>F1305</f>
        <v>0</v>
      </c>
      <c r="G1304" s="2642">
        <f t="shared" ref="G1304:H1304" si="219">G1305</f>
        <v>19</v>
      </c>
      <c r="H1304" s="2642">
        <f t="shared" si="219"/>
        <v>19</v>
      </c>
      <c r="I1304" s="2643">
        <v>100</v>
      </c>
    </row>
    <row r="1305" spans="1:9" ht="29.25" thickBot="1" x14ac:dyDescent="0.25">
      <c r="A1305" s="2644"/>
      <c r="B1305" s="822"/>
      <c r="C1305" s="2645"/>
      <c r="D1305" s="3034" t="s">
        <v>971</v>
      </c>
      <c r="E1305" s="2952" t="s">
        <v>1546</v>
      </c>
      <c r="F1305" s="3046">
        <v>0</v>
      </c>
      <c r="G1305" s="3047">
        <v>19</v>
      </c>
      <c r="H1305" s="3048">
        <v>19</v>
      </c>
      <c r="I1305" s="903">
        <v>100</v>
      </c>
    </row>
    <row r="1306" spans="1:9" ht="16.5" thickTop="1" thickBot="1" x14ac:dyDescent="0.3">
      <c r="A1306" s="3241" t="s">
        <v>523</v>
      </c>
      <c r="B1306" s="3242"/>
      <c r="C1306" s="3242"/>
      <c r="D1306" s="3242"/>
      <c r="E1306" s="3243"/>
      <c r="F1306" s="2648">
        <f>F1304</f>
        <v>0</v>
      </c>
      <c r="G1306" s="2648">
        <f t="shared" ref="G1306:H1306" si="220">G1304</f>
        <v>19</v>
      </c>
      <c r="H1306" s="2648">
        <f t="shared" si="220"/>
        <v>19</v>
      </c>
      <c r="I1306" s="2649">
        <v>100</v>
      </c>
    </row>
    <row r="1307" spans="1:9" ht="13.5" thickTop="1" x14ac:dyDescent="0.2"/>
    <row r="1309" spans="1:9" ht="13.5" thickBot="1" x14ac:dyDescent="0.25">
      <c r="A1309" s="70" t="s">
        <v>1549</v>
      </c>
      <c r="B1309" s="70"/>
      <c r="C1309" s="70"/>
      <c r="D1309" s="70"/>
      <c r="E1309" s="70"/>
      <c r="F1309" s="2659"/>
      <c r="G1309" s="2659"/>
      <c r="H1309" s="2659"/>
      <c r="I1309" s="2660" t="s">
        <v>92</v>
      </c>
    </row>
    <row r="1310" spans="1:9" ht="14.25" thickTop="1" thickBot="1" x14ac:dyDescent="0.25">
      <c r="A1310" s="2661" t="s">
        <v>324</v>
      </c>
      <c r="B1310" s="2662" t="s">
        <v>93</v>
      </c>
      <c r="C1310" s="2663" t="s">
        <v>94</v>
      </c>
      <c r="D1310" s="2664" t="s">
        <v>364</v>
      </c>
      <c r="E1310" s="2664" t="s">
        <v>95</v>
      </c>
      <c r="F1310" s="2664" t="s">
        <v>328</v>
      </c>
      <c r="G1310" s="2664" t="s">
        <v>329</v>
      </c>
      <c r="H1310" s="2665" t="s">
        <v>448</v>
      </c>
      <c r="I1310" s="2666" t="s">
        <v>449</v>
      </c>
    </row>
    <row r="1311" spans="1:9" ht="14.25" thickTop="1" thickBot="1" x14ac:dyDescent="0.25">
      <c r="A1311" s="2667">
        <v>1</v>
      </c>
      <c r="B1311" s="2668">
        <v>2</v>
      </c>
      <c r="C1311" s="2668">
        <v>3</v>
      </c>
      <c r="D1311" s="2668">
        <v>4</v>
      </c>
      <c r="E1311" s="2668">
        <v>5</v>
      </c>
      <c r="F1311" s="2669">
        <v>6</v>
      </c>
      <c r="G1311" s="2669">
        <v>7</v>
      </c>
      <c r="H1311" s="2670">
        <v>8</v>
      </c>
      <c r="I1311" s="2671" t="s">
        <v>393</v>
      </c>
    </row>
    <row r="1312" spans="1:9" ht="15.75" thickTop="1" x14ac:dyDescent="0.25">
      <c r="A1312" s="2672">
        <v>1635</v>
      </c>
      <c r="B1312" s="2673">
        <v>4350</v>
      </c>
      <c r="C1312" s="2673">
        <v>5331</v>
      </c>
      <c r="D1312" s="2674"/>
      <c r="E1312" s="2675" t="s">
        <v>481</v>
      </c>
      <c r="F1312" s="2676">
        <f>F1313+F1314+F1315</f>
        <v>7116</v>
      </c>
      <c r="G1312" s="2676">
        <f t="shared" ref="G1312" si="221">G1313+G1314+G1315</f>
        <v>8374</v>
      </c>
      <c r="H1312" s="2676">
        <f t="shared" ref="H1312" si="222">H1313+H1314+H1315</f>
        <v>8374</v>
      </c>
      <c r="I1312" s="2677">
        <v>100</v>
      </c>
    </row>
    <row r="1313" spans="1:20" ht="28.5" x14ac:dyDescent="0.2">
      <c r="A1313" s="2624"/>
      <c r="B1313" s="151"/>
      <c r="C1313" s="151"/>
      <c r="D1313" s="3034" t="s">
        <v>971</v>
      </c>
      <c r="E1313" s="2633" t="s">
        <v>1546</v>
      </c>
      <c r="F1313" s="3049">
        <v>0</v>
      </c>
      <c r="G1313" s="3049">
        <v>100</v>
      </c>
      <c r="H1313" s="3049">
        <v>100</v>
      </c>
      <c r="I1313" s="3040">
        <v>100</v>
      </c>
    </row>
    <row r="1314" spans="1:20" ht="14.25" x14ac:dyDescent="0.2">
      <c r="A1314" s="2624"/>
      <c r="B1314" s="151"/>
      <c r="C1314" s="151"/>
      <c r="D1314" s="2630" t="s">
        <v>1394</v>
      </c>
      <c r="E1314" s="923" t="s">
        <v>1537</v>
      </c>
      <c r="F1314" s="2628">
        <v>6075</v>
      </c>
      <c r="G1314" s="2628">
        <v>7193</v>
      </c>
      <c r="H1314" s="2628">
        <v>7193</v>
      </c>
      <c r="I1314" s="2679">
        <v>100</v>
      </c>
    </row>
    <row r="1315" spans="1:20" ht="15" thickBot="1" x14ac:dyDescent="0.25">
      <c r="A1315" s="2624"/>
      <c r="B1315" s="151"/>
      <c r="C1315" s="151"/>
      <c r="D1315" s="2625" t="s">
        <v>993</v>
      </c>
      <c r="E1315" s="2627" t="s">
        <v>1538</v>
      </c>
      <c r="F1315" s="2628">
        <v>1041</v>
      </c>
      <c r="G1315" s="2628">
        <v>1081</v>
      </c>
      <c r="H1315" s="2628">
        <v>1081</v>
      </c>
      <c r="I1315" s="2679">
        <v>100</v>
      </c>
    </row>
    <row r="1316" spans="1:20" ht="16.5" thickTop="1" thickBot="1" x14ac:dyDescent="0.3">
      <c r="A1316" s="3241" t="s">
        <v>522</v>
      </c>
      <c r="B1316" s="3242"/>
      <c r="C1316" s="3242"/>
      <c r="D1316" s="3242"/>
      <c r="E1316" s="3300"/>
      <c r="F1316" s="2648">
        <f>F1312</f>
        <v>7116</v>
      </c>
      <c r="G1316" s="2648">
        <f t="shared" ref="G1316:H1316" si="223">G1312</f>
        <v>8374</v>
      </c>
      <c r="H1316" s="2648">
        <f t="shared" si="223"/>
        <v>8374</v>
      </c>
      <c r="I1316" s="2649">
        <v>100</v>
      </c>
      <c r="R1316" s="2691">
        <f>F1316</f>
        <v>7116</v>
      </c>
      <c r="S1316" s="2691">
        <f t="shared" ref="S1316:T1316" si="224">G1316</f>
        <v>8374</v>
      </c>
      <c r="T1316" s="2691">
        <f t="shared" si="224"/>
        <v>8374</v>
      </c>
    </row>
    <row r="1317" spans="1:20" ht="15.75" thickTop="1" x14ac:dyDescent="0.25">
      <c r="A1317" s="2640">
        <v>1635</v>
      </c>
      <c r="B1317" s="19">
        <v>4350</v>
      </c>
      <c r="C1317" s="151">
        <v>6351</v>
      </c>
      <c r="D1317" s="2641"/>
      <c r="E1317" s="845" t="s">
        <v>551</v>
      </c>
      <c r="F1317" s="2642">
        <f>F1318</f>
        <v>0</v>
      </c>
      <c r="G1317" s="2642">
        <f t="shared" ref="G1317" si="225">G1318</f>
        <v>474</v>
      </c>
      <c r="H1317" s="2642">
        <f t="shared" ref="H1317" si="226">H1318</f>
        <v>474</v>
      </c>
      <c r="I1317" s="2643">
        <v>100</v>
      </c>
      <c r="R1317" s="2691">
        <f>F1319</f>
        <v>0</v>
      </c>
      <c r="S1317" s="2691">
        <f t="shared" ref="S1317:T1317" si="227">G1319</f>
        <v>474</v>
      </c>
      <c r="T1317" s="2691">
        <f t="shared" si="227"/>
        <v>474</v>
      </c>
    </row>
    <row r="1318" spans="1:20" ht="29.25" thickBot="1" x14ac:dyDescent="0.25">
      <c r="A1318" s="2644"/>
      <c r="B1318" s="822"/>
      <c r="C1318" s="2645"/>
      <c r="D1318" s="3034" t="s">
        <v>971</v>
      </c>
      <c r="E1318" s="2633" t="s">
        <v>1546</v>
      </c>
      <c r="F1318" s="3046">
        <v>0</v>
      </c>
      <c r="G1318" s="3047">
        <v>474</v>
      </c>
      <c r="H1318" s="3048">
        <v>474</v>
      </c>
      <c r="I1318" s="903">
        <v>100</v>
      </c>
      <c r="R1318" s="2691">
        <f>R1316+R1317</f>
        <v>7116</v>
      </c>
      <c r="S1318" s="2691">
        <f t="shared" ref="S1318:T1318" si="228">S1316+S1317</f>
        <v>8848</v>
      </c>
      <c r="T1318" s="2691">
        <f t="shared" si="228"/>
        <v>8848</v>
      </c>
    </row>
    <row r="1319" spans="1:20" ht="16.5" thickTop="1" thickBot="1" x14ac:dyDescent="0.3">
      <c r="A1319" s="3241" t="s">
        <v>523</v>
      </c>
      <c r="B1319" s="3242"/>
      <c r="C1319" s="3242"/>
      <c r="D1319" s="3242"/>
      <c r="E1319" s="3243"/>
      <c r="F1319" s="2648">
        <f>F1317</f>
        <v>0</v>
      </c>
      <c r="G1319" s="2648">
        <f t="shared" ref="G1319:H1319" si="229">G1317</f>
        <v>474</v>
      </c>
      <c r="H1319" s="2648">
        <f t="shared" si="229"/>
        <v>474</v>
      </c>
      <c r="I1319" s="2649">
        <v>100</v>
      </c>
    </row>
    <row r="1320" spans="1:20" ht="13.5" thickTop="1" x14ac:dyDescent="0.2"/>
    <row r="1322" spans="1:20" ht="13.5" thickBot="1" x14ac:dyDescent="0.25">
      <c r="A1322" s="70" t="s">
        <v>1550</v>
      </c>
      <c r="B1322" s="70"/>
      <c r="C1322" s="70"/>
      <c r="D1322" s="70"/>
      <c r="E1322" s="70"/>
      <c r="F1322" s="2659"/>
      <c r="G1322" s="2659"/>
      <c r="H1322" s="2659"/>
      <c r="I1322" s="2660" t="s">
        <v>92</v>
      </c>
    </row>
    <row r="1323" spans="1:20" ht="14.25" thickTop="1" thickBot="1" x14ac:dyDescent="0.25">
      <c r="A1323" s="2661" t="s">
        <v>324</v>
      </c>
      <c r="B1323" s="2662" t="s">
        <v>93</v>
      </c>
      <c r="C1323" s="2663" t="s">
        <v>94</v>
      </c>
      <c r="D1323" s="2664" t="s">
        <v>364</v>
      </c>
      <c r="E1323" s="2664" t="s">
        <v>95</v>
      </c>
      <c r="F1323" s="2664" t="s">
        <v>328</v>
      </c>
      <c r="G1323" s="2664" t="s">
        <v>329</v>
      </c>
      <c r="H1323" s="2665" t="s">
        <v>448</v>
      </c>
      <c r="I1323" s="2666" t="s">
        <v>449</v>
      </c>
    </row>
    <row r="1324" spans="1:20" ht="14.25" thickTop="1" thickBot="1" x14ac:dyDescent="0.25">
      <c r="A1324" s="2667">
        <v>1</v>
      </c>
      <c r="B1324" s="2668">
        <v>2</v>
      </c>
      <c r="C1324" s="2668">
        <v>3</v>
      </c>
      <c r="D1324" s="2668">
        <v>4</v>
      </c>
      <c r="E1324" s="2668">
        <v>5</v>
      </c>
      <c r="F1324" s="2669">
        <v>6</v>
      </c>
      <c r="G1324" s="2669">
        <v>7</v>
      </c>
      <c r="H1324" s="2670">
        <v>8</v>
      </c>
      <c r="I1324" s="2671" t="s">
        <v>393</v>
      </c>
      <c r="R1324" s="2691">
        <f>F1329</f>
        <v>1510</v>
      </c>
      <c r="S1324" s="2691">
        <f>G1329</f>
        <v>1369</v>
      </c>
      <c r="T1324" s="2691">
        <f>H1329</f>
        <v>1369</v>
      </c>
    </row>
    <row r="1325" spans="1:20" ht="15.75" thickTop="1" x14ac:dyDescent="0.25">
      <c r="A1325" s="2672">
        <v>1636</v>
      </c>
      <c r="B1325" s="2673">
        <v>4350</v>
      </c>
      <c r="C1325" s="2673">
        <v>5331</v>
      </c>
      <c r="D1325" s="2674"/>
      <c r="E1325" s="2675" t="s">
        <v>481</v>
      </c>
      <c r="F1325" s="2676">
        <f>F1326+F1327+F1328</f>
        <v>1510</v>
      </c>
      <c r="G1325" s="2676">
        <f t="shared" ref="G1325" si="230">G1326+G1327+G1328</f>
        <v>1369</v>
      </c>
      <c r="H1325" s="2676">
        <f t="shared" ref="H1325" si="231">H1326+H1327+H1328</f>
        <v>1369</v>
      </c>
      <c r="I1325" s="2677">
        <v>100</v>
      </c>
      <c r="R1325" s="2691">
        <f>F1332</f>
        <v>0</v>
      </c>
      <c r="S1325" s="2691">
        <f>G1332</f>
        <v>0</v>
      </c>
      <c r="T1325" s="2691">
        <f>H1332</f>
        <v>0</v>
      </c>
    </row>
    <row r="1326" spans="1:20" ht="14.25" x14ac:dyDescent="0.2">
      <c r="A1326" s="2624"/>
      <c r="B1326" s="151"/>
      <c r="C1326" s="151"/>
      <c r="D1326" s="2630" t="s">
        <v>1394</v>
      </c>
      <c r="E1326" s="923" t="s">
        <v>1537</v>
      </c>
      <c r="F1326" s="2678">
        <v>301</v>
      </c>
      <c r="G1326" s="2678">
        <v>142</v>
      </c>
      <c r="H1326" s="2678">
        <v>142</v>
      </c>
      <c r="I1326" s="2647">
        <v>100</v>
      </c>
      <c r="R1326" s="2691">
        <f>R1324+R1325</f>
        <v>1510</v>
      </c>
      <c r="S1326" s="2691">
        <f t="shared" ref="S1326:T1326" si="232">S1324+S1325</f>
        <v>1369</v>
      </c>
      <c r="T1326" s="2691">
        <f t="shared" si="232"/>
        <v>1369</v>
      </c>
    </row>
    <row r="1327" spans="1:20" ht="15" thickBot="1" x14ac:dyDescent="0.25">
      <c r="A1327" s="2624"/>
      <c r="B1327" s="151"/>
      <c r="C1327" s="151"/>
      <c r="D1327" s="811" t="s">
        <v>993</v>
      </c>
      <c r="E1327" s="2627" t="s">
        <v>1538</v>
      </c>
      <c r="F1327" s="2628">
        <v>1209</v>
      </c>
      <c r="G1327" s="2628">
        <v>1227</v>
      </c>
      <c r="H1327" s="2628">
        <v>1227</v>
      </c>
      <c r="I1327" s="2679">
        <v>100</v>
      </c>
    </row>
    <row r="1328" spans="1:20" ht="15" hidden="1" thickBot="1" x14ac:dyDescent="0.25">
      <c r="A1328" s="2624"/>
      <c r="B1328" s="151"/>
      <c r="C1328" s="151"/>
      <c r="D1328" s="811" t="s">
        <v>1395</v>
      </c>
      <c r="E1328" s="2627" t="s">
        <v>1539</v>
      </c>
      <c r="F1328" s="2628"/>
      <c r="G1328" s="2628"/>
      <c r="H1328" s="2628"/>
      <c r="I1328" s="2679">
        <v>100</v>
      </c>
    </row>
    <row r="1329" spans="1:9" ht="16.5" thickTop="1" thickBot="1" x14ac:dyDescent="0.3">
      <c r="A1329" s="3241" t="s">
        <v>522</v>
      </c>
      <c r="B1329" s="3242"/>
      <c r="C1329" s="3242"/>
      <c r="D1329" s="3242"/>
      <c r="E1329" s="3300"/>
      <c r="F1329" s="2648">
        <f>F1325</f>
        <v>1510</v>
      </c>
      <c r="G1329" s="2648">
        <f t="shared" ref="G1329:H1329" si="233">G1325</f>
        <v>1369</v>
      </c>
      <c r="H1329" s="2648">
        <f t="shared" si="233"/>
        <v>1369</v>
      </c>
      <c r="I1329" s="2649">
        <v>100</v>
      </c>
    </row>
    <row r="1330" spans="1:9" ht="15.75" hidden="1" thickTop="1" x14ac:dyDescent="0.25">
      <c r="A1330" s="2640">
        <v>1636</v>
      </c>
      <c r="B1330" s="19">
        <v>4350</v>
      </c>
      <c r="C1330" s="151">
        <v>6351</v>
      </c>
      <c r="D1330" s="2641"/>
      <c r="E1330" s="845" t="s">
        <v>551</v>
      </c>
      <c r="F1330" s="2642">
        <f>F1331</f>
        <v>0</v>
      </c>
      <c r="G1330" s="2642">
        <f t="shared" ref="G1330" si="234">G1331</f>
        <v>0</v>
      </c>
      <c r="H1330" s="2642">
        <f t="shared" ref="H1330" si="235">H1331</f>
        <v>0</v>
      </c>
      <c r="I1330" s="2643">
        <v>100</v>
      </c>
    </row>
    <row r="1331" spans="1:9" ht="29.25" hidden="1" thickBot="1" x14ac:dyDescent="0.25">
      <c r="A1331" s="2644"/>
      <c r="B1331" s="822"/>
      <c r="C1331" s="2645"/>
      <c r="D1331" s="2634" t="s">
        <v>971</v>
      </c>
      <c r="E1331" s="2633" t="s">
        <v>1546</v>
      </c>
      <c r="F1331" s="2654"/>
      <c r="G1331" s="2655"/>
      <c r="H1331" s="2656"/>
      <c r="I1331" s="2657">
        <v>100</v>
      </c>
    </row>
    <row r="1332" spans="1:9" ht="16.5" hidden="1" thickTop="1" thickBot="1" x14ac:dyDescent="0.3">
      <c r="A1332" s="3241" t="s">
        <v>523</v>
      </c>
      <c r="B1332" s="3242"/>
      <c r="C1332" s="3242"/>
      <c r="D1332" s="3242"/>
      <c r="E1332" s="3243"/>
      <c r="F1332" s="2648">
        <f>F1330</f>
        <v>0</v>
      </c>
      <c r="G1332" s="2648">
        <f t="shared" ref="G1332:H1332" si="236">G1330</f>
        <v>0</v>
      </c>
      <c r="H1332" s="2648">
        <f t="shared" si="236"/>
        <v>0</v>
      </c>
      <c r="I1332" s="2649">
        <v>100</v>
      </c>
    </row>
    <row r="1333" spans="1:9" ht="13.5" thickTop="1" x14ac:dyDescent="0.2"/>
    <row r="1335" spans="1:9" ht="13.5" thickBot="1" x14ac:dyDescent="0.25">
      <c r="A1335" s="70" t="s">
        <v>1551</v>
      </c>
      <c r="B1335" s="70"/>
      <c r="C1335" s="70"/>
      <c r="D1335" s="70"/>
      <c r="E1335" s="70"/>
      <c r="F1335" s="2659"/>
      <c r="G1335" s="2659"/>
      <c r="H1335" s="2659"/>
      <c r="I1335" s="2660" t="s">
        <v>92</v>
      </c>
    </row>
    <row r="1336" spans="1:9" ht="14.25" thickTop="1" thickBot="1" x14ac:dyDescent="0.25">
      <c r="A1336" s="2661" t="s">
        <v>324</v>
      </c>
      <c r="B1336" s="2662" t="s">
        <v>93</v>
      </c>
      <c r="C1336" s="2663" t="s">
        <v>94</v>
      </c>
      <c r="D1336" s="2664" t="s">
        <v>364</v>
      </c>
      <c r="E1336" s="2664" t="s">
        <v>95</v>
      </c>
      <c r="F1336" s="2664" t="s">
        <v>328</v>
      </c>
      <c r="G1336" s="2664" t="s">
        <v>329</v>
      </c>
      <c r="H1336" s="2665" t="s">
        <v>448</v>
      </c>
      <c r="I1336" s="2666" t="s">
        <v>449</v>
      </c>
    </row>
    <row r="1337" spans="1:9" ht="14.25" thickTop="1" thickBot="1" x14ac:dyDescent="0.25">
      <c r="A1337" s="2667">
        <v>1</v>
      </c>
      <c r="B1337" s="2668">
        <v>2</v>
      </c>
      <c r="C1337" s="2668">
        <v>3</v>
      </c>
      <c r="D1337" s="2668">
        <v>4</v>
      </c>
      <c r="E1337" s="2668">
        <v>5</v>
      </c>
      <c r="F1337" s="2669">
        <v>6</v>
      </c>
      <c r="G1337" s="2669">
        <v>7</v>
      </c>
      <c r="H1337" s="2670">
        <v>8</v>
      </c>
      <c r="I1337" s="2671" t="s">
        <v>393</v>
      </c>
    </row>
    <row r="1338" spans="1:9" ht="15.75" thickTop="1" x14ac:dyDescent="0.25">
      <c r="A1338" s="2672">
        <v>1637</v>
      </c>
      <c r="B1338" s="2673">
        <v>4350</v>
      </c>
      <c r="C1338" s="2673">
        <v>5331</v>
      </c>
      <c r="D1338" s="2674"/>
      <c r="E1338" s="2675" t="s">
        <v>481</v>
      </c>
      <c r="F1338" s="2676">
        <f>F1339+F1340+F1341</f>
        <v>3770</v>
      </c>
      <c r="G1338" s="2676">
        <f t="shared" ref="G1338" si="237">G1339+G1340+G1341</f>
        <v>3277</v>
      </c>
      <c r="H1338" s="2676">
        <f t="shared" ref="H1338" si="238">H1339+H1340+H1341</f>
        <v>3277</v>
      </c>
      <c r="I1338" s="2677">
        <v>100</v>
      </c>
    </row>
    <row r="1339" spans="1:9" ht="28.5" hidden="1" x14ac:dyDescent="0.2">
      <c r="A1339" s="2624"/>
      <c r="B1339" s="151"/>
      <c r="C1339" s="151"/>
      <c r="D1339" s="2634" t="s">
        <v>971</v>
      </c>
      <c r="E1339" s="2633" t="s">
        <v>1546</v>
      </c>
      <c r="F1339" s="2678"/>
      <c r="G1339" s="2678"/>
      <c r="H1339" s="2678"/>
      <c r="I1339" s="2647">
        <v>100</v>
      </c>
    </row>
    <row r="1340" spans="1:9" ht="14.25" x14ac:dyDescent="0.2">
      <c r="A1340" s="2624"/>
      <c r="B1340" s="151"/>
      <c r="C1340" s="151"/>
      <c r="D1340" s="2630" t="s">
        <v>1394</v>
      </c>
      <c r="E1340" s="923" t="s">
        <v>1537</v>
      </c>
      <c r="F1340" s="2628">
        <v>2133</v>
      </c>
      <c r="G1340" s="2628">
        <v>1671</v>
      </c>
      <c r="H1340" s="2628">
        <v>1671</v>
      </c>
      <c r="I1340" s="2679">
        <v>100</v>
      </c>
    </row>
    <row r="1341" spans="1:9" ht="15" thickBot="1" x14ac:dyDescent="0.25">
      <c r="A1341" s="2624"/>
      <c r="B1341" s="151"/>
      <c r="C1341" s="151"/>
      <c r="D1341" s="2625" t="s">
        <v>993</v>
      </c>
      <c r="E1341" s="2627" t="s">
        <v>1538</v>
      </c>
      <c r="F1341" s="2628">
        <v>1637</v>
      </c>
      <c r="G1341" s="2628">
        <v>1606</v>
      </c>
      <c r="H1341" s="2628">
        <v>1606</v>
      </c>
      <c r="I1341" s="2679">
        <v>100</v>
      </c>
    </row>
    <row r="1342" spans="1:9" ht="16.5" thickTop="1" thickBot="1" x14ac:dyDescent="0.3">
      <c r="A1342" s="3241" t="s">
        <v>522</v>
      </c>
      <c r="B1342" s="3242"/>
      <c r="C1342" s="3242"/>
      <c r="D1342" s="3242"/>
      <c r="E1342" s="3300"/>
      <c r="F1342" s="2648">
        <f>F1338</f>
        <v>3770</v>
      </c>
      <c r="G1342" s="2648">
        <f t="shared" ref="G1342:H1342" si="239">G1338</f>
        <v>3277</v>
      </c>
      <c r="H1342" s="2648">
        <f t="shared" si="239"/>
        <v>3277</v>
      </c>
      <c r="I1342" s="2649">
        <v>100</v>
      </c>
    </row>
    <row r="1343" spans="1:9" ht="15.75" thickTop="1" x14ac:dyDescent="0.25">
      <c r="A1343" s="2640">
        <v>1637</v>
      </c>
      <c r="B1343" s="19">
        <v>4350</v>
      </c>
      <c r="C1343" s="151">
        <v>6351</v>
      </c>
      <c r="D1343" s="2641"/>
      <c r="E1343" s="845" t="s">
        <v>551</v>
      </c>
      <c r="F1343" s="2642">
        <f>F1344</f>
        <v>0</v>
      </c>
      <c r="G1343" s="2642">
        <f t="shared" ref="G1343" si="240">G1344</f>
        <v>149</v>
      </c>
      <c r="H1343" s="2642">
        <f t="shared" ref="H1343" si="241">H1344</f>
        <v>149</v>
      </c>
      <c r="I1343" s="2643">
        <v>100</v>
      </c>
    </row>
    <row r="1344" spans="1:9" ht="29.25" thickBot="1" x14ac:dyDescent="0.25">
      <c r="A1344" s="2644"/>
      <c r="B1344" s="822"/>
      <c r="C1344" s="2645"/>
      <c r="D1344" s="3034" t="s">
        <v>971</v>
      </c>
      <c r="E1344" s="2633" t="s">
        <v>1546</v>
      </c>
      <c r="F1344" s="3046">
        <v>0</v>
      </c>
      <c r="G1344" s="3047">
        <v>149</v>
      </c>
      <c r="H1344" s="3048">
        <v>149</v>
      </c>
      <c r="I1344" s="903">
        <v>100</v>
      </c>
    </row>
    <row r="1345" spans="1:20" ht="16.5" thickTop="1" thickBot="1" x14ac:dyDescent="0.3">
      <c r="A1345" s="3241" t="s">
        <v>523</v>
      </c>
      <c r="B1345" s="3242"/>
      <c r="C1345" s="3242"/>
      <c r="D1345" s="3242"/>
      <c r="E1345" s="3243"/>
      <c r="F1345" s="2648">
        <f>F1343</f>
        <v>0</v>
      </c>
      <c r="G1345" s="2648">
        <f t="shared" ref="G1345:H1345" si="242">G1343</f>
        <v>149</v>
      </c>
      <c r="H1345" s="2648">
        <f t="shared" si="242"/>
        <v>149</v>
      </c>
      <c r="I1345" s="2649">
        <v>100</v>
      </c>
    </row>
    <row r="1346" spans="1:20" ht="13.5" thickTop="1" x14ac:dyDescent="0.2"/>
    <row r="1347" spans="1:20" hidden="1" x14ac:dyDescent="0.2"/>
    <row r="1348" spans="1:20" hidden="1" x14ac:dyDescent="0.2"/>
    <row r="1349" spans="1:20" hidden="1" x14ac:dyDescent="0.2"/>
    <row r="1350" spans="1:20" ht="9" customHeight="1" x14ac:dyDescent="0.2"/>
    <row r="1351" spans="1:20" ht="13.5" thickBot="1" x14ac:dyDescent="0.25">
      <c r="A1351" s="70" t="s">
        <v>1552</v>
      </c>
      <c r="B1351" s="70"/>
      <c r="C1351" s="70"/>
      <c r="D1351" s="70"/>
      <c r="E1351" s="70"/>
      <c r="F1351" s="2659"/>
      <c r="G1351" s="2659"/>
      <c r="H1351" s="2659"/>
      <c r="I1351" s="2660" t="s">
        <v>92</v>
      </c>
    </row>
    <row r="1352" spans="1:20" ht="14.25" thickTop="1" thickBot="1" x14ac:dyDescent="0.25">
      <c r="A1352" s="2661" t="s">
        <v>324</v>
      </c>
      <c r="B1352" s="2662" t="s">
        <v>93</v>
      </c>
      <c r="C1352" s="2663" t="s">
        <v>94</v>
      </c>
      <c r="D1352" s="2664" t="s">
        <v>364</v>
      </c>
      <c r="E1352" s="2664" t="s">
        <v>95</v>
      </c>
      <c r="F1352" s="2664" t="s">
        <v>328</v>
      </c>
      <c r="G1352" s="2664" t="s">
        <v>329</v>
      </c>
      <c r="H1352" s="2665" t="s">
        <v>448</v>
      </c>
      <c r="I1352" s="2666" t="s">
        <v>449</v>
      </c>
    </row>
    <row r="1353" spans="1:20" ht="14.25" thickTop="1" thickBot="1" x14ac:dyDescent="0.25">
      <c r="A1353" s="2667">
        <v>1</v>
      </c>
      <c r="B1353" s="2668">
        <v>2</v>
      </c>
      <c r="C1353" s="2668">
        <v>3</v>
      </c>
      <c r="D1353" s="2668">
        <v>4</v>
      </c>
      <c r="E1353" s="2668">
        <v>5</v>
      </c>
      <c r="F1353" s="2669">
        <v>6</v>
      </c>
      <c r="G1353" s="2669">
        <v>7</v>
      </c>
      <c r="H1353" s="2670">
        <v>8</v>
      </c>
      <c r="I1353" s="2671" t="s">
        <v>393</v>
      </c>
    </row>
    <row r="1354" spans="1:20" ht="15.75" thickTop="1" x14ac:dyDescent="0.25">
      <c r="A1354" s="2672">
        <v>1638</v>
      </c>
      <c r="B1354" s="2673">
        <v>4350</v>
      </c>
      <c r="C1354" s="2673">
        <v>5331</v>
      </c>
      <c r="D1354" s="2674"/>
      <c r="E1354" s="2675" t="s">
        <v>481</v>
      </c>
      <c r="F1354" s="2676">
        <f>F1355+F1356+F1357+F1358</f>
        <v>36390</v>
      </c>
      <c r="G1354" s="2676">
        <f t="shared" ref="G1354:H1354" si="243">G1355+G1356+G1357+G1358</f>
        <v>34191</v>
      </c>
      <c r="H1354" s="2676">
        <f t="shared" si="243"/>
        <v>34191</v>
      </c>
      <c r="I1354" s="2677">
        <v>100</v>
      </c>
    </row>
    <row r="1355" spans="1:20" ht="28.5" x14ac:dyDescent="0.2">
      <c r="A1355" s="2624"/>
      <c r="B1355" s="151"/>
      <c r="C1355" s="151"/>
      <c r="D1355" s="3034" t="s">
        <v>971</v>
      </c>
      <c r="E1355" s="2633" t="s">
        <v>1546</v>
      </c>
      <c r="F1355" s="3049">
        <v>0</v>
      </c>
      <c r="G1355" s="3049">
        <v>1090</v>
      </c>
      <c r="H1355" s="3049">
        <v>1090</v>
      </c>
      <c r="I1355" s="3040">
        <v>100</v>
      </c>
    </row>
    <row r="1356" spans="1:20" ht="14.25" x14ac:dyDescent="0.2">
      <c r="A1356" s="2624"/>
      <c r="B1356" s="151"/>
      <c r="C1356" s="151"/>
      <c r="D1356" s="2630" t="s">
        <v>1394</v>
      </c>
      <c r="E1356" s="923" t="s">
        <v>1537</v>
      </c>
      <c r="F1356" s="2628">
        <v>25329</v>
      </c>
      <c r="G1356" s="2628">
        <v>20194</v>
      </c>
      <c r="H1356" s="2628">
        <v>20194</v>
      </c>
      <c r="I1356" s="2679">
        <v>100</v>
      </c>
    </row>
    <row r="1357" spans="1:20" ht="14.25" x14ac:dyDescent="0.2">
      <c r="A1357" s="2624"/>
      <c r="B1357" s="151"/>
      <c r="C1357" s="151"/>
      <c r="D1357" s="811" t="s">
        <v>993</v>
      </c>
      <c r="E1357" s="2627" t="s">
        <v>1538</v>
      </c>
      <c r="F1357" s="2628">
        <v>11061</v>
      </c>
      <c r="G1357" s="2628">
        <v>11407</v>
      </c>
      <c r="H1357" s="2628">
        <v>11407</v>
      </c>
      <c r="I1357" s="2679">
        <v>100</v>
      </c>
    </row>
    <row r="1358" spans="1:20" ht="15" thickBot="1" x14ac:dyDescent="0.25">
      <c r="A1358" s="2624"/>
      <c r="B1358" s="151"/>
      <c r="C1358" s="151"/>
      <c r="D1358" s="811" t="s">
        <v>1395</v>
      </c>
      <c r="E1358" s="2627" t="s">
        <v>1539</v>
      </c>
      <c r="F1358" s="2628"/>
      <c r="G1358" s="2628">
        <v>1500</v>
      </c>
      <c r="H1358" s="2628">
        <v>1500</v>
      </c>
      <c r="I1358" s="2679"/>
    </row>
    <row r="1359" spans="1:20" ht="16.5" thickTop="1" thickBot="1" x14ac:dyDescent="0.3">
      <c r="A1359" s="3241" t="s">
        <v>522</v>
      </c>
      <c r="B1359" s="3242"/>
      <c r="C1359" s="3242"/>
      <c r="D1359" s="3242"/>
      <c r="E1359" s="3300"/>
      <c r="F1359" s="2648">
        <f>F1354</f>
        <v>36390</v>
      </c>
      <c r="G1359" s="2648">
        <f t="shared" ref="G1359:H1359" si="244">G1354</f>
        <v>34191</v>
      </c>
      <c r="H1359" s="2648">
        <f t="shared" si="244"/>
        <v>34191</v>
      </c>
      <c r="I1359" s="2649">
        <v>100</v>
      </c>
      <c r="R1359" s="2691">
        <f>F1359</f>
        <v>36390</v>
      </c>
      <c r="S1359" s="2691">
        <f t="shared" ref="S1359:T1359" si="245">G1359</f>
        <v>34191</v>
      </c>
      <c r="T1359" s="2691">
        <f t="shared" si="245"/>
        <v>34191</v>
      </c>
    </row>
    <row r="1360" spans="1:20" ht="15.75" thickTop="1" x14ac:dyDescent="0.25">
      <c r="A1360" s="2640">
        <v>1638</v>
      </c>
      <c r="B1360" s="19">
        <v>4350</v>
      </c>
      <c r="C1360" s="151">
        <v>6351</v>
      </c>
      <c r="D1360" s="2641"/>
      <c r="E1360" s="845" t="s">
        <v>551</v>
      </c>
      <c r="F1360" s="2642">
        <f>F1361</f>
        <v>0</v>
      </c>
      <c r="G1360" s="2642">
        <f t="shared" ref="G1360" si="246">G1361</f>
        <v>3566</v>
      </c>
      <c r="H1360" s="2642">
        <f t="shared" ref="H1360" si="247">H1361</f>
        <v>3566</v>
      </c>
      <c r="I1360" s="2677">
        <v>100</v>
      </c>
      <c r="R1360" s="2691">
        <f>F1362</f>
        <v>0</v>
      </c>
      <c r="S1360" s="2691">
        <f t="shared" ref="S1360:T1360" si="248">G1362</f>
        <v>3566</v>
      </c>
      <c r="T1360" s="2691">
        <f t="shared" si="248"/>
        <v>3566</v>
      </c>
    </row>
    <row r="1361" spans="1:20" ht="29.25" thickBot="1" x14ac:dyDescent="0.25">
      <c r="A1361" s="2644"/>
      <c r="B1361" s="822"/>
      <c r="C1361" s="2645"/>
      <c r="D1361" s="3034" t="s">
        <v>971</v>
      </c>
      <c r="E1361" s="2633" t="s">
        <v>1546</v>
      </c>
      <c r="F1361" s="3046">
        <v>0</v>
      </c>
      <c r="G1361" s="3047">
        <v>3566</v>
      </c>
      <c r="H1361" s="3048">
        <v>3566</v>
      </c>
      <c r="I1361" s="3040">
        <v>100</v>
      </c>
      <c r="R1361" s="2691">
        <f>R1359+R1360</f>
        <v>36390</v>
      </c>
      <c r="S1361" s="2691">
        <f t="shared" ref="S1361:T1361" si="249">S1359+S1360</f>
        <v>37757</v>
      </c>
      <c r="T1361" s="2691">
        <f t="shared" si="249"/>
        <v>37757</v>
      </c>
    </row>
    <row r="1362" spans="1:20" ht="16.5" thickTop="1" thickBot="1" x14ac:dyDescent="0.3">
      <c r="A1362" s="3241" t="s">
        <v>523</v>
      </c>
      <c r="B1362" s="3242"/>
      <c r="C1362" s="3242"/>
      <c r="D1362" s="3242"/>
      <c r="E1362" s="3243"/>
      <c r="F1362" s="2648">
        <f>F1360</f>
        <v>0</v>
      </c>
      <c r="G1362" s="2648">
        <f t="shared" ref="G1362:H1362" si="250">G1360</f>
        <v>3566</v>
      </c>
      <c r="H1362" s="2648">
        <f t="shared" si="250"/>
        <v>3566</v>
      </c>
      <c r="I1362" s="2649">
        <v>100</v>
      </c>
    </row>
    <row r="1363" spans="1:20" ht="13.5" thickTop="1" x14ac:dyDescent="0.2"/>
    <row r="1365" spans="1:20" ht="13.5" thickBot="1" x14ac:dyDescent="0.25">
      <c r="A1365" s="70" t="s">
        <v>1553</v>
      </c>
      <c r="B1365" s="70"/>
      <c r="C1365" s="70"/>
      <c r="D1365" s="70"/>
      <c r="E1365" s="70"/>
      <c r="F1365" s="2659"/>
      <c r="G1365" s="2659"/>
      <c r="H1365" s="2659"/>
      <c r="I1365" s="2660" t="s">
        <v>92</v>
      </c>
    </row>
    <row r="1366" spans="1:20" ht="14.25" thickTop="1" thickBot="1" x14ac:dyDescent="0.25">
      <c r="A1366" s="2661" t="s">
        <v>324</v>
      </c>
      <c r="B1366" s="2662" t="s">
        <v>93</v>
      </c>
      <c r="C1366" s="2663" t="s">
        <v>94</v>
      </c>
      <c r="D1366" s="2664" t="s">
        <v>364</v>
      </c>
      <c r="E1366" s="2664" t="s">
        <v>95</v>
      </c>
      <c r="F1366" s="2664" t="s">
        <v>328</v>
      </c>
      <c r="G1366" s="2664" t="s">
        <v>329</v>
      </c>
      <c r="H1366" s="2665" t="s">
        <v>448</v>
      </c>
      <c r="I1366" s="2666" t="s">
        <v>449</v>
      </c>
    </row>
    <row r="1367" spans="1:20" ht="14.25" thickTop="1" thickBot="1" x14ac:dyDescent="0.25">
      <c r="A1367" s="2667">
        <v>1</v>
      </c>
      <c r="B1367" s="2668">
        <v>2</v>
      </c>
      <c r="C1367" s="2668">
        <v>3</v>
      </c>
      <c r="D1367" s="2668">
        <v>4</v>
      </c>
      <c r="E1367" s="2668">
        <v>5</v>
      </c>
      <c r="F1367" s="2669">
        <v>6</v>
      </c>
      <c r="G1367" s="2669">
        <v>7</v>
      </c>
      <c r="H1367" s="2670">
        <v>8</v>
      </c>
      <c r="I1367" s="2671" t="s">
        <v>393</v>
      </c>
    </row>
    <row r="1368" spans="1:20" ht="15.75" thickTop="1" x14ac:dyDescent="0.25">
      <c r="A1368" s="2672">
        <v>1639</v>
      </c>
      <c r="B1368" s="2673">
        <v>4351</v>
      </c>
      <c r="C1368" s="2673">
        <v>5331</v>
      </c>
      <c r="D1368" s="2674"/>
      <c r="E1368" s="2675" t="s">
        <v>481</v>
      </c>
      <c r="F1368" s="2676">
        <f>F1369+F1370+F1371</f>
        <v>13425</v>
      </c>
      <c r="G1368" s="2676">
        <f t="shared" ref="G1368" si="251">G1369+G1370+G1371</f>
        <v>12745</v>
      </c>
      <c r="H1368" s="2676">
        <f t="shared" ref="H1368" si="252">H1369+H1370+H1371</f>
        <v>12745</v>
      </c>
      <c r="I1368" s="2677">
        <v>100</v>
      </c>
    </row>
    <row r="1369" spans="1:20" ht="28.5" x14ac:dyDescent="0.2">
      <c r="A1369" s="2624"/>
      <c r="B1369" s="151"/>
      <c r="C1369" s="151"/>
      <c r="D1369" s="3034" t="s">
        <v>971</v>
      </c>
      <c r="E1369" s="2633" t="s">
        <v>1546</v>
      </c>
      <c r="F1369" s="3049">
        <v>0</v>
      </c>
      <c r="G1369" s="3049">
        <v>120</v>
      </c>
      <c r="H1369" s="3049">
        <v>120</v>
      </c>
      <c r="I1369" s="3040">
        <v>100</v>
      </c>
    </row>
    <row r="1370" spans="1:20" ht="14.25" x14ac:dyDescent="0.2">
      <c r="A1370" s="2624"/>
      <c r="B1370" s="151"/>
      <c r="C1370" s="151"/>
      <c r="D1370" s="2630" t="s">
        <v>1394</v>
      </c>
      <c r="E1370" s="923" t="s">
        <v>1537</v>
      </c>
      <c r="F1370" s="2628">
        <v>11382</v>
      </c>
      <c r="G1370" s="2628">
        <v>10713</v>
      </c>
      <c r="H1370" s="2628">
        <v>10713</v>
      </c>
      <c r="I1370" s="2679">
        <v>100</v>
      </c>
    </row>
    <row r="1371" spans="1:20" ht="15" thickBot="1" x14ac:dyDescent="0.25">
      <c r="A1371" s="2624"/>
      <c r="B1371" s="151"/>
      <c r="C1371" s="151"/>
      <c r="D1371" s="811" t="s">
        <v>993</v>
      </c>
      <c r="E1371" s="2627" t="s">
        <v>1538</v>
      </c>
      <c r="F1371" s="2628">
        <v>2043</v>
      </c>
      <c r="G1371" s="2628">
        <v>1912</v>
      </c>
      <c r="H1371" s="2628">
        <v>1912</v>
      </c>
      <c r="I1371" s="2679">
        <v>100</v>
      </c>
    </row>
    <row r="1372" spans="1:20" ht="16.5" thickTop="1" thickBot="1" x14ac:dyDescent="0.3">
      <c r="A1372" s="3241" t="s">
        <v>522</v>
      </c>
      <c r="B1372" s="3242"/>
      <c r="C1372" s="3242"/>
      <c r="D1372" s="3242"/>
      <c r="E1372" s="3300"/>
      <c r="F1372" s="2648">
        <f>F1368</f>
        <v>13425</v>
      </c>
      <c r="G1372" s="2648">
        <f t="shared" ref="G1372:H1372" si="253">G1368</f>
        <v>12745</v>
      </c>
      <c r="H1372" s="2648">
        <f t="shared" si="253"/>
        <v>12745</v>
      </c>
      <c r="I1372" s="2649">
        <v>100</v>
      </c>
      <c r="R1372" s="2691">
        <f>F1372</f>
        <v>13425</v>
      </c>
      <c r="S1372" s="2691">
        <f t="shared" ref="S1372:T1372" si="254">G1372</f>
        <v>12745</v>
      </c>
      <c r="T1372" s="2691">
        <f t="shared" si="254"/>
        <v>12745</v>
      </c>
    </row>
    <row r="1373" spans="1:20" ht="15.75" thickTop="1" x14ac:dyDescent="0.25">
      <c r="A1373" s="2640">
        <v>1639</v>
      </c>
      <c r="B1373" s="19">
        <v>4351</v>
      </c>
      <c r="C1373" s="151">
        <v>6351</v>
      </c>
      <c r="D1373" s="2641"/>
      <c r="E1373" s="845" t="s">
        <v>551</v>
      </c>
      <c r="F1373" s="2642">
        <f>F1374</f>
        <v>0</v>
      </c>
      <c r="G1373" s="2642">
        <f t="shared" ref="G1373" si="255">G1374</f>
        <v>459</v>
      </c>
      <c r="H1373" s="2642">
        <f t="shared" ref="H1373" si="256">H1374</f>
        <v>459</v>
      </c>
      <c r="I1373" s="2643">
        <v>100</v>
      </c>
      <c r="R1373" s="2691">
        <f>F1375</f>
        <v>0</v>
      </c>
      <c r="S1373" s="2691">
        <f t="shared" ref="S1373:T1373" si="257">G1375</f>
        <v>459</v>
      </c>
      <c r="T1373" s="2691">
        <f t="shared" si="257"/>
        <v>459</v>
      </c>
    </row>
    <row r="1374" spans="1:20" ht="29.25" thickBot="1" x14ac:dyDescent="0.25">
      <c r="A1374" s="2644"/>
      <c r="B1374" s="822"/>
      <c r="C1374" s="2645"/>
      <c r="D1374" s="3034" t="s">
        <v>971</v>
      </c>
      <c r="E1374" s="2633" t="s">
        <v>1546</v>
      </c>
      <c r="F1374" s="3046">
        <v>0</v>
      </c>
      <c r="G1374" s="3047">
        <v>459</v>
      </c>
      <c r="H1374" s="3048">
        <v>459</v>
      </c>
      <c r="I1374" s="903">
        <v>100</v>
      </c>
      <c r="R1374" s="2691">
        <f>R1372+R1373</f>
        <v>13425</v>
      </c>
      <c r="S1374" s="2691">
        <f t="shared" ref="S1374:T1374" si="258">S1372+S1373</f>
        <v>13204</v>
      </c>
      <c r="T1374" s="2691">
        <f t="shared" si="258"/>
        <v>13204</v>
      </c>
    </row>
    <row r="1375" spans="1:20" ht="16.5" thickTop="1" thickBot="1" x14ac:dyDescent="0.3">
      <c r="A1375" s="3241" t="s">
        <v>523</v>
      </c>
      <c r="B1375" s="3242"/>
      <c r="C1375" s="3242"/>
      <c r="D1375" s="3242"/>
      <c r="E1375" s="3243"/>
      <c r="F1375" s="2648">
        <f>F1373</f>
        <v>0</v>
      </c>
      <c r="G1375" s="2648">
        <f t="shared" ref="G1375:H1375" si="259">G1373</f>
        <v>459</v>
      </c>
      <c r="H1375" s="2648">
        <f t="shared" si="259"/>
        <v>459</v>
      </c>
      <c r="I1375" s="2649">
        <v>100</v>
      </c>
    </row>
    <row r="1376" spans="1:20" ht="13.5" thickTop="1" x14ac:dyDescent="0.2"/>
    <row r="1378" spans="1:20" ht="13.5" thickBot="1" x14ac:dyDescent="0.25">
      <c r="A1378" s="70" t="s">
        <v>1554</v>
      </c>
      <c r="B1378" s="70"/>
      <c r="C1378" s="70"/>
      <c r="D1378" s="70"/>
      <c r="E1378" s="70"/>
      <c r="F1378" s="2659"/>
      <c r="G1378" s="2659"/>
      <c r="H1378" s="2659"/>
      <c r="I1378" s="2660" t="s">
        <v>92</v>
      </c>
    </row>
    <row r="1379" spans="1:20" ht="14.25" thickTop="1" thickBot="1" x14ac:dyDescent="0.25">
      <c r="A1379" s="2661" t="s">
        <v>324</v>
      </c>
      <c r="B1379" s="2662" t="s">
        <v>93</v>
      </c>
      <c r="C1379" s="2663" t="s">
        <v>94</v>
      </c>
      <c r="D1379" s="2664" t="s">
        <v>364</v>
      </c>
      <c r="E1379" s="2664" t="s">
        <v>95</v>
      </c>
      <c r="F1379" s="2664" t="s">
        <v>328</v>
      </c>
      <c r="G1379" s="2664" t="s">
        <v>329</v>
      </c>
      <c r="H1379" s="2665" t="s">
        <v>448</v>
      </c>
      <c r="I1379" s="2666" t="s">
        <v>449</v>
      </c>
    </row>
    <row r="1380" spans="1:20" ht="14.25" thickTop="1" thickBot="1" x14ac:dyDescent="0.25">
      <c r="A1380" s="2667">
        <v>1</v>
      </c>
      <c r="B1380" s="2668">
        <v>2</v>
      </c>
      <c r="C1380" s="2668">
        <v>3</v>
      </c>
      <c r="D1380" s="2668">
        <v>4</v>
      </c>
      <c r="E1380" s="2668">
        <v>5</v>
      </c>
      <c r="F1380" s="2669">
        <v>6</v>
      </c>
      <c r="G1380" s="2669">
        <v>7</v>
      </c>
      <c r="H1380" s="2670">
        <v>8</v>
      </c>
      <c r="I1380" s="2671" t="s">
        <v>393</v>
      </c>
    </row>
    <row r="1381" spans="1:20" ht="15.75" thickTop="1" x14ac:dyDescent="0.25">
      <c r="A1381" s="2672">
        <v>1640</v>
      </c>
      <c r="B1381" s="2673">
        <v>4357</v>
      </c>
      <c r="C1381" s="2673">
        <v>5331</v>
      </c>
      <c r="D1381" s="2674"/>
      <c r="E1381" s="2675" t="s">
        <v>481</v>
      </c>
      <c r="F1381" s="2676">
        <f>F1382+F1383+F1384</f>
        <v>24825</v>
      </c>
      <c r="G1381" s="2676">
        <f t="shared" ref="G1381" si="260">G1382+G1383+G1384</f>
        <v>21653</v>
      </c>
      <c r="H1381" s="2676">
        <f t="shared" ref="H1381" si="261">H1382+H1383+H1384</f>
        <v>21653</v>
      </c>
      <c r="I1381" s="2677">
        <v>100</v>
      </c>
    </row>
    <row r="1382" spans="1:20" ht="14.25" x14ac:dyDescent="0.2">
      <c r="A1382" s="2624"/>
      <c r="B1382" s="151"/>
      <c r="C1382" s="151"/>
      <c r="D1382" s="2630" t="s">
        <v>1394</v>
      </c>
      <c r="E1382" s="923" t="s">
        <v>1537</v>
      </c>
      <c r="F1382" s="2678">
        <v>21377</v>
      </c>
      <c r="G1382" s="2678">
        <v>18122</v>
      </c>
      <c r="H1382" s="2678">
        <v>18122</v>
      </c>
      <c r="I1382" s="2647">
        <v>100</v>
      </c>
    </row>
    <row r="1383" spans="1:20" ht="15" thickBot="1" x14ac:dyDescent="0.25">
      <c r="A1383" s="2624"/>
      <c r="B1383" s="151"/>
      <c r="C1383" s="151"/>
      <c r="D1383" s="811" t="s">
        <v>993</v>
      </c>
      <c r="E1383" s="2627" t="s">
        <v>1538</v>
      </c>
      <c r="F1383" s="2628">
        <v>3448</v>
      </c>
      <c r="G1383" s="2628">
        <v>3531</v>
      </c>
      <c r="H1383" s="2628">
        <v>3531</v>
      </c>
      <c r="I1383" s="2679">
        <v>100</v>
      </c>
    </row>
    <row r="1384" spans="1:20" ht="15" hidden="1" thickBot="1" x14ac:dyDescent="0.25">
      <c r="A1384" s="2624"/>
      <c r="B1384" s="151"/>
      <c r="C1384" s="151"/>
      <c r="D1384" s="811" t="s">
        <v>993</v>
      </c>
      <c r="E1384" s="2627" t="s">
        <v>1538</v>
      </c>
      <c r="F1384" s="2628"/>
      <c r="G1384" s="2628"/>
      <c r="H1384" s="2628"/>
      <c r="I1384" s="2679">
        <v>100</v>
      </c>
    </row>
    <row r="1385" spans="1:20" ht="16.5" thickTop="1" thickBot="1" x14ac:dyDescent="0.3">
      <c r="A1385" s="3241" t="s">
        <v>522</v>
      </c>
      <c r="B1385" s="3242"/>
      <c r="C1385" s="3242"/>
      <c r="D1385" s="3242"/>
      <c r="E1385" s="3300"/>
      <c r="F1385" s="2648">
        <f>F1381</f>
        <v>24825</v>
      </c>
      <c r="G1385" s="2648">
        <f t="shared" ref="G1385:H1385" si="262">G1381</f>
        <v>21653</v>
      </c>
      <c r="H1385" s="2648">
        <f t="shared" si="262"/>
        <v>21653</v>
      </c>
      <c r="I1385" s="2649">
        <v>100</v>
      </c>
      <c r="R1385" s="2691">
        <f>F1385</f>
        <v>24825</v>
      </c>
      <c r="S1385" s="2691">
        <f t="shared" ref="S1385:T1385" si="263">G1385</f>
        <v>21653</v>
      </c>
      <c r="T1385" s="2691">
        <f t="shared" si="263"/>
        <v>21653</v>
      </c>
    </row>
    <row r="1386" spans="1:20" ht="15.75" thickTop="1" x14ac:dyDescent="0.25">
      <c r="A1386" s="2640">
        <v>1640</v>
      </c>
      <c r="B1386" s="19">
        <v>4357</v>
      </c>
      <c r="C1386" s="151">
        <v>6351</v>
      </c>
      <c r="D1386" s="2641"/>
      <c r="E1386" s="845" t="s">
        <v>551</v>
      </c>
      <c r="F1386" s="2642">
        <f>F1387</f>
        <v>0</v>
      </c>
      <c r="G1386" s="2642">
        <f t="shared" ref="G1386" si="264">G1387</f>
        <v>100</v>
      </c>
      <c r="H1386" s="2642">
        <f t="shared" ref="H1386" si="265">H1387</f>
        <v>100</v>
      </c>
      <c r="I1386" s="2643">
        <v>100</v>
      </c>
      <c r="R1386" s="2691">
        <f>F1388</f>
        <v>0</v>
      </c>
      <c r="S1386" s="2691">
        <f t="shared" ref="S1386:T1386" si="266">G1388</f>
        <v>100</v>
      </c>
      <c r="T1386" s="2691">
        <f t="shared" si="266"/>
        <v>100</v>
      </c>
    </row>
    <row r="1387" spans="1:20" ht="29.25" thickBot="1" x14ac:dyDescent="0.25">
      <c r="A1387" s="2644"/>
      <c r="B1387" s="822"/>
      <c r="C1387" s="2645"/>
      <c r="D1387" s="3034" t="s">
        <v>971</v>
      </c>
      <c r="E1387" s="2633" t="s">
        <v>1546</v>
      </c>
      <c r="F1387" s="3046">
        <v>0</v>
      </c>
      <c r="G1387" s="3047">
        <v>100</v>
      </c>
      <c r="H1387" s="3048">
        <v>100</v>
      </c>
      <c r="I1387" s="903">
        <f>H1387/G1387*100</f>
        <v>100</v>
      </c>
      <c r="R1387" s="2691">
        <f>R1385+R1386</f>
        <v>24825</v>
      </c>
      <c r="S1387" s="2691">
        <f t="shared" ref="S1387:T1387" si="267">S1385+S1386</f>
        <v>21753</v>
      </c>
      <c r="T1387" s="2691">
        <f t="shared" si="267"/>
        <v>21753</v>
      </c>
    </row>
    <row r="1388" spans="1:20" ht="16.5" thickTop="1" thickBot="1" x14ac:dyDescent="0.3">
      <c r="A1388" s="3241" t="s">
        <v>523</v>
      </c>
      <c r="B1388" s="3242"/>
      <c r="C1388" s="3242"/>
      <c r="D1388" s="3242"/>
      <c r="E1388" s="3243"/>
      <c r="F1388" s="2648">
        <f>F1386</f>
        <v>0</v>
      </c>
      <c r="G1388" s="2648">
        <f t="shared" ref="G1388:H1388" si="268">G1386</f>
        <v>100</v>
      </c>
      <c r="H1388" s="2648">
        <f t="shared" si="268"/>
        <v>100</v>
      </c>
      <c r="I1388" s="2649">
        <v>100</v>
      </c>
    </row>
    <row r="1389" spans="1:20" ht="13.5" thickTop="1" x14ac:dyDescent="0.2"/>
    <row r="1391" spans="1:20" ht="13.5" thickBot="1" x14ac:dyDescent="0.25">
      <c r="A1391" s="70" t="s">
        <v>1555</v>
      </c>
      <c r="B1391" s="70"/>
      <c r="C1391" s="70"/>
      <c r="D1391" s="70"/>
      <c r="E1391" s="70"/>
      <c r="F1391" s="2659"/>
      <c r="G1391" s="2659"/>
      <c r="H1391" s="2659"/>
      <c r="I1391" s="2660" t="s">
        <v>92</v>
      </c>
    </row>
    <row r="1392" spans="1:20" ht="14.25" thickTop="1" thickBot="1" x14ac:dyDescent="0.25">
      <c r="A1392" s="2661" t="s">
        <v>324</v>
      </c>
      <c r="B1392" s="2662" t="s">
        <v>93</v>
      </c>
      <c r="C1392" s="2663" t="s">
        <v>94</v>
      </c>
      <c r="D1392" s="2664" t="s">
        <v>364</v>
      </c>
      <c r="E1392" s="2664" t="s">
        <v>95</v>
      </c>
      <c r="F1392" s="2664" t="s">
        <v>328</v>
      </c>
      <c r="G1392" s="2664" t="s">
        <v>329</v>
      </c>
      <c r="H1392" s="2665" t="s">
        <v>448</v>
      </c>
      <c r="I1392" s="2666" t="s">
        <v>449</v>
      </c>
    </row>
    <row r="1393" spans="1:20" ht="14.25" thickTop="1" thickBot="1" x14ac:dyDescent="0.25">
      <c r="A1393" s="2667">
        <v>1</v>
      </c>
      <c r="B1393" s="2668">
        <v>2</v>
      </c>
      <c r="C1393" s="2668">
        <v>3</v>
      </c>
      <c r="D1393" s="2668">
        <v>4</v>
      </c>
      <c r="E1393" s="2668">
        <v>5</v>
      </c>
      <c r="F1393" s="2669">
        <v>6</v>
      </c>
      <c r="G1393" s="2669">
        <v>7</v>
      </c>
      <c r="H1393" s="2670">
        <v>8</v>
      </c>
      <c r="I1393" s="2671" t="s">
        <v>393</v>
      </c>
    </row>
    <row r="1394" spans="1:20" ht="15.75" thickTop="1" x14ac:dyDescent="0.25">
      <c r="A1394" s="2672">
        <v>1641</v>
      </c>
      <c r="B1394" s="2673">
        <v>4357</v>
      </c>
      <c r="C1394" s="2673">
        <v>5331</v>
      </c>
      <c r="D1394" s="2674"/>
      <c r="E1394" s="2675" t="s">
        <v>481</v>
      </c>
      <c r="F1394" s="2676">
        <f>F1395+F1396+F1397</f>
        <v>7268</v>
      </c>
      <c r="G1394" s="2676">
        <f t="shared" ref="G1394" si="269">G1395+G1396+G1397</f>
        <v>8523</v>
      </c>
      <c r="H1394" s="2676">
        <f t="shared" ref="H1394" si="270">H1395+H1396+H1397</f>
        <v>8523</v>
      </c>
      <c r="I1394" s="2677">
        <v>100</v>
      </c>
    </row>
    <row r="1395" spans="1:20" ht="28.5" x14ac:dyDescent="0.2">
      <c r="A1395" s="2624"/>
      <c r="B1395" s="151"/>
      <c r="C1395" s="151"/>
      <c r="D1395" s="3034" t="s">
        <v>971</v>
      </c>
      <c r="E1395" s="2633" t="s">
        <v>1546</v>
      </c>
      <c r="F1395" s="3049">
        <v>0</v>
      </c>
      <c r="G1395" s="3049">
        <v>180</v>
      </c>
      <c r="H1395" s="3049">
        <v>180</v>
      </c>
      <c r="I1395" s="3040">
        <v>100</v>
      </c>
    </row>
    <row r="1396" spans="1:20" ht="14.25" x14ac:dyDescent="0.2">
      <c r="A1396" s="2624"/>
      <c r="B1396" s="151"/>
      <c r="C1396" s="151"/>
      <c r="D1396" s="2630" t="s">
        <v>1394</v>
      </c>
      <c r="E1396" s="923" t="s">
        <v>1537</v>
      </c>
      <c r="F1396" s="2628">
        <v>6224</v>
      </c>
      <c r="G1396" s="2628">
        <v>7313</v>
      </c>
      <c r="H1396" s="2628">
        <v>7313</v>
      </c>
      <c r="I1396" s="2679">
        <v>100</v>
      </c>
    </row>
    <row r="1397" spans="1:20" ht="15" thickBot="1" x14ac:dyDescent="0.25">
      <c r="A1397" s="2624"/>
      <c r="B1397" s="151"/>
      <c r="C1397" s="151"/>
      <c r="D1397" s="811" t="s">
        <v>993</v>
      </c>
      <c r="E1397" s="2627" t="s">
        <v>1538</v>
      </c>
      <c r="F1397" s="2628">
        <v>1044</v>
      </c>
      <c r="G1397" s="2628">
        <v>1030</v>
      </c>
      <c r="H1397" s="2628">
        <v>1030</v>
      </c>
      <c r="I1397" s="2679">
        <v>100</v>
      </c>
    </row>
    <row r="1398" spans="1:20" ht="16.5" thickTop="1" thickBot="1" x14ac:dyDescent="0.3">
      <c r="A1398" s="3241" t="s">
        <v>522</v>
      </c>
      <c r="B1398" s="3242"/>
      <c r="C1398" s="3242"/>
      <c r="D1398" s="3242"/>
      <c r="E1398" s="3300"/>
      <c r="F1398" s="2648">
        <f>F1394</f>
        <v>7268</v>
      </c>
      <c r="G1398" s="2648">
        <f t="shared" ref="G1398:H1398" si="271">G1394</f>
        <v>8523</v>
      </c>
      <c r="H1398" s="2648">
        <f t="shared" si="271"/>
        <v>8523</v>
      </c>
      <c r="I1398" s="2649">
        <v>100</v>
      </c>
      <c r="R1398" s="2691">
        <f>F1398</f>
        <v>7268</v>
      </c>
      <c r="S1398" s="2691">
        <f t="shared" ref="S1398:T1398" si="272">G1398</f>
        <v>8523</v>
      </c>
      <c r="T1398" s="2691">
        <f t="shared" si="272"/>
        <v>8523</v>
      </c>
    </row>
    <row r="1399" spans="1:20" ht="15.75" thickTop="1" x14ac:dyDescent="0.25">
      <c r="A1399" s="2640">
        <v>1641</v>
      </c>
      <c r="B1399" s="19">
        <v>4357</v>
      </c>
      <c r="C1399" s="151">
        <v>6351</v>
      </c>
      <c r="D1399" s="2641"/>
      <c r="E1399" s="845" t="s">
        <v>551</v>
      </c>
      <c r="F1399" s="2642">
        <f>F1400</f>
        <v>0</v>
      </c>
      <c r="G1399" s="2642">
        <f t="shared" ref="G1399" si="273">G1400</f>
        <v>1126</v>
      </c>
      <c r="H1399" s="2642">
        <f t="shared" ref="H1399" si="274">H1400</f>
        <v>1126</v>
      </c>
      <c r="I1399" s="2643">
        <v>100</v>
      </c>
      <c r="R1399" s="2691">
        <f>F1401</f>
        <v>0</v>
      </c>
      <c r="S1399" s="2691">
        <f t="shared" ref="S1399:T1399" si="275">G1401</f>
        <v>1126</v>
      </c>
      <c r="T1399" s="2691">
        <f t="shared" si="275"/>
        <v>1126</v>
      </c>
    </row>
    <row r="1400" spans="1:20" ht="29.25" thickBot="1" x14ac:dyDescent="0.25">
      <c r="A1400" s="2644"/>
      <c r="B1400" s="822"/>
      <c r="C1400" s="2645"/>
      <c r="D1400" s="3034" t="s">
        <v>971</v>
      </c>
      <c r="E1400" s="2633" t="s">
        <v>1546</v>
      </c>
      <c r="F1400" s="3046">
        <v>0</v>
      </c>
      <c r="G1400" s="3047">
        <v>1126</v>
      </c>
      <c r="H1400" s="3048">
        <v>1126</v>
      </c>
      <c r="I1400" s="903">
        <f>H1400/G1400*100</f>
        <v>100</v>
      </c>
      <c r="R1400" s="2691">
        <f>R1398+R1399</f>
        <v>7268</v>
      </c>
      <c r="S1400" s="2691">
        <f t="shared" ref="S1400:T1400" si="276">S1398+S1399</f>
        <v>9649</v>
      </c>
      <c r="T1400" s="2691">
        <f t="shared" si="276"/>
        <v>9649</v>
      </c>
    </row>
    <row r="1401" spans="1:20" ht="16.5" thickTop="1" thickBot="1" x14ac:dyDescent="0.3">
      <c r="A1401" s="3241" t="s">
        <v>523</v>
      </c>
      <c r="B1401" s="3242"/>
      <c r="C1401" s="3242"/>
      <c r="D1401" s="3242"/>
      <c r="E1401" s="3243"/>
      <c r="F1401" s="2648">
        <f>F1399</f>
        <v>0</v>
      </c>
      <c r="G1401" s="2648">
        <f t="shared" ref="G1401:H1401" si="277">G1399</f>
        <v>1126</v>
      </c>
      <c r="H1401" s="2648">
        <f t="shared" si="277"/>
        <v>1126</v>
      </c>
      <c r="I1401" s="2649">
        <v>100</v>
      </c>
    </row>
    <row r="1402" spans="1:20" ht="13.5" thickTop="1" x14ac:dyDescent="0.2"/>
    <row r="1404" spans="1:20" ht="13.5" thickBot="1" x14ac:dyDescent="0.25">
      <c r="A1404" s="70" t="s">
        <v>1556</v>
      </c>
      <c r="B1404" s="70"/>
      <c r="C1404" s="70"/>
      <c r="D1404" s="70"/>
      <c r="E1404" s="70"/>
      <c r="F1404" s="2659"/>
      <c r="G1404" s="2659"/>
      <c r="H1404" s="2659"/>
      <c r="I1404" s="2660" t="s">
        <v>92</v>
      </c>
    </row>
    <row r="1405" spans="1:20" ht="14.25" thickTop="1" thickBot="1" x14ac:dyDescent="0.25">
      <c r="A1405" s="2661" t="s">
        <v>324</v>
      </c>
      <c r="B1405" s="2662" t="s">
        <v>93</v>
      </c>
      <c r="C1405" s="2663" t="s">
        <v>94</v>
      </c>
      <c r="D1405" s="2664" t="s">
        <v>364</v>
      </c>
      <c r="E1405" s="2664" t="s">
        <v>95</v>
      </c>
      <c r="F1405" s="2664" t="s">
        <v>328</v>
      </c>
      <c r="G1405" s="2664" t="s">
        <v>329</v>
      </c>
      <c r="H1405" s="2665" t="s">
        <v>448</v>
      </c>
      <c r="I1405" s="2666" t="s">
        <v>449</v>
      </c>
    </row>
    <row r="1406" spans="1:20" ht="14.25" thickTop="1" thickBot="1" x14ac:dyDescent="0.25">
      <c r="A1406" s="2667">
        <v>1</v>
      </c>
      <c r="B1406" s="2668">
        <v>2</v>
      </c>
      <c r="C1406" s="2668">
        <v>3</v>
      </c>
      <c r="D1406" s="2668">
        <v>4</v>
      </c>
      <c r="E1406" s="2668">
        <v>5</v>
      </c>
      <c r="F1406" s="2669">
        <v>6</v>
      </c>
      <c r="G1406" s="2669">
        <v>7</v>
      </c>
      <c r="H1406" s="2670">
        <v>8</v>
      </c>
      <c r="I1406" s="2671" t="s">
        <v>393</v>
      </c>
    </row>
    <row r="1407" spans="1:20" ht="15.75" thickTop="1" x14ac:dyDescent="0.25">
      <c r="A1407" s="2672">
        <v>1642</v>
      </c>
      <c r="B1407" s="2673">
        <v>4357</v>
      </c>
      <c r="C1407" s="2673">
        <v>5331</v>
      </c>
      <c r="D1407" s="2674"/>
      <c r="E1407" s="2675" t="s">
        <v>481</v>
      </c>
      <c r="F1407" s="2676">
        <f>F1408+F1409+F1410</f>
        <v>21065</v>
      </c>
      <c r="G1407" s="2676">
        <f t="shared" ref="G1407" si="278">G1408+G1409+G1410</f>
        <v>24852</v>
      </c>
      <c r="H1407" s="2676">
        <f t="shared" ref="H1407" si="279">H1408+H1409+H1410</f>
        <v>24852</v>
      </c>
      <c r="I1407" s="2677">
        <v>100</v>
      </c>
    </row>
    <row r="1408" spans="1:20" ht="28.5" x14ac:dyDescent="0.2">
      <c r="A1408" s="2624"/>
      <c r="B1408" s="151"/>
      <c r="C1408" s="151"/>
      <c r="D1408" s="3034" t="s">
        <v>971</v>
      </c>
      <c r="E1408" s="2633" t="s">
        <v>1546</v>
      </c>
      <c r="F1408" s="3049">
        <v>0</v>
      </c>
      <c r="G1408" s="3049">
        <v>181</v>
      </c>
      <c r="H1408" s="3049">
        <v>181</v>
      </c>
      <c r="I1408" s="3040">
        <v>100</v>
      </c>
    </row>
    <row r="1409" spans="1:9" ht="14.25" x14ac:dyDescent="0.2">
      <c r="A1409" s="2624"/>
      <c r="B1409" s="151"/>
      <c r="C1409" s="151"/>
      <c r="D1409" s="2630" t="s">
        <v>1394</v>
      </c>
      <c r="E1409" s="923" t="s">
        <v>1537</v>
      </c>
      <c r="F1409" s="2628">
        <v>17650</v>
      </c>
      <c r="G1409" s="2628">
        <v>21250</v>
      </c>
      <c r="H1409" s="2628">
        <v>21250</v>
      </c>
      <c r="I1409" s="2679">
        <v>100</v>
      </c>
    </row>
    <row r="1410" spans="1:9" ht="15" thickBot="1" x14ac:dyDescent="0.25">
      <c r="A1410" s="2624"/>
      <c r="B1410" s="151"/>
      <c r="C1410" s="151"/>
      <c r="D1410" s="2625" t="s">
        <v>993</v>
      </c>
      <c r="E1410" s="2627" t="s">
        <v>1538</v>
      </c>
      <c r="F1410" s="2628">
        <v>3415</v>
      </c>
      <c r="G1410" s="2628">
        <v>3421</v>
      </c>
      <c r="H1410" s="2628">
        <v>3421</v>
      </c>
      <c r="I1410" s="2679">
        <v>100</v>
      </c>
    </row>
    <row r="1411" spans="1:9" ht="16.5" thickTop="1" thickBot="1" x14ac:dyDescent="0.3">
      <c r="A1411" s="3241" t="s">
        <v>522</v>
      </c>
      <c r="B1411" s="3242"/>
      <c r="C1411" s="3242"/>
      <c r="D1411" s="3242"/>
      <c r="E1411" s="3300"/>
      <c r="F1411" s="2648">
        <f>F1407</f>
        <v>21065</v>
      </c>
      <c r="G1411" s="2648">
        <f t="shared" ref="G1411:H1411" si="280">G1407</f>
        <v>24852</v>
      </c>
      <c r="H1411" s="2648">
        <f t="shared" si="280"/>
        <v>24852</v>
      </c>
      <c r="I1411" s="2649">
        <v>100</v>
      </c>
    </row>
    <row r="1412" spans="1:9" ht="13.5" thickTop="1" x14ac:dyDescent="0.2"/>
    <row r="1414" spans="1:9" ht="13.5" thickBot="1" x14ac:dyDescent="0.25">
      <c r="A1414" s="70" t="s">
        <v>1557</v>
      </c>
      <c r="B1414" s="70"/>
      <c r="C1414" s="70"/>
      <c r="D1414" s="70"/>
      <c r="E1414" s="70"/>
      <c r="F1414" s="2659"/>
      <c r="G1414" s="2659"/>
      <c r="H1414" s="2659"/>
      <c r="I1414" s="2660" t="s">
        <v>92</v>
      </c>
    </row>
    <row r="1415" spans="1:9" ht="14.25" thickTop="1" thickBot="1" x14ac:dyDescent="0.25">
      <c r="A1415" s="2661" t="s">
        <v>324</v>
      </c>
      <c r="B1415" s="2662" t="s">
        <v>93</v>
      </c>
      <c r="C1415" s="2663" t="s">
        <v>94</v>
      </c>
      <c r="D1415" s="2664" t="s">
        <v>364</v>
      </c>
      <c r="E1415" s="2664" t="s">
        <v>95</v>
      </c>
      <c r="F1415" s="2664" t="s">
        <v>328</v>
      </c>
      <c r="G1415" s="2664" t="s">
        <v>329</v>
      </c>
      <c r="H1415" s="2665" t="s">
        <v>448</v>
      </c>
      <c r="I1415" s="2666" t="s">
        <v>449</v>
      </c>
    </row>
    <row r="1416" spans="1:9" ht="14.25" thickTop="1" thickBot="1" x14ac:dyDescent="0.25">
      <c r="A1416" s="2667">
        <v>1</v>
      </c>
      <c r="B1416" s="2668">
        <v>2</v>
      </c>
      <c r="C1416" s="2668">
        <v>3</v>
      </c>
      <c r="D1416" s="2668">
        <v>4</v>
      </c>
      <c r="E1416" s="2668">
        <v>5</v>
      </c>
      <c r="F1416" s="2669">
        <v>6</v>
      </c>
      <c r="G1416" s="2669">
        <v>7</v>
      </c>
      <c r="H1416" s="2670">
        <v>8</v>
      </c>
      <c r="I1416" s="2671" t="s">
        <v>393</v>
      </c>
    </row>
    <row r="1417" spans="1:9" ht="15.75" thickTop="1" x14ac:dyDescent="0.25">
      <c r="A1417" s="2672">
        <v>1644</v>
      </c>
      <c r="B1417" s="2673">
        <v>4324</v>
      </c>
      <c r="C1417" s="2673">
        <v>5331</v>
      </c>
      <c r="D1417" s="2674"/>
      <c r="E1417" s="2675" t="s">
        <v>481</v>
      </c>
      <c r="F1417" s="2676">
        <f>F1418+F1419+F1420</f>
        <v>7094</v>
      </c>
      <c r="G1417" s="2676">
        <f t="shared" ref="G1417" si="281">G1418+G1419+G1420</f>
        <v>8159</v>
      </c>
      <c r="H1417" s="2676">
        <f t="shared" ref="H1417" si="282">H1418+H1419+H1420</f>
        <v>8159</v>
      </c>
      <c r="I1417" s="2677">
        <v>100</v>
      </c>
    </row>
    <row r="1418" spans="1:9" ht="28.5" hidden="1" x14ac:dyDescent="0.2">
      <c r="A1418" s="2624"/>
      <c r="B1418" s="151"/>
      <c r="C1418" s="151"/>
      <c r="D1418" s="2634" t="s">
        <v>971</v>
      </c>
      <c r="E1418" s="2633" t="s">
        <v>1546</v>
      </c>
      <c r="F1418" s="2678"/>
      <c r="G1418" s="2678"/>
      <c r="H1418" s="2678"/>
      <c r="I1418" s="2647">
        <v>100</v>
      </c>
    </row>
    <row r="1419" spans="1:9" ht="14.25" x14ac:dyDescent="0.2">
      <c r="A1419" s="2624"/>
      <c r="B1419" s="151"/>
      <c r="C1419" s="151"/>
      <c r="D1419" s="2630" t="s">
        <v>1394</v>
      </c>
      <c r="E1419" s="923" t="s">
        <v>1537</v>
      </c>
      <c r="F1419" s="2628">
        <v>6847</v>
      </c>
      <c r="G1419" s="2628">
        <v>7905</v>
      </c>
      <c r="H1419" s="2628">
        <v>7905</v>
      </c>
      <c r="I1419" s="2679">
        <v>100</v>
      </c>
    </row>
    <row r="1420" spans="1:9" ht="15" thickBot="1" x14ac:dyDescent="0.25">
      <c r="A1420" s="2624"/>
      <c r="B1420" s="151"/>
      <c r="C1420" s="151"/>
      <c r="D1420" s="2625" t="s">
        <v>993</v>
      </c>
      <c r="E1420" s="2627" t="s">
        <v>1538</v>
      </c>
      <c r="F1420" s="2628">
        <v>247</v>
      </c>
      <c r="G1420" s="2628">
        <v>254</v>
      </c>
      <c r="H1420" s="2628">
        <v>254</v>
      </c>
      <c r="I1420" s="2679">
        <v>100</v>
      </c>
    </row>
    <row r="1421" spans="1:9" ht="16.5" thickTop="1" thickBot="1" x14ac:dyDescent="0.3">
      <c r="A1421" s="3241" t="s">
        <v>522</v>
      </c>
      <c r="B1421" s="3242"/>
      <c r="C1421" s="3242"/>
      <c r="D1421" s="3242"/>
      <c r="E1421" s="3300"/>
      <c r="F1421" s="2648">
        <f>F1417</f>
        <v>7094</v>
      </c>
      <c r="G1421" s="2648">
        <f t="shared" ref="G1421:H1421" si="283">G1417</f>
        <v>8159</v>
      </c>
      <c r="H1421" s="2648">
        <f t="shared" si="283"/>
        <v>8159</v>
      </c>
      <c r="I1421" s="2649">
        <v>100</v>
      </c>
    </row>
    <row r="1422" spans="1:9" ht="15.75" thickTop="1" x14ac:dyDescent="0.25">
      <c r="A1422" s="2640">
        <v>1644</v>
      </c>
      <c r="B1422" s="19">
        <v>4324</v>
      </c>
      <c r="C1422" s="151">
        <v>6351</v>
      </c>
      <c r="D1422" s="2641"/>
      <c r="E1422" s="845" t="s">
        <v>551</v>
      </c>
      <c r="F1422" s="2642">
        <f>F1423</f>
        <v>0</v>
      </c>
      <c r="G1422" s="2642">
        <f t="shared" ref="G1422:H1422" si="284">G1423</f>
        <v>356</v>
      </c>
      <c r="H1422" s="2642">
        <f t="shared" si="284"/>
        <v>356</v>
      </c>
      <c r="I1422" s="2643">
        <v>100</v>
      </c>
    </row>
    <row r="1423" spans="1:9" ht="29.25" thickBot="1" x14ac:dyDescent="0.25">
      <c r="A1423" s="2644"/>
      <c r="B1423" s="822"/>
      <c r="C1423" s="2645"/>
      <c r="D1423" s="3034" t="s">
        <v>971</v>
      </c>
      <c r="E1423" s="2952" t="s">
        <v>1546</v>
      </c>
      <c r="F1423" s="3046">
        <v>0</v>
      </c>
      <c r="G1423" s="3047">
        <v>356</v>
      </c>
      <c r="H1423" s="3048">
        <v>356</v>
      </c>
      <c r="I1423" s="903">
        <f>H1423/G1423*100</f>
        <v>100</v>
      </c>
    </row>
    <row r="1424" spans="1:9" ht="16.5" thickTop="1" thickBot="1" x14ac:dyDescent="0.3">
      <c r="A1424" s="3241" t="s">
        <v>523</v>
      </c>
      <c r="B1424" s="3242"/>
      <c r="C1424" s="3242"/>
      <c r="D1424" s="3242"/>
      <c r="E1424" s="3243"/>
      <c r="F1424" s="2648">
        <f>F1422</f>
        <v>0</v>
      </c>
      <c r="G1424" s="2648">
        <f t="shared" ref="G1424:H1424" si="285">G1422</f>
        <v>356</v>
      </c>
      <c r="H1424" s="2648">
        <f t="shared" si="285"/>
        <v>356</v>
      </c>
      <c r="I1424" s="2649">
        <v>100</v>
      </c>
    </row>
    <row r="1425" spans="1:9" ht="13.5" thickTop="1" x14ac:dyDescent="0.2"/>
    <row r="1426" spans="1:9" hidden="1" x14ac:dyDescent="0.2"/>
    <row r="1427" spans="1:9" hidden="1" x14ac:dyDescent="0.2"/>
    <row r="1429" spans="1:9" ht="13.5" thickBot="1" x14ac:dyDescent="0.25">
      <c r="A1429" s="70" t="s">
        <v>1558</v>
      </c>
      <c r="B1429" s="70"/>
      <c r="C1429" s="70"/>
      <c r="D1429" s="70"/>
      <c r="E1429" s="70"/>
      <c r="F1429" s="2659"/>
      <c r="G1429" s="2659"/>
      <c r="H1429" s="2659"/>
      <c r="I1429" s="2660" t="s">
        <v>92</v>
      </c>
    </row>
    <row r="1430" spans="1:9" ht="14.25" thickTop="1" thickBot="1" x14ac:dyDescent="0.25">
      <c r="A1430" s="2661" t="s">
        <v>324</v>
      </c>
      <c r="B1430" s="2662" t="s">
        <v>93</v>
      </c>
      <c r="C1430" s="2663" t="s">
        <v>94</v>
      </c>
      <c r="D1430" s="2664" t="s">
        <v>364</v>
      </c>
      <c r="E1430" s="2664" t="s">
        <v>95</v>
      </c>
      <c r="F1430" s="2664" t="s">
        <v>328</v>
      </c>
      <c r="G1430" s="2664" t="s">
        <v>329</v>
      </c>
      <c r="H1430" s="2665" t="s">
        <v>448</v>
      </c>
      <c r="I1430" s="2666" t="s">
        <v>449</v>
      </c>
    </row>
    <row r="1431" spans="1:9" ht="14.25" thickTop="1" thickBot="1" x14ac:dyDescent="0.25">
      <c r="A1431" s="2667">
        <v>1</v>
      </c>
      <c r="B1431" s="2668">
        <v>2</v>
      </c>
      <c r="C1431" s="2668">
        <v>3</v>
      </c>
      <c r="D1431" s="2668">
        <v>4</v>
      </c>
      <c r="E1431" s="2668">
        <v>5</v>
      </c>
      <c r="F1431" s="2669">
        <v>6</v>
      </c>
      <c r="G1431" s="2669">
        <v>7</v>
      </c>
      <c r="H1431" s="2670">
        <v>8</v>
      </c>
      <c r="I1431" s="2671" t="s">
        <v>393</v>
      </c>
    </row>
    <row r="1432" spans="1:9" ht="15.75" thickTop="1" x14ac:dyDescent="0.25">
      <c r="A1432" s="2672">
        <v>1645</v>
      </c>
      <c r="B1432" s="2673">
        <v>4350</v>
      </c>
      <c r="C1432" s="2673">
        <v>5331</v>
      </c>
      <c r="D1432" s="2674"/>
      <c r="E1432" s="2675" t="s">
        <v>481</v>
      </c>
      <c r="F1432" s="2676">
        <f>F1433+F1434+F1435+F1436</f>
        <v>6152</v>
      </c>
      <c r="G1432" s="2676">
        <f t="shared" ref="G1432:H1432" si="286">G1433+G1434+G1435+G1436</f>
        <v>9083</v>
      </c>
      <c r="H1432" s="2676">
        <f t="shared" si="286"/>
        <v>9083</v>
      </c>
      <c r="I1432" s="2677">
        <v>100</v>
      </c>
    </row>
    <row r="1433" spans="1:9" ht="28.5" x14ac:dyDescent="0.2">
      <c r="A1433" s="2624"/>
      <c r="B1433" s="151"/>
      <c r="C1433" s="151"/>
      <c r="D1433" s="3034" t="s">
        <v>971</v>
      </c>
      <c r="E1433" s="2633" t="s">
        <v>1546</v>
      </c>
      <c r="F1433" s="3049">
        <v>0</v>
      </c>
      <c r="G1433" s="3049">
        <v>1205</v>
      </c>
      <c r="H1433" s="3049">
        <v>1205</v>
      </c>
      <c r="I1433" s="3040">
        <f>H1433/G1433*100</f>
        <v>100</v>
      </c>
    </row>
    <row r="1434" spans="1:9" ht="14.25" x14ac:dyDescent="0.2">
      <c r="A1434" s="2624"/>
      <c r="B1434" s="151"/>
      <c r="C1434" s="151"/>
      <c r="D1434" s="2630" t="s">
        <v>1394</v>
      </c>
      <c r="E1434" s="923" t="s">
        <v>1537</v>
      </c>
      <c r="F1434" s="2628">
        <v>2741</v>
      </c>
      <c r="G1434" s="2628">
        <v>3312</v>
      </c>
      <c r="H1434" s="2628">
        <v>3312</v>
      </c>
      <c r="I1434" s="2647">
        <f t="shared" ref="I1434:I1436" si="287">H1434/G1434*100</f>
        <v>100</v>
      </c>
    </row>
    <row r="1435" spans="1:9" ht="14.25" x14ac:dyDescent="0.2">
      <c r="A1435" s="2624"/>
      <c r="B1435" s="151"/>
      <c r="C1435" s="151"/>
      <c r="D1435" s="2625" t="s">
        <v>993</v>
      </c>
      <c r="E1435" s="2627" t="s">
        <v>1538</v>
      </c>
      <c r="F1435" s="2628">
        <v>3411</v>
      </c>
      <c r="G1435" s="2628">
        <v>4018</v>
      </c>
      <c r="H1435" s="2628">
        <v>4018</v>
      </c>
      <c r="I1435" s="2647">
        <f t="shared" si="287"/>
        <v>100</v>
      </c>
    </row>
    <row r="1436" spans="1:9" ht="15" thickBot="1" x14ac:dyDescent="0.25">
      <c r="A1436" s="2680"/>
      <c r="B1436" s="825"/>
      <c r="C1436" s="822"/>
      <c r="D1436" s="811" t="s">
        <v>1397</v>
      </c>
      <c r="E1436" s="2627" t="s">
        <v>1542</v>
      </c>
      <c r="F1436" s="2628">
        <v>0</v>
      </c>
      <c r="G1436" s="2628">
        <v>548</v>
      </c>
      <c r="H1436" s="2628">
        <v>548</v>
      </c>
      <c r="I1436" s="2647">
        <f t="shared" si="287"/>
        <v>100</v>
      </c>
    </row>
    <row r="1437" spans="1:9" ht="16.5" thickTop="1" thickBot="1" x14ac:dyDescent="0.3">
      <c r="A1437" s="3241" t="s">
        <v>522</v>
      </c>
      <c r="B1437" s="3242"/>
      <c r="C1437" s="3242"/>
      <c r="D1437" s="3242"/>
      <c r="E1437" s="3300"/>
      <c r="F1437" s="2648">
        <f>F1432</f>
        <v>6152</v>
      </c>
      <c r="G1437" s="2648">
        <f t="shared" ref="G1437:H1437" si="288">G1432</f>
        <v>9083</v>
      </c>
      <c r="H1437" s="2648">
        <f t="shared" si="288"/>
        <v>9083</v>
      </c>
      <c r="I1437" s="2649">
        <v>100</v>
      </c>
    </row>
    <row r="1438" spans="1:9" ht="15.75" thickTop="1" x14ac:dyDescent="0.25">
      <c r="A1438" s="2640">
        <v>1645</v>
      </c>
      <c r="B1438" s="19">
        <v>4350</v>
      </c>
      <c r="C1438" s="151">
        <v>6351</v>
      </c>
      <c r="D1438" s="2641"/>
      <c r="E1438" s="845" t="s">
        <v>551</v>
      </c>
      <c r="F1438" s="2642">
        <f>F1439</f>
        <v>0</v>
      </c>
      <c r="G1438" s="2642">
        <f t="shared" ref="G1438:H1438" si="289">G1439</f>
        <v>2628</v>
      </c>
      <c r="H1438" s="2642">
        <f t="shared" si="289"/>
        <v>2628</v>
      </c>
      <c r="I1438" s="2643">
        <v>100</v>
      </c>
    </row>
    <row r="1439" spans="1:9" ht="29.25" thickBot="1" x14ac:dyDescent="0.25">
      <c r="A1439" s="2644"/>
      <c r="B1439" s="822"/>
      <c r="C1439" s="2645"/>
      <c r="D1439" s="3034" t="s">
        <v>971</v>
      </c>
      <c r="E1439" s="2952" t="s">
        <v>1546</v>
      </c>
      <c r="F1439" s="3046">
        <v>0</v>
      </c>
      <c r="G1439" s="3047">
        <v>2628</v>
      </c>
      <c r="H1439" s="3048">
        <v>2628</v>
      </c>
      <c r="I1439" s="903">
        <f>H1439/G1439*100</f>
        <v>100</v>
      </c>
    </row>
    <row r="1440" spans="1:9" ht="16.5" thickTop="1" thickBot="1" x14ac:dyDescent="0.3">
      <c r="A1440" s="3241" t="s">
        <v>523</v>
      </c>
      <c r="B1440" s="3242"/>
      <c r="C1440" s="3242"/>
      <c r="D1440" s="3242"/>
      <c r="E1440" s="3243"/>
      <c r="F1440" s="2648">
        <f>F1438</f>
        <v>0</v>
      </c>
      <c r="G1440" s="2648">
        <f t="shared" ref="G1440:H1440" si="290">G1438</f>
        <v>2628</v>
      </c>
      <c r="H1440" s="2648">
        <f t="shared" si="290"/>
        <v>2628</v>
      </c>
      <c r="I1440" s="2649">
        <v>100</v>
      </c>
    </row>
    <row r="1441" spans="1:9" ht="13.5" thickTop="1" x14ac:dyDescent="0.2"/>
    <row r="1443" spans="1:9" ht="13.5" thickBot="1" x14ac:dyDescent="0.25">
      <c r="A1443" s="70" t="s">
        <v>1559</v>
      </c>
      <c r="B1443" s="70"/>
      <c r="C1443" s="70"/>
      <c r="D1443" s="70"/>
      <c r="E1443" s="70"/>
      <c r="F1443" s="2659"/>
      <c r="G1443" s="2659"/>
      <c r="H1443" s="2659"/>
      <c r="I1443" s="2660" t="s">
        <v>92</v>
      </c>
    </row>
    <row r="1444" spans="1:9" ht="14.25" thickTop="1" thickBot="1" x14ac:dyDescent="0.25">
      <c r="A1444" s="2661" t="s">
        <v>324</v>
      </c>
      <c r="B1444" s="2662" t="s">
        <v>93</v>
      </c>
      <c r="C1444" s="2663" t="s">
        <v>94</v>
      </c>
      <c r="D1444" s="2664" t="s">
        <v>364</v>
      </c>
      <c r="E1444" s="2664" t="s">
        <v>95</v>
      </c>
      <c r="F1444" s="2664" t="s">
        <v>328</v>
      </c>
      <c r="G1444" s="2664" t="s">
        <v>329</v>
      </c>
      <c r="H1444" s="2665" t="s">
        <v>448</v>
      </c>
      <c r="I1444" s="2666" t="s">
        <v>449</v>
      </c>
    </row>
    <row r="1445" spans="1:9" ht="14.25" thickTop="1" thickBot="1" x14ac:dyDescent="0.25">
      <c r="A1445" s="2667">
        <v>1</v>
      </c>
      <c r="B1445" s="2668">
        <v>2</v>
      </c>
      <c r="C1445" s="2668">
        <v>3</v>
      </c>
      <c r="D1445" s="2668">
        <v>4</v>
      </c>
      <c r="E1445" s="2668">
        <v>5</v>
      </c>
      <c r="F1445" s="2669">
        <v>6</v>
      </c>
      <c r="G1445" s="2669">
        <v>7</v>
      </c>
      <c r="H1445" s="2670">
        <v>8</v>
      </c>
      <c r="I1445" s="2671" t="s">
        <v>393</v>
      </c>
    </row>
    <row r="1446" spans="1:9" ht="15.75" thickTop="1" x14ac:dyDescent="0.25">
      <c r="A1446" s="2672">
        <v>1646</v>
      </c>
      <c r="B1446" s="2673">
        <v>4350</v>
      </c>
      <c r="C1446" s="2673">
        <v>5331</v>
      </c>
      <c r="D1446" s="2674"/>
      <c r="E1446" s="2675" t="s">
        <v>481</v>
      </c>
      <c r="F1446" s="2676">
        <f>F1447+F1448+F1449</f>
        <v>4998</v>
      </c>
      <c r="G1446" s="2676">
        <f t="shared" ref="G1446" si="291">G1447+G1448+G1449</f>
        <v>6644</v>
      </c>
      <c r="H1446" s="2676">
        <f t="shared" ref="H1446" si="292">H1447+H1448+H1449</f>
        <v>6644</v>
      </c>
      <c r="I1446" s="2677">
        <v>100</v>
      </c>
    </row>
    <row r="1447" spans="1:9" ht="28.5" hidden="1" x14ac:dyDescent="0.2">
      <c r="A1447" s="2624"/>
      <c r="B1447" s="151"/>
      <c r="C1447" s="151"/>
      <c r="D1447" s="2634" t="s">
        <v>971</v>
      </c>
      <c r="E1447" s="2633" t="s">
        <v>1546</v>
      </c>
      <c r="F1447" s="2678"/>
      <c r="G1447" s="2678"/>
      <c r="H1447" s="2678"/>
      <c r="I1447" s="2647">
        <v>100</v>
      </c>
    </row>
    <row r="1448" spans="1:9" ht="14.25" x14ac:dyDescent="0.2">
      <c r="A1448" s="2624"/>
      <c r="B1448" s="151"/>
      <c r="C1448" s="151"/>
      <c r="D1448" s="2630" t="s">
        <v>1394</v>
      </c>
      <c r="E1448" s="923" t="s">
        <v>1537</v>
      </c>
      <c r="F1448" s="2628">
        <v>4850</v>
      </c>
      <c r="G1448" s="2628">
        <v>6490</v>
      </c>
      <c r="H1448" s="2628">
        <v>6490</v>
      </c>
      <c r="I1448" s="2679">
        <v>100</v>
      </c>
    </row>
    <row r="1449" spans="1:9" ht="15" thickBot="1" x14ac:dyDescent="0.25">
      <c r="A1449" s="2624"/>
      <c r="B1449" s="151"/>
      <c r="C1449" s="151"/>
      <c r="D1449" s="2625" t="s">
        <v>993</v>
      </c>
      <c r="E1449" s="2627" t="s">
        <v>1538</v>
      </c>
      <c r="F1449" s="2628">
        <v>148</v>
      </c>
      <c r="G1449" s="2628">
        <v>154</v>
      </c>
      <c r="H1449" s="2628">
        <v>154</v>
      </c>
      <c r="I1449" s="2679">
        <v>100</v>
      </c>
    </row>
    <row r="1450" spans="1:9" ht="16.5" thickTop="1" thickBot="1" x14ac:dyDescent="0.3">
      <c r="A1450" s="3241" t="s">
        <v>522</v>
      </c>
      <c r="B1450" s="3242"/>
      <c r="C1450" s="3242"/>
      <c r="D1450" s="3242"/>
      <c r="E1450" s="3300"/>
      <c r="F1450" s="2648">
        <f>F1446</f>
        <v>4998</v>
      </c>
      <c r="G1450" s="2648">
        <f t="shared" ref="G1450:H1450" si="293">G1446</f>
        <v>6644</v>
      </c>
      <c r="H1450" s="2648">
        <f t="shared" si="293"/>
        <v>6644</v>
      </c>
      <c r="I1450" s="2649">
        <v>100</v>
      </c>
    </row>
    <row r="1451" spans="1:9" ht="15.75" thickTop="1" x14ac:dyDescent="0.25">
      <c r="A1451" s="2640">
        <v>1646</v>
      </c>
      <c r="B1451" s="19">
        <v>4350</v>
      </c>
      <c r="C1451" s="151">
        <v>6351</v>
      </c>
      <c r="D1451" s="2641"/>
      <c r="E1451" s="845" t="s">
        <v>551</v>
      </c>
      <c r="F1451" s="2642">
        <f>F1452</f>
        <v>0</v>
      </c>
      <c r="G1451" s="2642">
        <f t="shared" ref="G1451:H1451" si="294">G1452</f>
        <v>458</v>
      </c>
      <c r="H1451" s="2642">
        <f t="shared" si="294"/>
        <v>458</v>
      </c>
      <c r="I1451" s="2643">
        <v>100</v>
      </c>
    </row>
    <row r="1452" spans="1:9" ht="29.25" thickBot="1" x14ac:dyDescent="0.25">
      <c r="A1452" s="2644"/>
      <c r="B1452" s="822"/>
      <c r="C1452" s="2645"/>
      <c r="D1452" s="3034" t="s">
        <v>971</v>
      </c>
      <c r="E1452" s="2952" t="s">
        <v>1546</v>
      </c>
      <c r="F1452" s="3046">
        <v>0</v>
      </c>
      <c r="G1452" s="3047">
        <v>458</v>
      </c>
      <c r="H1452" s="3048">
        <v>458</v>
      </c>
      <c r="I1452" s="903">
        <f>H1452/G1452*100</f>
        <v>100</v>
      </c>
    </row>
    <row r="1453" spans="1:9" ht="16.5" thickTop="1" thickBot="1" x14ac:dyDescent="0.3">
      <c r="A1453" s="3241" t="s">
        <v>523</v>
      </c>
      <c r="B1453" s="3242"/>
      <c r="C1453" s="3242"/>
      <c r="D1453" s="3242"/>
      <c r="E1453" s="3243"/>
      <c r="F1453" s="2648">
        <f>F1451</f>
        <v>0</v>
      </c>
      <c r="G1453" s="2648">
        <f t="shared" ref="G1453:H1453" si="295">G1451</f>
        <v>458</v>
      </c>
      <c r="H1453" s="2648">
        <f t="shared" si="295"/>
        <v>458</v>
      </c>
      <c r="I1453" s="2649">
        <v>100</v>
      </c>
    </row>
    <row r="1454" spans="1:9" ht="13.5" thickTop="1" x14ac:dyDescent="0.2"/>
    <row r="1456" spans="1:9" ht="13.5" thickBot="1" x14ac:dyDescent="0.25">
      <c r="A1456" s="70" t="s">
        <v>1560</v>
      </c>
      <c r="B1456" s="70"/>
      <c r="C1456" s="70"/>
      <c r="D1456" s="70"/>
      <c r="E1456" s="70"/>
      <c r="F1456" s="2659"/>
      <c r="G1456" s="2659"/>
      <c r="H1456" s="2659"/>
      <c r="I1456" s="2660" t="s">
        <v>92</v>
      </c>
    </row>
    <row r="1457" spans="1:9" ht="14.25" thickTop="1" thickBot="1" x14ac:dyDescent="0.25">
      <c r="A1457" s="2661" t="s">
        <v>324</v>
      </c>
      <c r="B1457" s="2662" t="s">
        <v>93</v>
      </c>
      <c r="C1457" s="2663" t="s">
        <v>94</v>
      </c>
      <c r="D1457" s="2664" t="s">
        <v>364</v>
      </c>
      <c r="E1457" s="2664" t="s">
        <v>95</v>
      </c>
      <c r="F1457" s="2664" t="s">
        <v>328</v>
      </c>
      <c r="G1457" s="2664" t="s">
        <v>329</v>
      </c>
      <c r="H1457" s="2665" t="s">
        <v>448</v>
      </c>
      <c r="I1457" s="2666" t="s">
        <v>449</v>
      </c>
    </row>
    <row r="1458" spans="1:9" ht="14.25" thickTop="1" thickBot="1" x14ac:dyDescent="0.25">
      <c r="A1458" s="2667">
        <v>1</v>
      </c>
      <c r="B1458" s="2668">
        <v>2</v>
      </c>
      <c r="C1458" s="2668">
        <v>3</v>
      </c>
      <c r="D1458" s="2668">
        <v>4</v>
      </c>
      <c r="E1458" s="2668">
        <v>5</v>
      </c>
      <c r="F1458" s="2669">
        <v>6</v>
      </c>
      <c r="G1458" s="2669">
        <v>7</v>
      </c>
      <c r="H1458" s="2670">
        <v>8</v>
      </c>
      <c r="I1458" s="2671" t="s">
        <v>393</v>
      </c>
    </row>
    <row r="1459" spans="1:9" ht="15.75" thickTop="1" x14ac:dyDescent="0.25">
      <c r="A1459" s="2672">
        <v>1647</v>
      </c>
      <c r="B1459" s="2673">
        <v>4357</v>
      </c>
      <c r="C1459" s="2673">
        <v>5331</v>
      </c>
      <c r="D1459" s="2674"/>
      <c r="E1459" s="2675" t="s">
        <v>481</v>
      </c>
      <c r="F1459" s="2676">
        <f>F1460+F1461+F1462+F1463</f>
        <v>6495</v>
      </c>
      <c r="G1459" s="2676">
        <f t="shared" ref="G1459" si="296">G1460+G1461+G1462+G1463</f>
        <v>10410</v>
      </c>
      <c r="H1459" s="2676">
        <f t="shared" ref="H1459" si="297">H1460+H1461+H1462+H1463</f>
        <v>10410</v>
      </c>
      <c r="I1459" s="2677">
        <v>100</v>
      </c>
    </row>
    <row r="1460" spans="1:9" ht="28.5" x14ac:dyDescent="0.2">
      <c r="A1460" s="2624"/>
      <c r="B1460" s="151"/>
      <c r="C1460" s="151"/>
      <c r="D1460" s="3034" t="s">
        <v>971</v>
      </c>
      <c r="E1460" s="2633" t="s">
        <v>1546</v>
      </c>
      <c r="F1460" s="3049">
        <v>0</v>
      </c>
      <c r="G1460" s="3049">
        <v>594</v>
      </c>
      <c r="H1460" s="3049">
        <v>594</v>
      </c>
      <c r="I1460" s="3040">
        <f>H1460/G1460*100</f>
        <v>100</v>
      </c>
    </row>
    <row r="1461" spans="1:9" ht="14.25" x14ac:dyDescent="0.2">
      <c r="A1461" s="2624"/>
      <c r="B1461" s="151"/>
      <c r="C1461" s="151"/>
      <c r="D1461" s="2630" t="s">
        <v>1394</v>
      </c>
      <c r="E1461" s="923" t="s">
        <v>1537</v>
      </c>
      <c r="F1461" s="2628">
        <v>5534</v>
      </c>
      <c r="G1461" s="2628">
        <v>8854</v>
      </c>
      <c r="H1461" s="2628">
        <v>8854</v>
      </c>
      <c r="I1461" s="2647">
        <f t="shared" ref="I1461:I1463" si="298">H1461/G1461*100</f>
        <v>100</v>
      </c>
    </row>
    <row r="1462" spans="1:9" ht="15" thickBot="1" x14ac:dyDescent="0.25">
      <c r="A1462" s="2624"/>
      <c r="B1462" s="151"/>
      <c r="C1462" s="151"/>
      <c r="D1462" s="2625" t="s">
        <v>993</v>
      </c>
      <c r="E1462" s="2627" t="s">
        <v>1538</v>
      </c>
      <c r="F1462" s="2628">
        <v>961</v>
      </c>
      <c r="G1462" s="2628">
        <v>962</v>
      </c>
      <c r="H1462" s="2628">
        <v>962</v>
      </c>
      <c r="I1462" s="2647">
        <f t="shared" si="298"/>
        <v>100</v>
      </c>
    </row>
    <row r="1463" spans="1:9" ht="15" hidden="1" thickBot="1" x14ac:dyDescent="0.25">
      <c r="A1463" s="2680"/>
      <c r="B1463" s="825"/>
      <c r="C1463" s="822"/>
      <c r="D1463" s="811" t="s">
        <v>1395</v>
      </c>
      <c r="E1463" s="2627" t="s">
        <v>1539</v>
      </c>
      <c r="F1463" s="2628"/>
      <c r="G1463" s="2628"/>
      <c r="H1463" s="2628"/>
      <c r="I1463" s="2647" t="e">
        <f t="shared" si="298"/>
        <v>#DIV/0!</v>
      </c>
    </row>
    <row r="1464" spans="1:9" ht="16.5" thickTop="1" thickBot="1" x14ac:dyDescent="0.3">
      <c r="A1464" s="3241" t="s">
        <v>522</v>
      </c>
      <c r="B1464" s="3242"/>
      <c r="C1464" s="3242"/>
      <c r="D1464" s="3242"/>
      <c r="E1464" s="3300"/>
      <c r="F1464" s="2648">
        <f>F1459</f>
        <v>6495</v>
      </c>
      <c r="G1464" s="2648">
        <f t="shared" ref="G1464:H1464" si="299">G1459</f>
        <v>10410</v>
      </c>
      <c r="H1464" s="2648">
        <f t="shared" si="299"/>
        <v>10410</v>
      </c>
      <c r="I1464" s="2649">
        <v>100</v>
      </c>
    </row>
    <row r="1465" spans="1:9" ht="15.75" thickTop="1" x14ac:dyDescent="0.25">
      <c r="A1465" s="2640">
        <v>1647</v>
      </c>
      <c r="B1465" s="19">
        <v>4357</v>
      </c>
      <c r="C1465" s="151">
        <v>6351</v>
      </c>
      <c r="D1465" s="2641"/>
      <c r="E1465" s="845" t="s">
        <v>551</v>
      </c>
      <c r="F1465" s="2642">
        <f>F1466</f>
        <v>0</v>
      </c>
      <c r="G1465" s="2642">
        <f t="shared" ref="G1465:H1465" si="300">G1466</f>
        <v>1065</v>
      </c>
      <c r="H1465" s="2642">
        <f t="shared" si="300"/>
        <v>1065</v>
      </c>
      <c r="I1465" s="2643">
        <v>100</v>
      </c>
    </row>
    <row r="1466" spans="1:9" ht="29.25" thickBot="1" x14ac:dyDescent="0.25">
      <c r="A1466" s="2644"/>
      <c r="B1466" s="822"/>
      <c r="C1466" s="2645"/>
      <c r="D1466" s="3034" t="s">
        <v>971</v>
      </c>
      <c r="E1466" s="2952" t="s">
        <v>1546</v>
      </c>
      <c r="F1466" s="3046">
        <v>0</v>
      </c>
      <c r="G1466" s="3047">
        <v>1065</v>
      </c>
      <c r="H1466" s="3048">
        <v>1065</v>
      </c>
      <c r="I1466" s="903">
        <f>H1466/G1466*100</f>
        <v>100</v>
      </c>
    </row>
    <row r="1467" spans="1:9" ht="16.5" thickTop="1" thickBot="1" x14ac:dyDescent="0.3">
      <c r="A1467" s="3241" t="s">
        <v>523</v>
      </c>
      <c r="B1467" s="3242"/>
      <c r="C1467" s="3242"/>
      <c r="D1467" s="3242"/>
      <c r="E1467" s="3243"/>
      <c r="F1467" s="2648">
        <f>F1465</f>
        <v>0</v>
      </c>
      <c r="G1467" s="2648">
        <f t="shared" ref="G1467:H1467" si="301">G1465</f>
        <v>1065</v>
      </c>
      <c r="H1467" s="2648">
        <f t="shared" si="301"/>
        <v>1065</v>
      </c>
      <c r="I1467" s="2649">
        <v>100</v>
      </c>
    </row>
    <row r="1468" spans="1:9" ht="13.5" thickTop="1" x14ac:dyDescent="0.2"/>
    <row r="1470" spans="1:9" ht="13.5" thickBot="1" x14ac:dyDescent="0.25">
      <c r="A1470" s="70" t="s">
        <v>1561</v>
      </c>
      <c r="B1470" s="70"/>
      <c r="C1470" s="70"/>
      <c r="D1470" s="70"/>
      <c r="E1470" s="70"/>
      <c r="F1470" s="2659"/>
      <c r="G1470" s="2659"/>
      <c r="H1470" s="2659"/>
      <c r="I1470" s="2660" t="s">
        <v>92</v>
      </c>
    </row>
    <row r="1471" spans="1:9" ht="14.25" thickTop="1" thickBot="1" x14ac:dyDescent="0.25">
      <c r="A1471" s="2661" t="s">
        <v>324</v>
      </c>
      <c r="B1471" s="2662" t="s">
        <v>93</v>
      </c>
      <c r="C1471" s="2663" t="s">
        <v>94</v>
      </c>
      <c r="D1471" s="2664" t="s">
        <v>364</v>
      </c>
      <c r="E1471" s="2664" t="s">
        <v>95</v>
      </c>
      <c r="F1471" s="2664" t="s">
        <v>328</v>
      </c>
      <c r="G1471" s="2664" t="s">
        <v>329</v>
      </c>
      <c r="H1471" s="2665" t="s">
        <v>448</v>
      </c>
      <c r="I1471" s="2666" t="s">
        <v>449</v>
      </c>
    </row>
    <row r="1472" spans="1:9" ht="14.25" thickTop="1" thickBot="1" x14ac:dyDescent="0.25">
      <c r="A1472" s="2667">
        <v>1</v>
      </c>
      <c r="B1472" s="2668">
        <v>2</v>
      </c>
      <c r="C1472" s="2668">
        <v>3</v>
      </c>
      <c r="D1472" s="2668">
        <v>4</v>
      </c>
      <c r="E1472" s="2668">
        <v>5</v>
      </c>
      <c r="F1472" s="2669">
        <v>6</v>
      </c>
      <c r="G1472" s="2669">
        <v>7</v>
      </c>
      <c r="H1472" s="2670">
        <v>8</v>
      </c>
      <c r="I1472" s="2671" t="s">
        <v>393</v>
      </c>
    </row>
    <row r="1473" spans="1:9" ht="15.75" thickTop="1" x14ac:dyDescent="0.25">
      <c r="A1473" s="2672">
        <v>1649</v>
      </c>
      <c r="B1473" s="2673">
        <v>4354</v>
      </c>
      <c r="C1473" s="2673">
        <v>5331</v>
      </c>
      <c r="D1473" s="2674"/>
      <c r="E1473" s="2675" t="s">
        <v>481</v>
      </c>
      <c r="F1473" s="2676">
        <f>F1474+F1475+F1476</f>
        <v>1265</v>
      </c>
      <c r="G1473" s="2676">
        <f t="shared" ref="G1473" si="302">G1474+G1475+G1476</f>
        <v>831</v>
      </c>
      <c r="H1473" s="2676">
        <f t="shared" ref="H1473" si="303">H1474+H1475+H1476</f>
        <v>831</v>
      </c>
      <c r="I1473" s="2677">
        <v>100</v>
      </c>
    </row>
    <row r="1474" spans="1:9" ht="28.5" hidden="1" x14ac:dyDescent="0.2">
      <c r="A1474" s="2624"/>
      <c r="B1474" s="151"/>
      <c r="C1474" s="151"/>
      <c r="D1474" s="2634" t="s">
        <v>971</v>
      </c>
      <c r="E1474" s="2633" t="s">
        <v>1546</v>
      </c>
      <c r="F1474" s="2678"/>
      <c r="G1474" s="2678"/>
      <c r="H1474" s="2678"/>
      <c r="I1474" s="2647">
        <v>0</v>
      </c>
    </row>
    <row r="1475" spans="1:9" ht="14.25" x14ac:dyDescent="0.2">
      <c r="A1475" s="2624"/>
      <c r="B1475" s="151"/>
      <c r="C1475" s="151"/>
      <c r="D1475" s="2630" t="s">
        <v>1394</v>
      </c>
      <c r="E1475" s="923" t="s">
        <v>1537</v>
      </c>
      <c r="F1475" s="2628">
        <v>994</v>
      </c>
      <c r="G1475" s="2628">
        <v>560</v>
      </c>
      <c r="H1475" s="2628">
        <v>560</v>
      </c>
      <c r="I1475" s="2679">
        <f>H1475/G1475*100</f>
        <v>100</v>
      </c>
    </row>
    <row r="1476" spans="1:9" ht="15" thickBot="1" x14ac:dyDescent="0.25">
      <c r="A1476" s="2624"/>
      <c r="B1476" s="151"/>
      <c r="C1476" s="151"/>
      <c r="D1476" s="2625" t="s">
        <v>993</v>
      </c>
      <c r="E1476" s="2627" t="s">
        <v>1538</v>
      </c>
      <c r="F1476" s="2628">
        <v>271</v>
      </c>
      <c r="G1476" s="2628">
        <v>271</v>
      </c>
      <c r="H1476" s="2628">
        <v>271</v>
      </c>
      <c r="I1476" s="2679">
        <v>100</v>
      </c>
    </row>
    <row r="1477" spans="1:9" ht="16.5" thickTop="1" thickBot="1" x14ac:dyDescent="0.3">
      <c r="A1477" s="3241" t="s">
        <v>522</v>
      </c>
      <c r="B1477" s="3242"/>
      <c r="C1477" s="3242"/>
      <c r="D1477" s="3242"/>
      <c r="E1477" s="3300"/>
      <c r="F1477" s="2648">
        <f>F1473</f>
        <v>1265</v>
      </c>
      <c r="G1477" s="2648">
        <f t="shared" ref="G1477:H1477" si="304">G1473</f>
        <v>831</v>
      </c>
      <c r="H1477" s="2648">
        <f t="shared" si="304"/>
        <v>831</v>
      </c>
      <c r="I1477" s="2649">
        <v>100</v>
      </c>
    </row>
    <row r="1478" spans="1:9" ht="13.5" thickTop="1" x14ac:dyDescent="0.2"/>
    <row r="1480" spans="1:9" ht="13.5" thickBot="1" x14ac:dyDescent="0.25">
      <c r="A1480" s="70" t="s">
        <v>1562</v>
      </c>
      <c r="B1480" s="70"/>
      <c r="C1480" s="70"/>
      <c r="D1480" s="70"/>
      <c r="E1480" s="70"/>
      <c r="F1480" s="2659"/>
      <c r="G1480" s="2659"/>
      <c r="H1480" s="2659"/>
      <c r="I1480" s="2660" t="s">
        <v>92</v>
      </c>
    </row>
    <row r="1481" spans="1:9" ht="14.25" thickTop="1" thickBot="1" x14ac:dyDescent="0.25">
      <c r="A1481" s="2661" t="s">
        <v>324</v>
      </c>
      <c r="B1481" s="2662" t="s">
        <v>93</v>
      </c>
      <c r="C1481" s="2663" t="s">
        <v>94</v>
      </c>
      <c r="D1481" s="2664" t="s">
        <v>364</v>
      </c>
      <c r="E1481" s="2664" t="s">
        <v>95</v>
      </c>
      <c r="F1481" s="2664" t="s">
        <v>328</v>
      </c>
      <c r="G1481" s="2664" t="s">
        <v>329</v>
      </c>
      <c r="H1481" s="2665" t="s">
        <v>448</v>
      </c>
      <c r="I1481" s="2666" t="s">
        <v>449</v>
      </c>
    </row>
    <row r="1482" spans="1:9" ht="14.25" thickTop="1" thickBot="1" x14ac:dyDescent="0.25">
      <c r="A1482" s="2667">
        <v>1</v>
      </c>
      <c r="B1482" s="2668">
        <v>2</v>
      </c>
      <c r="C1482" s="2668">
        <v>3</v>
      </c>
      <c r="D1482" s="2668">
        <v>4</v>
      </c>
      <c r="E1482" s="2668">
        <v>5</v>
      </c>
      <c r="F1482" s="2669">
        <v>6</v>
      </c>
      <c r="G1482" s="2669">
        <v>7</v>
      </c>
      <c r="H1482" s="2670">
        <v>8</v>
      </c>
      <c r="I1482" s="2671" t="s">
        <v>393</v>
      </c>
    </row>
    <row r="1483" spans="1:9" ht="15.75" thickTop="1" x14ac:dyDescent="0.25">
      <c r="A1483" s="2672">
        <v>1650</v>
      </c>
      <c r="B1483" s="2673">
        <v>4357</v>
      </c>
      <c r="C1483" s="2673">
        <v>5331</v>
      </c>
      <c r="D1483" s="2674"/>
      <c r="E1483" s="2675" t="s">
        <v>481</v>
      </c>
      <c r="F1483" s="2676">
        <f>F1484+F1485+F1486</f>
        <v>4194</v>
      </c>
      <c r="G1483" s="2676">
        <f t="shared" ref="G1483" si="305">G1484+G1485+G1486</f>
        <v>4468</v>
      </c>
      <c r="H1483" s="2676">
        <f t="shared" ref="H1483" si="306">H1484+H1485+H1486</f>
        <v>4468</v>
      </c>
      <c r="I1483" s="2677">
        <v>100</v>
      </c>
    </row>
    <row r="1484" spans="1:9" ht="28.5" x14ac:dyDescent="0.2">
      <c r="A1484" s="2624"/>
      <c r="B1484" s="151"/>
      <c r="C1484" s="151"/>
      <c r="D1484" s="3034" t="s">
        <v>971</v>
      </c>
      <c r="E1484" s="2633" t="s">
        <v>1546</v>
      </c>
      <c r="F1484" s="3049">
        <v>0</v>
      </c>
      <c r="G1484" s="3049">
        <v>97</v>
      </c>
      <c r="H1484" s="3049">
        <v>97</v>
      </c>
      <c r="I1484" s="3040">
        <v>100</v>
      </c>
    </row>
    <row r="1485" spans="1:9" ht="14.25" x14ac:dyDescent="0.2">
      <c r="A1485" s="2624"/>
      <c r="B1485" s="151"/>
      <c r="C1485" s="151"/>
      <c r="D1485" s="2630" t="s">
        <v>1394</v>
      </c>
      <c r="E1485" s="923" t="s">
        <v>1537</v>
      </c>
      <c r="F1485" s="2628">
        <v>3771</v>
      </c>
      <c r="G1485" s="2628">
        <v>3948</v>
      </c>
      <c r="H1485" s="2628">
        <v>3948</v>
      </c>
      <c r="I1485" s="2679">
        <v>100</v>
      </c>
    </row>
    <row r="1486" spans="1:9" ht="15" thickBot="1" x14ac:dyDescent="0.25">
      <c r="A1486" s="2624"/>
      <c r="B1486" s="151"/>
      <c r="C1486" s="151"/>
      <c r="D1486" s="2625" t="s">
        <v>993</v>
      </c>
      <c r="E1486" s="2627" t="s">
        <v>1538</v>
      </c>
      <c r="F1486" s="2628">
        <v>423</v>
      </c>
      <c r="G1486" s="2628">
        <v>423</v>
      </c>
      <c r="H1486" s="2628">
        <v>423</v>
      </c>
      <c r="I1486" s="2679">
        <v>100</v>
      </c>
    </row>
    <row r="1487" spans="1:9" ht="16.5" thickTop="1" thickBot="1" x14ac:dyDescent="0.3">
      <c r="A1487" s="3241" t="s">
        <v>522</v>
      </c>
      <c r="B1487" s="3242"/>
      <c r="C1487" s="3242"/>
      <c r="D1487" s="3242"/>
      <c r="E1487" s="3300"/>
      <c r="F1487" s="2648">
        <f>F1483</f>
        <v>4194</v>
      </c>
      <c r="G1487" s="2648">
        <f t="shared" ref="G1487:H1487" si="307">G1483</f>
        <v>4468</v>
      </c>
      <c r="H1487" s="2648">
        <f t="shared" si="307"/>
        <v>4468</v>
      </c>
      <c r="I1487" s="2649">
        <v>100</v>
      </c>
    </row>
    <row r="1488" spans="1:9" ht="13.5" thickTop="1" x14ac:dyDescent="0.2"/>
    <row r="1490" spans="1:9" ht="13.5" thickBot="1" x14ac:dyDescent="0.25">
      <c r="A1490" s="70" t="s">
        <v>1563</v>
      </c>
      <c r="B1490" s="70"/>
      <c r="C1490" s="70"/>
      <c r="D1490" s="70"/>
      <c r="E1490" s="70"/>
      <c r="F1490" s="2659"/>
      <c r="G1490" s="2659"/>
      <c r="H1490" s="2659"/>
      <c r="I1490" s="2660" t="s">
        <v>92</v>
      </c>
    </row>
    <row r="1491" spans="1:9" ht="14.25" thickTop="1" thickBot="1" x14ac:dyDescent="0.25">
      <c r="A1491" s="2661" t="s">
        <v>324</v>
      </c>
      <c r="B1491" s="2662" t="s">
        <v>93</v>
      </c>
      <c r="C1491" s="2663" t="s">
        <v>94</v>
      </c>
      <c r="D1491" s="2664" t="s">
        <v>364</v>
      </c>
      <c r="E1491" s="2664" t="s">
        <v>95</v>
      </c>
      <c r="F1491" s="2664" t="s">
        <v>328</v>
      </c>
      <c r="G1491" s="2664" t="s">
        <v>329</v>
      </c>
      <c r="H1491" s="2665" t="s">
        <v>448</v>
      </c>
      <c r="I1491" s="2666" t="s">
        <v>449</v>
      </c>
    </row>
    <row r="1492" spans="1:9" ht="14.25" thickTop="1" thickBot="1" x14ac:dyDescent="0.25">
      <c r="A1492" s="2667">
        <v>1</v>
      </c>
      <c r="B1492" s="2668">
        <v>2</v>
      </c>
      <c r="C1492" s="2668">
        <v>3</v>
      </c>
      <c r="D1492" s="2668">
        <v>4</v>
      </c>
      <c r="E1492" s="2668">
        <v>5</v>
      </c>
      <c r="F1492" s="2669">
        <v>6</v>
      </c>
      <c r="G1492" s="2669">
        <v>7</v>
      </c>
      <c r="H1492" s="2670">
        <v>8</v>
      </c>
      <c r="I1492" s="2671" t="s">
        <v>393</v>
      </c>
    </row>
    <row r="1493" spans="1:9" ht="15.75" thickTop="1" x14ac:dyDescent="0.25">
      <c r="A1493" s="2672">
        <v>1652</v>
      </c>
      <c r="B1493" s="2673">
        <v>4350</v>
      </c>
      <c r="C1493" s="2673">
        <v>5331</v>
      </c>
      <c r="D1493" s="2674"/>
      <c r="E1493" s="2675" t="s">
        <v>481</v>
      </c>
      <c r="F1493" s="2676">
        <f>F1494+F1495+F1496</f>
        <v>7356</v>
      </c>
      <c r="G1493" s="2676">
        <f t="shared" ref="G1493" si="308">G1494+G1495+G1496</f>
        <v>9680</v>
      </c>
      <c r="H1493" s="2676">
        <f t="shared" ref="H1493" si="309">H1494+H1495+H1496</f>
        <v>9680</v>
      </c>
      <c r="I1493" s="2677">
        <v>100</v>
      </c>
    </row>
    <row r="1494" spans="1:9" ht="28.5" hidden="1" x14ac:dyDescent="0.2">
      <c r="A1494" s="2624"/>
      <c r="B1494" s="151"/>
      <c r="C1494" s="151"/>
      <c r="D1494" s="2634" t="s">
        <v>971</v>
      </c>
      <c r="E1494" s="2633" t="s">
        <v>1546</v>
      </c>
      <c r="F1494" s="2678"/>
      <c r="G1494" s="2678"/>
      <c r="H1494" s="2678"/>
      <c r="I1494" s="2647">
        <v>100</v>
      </c>
    </row>
    <row r="1495" spans="1:9" ht="14.25" x14ac:dyDescent="0.2">
      <c r="A1495" s="2624"/>
      <c r="B1495" s="151"/>
      <c r="C1495" s="151"/>
      <c r="D1495" s="2630" t="s">
        <v>1394</v>
      </c>
      <c r="E1495" s="923" t="s">
        <v>1537</v>
      </c>
      <c r="F1495" s="2628">
        <v>5263</v>
      </c>
      <c r="G1495" s="2628">
        <v>7698</v>
      </c>
      <c r="H1495" s="2628">
        <v>7698</v>
      </c>
      <c r="I1495" s="2679">
        <v>100</v>
      </c>
    </row>
    <row r="1496" spans="1:9" ht="15" thickBot="1" x14ac:dyDescent="0.25">
      <c r="A1496" s="2624"/>
      <c r="B1496" s="151"/>
      <c r="C1496" s="151"/>
      <c r="D1496" s="2625" t="s">
        <v>993</v>
      </c>
      <c r="E1496" s="2627" t="s">
        <v>1538</v>
      </c>
      <c r="F1496" s="2628">
        <v>2093</v>
      </c>
      <c r="G1496" s="2628">
        <v>1982</v>
      </c>
      <c r="H1496" s="2628">
        <v>1982</v>
      </c>
      <c r="I1496" s="2679">
        <v>100</v>
      </c>
    </row>
    <row r="1497" spans="1:9" ht="16.5" thickTop="1" thickBot="1" x14ac:dyDescent="0.3">
      <c r="A1497" s="3241" t="s">
        <v>522</v>
      </c>
      <c r="B1497" s="3242"/>
      <c r="C1497" s="3242"/>
      <c r="D1497" s="3242"/>
      <c r="E1497" s="3300"/>
      <c r="F1497" s="2648">
        <f>F1493</f>
        <v>7356</v>
      </c>
      <c r="G1497" s="2648">
        <f t="shared" ref="G1497:H1497" si="310">G1493</f>
        <v>9680</v>
      </c>
      <c r="H1497" s="2648">
        <f t="shared" si="310"/>
        <v>9680</v>
      </c>
      <c r="I1497" s="2649">
        <v>100</v>
      </c>
    </row>
    <row r="1498" spans="1:9" ht="15.75" thickTop="1" x14ac:dyDescent="0.25">
      <c r="A1498" s="2640">
        <v>1652</v>
      </c>
      <c r="B1498" s="19">
        <v>4350</v>
      </c>
      <c r="C1498" s="151">
        <v>6351</v>
      </c>
      <c r="D1498" s="2641"/>
      <c r="E1498" s="845" t="s">
        <v>551</v>
      </c>
      <c r="F1498" s="2642">
        <f>F1499</f>
        <v>0</v>
      </c>
      <c r="G1498" s="2642">
        <f t="shared" ref="G1498:H1498" si="311">G1499</f>
        <v>314</v>
      </c>
      <c r="H1498" s="2642">
        <f t="shared" si="311"/>
        <v>314</v>
      </c>
      <c r="I1498" s="2643">
        <v>100</v>
      </c>
    </row>
    <row r="1499" spans="1:9" ht="29.25" thickBot="1" x14ac:dyDescent="0.25">
      <c r="A1499" s="2644"/>
      <c r="B1499" s="822"/>
      <c r="C1499" s="2645"/>
      <c r="D1499" s="3034" t="s">
        <v>971</v>
      </c>
      <c r="E1499" s="2952" t="s">
        <v>1546</v>
      </c>
      <c r="F1499" s="3046">
        <v>0</v>
      </c>
      <c r="G1499" s="3047">
        <v>314</v>
      </c>
      <c r="H1499" s="3048">
        <v>314</v>
      </c>
      <c r="I1499" s="903">
        <f>H1499/G1499*100</f>
        <v>100</v>
      </c>
    </row>
    <row r="1500" spans="1:9" ht="16.5" thickTop="1" thickBot="1" x14ac:dyDescent="0.3">
      <c r="A1500" s="3241" t="s">
        <v>523</v>
      </c>
      <c r="B1500" s="3242"/>
      <c r="C1500" s="3242"/>
      <c r="D1500" s="3242"/>
      <c r="E1500" s="3243"/>
      <c r="F1500" s="2648">
        <f>F1498</f>
        <v>0</v>
      </c>
      <c r="G1500" s="2648">
        <f t="shared" ref="G1500:H1500" si="312">G1498</f>
        <v>314</v>
      </c>
      <c r="H1500" s="2648">
        <f t="shared" si="312"/>
        <v>314</v>
      </c>
      <c r="I1500" s="2649">
        <v>100</v>
      </c>
    </row>
    <row r="1501" spans="1:9" ht="13.5" thickTop="1" x14ac:dyDescent="0.2"/>
    <row r="1502" spans="1:9" ht="13.5" thickBot="1" x14ac:dyDescent="0.25">
      <c r="A1502" s="70" t="s">
        <v>1564</v>
      </c>
      <c r="B1502" s="70"/>
      <c r="C1502" s="70"/>
      <c r="D1502" s="70"/>
      <c r="E1502" s="70"/>
      <c r="F1502" s="2659"/>
      <c r="G1502" s="2659"/>
      <c r="H1502" s="2659"/>
      <c r="I1502" s="2660" t="s">
        <v>92</v>
      </c>
    </row>
    <row r="1503" spans="1:9" ht="14.25" thickTop="1" thickBot="1" x14ac:dyDescent="0.25">
      <c r="A1503" s="2661" t="s">
        <v>324</v>
      </c>
      <c r="B1503" s="2662" t="s">
        <v>93</v>
      </c>
      <c r="C1503" s="2663" t="s">
        <v>94</v>
      </c>
      <c r="D1503" s="2664" t="s">
        <v>364</v>
      </c>
      <c r="E1503" s="2664" t="s">
        <v>95</v>
      </c>
      <c r="F1503" s="2664" t="s">
        <v>328</v>
      </c>
      <c r="G1503" s="2664" t="s">
        <v>329</v>
      </c>
      <c r="H1503" s="2665" t="s">
        <v>448</v>
      </c>
      <c r="I1503" s="2666" t="s">
        <v>449</v>
      </c>
    </row>
    <row r="1504" spans="1:9" ht="14.25" thickTop="1" thickBot="1" x14ac:dyDescent="0.25">
      <c r="A1504" s="2667">
        <v>1</v>
      </c>
      <c r="B1504" s="2668">
        <v>2</v>
      </c>
      <c r="C1504" s="2668">
        <v>3</v>
      </c>
      <c r="D1504" s="2668">
        <v>4</v>
      </c>
      <c r="E1504" s="2668">
        <v>5</v>
      </c>
      <c r="F1504" s="2669">
        <v>6</v>
      </c>
      <c r="G1504" s="2669">
        <v>7</v>
      </c>
      <c r="H1504" s="2670">
        <v>8</v>
      </c>
      <c r="I1504" s="2671" t="s">
        <v>393</v>
      </c>
    </row>
    <row r="1505" spans="1:9" ht="15.75" thickTop="1" x14ac:dyDescent="0.25">
      <c r="A1505" s="2672">
        <v>1653</v>
      </c>
      <c r="B1505" s="2673">
        <v>4350</v>
      </c>
      <c r="C1505" s="2673">
        <v>5331</v>
      </c>
      <c r="D1505" s="2674"/>
      <c r="E1505" s="2675" t="s">
        <v>481</v>
      </c>
      <c r="F1505" s="2676">
        <f>F1506+F1507+F1508</f>
        <v>4169</v>
      </c>
      <c r="G1505" s="2676">
        <f t="shared" ref="G1505" si="313">G1506+G1507+G1508</f>
        <v>1209</v>
      </c>
      <c r="H1505" s="2676">
        <f t="shared" ref="H1505" si="314">H1506+H1507+H1508</f>
        <v>1209</v>
      </c>
      <c r="I1505" s="2677">
        <v>100</v>
      </c>
    </row>
    <row r="1506" spans="1:9" ht="28.5" x14ac:dyDescent="0.2">
      <c r="A1506" s="2624"/>
      <c r="B1506" s="151"/>
      <c r="C1506" s="151"/>
      <c r="D1506" s="3034" t="s">
        <v>971</v>
      </c>
      <c r="E1506" s="2633" t="s">
        <v>1546</v>
      </c>
      <c r="F1506" s="3049">
        <v>0</v>
      </c>
      <c r="G1506" s="3049">
        <v>28</v>
      </c>
      <c r="H1506" s="3049">
        <v>28</v>
      </c>
      <c r="I1506" s="3040">
        <v>100</v>
      </c>
    </row>
    <row r="1507" spans="1:9" ht="14.25" x14ac:dyDescent="0.2">
      <c r="A1507" s="2624"/>
      <c r="B1507" s="151"/>
      <c r="C1507" s="151"/>
      <c r="D1507" s="2630" t="s">
        <v>1394</v>
      </c>
      <c r="E1507" s="923" t="s">
        <v>1537</v>
      </c>
      <c r="F1507" s="2628">
        <v>3783</v>
      </c>
      <c r="G1507" s="2628">
        <v>795</v>
      </c>
      <c r="H1507" s="2628">
        <v>795</v>
      </c>
      <c r="I1507" s="2679">
        <v>100</v>
      </c>
    </row>
    <row r="1508" spans="1:9" ht="15" thickBot="1" x14ac:dyDescent="0.25">
      <c r="A1508" s="2624"/>
      <c r="B1508" s="151"/>
      <c r="C1508" s="151"/>
      <c r="D1508" s="2625" t="s">
        <v>993</v>
      </c>
      <c r="E1508" s="2627" t="s">
        <v>1538</v>
      </c>
      <c r="F1508" s="2628">
        <v>386</v>
      </c>
      <c r="G1508" s="2628">
        <v>386</v>
      </c>
      <c r="H1508" s="2628">
        <v>386</v>
      </c>
      <c r="I1508" s="2679">
        <v>100</v>
      </c>
    </row>
    <row r="1509" spans="1:9" ht="16.5" thickTop="1" thickBot="1" x14ac:dyDescent="0.3">
      <c r="A1509" s="3241" t="s">
        <v>522</v>
      </c>
      <c r="B1509" s="3242"/>
      <c r="C1509" s="3242"/>
      <c r="D1509" s="3242"/>
      <c r="E1509" s="3300"/>
      <c r="F1509" s="2648">
        <f>F1505</f>
        <v>4169</v>
      </c>
      <c r="G1509" s="2648">
        <f t="shared" ref="G1509:H1509" si="315">G1505</f>
        <v>1209</v>
      </c>
      <c r="H1509" s="2648">
        <f t="shared" si="315"/>
        <v>1209</v>
      </c>
      <c r="I1509" s="2649">
        <v>100</v>
      </c>
    </row>
    <row r="1510" spans="1:9" ht="15.75" thickTop="1" x14ac:dyDescent="0.25">
      <c r="A1510" s="2640">
        <v>1653</v>
      </c>
      <c r="B1510" s="19">
        <v>4350</v>
      </c>
      <c r="C1510" s="151">
        <v>6351</v>
      </c>
      <c r="D1510" s="2641"/>
      <c r="E1510" s="845" t="s">
        <v>551</v>
      </c>
      <c r="F1510" s="2642">
        <f>F1511</f>
        <v>0</v>
      </c>
      <c r="G1510" s="2642">
        <f t="shared" ref="G1510:H1510" si="316">G1511</f>
        <v>118</v>
      </c>
      <c r="H1510" s="2642">
        <f t="shared" si="316"/>
        <v>118</v>
      </c>
      <c r="I1510" s="2643">
        <v>100</v>
      </c>
    </row>
    <row r="1511" spans="1:9" ht="29.25" thickBot="1" x14ac:dyDescent="0.25">
      <c r="A1511" s="2644"/>
      <c r="B1511" s="822"/>
      <c r="C1511" s="2645"/>
      <c r="D1511" s="3034" t="s">
        <v>971</v>
      </c>
      <c r="E1511" s="2952" t="s">
        <v>1546</v>
      </c>
      <c r="F1511" s="3046">
        <v>0</v>
      </c>
      <c r="G1511" s="3047">
        <v>118</v>
      </c>
      <c r="H1511" s="3048">
        <v>118</v>
      </c>
      <c r="I1511" s="903">
        <f>H1511/G1511*100</f>
        <v>100</v>
      </c>
    </row>
    <row r="1512" spans="1:9" ht="16.5" thickTop="1" thickBot="1" x14ac:dyDescent="0.3">
      <c r="A1512" s="3241" t="s">
        <v>523</v>
      </c>
      <c r="B1512" s="3242"/>
      <c r="C1512" s="3242"/>
      <c r="D1512" s="3242"/>
      <c r="E1512" s="3243"/>
      <c r="F1512" s="2648">
        <f>F1510</f>
        <v>0</v>
      </c>
      <c r="G1512" s="2648">
        <f t="shared" ref="G1512:H1512" si="317">G1510</f>
        <v>118</v>
      </c>
      <c r="H1512" s="2648">
        <f t="shared" si="317"/>
        <v>118</v>
      </c>
      <c r="I1512" s="2649">
        <v>100</v>
      </c>
    </row>
    <row r="1513" spans="1:9" ht="15.75" thickTop="1" x14ac:dyDescent="0.25">
      <c r="A1513" s="2953"/>
      <c r="B1513" s="2953"/>
      <c r="C1513" s="2953"/>
      <c r="D1513" s="2953"/>
      <c r="E1513" s="2953"/>
      <c r="F1513" s="2954"/>
      <c r="G1513" s="2954"/>
      <c r="H1513" s="2954"/>
      <c r="I1513" s="2955"/>
    </row>
    <row r="1516" spans="1:9" ht="13.5" thickBot="1" x14ac:dyDescent="0.25">
      <c r="A1516" s="70" t="s">
        <v>1565</v>
      </c>
      <c r="B1516" s="70"/>
      <c r="C1516" s="70"/>
      <c r="D1516" s="70"/>
      <c r="E1516" s="70"/>
      <c r="F1516" s="2659"/>
      <c r="G1516" s="2659"/>
      <c r="H1516" s="2659"/>
      <c r="I1516" s="2660" t="s">
        <v>92</v>
      </c>
    </row>
    <row r="1517" spans="1:9" ht="14.25" thickTop="1" thickBot="1" x14ac:dyDescent="0.25">
      <c r="A1517" s="2661" t="s">
        <v>324</v>
      </c>
      <c r="B1517" s="2662" t="s">
        <v>93</v>
      </c>
      <c r="C1517" s="2663" t="s">
        <v>94</v>
      </c>
      <c r="D1517" s="2664" t="s">
        <v>364</v>
      </c>
      <c r="E1517" s="2664" t="s">
        <v>95</v>
      </c>
      <c r="F1517" s="2664" t="s">
        <v>328</v>
      </c>
      <c r="G1517" s="2664" t="s">
        <v>329</v>
      </c>
      <c r="H1517" s="2665" t="s">
        <v>448</v>
      </c>
      <c r="I1517" s="2666" t="s">
        <v>449</v>
      </c>
    </row>
    <row r="1518" spans="1:9" ht="14.25" thickTop="1" thickBot="1" x14ac:dyDescent="0.25">
      <c r="A1518" s="2667">
        <v>1</v>
      </c>
      <c r="B1518" s="2668">
        <v>2</v>
      </c>
      <c r="C1518" s="2668">
        <v>3</v>
      </c>
      <c r="D1518" s="2668">
        <v>4</v>
      </c>
      <c r="E1518" s="2668">
        <v>5</v>
      </c>
      <c r="F1518" s="2669">
        <v>6</v>
      </c>
      <c r="G1518" s="2669">
        <v>7</v>
      </c>
      <c r="H1518" s="2670">
        <v>8</v>
      </c>
      <c r="I1518" s="2671" t="s">
        <v>393</v>
      </c>
    </row>
    <row r="1519" spans="1:9" ht="15.75" thickTop="1" x14ac:dyDescent="0.25">
      <c r="A1519" s="2672">
        <v>1654</v>
      </c>
      <c r="B1519" s="2673">
        <v>4357</v>
      </c>
      <c r="C1519" s="2673">
        <v>5331</v>
      </c>
      <c r="D1519" s="2674"/>
      <c r="E1519" s="2675" t="s">
        <v>481</v>
      </c>
      <c r="F1519" s="2676">
        <f>F1520+F1521+F1522</f>
        <v>5963</v>
      </c>
      <c r="G1519" s="2676">
        <f t="shared" ref="G1519" si="318">G1520+G1521+G1522</f>
        <v>5904</v>
      </c>
      <c r="H1519" s="2676">
        <f t="shared" ref="H1519" si="319">H1520+H1521+H1522</f>
        <v>5904</v>
      </c>
      <c r="I1519" s="2677">
        <v>100</v>
      </c>
    </row>
    <row r="1520" spans="1:9" ht="28.5" hidden="1" x14ac:dyDescent="0.2">
      <c r="A1520" s="2624"/>
      <c r="B1520" s="151"/>
      <c r="C1520" s="151"/>
      <c r="D1520" s="2634" t="s">
        <v>971</v>
      </c>
      <c r="E1520" s="2633" t="s">
        <v>1546</v>
      </c>
      <c r="F1520" s="2678"/>
      <c r="G1520" s="2678"/>
      <c r="H1520" s="2678"/>
      <c r="I1520" s="2647">
        <v>100</v>
      </c>
    </row>
    <row r="1521" spans="1:16" ht="14.25" x14ac:dyDescent="0.2">
      <c r="A1521" s="2624"/>
      <c r="B1521" s="151"/>
      <c r="C1521" s="151"/>
      <c r="D1521" s="2630" t="s">
        <v>1394</v>
      </c>
      <c r="E1521" s="923" t="s">
        <v>1537</v>
      </c>
      <c r="F1521" s="2628">
        <v>4901</v>
      </c>
      <c r="G1521" s="2628">
        <v>4769</v>
      </c>
      <c r="H1521" s="2628">
        <v>4769</v>
      </c>
      <c r="I1521" s="2679">
        <v>100</v>
      </c>
    </row>
    <row r="1522" spans="1:16" ht="15" thickBot="1" x14ac:dyDescent="0.25">
      <c r="A1522" s="2624"/>
      <c r="B1522" s="151"/>
      <c r="C1522" s="151"/>
      <c r="D1522" s="2625" t="s">
        <v>993</v>
      </c>
      <c r="E1522" s="2627" t="s">
        <v>1538</v>
      </c>
      <c r="F1522" s="2628">
        <v>1062</v>
      </c>
      <c r="G1522" s="2628">
        <v>1135</v>
      </c>
      <c r="H1522" s="2628">
        <v>1135</v>
      </c>
      <c r="I1522" s="2679">
        <v>100</v>
      </c>
    </row>
    <row r="1523" spans="1:16" ht="16.5" thickTop="1" thickBot="1" x14ac:dyDescent="0.3">
      <c r="A1523" s="3241" t="s">
        <v>522</v>
      </c>
      <c r="B1523" s="3242"/>
      <c r="C1523" s="3242"/>
      <c r="D1523" s="3242"/>
      <c r="E1523" s="3300"/>
      <c r="F1523" s="2648">
        <f>F1519</f>
        <v>5963</v>
      </c>
      <c r="G1523" s="2648">
        <f t="shared" ref="G1523:H1523" si="320">G1519</f>
        <v>5904</v>
      </c>
      <c r="H1523" s="2648">
        <f t="shared" si="320"/>
        <v>5904</v>
      </c>
      <c r="I1523" s="2649">
        <v>100</v>
      </c>
    </row>
    <row r="1524" spans="1:16" ht="15.75" thickTop="1" x14ac:dyDescent="0.25">
      <c r="A1524" s="2640">
        <v>1654</v>
      </c>
      <c r="B1524" s="19">
        <v>4357</v>
      </c>
      <c r="C1524" s="151">
        <v>6351</v>
      </c>
      <c r="D1524" s="2641"/>
      <c r="E1524" s="845" t="s">
        <v>551</v>
      </c>
      <c r="F1524" s="2642">
        <f>F1525</f>
        <v>0</v>
      </c>
      <c r="G1524" s="2642">
        <f t="shared" ref="G1524:H1524" si="321">G1525</f>
        <v>317</v>
      </c>
      <c r="H1524" s="2642">
        <f t="shared" si="321"/>
        <v>317</v>
      </c>
      <c r="I1524" s="2643">
        <v>100</v>
      </c>
    </row>
    <row r="1525" spans="1:16" ht="29.25" thickBot="1" x14ac:dyDescent="0.25">
      <c r="A1525" s="2644"/>
      <c r="B1525" s="822"/>
      <c r="C1525" s="2645"/>
      <c r="D1525" s="3034" t="s">
        <v>971</v>
      </c>
      <c r="E1525" s="2952" t="s">
        <v>1546</v>
      </c>
      <c r="F1525" s="3046">
        <v>0</v>
      </c>
      <c r="G1525" s="3047">
        <v>317</v>
      </c>
      <c r="H1525" s="3048">
        <v>317</v>
      </c>
      <c r="I1525" s="903">
        <f>H1525/G1525*100</f>
        <v>100</v>
      </c>
    </row>
    <row r="1526" spans="1:16" ht="16.5" thickTop="1" thickBot="1" x14ac:dyDescent="0.3">
      <c r="A1526" s="3241" t="s">
        <v>523</v>
      </c>
      <c r="B1526" s="3242"/>
      <c r="C1526" s="3242"/>
      <c r="D1526" s="3242"/>
      <c r="E1526" s="3243"/>
      <c r="F1526" s="2648">
        <f>F1524</f>
        <v>0</v>
      </c>
      <c r="G1526" s="2648">
        <f t="shared" ref="G1526:H1526" si="322">G1524</f>
        <v>317</v>
      </c>
      <c r="H1526" s="2648">
        <f t="shared" si="322"/>
        <v>317</v>
      </c>
      <c r="I1526" s="2649">
        <v>100</v>
      </c>
    </row>
    <row r="1527" spans="1:16" ht="15.75" thickTop="1" x14ac:dyDescent="0.25">
      <c r="A1527" s="2953"/>
      <c r="B1527" s="2953"/>
      <c r="C1527" s="2953"/>
      <c r="D1527" s="2953"/>
      <c r="E1527" s="2953"/>
      <c r="F1527" s="2954"/>
      <c r="G1527" s="2954"/>
      <c r="H1527" s="2954"/>
      <c r="I1527" s="2955"/>
    </row>
    <row r="1530" spans="1:16" ht="13.5" thickBot="1" x14ac:dyDescent="0.25">
      <c r="A1530" s="70" t="s">
        <v>1566</v>
      </c>
      <c r="B1530" s="70"/>
      <c r="C1530" s="70"/>
      <c r="D1530" s="70"/>
      <c r="E1530" s="70"/>
      <c r="F1530" s="2659"/>
      <c r="G1530" s="2659"/>
      <c r="H1530" s="2659"/>
      <c r="I1530" s="2660" t="s">
        <v>92</v>
      </c>
    </row>
    <row r="1531" spans="1:16" ht="14.25" thickTop="1" thickBot="1" x14ac:dyDescent="0.25">
      <c r="A1531" s="2661" t="s">
        <v>324</v>
      </c>
      <c r="B1531" s="2662" t="s">
        <v>93</v>
      </c>
      <c r="C1531" s="2663" t="s">
        <v>94</v>
      </c>
      <c r="D1531" s="2664" t="s">
        <v>364</v>
      </c>
      <c r="E1531" s="2664" t="s">
        <v>95</v>
      </c>
      <c r="F1531" s="2664" t="s">
        <v>328</v>
      </c>
      <c r="G1531" s="2664" t="s">
        <v>329</v>
      </c>
      <c r="H1531" s="2665" t="s">
        <v>448</v>
      </c>
      <c r="I1531" s="2666" t="s">
        <v>449</v>
      </c>
    </row>
    <row r="1532" spans="1:16" ht="14.25" thickTop="1" thickBot="1" x14ac:dyDescent="0.25">
      <c r="A1532" s="2667">
        <v>1</v>
      </c>
      <c r="B1532" s="2668">
        <v>2</v>
      </c>
      <c r="C1532" s="2668">
        <v>3</v>
      </c>
      <c r="D1532" s="2668">
        <v>4</v>
      </c>
      <c r="E1532" s="2668">
        <v>5</v>
      </c>
      <c r="F1532" s="2669">
        <v>6</v>
      </c>
      <c r="G1532" s="2669">
        <v>7</v>
      </c>
      <c r="H1532" s="2670">
        <v>8</v>
      </c>
      <c r="I1532" s="2671" t="s">
        <v>393</v>
      </c>
    </row>
    <row r="1533" spans="1:16" ht="15.75" thickTop="1" x14ac:dyDescent="0.25">
      <c r="A1533" s="2672">
        <v>1656</v>
      </c>
      <c r="B1533" s="2673">
        <v>4350</v>
      </c>
      <c r="C1533" s="2673">
        <v>5331</v>
      </c>
      <c r="D1533" s="2674"/>
      <c r="E1533" s="2675" t="s">
        <v>481</v>
      </c>
      <c r="F1533" s="2676">
        <f>F1534+F1535+F1536</f>
        <v>27710</v>
      </c>
      <c r="G1533" s="2676">
        <f t="shared" ref="G1533" si="323">G1534+G1535+G1536</f>
        <v>25543</v>
      </c>
      <c r="H1533" s="2676">
        <f t="shared" ref="H1533" si="324">H1534+H1535+H1536</f>
        <v>25543</v>
      </c>
      <c r="I1533" s="2677">
        <v>100</v>
      </c>
    </row>
    <row r="1534" spans="1:16" ht="28.5" x14ac:dyDescent="0.2">
      <c r="A1534" s="2624"/>
      <c r="B1534" s="151"/>
      <c r="C1534" s="151"/>
      <c r="D1534" s="3034" t="s">
        <v>971</v>
      </c>
      <c r="E1534" s="2633" t="s">
        <v>1546</v>
      </c>
      <c r="F1534" s="3049">
        <v>0</v>
      </c>
      <c r="G1534" s="3049">
        <v>1409</v>
      </c>
      <c r="H1534" s="3049">
        <v>1409</v>
      </c>
      <c r="I1534" s="3040">
        <v>100</v>
      </c>
      <c r="J1534" s="1879"/>
      <c r="K1534" s="1879"/>
      <c r="L1534" s="1879"/>
      <c r="M1534" s="1879"/>
      <c r="N1534" s="1879"/>
      <c r="O1534" s="1879"/>
      <c r="P1534" s="1879"/>
    </row>
    <row r="1535" spans="1:16" ht="14.25" x14ac:dyDescent="0.2">
      <c r="A1535" s="2624"/>
      <c r="B1535" s="151"/>
      <c r="C1535" s="151"/>
      <c r="D1535" s="2630" t="s">
        <v>1394</v>
      </c>
      <c r="E1535" s="923" t="s">
        <v>1537</v>
      </c>
      <c r="F1535" s="2628">
        <v>22132</v>
      </c>
      <c r="G1535" s="2628">
        <v>18556</v>
      </c>
      <c r="H1535" s="2628">
        <v>18556</v>
      </c>
      <c r="I1535" s="2679">
        <v>100</v>
      </c>
    </row>
    <row r="1536" spans="1:16" ht="15" thickBot="1" x14ac:dyDescent="0.25">
      <c r="A1536" s="2624"/>
      <c r="B1536" s="151"/>
      <c r="C1536" s="151"/>
      <c r="D1536" s="811" t="s">
        <v>993</v>
      </c>
      <c r="E1536" s="2627" t="s">
        <v>1538</v>
      </c>
      <c r="F1536" s="2628">
        <v>5578</v>
      </c>
      <c r="G1536" s="2628">
        <v>5578</v>
      </c>
      <c r="H1536" s="2628">
        <v>5578</v>
      </c>
      <c r="I1536" s="2679">
        <v>100</v>
      </c>
    </row>
    <row r="1537" spans="1:21" ht="16.5" thickTop="1" thickBot="1" x14ac:dyDescent="0.3">
      <c r="A1537" s="3241" t="s">
        <v>522</v>
      </c>
      <c r="B1537" s="3242"/>
      <c r="C1537" s="3242"/>
      <c r="D1537" s="3242"/>
      <c r="E1537" s="3300"/>
      <c r="F1537" s="2648">
        <f>F1533</f>
        <v>27710</v>
      </c>
      <c r="G1537" s="2648">
        <f t="shared" ref="G1537:H1537" si="325">G1533</f>
        <v>25543</v>
      </c>
      <c r="H1537" s="2648">
        <f t="shared" si="325"/>
        <v>25543</v>
      </c>
      <c r="I1537" s="2649">
        <v>100</v>
      </c>
      <c r="R1537" s="2691">
        <f>F1537</f>
        <v>27710</v>
      </c>
      <c r="S1537" s="2691">
        <f t="shared" ref="S1537:T1537" si="326">G1537</f>
        <v>25543</v>
      </c>
      <c r="T1537" s="2691">
        <f t="shared" si="326"/>
        <v>25543</v>
      </c>
      <c r="U1537" s="1002"/>
    </row>
    <row r="1538" spans="1:21" ht="15.75" thickTop="1" x14ac:dyDescent="0.25">
      <c r="A1538" s="2640">
        <v>1656</v>
      </c>
      <c r="B1538" s="19">
        <v>4350</v>
      </c>
      <c r="C1538" s="151">
        <v>6351</v>
      </c>
      <c r="D1538" s="2641"/>
      <c r="E1538" s="845" t="s">
        <v>551</v>
      </c>
      <c r="F1538" s="2642">
        <f>F1539</f>
        <v>0</v>
      </c>
      <c r="G1538" s="2642">
        <f t="shared" ref="G1538" si="327">G1539</f>
        <v>3296</v>
      </c>
      <c r="H1538" s="2642">
        <f t="shared" ref="H1538" si="328">H1539</f>
        <v>3296</v>
      </c>
      <c r="I1538" s="2643">
        <v>100</v>
      </c>
      <c r="R1538" s="2691">
        <f>F1540</f>
        <v>0</v>
      </c>
      <c r="S1538" s="2691">
        <f t="shared" ref="S1538:T1538" si="329">G1540</f>
        <v>3296</v>
      </c>
      <c r="T1538" s="2691">
        <f t="shared" si="329"/>
        <v>3296</v>
      </c>
    </row>
    <row r="1539" spans="1:21" ht="29.25" thickBot="1" x14ac:dyDescent="0.25">
      <c r="A1539" s="2644"/>
      <c r="B1539" s="822"/>
      <c r="C1539" s="2645"/>
      <c r="D1539" s="3034" t="s">
        <v>971</v>
      </c>
      <c r="E1539" s="2633" t="s">
        <v>1546</v>
      </c>
      <c r="F1539" s="3046">
        <v>0</v>
      </c>
      <c r="G1539" s="3047">
        <v>3296</v>
      </c>
      <c r="H1539" s="3048">
        <v>3296</v>
      </c>
      <c r="I1539" s="903">
        <f>H1539/G1539*100</f>
        <v>100</v>
      </c>
      <c r="R1539" s="2691">
        <f>R1537+R1538</f>
        <v>27710</v>
      </c>
      <c r="S1539" s="2691">
        <f t="shared" ref="S1539:T1539" si="330">S1537+S1538</f>
        <v>28839</v>
      </c>
      <c r="T1539" s="2691">
        <f t="shared" si="330"/>
        <v>28839</v>
      </c>
      <c r="U1539" s="1002"/>
    </row>
    <row r="1540" spans="1:21" ht="16.5" thickTop="1" thickBot="1" x14ac:dyDescent="0.3">
      <c r="A1540" s="3241" t="s">
        <v>523</v>
      </c>
      <c r="B1540" s="3242"/>
      <c r="C1540" s="3242"/>
      <c r="D1540" s="3242"/>
      <c r="E1540" s="3243"/>
      <c r="F1540" s="2648">
        <f>F1538</f>
        <v>0</v>
      </c>
      <c r="G1540" s="2648">
        <f t="shared" ref="G1540:H1540" si="331">G1538</f>
        <v>3296</v>
      </c>
      <c r="H1540" s="2648">
        <f t="shared" si="331"/>
        <v>3296</v>
      </c>
      <c r="I1540" s="2649">
        <v>100</v>
      </c>
    </row>
    <row r="1541" spans="1:21" ht="13.5" thickTop="1" x14ac:dyDescent="0.2"/>
    <row r="1543" spans="1:21" ht="13.5" thickBot="1" x14ac:dyDescent="0.25">
      <c r="A1543" s="70" t="s">
        <v>1567</v>
      </c>
      <c r="B1543" s="70"/>
      <c r="C1543" s="70"/>
      <c r="D1543" s="70"/>
      <c r="E1543" s="70"/>
      <c r="F1543" s="2659"/>
      <c r="G1543" s="2659"/>
      <c r="H1543" s="2659"/>
      <c r="I1543" s="2660" t="s">
        <v>92</v>
      </c>
    </row>
    <row r="1544" spans="1:21" ht="14.25" thickTop="1" thickBot="1" x14ac:dyDescent="0.25">
      <c r="A1544" s="2661" t="s">
        <v>324</v>
      </c>
      <c r="B1544" s="2662" t="s">
        <v>93</v>
      </c>
      <c r="C1544" s="2663" t="s">
        <v>94</v>
      </c>
      <c r="D1544" s="2664" t="s">
        <v>364</v>
      </c>
      <c r="E1544" s="2664" t="s">
        <v>95</v>
      </c>
      <c r="F1544" s="2664" t="s">
        <v>328</v>
      </c>
      <c r="G1544" s="2664" t="s">
        <v>329</v>
      </c>
      <c r="H1544" s="2665" t="s">
        <v>448</v>
      </c>
      <c r="I1544" s="2666" t="s">
        <v>449</v>
      </c>
    </row>
    <row r="1545" spans="1:21" ht="14.25" thickTop="1" thickBot="1" x14ac:dyDescent="0.25">
      <c r="A1545" s="2667">
        <v>1</v>
      </c>
      <c r="B1545" s="2668">
        <v>2</v>
      </c>
      <c r="C1545" s="2668">
        <v>3</v>
      </c>
      <c r="D1545" s="2668">
        <v>4</v>
      </c>
      <c r="E1545" s="2668">
        <v>5</v>
      </c>
      <c r="F1545" s="2669">
        <v>6</v>
      </c>
      <c r="G1545" s="2669">
        <v>7</v>
      </c>
      <c r="H1545" s="2670">
        <v>8</v>
      </c>
      <c r="I1545" s="2671" t="s">
        <v>393</v>
      </c>
    </row>
    <row r="1546" spans="1:21" ht="15.75" thickTop="1" x14ac:dyDescent="0.25">
      <c r="A1546" s="2672">
        <v>1657</v>
      </c>
      <c r="B1546" s="2673">
        <v>4357</v>
      </c>
      <c r="C1546" s="2673">
        <v>5331</v>
      </c>
      <c r="D1546" s="2674"/>
      <c r="E1546" s="2675" t="s">
        <v>481</v>
      </c>
      <c r="F1546" s="2676">
        <f>F1547+F1548+F1549</f>
        <v>4245</v>
      </c>
      <c r="G1546" s="2676">
        <f t="shared" ref="G1546" si="332">G1547+G1548+G1549</f>
        <v>4980</v>
      </c>
      <c r="H1546" s="2676">
        <f t="shared" ref="H1546" si="333">H1547+H1548+H1549</f>
        <v>4980</v>
      </c>
      <c r="I1546" s="2677">
        <v>100</v>
      </c>
    </row>
    <row r="1547" spans="1:21" ht="28.5" x14ac:dyDescent="0.2">
      <c r="A1547" s="2624"/>
      <c r="B1547" s="151"/>
      <c r="C1547" s="151"/>
      <c r="D1547" s="3034" t="s">
        <v>971</v>
      </c>
      <c r="E1547" s="2633" t="s">
        <v>1546</v>
      </c>
      <c r="F1547" s="3049">
        <v>0</v>
      </c>
      <c r="G1547" s="3049">
        <v>768</v>
      </c>
      <c r="H1547" s="3049">
        <v>768</v>
      </c>
      <c r="I1547" s="3040">
        <v>100</v>
      </c>
    </row>
    <row r="1548" spans="1:21" ht="14.25" x14ac:dyDescent="0.2">
      <c r="A1548" s="2624"/>
      <c r="B1548" s="151"/>
      <c r="C1548" s="151"/>
      <c r="D1548" s="2630" t="s">
        <v>1394</v>
      </c>
      <c r="E1548" s="923" t="s">
        <v>1537</v>
      </c>
      <c r="F1548" s="2628">
        <v>330</v>
      </c>
      <c r="G1548" s="2628">
        <v>330</v>
      </c>
      <c r="H1548" s="2628">
        <v>330</v>
      </c>
      <c r="I1548" s="2679">
        <v>100</v>
      </c>
    </row>
    <row r="1549" spans="1:21" ht="15" thickBot="1" x14ac:dyDescent="0.25">
      <c r="A1549" s="2624"/>
      <c r="B1549" s="151"/>
      <c r="C1549" s="151"/>
      <c r="D1549" s="2625" t="s">
        <v>993</v>
      </c>
      <c r="E1549" s="2627" t="s">
        <v>1538</v>
      </c>
      <c r="F1549" s="2628">
        <v>3915</v>
      </c>
      <c r="G1549" s="2628">
        <v>3882</v>
      </c>
      <c r="H1549" s="2628">
        <v>3882</v>
      </c>
      <c r="I1549" s="2679">
        <v>100</v>
      </c>
    </row>
    <row r="1550" spans="1:21" ht="16.5" thickTop="1" thickBot="1" x14ac:dyDescent="0.3">
      <c r="A1550" s="3241" t="s">
        <v>522</v>
      </c>
      <c r="B1550" s="3242"/>
      <c r="C1550" s="3242"/>
      <c r="D1550" s="3242"/>
      <c r="E1550" s="3300"/>
      <c r="F1550" s="2648">
        <f>F1546</f>
        <v>4245</v>
      </c>
      <c r="G1550" s="2648">
        <f t="shared" ref="G1550:H1550" si="334">G1546</f>
        <v>4980</v>
      </c>
      <c r="H1550" s="2648">
        <f t="shared" si="334"/>
        <v>4980</v>
      </c>
      <c r="I1550" s="2649">
        <v>100</v>
      </c>
    </row>
    <row r="1551" spans="1:21" ht="13.5" thickTop="1" x14ac:dyDescent="0.2"/>
    <row r="1553" spans="1:9" ht="13.5" thickBot="1" x14ac:dyDescent="0.25">
      <c r="A1553" s="70" t="s">
        <v>1568</v>
      </c>
      <c r="B1553" s="70"/>
      <c r="C1553" s="70"/>
      <c r="D1553" s="70"/>
      <c r="E1553" s="70"/>
      <c r="F1553" s="2659"/>
      <c r="G1553" s="2659"/>
      <c r="H1553" s="2659"/>
      <c r="I1553" s="2660" t="s">
        <v>92</v>
      </c>
    </row>
    <row r="1554" spans="1:9" ht="14.25" thickTop="1" thickBot="1" x14ac:dyDescent="0.25">
      <c r="A1554" s="2661" t="s">
        <v>324</v>
      </c>
      <c r="B1554" s="2662" t="s">
        <v>93</v>
      </c>
      <c r="C1554" s="2663" t="s">
        <v>94</v>
      </c>
      <c r="D1554" s="2664" t="s">
        <v>364</v>
      </c>
      <c r="E1554" s="2664" t="s">
        <v>95</v>
      </c>
      <c r="F1554" s="2664" t="s">
        <v>328</v>
      </c>
      <c r="G1554" s="2664" t="s">
        <v>329</v>
      </c>
      <c r="H1554" s="2665" t="s">
        <v>448</v>
      </c>
      <c r="I1554" s="2666" t="s">
        <v>449</v>
      </c>
    </row>
    <row r="1555" spans="1:9" ht="14.25" thickTop="1" thickBot="1" x14ac:dyDescent="0.25">
      <c r="A1555" s="2667">
        <v>1</v>
      </c>
      <c r="B1555" s="2668">
        <v>2</v>
      </c>
      <c r="C1555" s="2668">
        <v>3</v>
      </c>
      <c r="D1555" s="2668">
        <v>4</v>
      </c>
      <c r="E1555" s="2668">
        <v>5</v>
      </c>
      <c r="F1555" s="2669">
        <v>6</v>
      </c>
      <c r="G1555" s="2669">
        <v>7</v>
      </c>
      <c r="H1555" s="2670">
        <v>8</v>
      </c>
      <c r="I1555" s="2671" t="s">
        <v>393</v>
      </c>
    </row>
    <row r="1556" spans="1:9" ht="15.75" thickTop="1" x14ac:dyDescent="0.25">
      <c r="A1556" s="2672">
        <v>1658</v>
      </c>
      <c r="B1556" s="2673">
        <v>4350</v>
      </c>
      <c r="C1556" s="2673">
        <v>5331</v>
      </c>
      <c r="D1556" s="2674"/>
      <c r="E1556" s="2675" t="s">
        <v>481</v>
      </c>
      <c r="F1556" s="2676">
        <f>F1557+F1558+F1559</f>
        <v>5009</v>
      </c>
      <c r="G1556" s="2676">
        <f t="shared" ref="G1556" si="335">G1557+G1558+G1559</f>
        <v>4742</v>
      </c>
      <c r="H1556" s="2676">
        <f t="shared" ref="H1556" si="336">H1557+H1558+H1559</f>
        <v>4742</v>
      </c>
      <c r="I1556" s="2677">
        <v>100</v>
      </c>
    </row>
    <row r="1557" spans="1:9" ht="28.5" x14ac:dyDescent="0.2">
      <c r="A1557" s="2624"/>
      <c r="B1557" s="151"/>
      <c r="C1557" s="151"/>
      <c r="D1557" s="3034" t="s">
        <v>971</v>
      </c>
      <c r="E1557" s="2633" t="s">
        <v>1546</v>
      </c>
      <c r="F1557" s="3049">
        <v>0</v>
      </c>
      <c r="G1557" s="3049">
        <v>120</v>
      </c>
      <c r="H1557" s="3049">
        <v>120</v>
      </c>
      <c r="I1557" s="3040">
        <v>100</v>
      </c>
    </row>
    <row r="1558" spans="1:9" ht="14.25" x14ac:dyDescent="0.2">
      <c r="A1558" s="2624"/>
      <c r="B1558" s="151"/>
      <c r="C1558" s="151"/>
      <c r="D1558" s="2630" t="s">
        <v>1394</v>
      </c>
      <c r="E1558" s="923" t="s">
        <v>1537</v>
      </c>
      <c r="F1558" s="2628">
        <v>4525</v>
      </c>
      <c r="G1558" s="2628">
        <v>4138</v>
      </c>
      <c r="H1558" s="2628">
        <v>4138</v>
      </c>
      <c r="I1558" s="2679">
        <v>100</v>
      </c>
    </row>
    <row r="1559" spans="1:9" ht="15" thickBot="1" x14ac:dyDescent="0.25">
      <c r="A1559" s="2624"/>
      <c r="B1559" s="151"/>
      <c r="C1559" s="151"/>
      <c r="D1559" s="2625" t="s">
        <v>993</v>
      </c>
      <c r="E1559" s="2627" t="s">
        <v>1538</v>
      </c>
      <c r="F1559" s="2628">
        <v>484</v>
      </c>
      <c r="G1559" s="2628">
        <v>484</v>
      </c>
      <c r="H1559" s="2628">
        <v>484</v>
      </c>
      <c r="I1559" s="2679">
        <v>100</v>
      </c>
    </row>
    <row r="1560" spans="1:9" ht="16.5" thickTop="1" thickBot="1" x14ac:dyDescent="0.3">
      <c r="A1560" s="3241" t="s">
        <v>522</v>
      </c>
      <c r="B1560" s="3242"/>
      <c r="C1560" s="3242"/>
      <c r="D1560" s="3242"/>
      <c r="E1560" s="3300"/>
      <c r="F1560" s="2648">
        <f>F1556</f>
        <v>5009</v>
      </c>
      <c r="G1560" s="2648">
        <f t="shared" ref="G1560:H1560" si="337">G1556</f>
        <v>4742</v>
      </c>
      <c r="H1560" s="2648">
        <f t="shared" si="337"/>
        <v>4742</v>
      </c>
      <c r="I1560" s="2649">
        <v>100</v>
      </c>
    </row>
    <row r="1561" spans="1:9" ht="15.75" thickTop="1" x14ac:dyDescent="0.25">
      <c r="A1561" s="2640">
        <v>1658</v>
      </c>
      <c r="B1561" s="19">
        <v>4350</v>
      </c>
      <c r="C1561" s="151">
        <v>6351</v>
      </c>
      <c r="D1561" s="2641"/>
      <c r="E1561" s="845" t="s">
        <v>551</v>
      </c>
      <c r="F1561" s="2642">
        <f>F1562</f>
        <v>0</v>
      </c>
      <c r="G1561" s="2642">
        <f t="shared" ref="G1561:H1561" si="338">G1562</f>
        <v>180</v>
      </c>
      <c r="H1561" s="2642">
        <f t="shared" si="338"/>
        <v>180</v>
      </c>
      <c r="I1561" s="2643">
        <v>100</v>
      </c>
    </row>
    <row r="1562" spans="1:9" ht="29.25" thickBot="1" x14ac:dyDescent="0.25">
      <c r="A1562" s="2644"/>
      <c r="B1562" s="822"/>
      <c r="C1562" s="2645"/>
      <c r="D1562" s="3034" t="s">
        <v>971</v>
      </c>
      <c r="E1562" s="2952" t="s">
        <v>1546</v>
      </c>
      <c r="F1562" s="3046">
        <v>0</v>
      </c>
      <c r="G1562" s="3047">
        <v>180</v>
      </c>
      <c r="H1562" s="3048">
        <v>180</v>
      </c>
      <c r="I1562" s="903">
        <f>H1562/G1562*100</f>
        <v>100</v>
      </c>
    </row>
    <row r="1563" spans="1:9" ht="16.5" thickTop="1" thickBot="1" x14ac:dyDescent="0.3">
      <c r="A1563" s="3241" t="s">
        <v>523</v>
      </c>
      <c r="B1563" s="3242"/>
      <c r="C1563" s="3242"/>
      <c r="D1563" s="3242"/>
      <c r="E1563" s="3243"/>
      <c r="F1563" s="2648">
        <f>F1561</f>
        <v>0</v>
      </c>
      <c r="G1563" s="2648">
        <f t="shared" ref="G1563:H1563" si="339">G1561</f>
        <v>180</v>
      </c>
      <c r="H1563" s="2648">
        <f t="shared" si="339"/>
        <v>180</v>
      </c>
      <c r="I1563" s="2649">
        <v>100</v>
      </c>
    </row>
    <row r="1564" spans="1:9" ht="15.75" thickTop="1" x14ac:dyDescent="0.25">
      <c r="A1564" s="2953"/>
      <c r="B1564" s="2953"/>
      <c r="C1564" s="2953"/>
      <c r="D1564" s="2953"/>
      <c r="E1564" s="2953"/>
      <c r="F1564" s="2954"/>
      <c r="G1564" s="2954"/>
      <c r="H1564" s="2954"/>
      <c r="I1564" s="2955"/>
    </row>
    <row r="1567" spans="1:9" ht="13.5" thickBot="1" x14ac:dyDescent="0.25">
      <c r="A1567" s="70" t="s">
        <v>1569</v>
      </c>
      <c r="B1567" s="70"/>
      <c r="C1567" s="70"/>
      <c r="D1567" s="70"/>
      <c r="E1567" s="70"/>
      <c r="F1567" s="2659"/>
      <c r="G1567" s="2659"/>
      <c r="H1567" s="2659"/>
      <c r="I1567" s="2660" t="s">
        <v>92</v>
      </c>
    </row>
    <row r="1568" spans="1:9" ht="14.25" thickTop="1" thickBot="1" x14ac:dyDescent="0.25">
      <c r="A1568" s="2661" t="s">
        <v>324</v>
      </c>
      <c r="B1568" s="2662" t="s">
        <v>93</v>
      </c>
      <c r="C1568" s="2663" t="s">
        <v>94</v>
      </c>
      <c r="D1568" s="2664" t="s">
        <v>364</v>
      </c>
      <c r="E1568" s="2664" t="s">
        <v>95</v>
      </c>
      <c r="F1568" s="2664" t="s">
        <v>328</v>
      </c>
      <c r="G1568" s="2664" t="s">
        <v>329</v>
      </c>
      <c r="H1568" s="2665" t="s">
        <v>448</v>
      </c>
      <c r="I1568" s="2666" t="s">
        <v>449</v>
      </c>
    </row>
    <row r="1569" spans="1:20" ht="14.25" thickTop="1" thickBot="1" x14ac:dyDescent="0.25">
      <c r="A1569" s="2667">
        <v>1</v>
      </c>
      <c r="B1569" s="2668">
        <v>2</v>
      </c>
      <c r="C1569" s="2668">
        <v>3</v>
      </c>
      <c r="D1569" s="2668">
        <v>4</v>
      </c>
      <c r="E1569" s="2668">
        <v>5</v>
      </c>
      <c r="F1569" s="2669">
        <v>6</v>
      </c>
      <c r="G1569" s="2669">
        <v>7</v>
      </c>
      <c r="H1569" s="2670">
        <v>8</v>
      </c>
      <c r="I1569" s="2671" t="s">
        <v>393</v>
      </c>
    </row>
    <row r="1570" spans="1:20" ht="15.75" thickTop="1" x14ac:dyDescent="0.25">
      <c r="A1570" s="2672">
        <v>1659</v>
      </c>
      <c r="B1570" s="2673">
        <v>4350</v>
      </c>
      <c r="C1570" s="2673">
        <v>5331</v>
      </c>
      <c r="D1570" s="2674"/>
      <c r="E1570" s="2675" t="s">
        <v>481</v>
      </c>
      <c r="F1570" s="2676">
        <f>F1571+F1572+F1573+F1574</f>
        <v>4344</v>
      </c>
      <c r="G1570" s="2676">
        <f t="shared" ref="G1570:H1570" si="340">G1571+G1572+G1573+G1574</f>
        <v>6377</v>
      </c>
      <c r="H1570" s="2676">
        <f t="shared" si="340"/>
        <v>6377</v>
      </c>
      <c r="I1570" s="2677">
        <v>100</v>
      </c>
    </row>
    <row r="1571" spans="1:20" ht="28.5" hidden="1" x14ac:dyDescent="0.2">
      <c r="A1571" s="2624"/>
      <c r="B1571" s="151"/>
      <c r="C1571" s="151"/>
      <c r="D1571" s="2634" t="s">
        <v>971</v>
      </c>
      <c r="E1571" s="2633" t="s">
        <v>1546</v>
      </c>
      <c r="F1571" s="2678"/>
      <c r="G1571" s="2678"/>
      <c r="H1571" s="2678"/>
      <c r="I1571" s="2647">
        <v>100</v>
      </c>
    </row>
    <row r="1572" spans="1:20" ht="14.25" x14ac:dyDescent="0.2">
      <c r="A1572" s="2624"/>
      <c r="B1572" s="151"/>
      <c r="C1572" s="151"/>
      <c r="D1572" s="2630" t="s">
        <v>1394</v>
      </c>
      <c r="E1572" s="923" t="s">
        <v>1537</v>
      </c>
      <c r="F1572" s="2628">
        <v>1893</v>
      </c>
      <c r="G1572" s="2628">
        <v>3462</v>
      </c>
      <c r="H1572" s="2628">
        <v>3462</v>
      </c>
      <c r="I1572" s="2679">
        <v>100</v>
      </c>
    </row>
    <row r="1573" spans="1:20" ht="14.25" x14ac:dyDescent="0.2">
      <c r="A1573" s="2624"/>
      <c r="B1573" s="151"/>
      <c r="C1573" s="151"/>
      <c r="D1573" s="2625" t="s">
        <v>993</v>
      </c>
      <c r="E1573" s="2627" t="s">
        <v>1538</v>
      </c>
      <c r="F1573" s="2628">
        <v>2451</v>
      </c>
      <c r="G1573" s="2628">
        <v>2415</v>
      </c>
      <c r="H1573" s="2628">
        <v>2415</v>
      </c>
      <c r="I1573" s="2679">
        <v>100</v>
      </c>
    </row>
    <row r="1574" spans="1:20" ht="15" thickBot="1" x14ac:dyDescent="0.25">
      <c r="A1574" s="2680"/>
      <c r="B1574" s="825"/>
      <c r="C1574" s="822"/>
      <c r="D1574" s="811" t="s">
        <v>1395</v>
      </c>
      <c r="E1574" s="2627" t="s">
        <v>1539</v>
      </c>
      <c r="F1574" s="2628"/>
      <c r="G1574" s="2628">
        <v>500</v>
      </c>
      <c r="H1574" s="2628">
        <v>500</v>
      </c>
      <c r="I1574" s="2679">
        <v>100</v>
      </c>
    </row>
    <row r="1575" spans="1:20" ht="16.5" thickTop="1" thickBot="1" x14ac:dyDescent="0.3">
      <c r="A1575" s="3241" t="s">
        <v>522</v>
      </c>
      <c r="B1575" s="3242"/>
      <c r="C1575" s="3242"/>
      <c r="D1575" s="3242"/>
      <c r="E1575" s="3300"/>
      <c r="F1575" s="2648">
        <f>F1570</f>
        <v>4344</v>
      </c>
      <c r="G1575" s="2648">
        <f t="shared" ref="G1575:H1575" si="341">G1570</f>
        <v>6377</v>
      </c>
      <c r="H1575" s="2648">
        <f t="shared" si="341"/>
        <v>6377</v>
      </c>
      <c r="I1575" s="2649">
        <v>100</v>
      </c>
      <c r="R1575" s="2691">
        <f>F1575</f>
        <v>4344</v>
      </c>
      <c r="S1575" s="2691">
        <f t="shared" ref="S1575:T1575" si="342">G1575</f>
        <v>6377</v>
      </c>
      <c r="T1575" s="2691">
        <f t="shared" si="342"/>
        <v>6377</v>
      </c>
    </row>
    <row r="1576" spans="1:20" ht="15.75" thickTop="1" x14ac:dyDescent="0.25">
      <c r="A1576" s="2640">
        <v>1659</v>
      </c>
      <c r="B1576" s="19">
        <v>4350</v>
      </c>
      <c r="C1576" s="151">
        <v>6351</v>
      </c>
      <c r="D1576" s="2641"/>
      <c r="E1576" s="845" t="s">
        <v>551</v>
      </c>
      <c r="F1576" s="2642">
        <f>F1577</f>
        <v>0</v>
      </c>
      <c r="G1576" s="2642">
        <f t="shared" ref="G1576" si="343">G1577</f>
        <v>869</v>
      </c>
      <c r="H1576" s="2642">
        <f t="shared" ref="H1576" si="344">H1577</f>
        <v>869</v>
      </c>
      <c r="I1576" s="2643">
        <v>100</v>
      </c>
      <c r="R1576" s="2691">
        <f>F1578</f>
        <v>0</v>
      </c>
      <c r="S1576" s="2691">
        <f t="shared" ref="S1576:T1576" si="345">G1578</f>
        <v>869</v>
      </c>
      <c r="T1576" s="2691">
        <f t="shared" si="345"/>
        <v>869</v>
      </c>
    </row>
    <row r="1577" spans="1:20" ht="29.25" thickBot="1" x14ac:dyDescent="0.25">
      <c r="A1577" s="2644"/>
      <c r="B1577" s="822"/>
      <c r="C1577" s="2645"/>
      <c r="D1577" s="3034" t="s">
        <v>971</v>
      </c>
      <c r="E1577" s="2633" t="s">
        <v>1546</v>
      </c>
      <c r="F1577" s="3046">
        <v>0</v>
      </c>
      <c r="G1577" s="3047">
        <v>869</v>
      </c>
      <c r="H1577" s="3048">
        <v>869</v>
      </c>
      <c r="I1577" s="903">
        <f>H1577/G1577*100</f>
        <v>100</v>
      </c>
      <c r="R1577" s="2691">
        <f>R1575+R1576</f>
        <v>4344</v>
      </c>
      <c r="S1577" s="2691">
        <f t="shared" ref="S1577:T1577" si="346">S1575+S1576</f>
        <v>7246</v>
      </c>
      <c r="T1577" s="2691">
        <f t="shared" si="346"/>
        <v>7246</v>
      </c>
    </row>
    <row r="1578" spans="1:20" ht="16.5" thickTop="1" thickBot="1" x14ac:dyDescent="0.3">
      <c r="A1578" s="3241" t="s">
        <v>523</v>
      </c>
      <c r="B1578" s="3242"/>
      <c r="C1578" s="3242"/>
      <c r="D1578" s="3242"/>
      <c r="E1578" s="3243"/>
      <c r="F1578" s="2648">
        <f>F1576</f>
        <v>0</v>
      </c>
      <c r="G1578" s="2648">
        <f t="shared" ref="G1578:H1578" si="347">G1576</f>
        <v>869</v>
      </c>
      <c r="H1578" s="2648">
        <f t="shared" si="347"/>
        <v>869</v>
      </c>
      <c r="I1578" s="2649">
        <v>100</v>
      </c>
    </row>
    <row r="1579" spans="1:20" ht="13.5" thickTop="1" x14ac:dyDescent="0.2"/>
    <row r="1581" spans="1:20" ht="13.5" thickBot="1" x14ac:dyDescent="0.25">
      <c r="A1581" s="70" t="s">
        <v>1570</v>
      </c>
      <c r="B1581" s="70"/>
      <c r="C1581" s="70"/>
      <c r="D1581" s="70"/>
      <c r="E1581" s="70"/>
      <c r="F1581" s="2659"/>
      <c r="G1581" s="2659"/>
      <c r="H1581" s="2659"/>
      <c r="I1581" s="2660" t="s">
        <v>92</v>
      </c>
    </row>
    <row r="1582" spans="1:20" ht="14.25" thickTop="1" thickBot="1" x14ac:dyDescent="0.25">
      <c r="A1582" s="2661" t="s">
        <v>324</v>
      </c>
      <c r="B1582" s="2662" t="s">
        <v>93</v>
      </c>
      <c r="C1582" s="2663" t="s">
        <v>94</v>
      </c>
      <c r="D1582" s="2664" t="s">
        <v>364</v>
      </c>
      <c r="E1582" s="2664" t="s">
        <v>95</v>
      </c>
      <c r="F1582" s="2664" t="s">
        <v>328</v>
      </c>
      <c r="G1582" s="2664" t="s">
        <v>329</v>
      </c>
      <c r="H1582" s="2665" t="s">
        <v>448</v>
      </c>
      <c r="I1582" s="2666" t="s">
        <v>449</v>
      </c>
    </row>
    <row r="1583" spans="1:20" ht="14.25" thickTop="1" thickBot="1" x14ac:dyDescent="0.25">
      <c r="A1583" s="2667">
        <v>1</v>
      </c>
      <c r="B1583" s="2668">
        <v>2</v>
      </c>
      <c r="C1583" s="2668">
        <v>3</v>
      </c>
      <c r="D1583" s="2668">
        <v>4</v>
      </c>
      <c r="E1583" s="2668">
        <v>5</v>
      </c>
      <c r="F1583" s="2669">
        <v>6</v>
      </c>
      <c r="G1583" s="2669">
        <v>7</v>
      </c>
      <c r="H1583" s="2670">
        <v>8</v>
      </c>
      <c r="I1583" s="2671" t="s">
        <v>393</v>
      </c>
    </row>
    <row r="1584" spans="1:20" ht="15.75" thickTop="1" x14ac:dyDescent="0.25">
      <c r="A1584" s="2672">
        <v>1660</v>
      </c>
      <c r="B1584" s="2673">
        <v>4357</v>
      </c>
      <c r="C1584" s="2673">
        <v>5331</v>
      </c>
      <c r="D1584" s="2674"/>
      <c r="E1584" s="2675" t="s">
        <v>481</v>
      </c>
      <c r="F1584" s="2676">
        <f>F1585+F1586+F1587</f>
        <v>2968</v>
      </c>
      <c r="G1584" s="2676">
        <f t="shared" ref="G1584" si="348">G1585+G1586+G1587</f>
        <v>3216</v>
      </c>
      <c r="H1584" s="2676">
        <f t="shared" ref="H1584" si="349">H1585+H1586+H1587</f>
        <v>3216</v>
      </c>
      <c r="I1584" s="2677">
        <v>100</v>
      </c>
    </row>
    <row r="1585" spans="1:20" ht="28.5" x14ac:dyDescent="0.2">
      <c r="A1585" s="2624"/>
      <c r="B1585" s="151"/>
      <c r="C1585" s="151"/>
      <c r="D1585" s="3034" t="s">
        <v>971</v>
      </c>
      <c r="E1585" s="2633" t="s">
        <v>1546</v>
      </c>
      <c r="F1585" s="3049">
        <v>0</v>
      </c>
      <c r="G1585" s="3049">
        <v>247</v>
      </c>
      <c r="H1585" s="3049">
        <v>247</v>
      </c>
      <c r="I1585" s="3040">
        <v>100</v>
      </c>
    </row>
    <row r="1586" spans="1:20" ht="14.25" x14ac:dyDescent="0.2">
      <c r="A1586" s="2624"/>
      <c r="B1586" s="151"/>
      <c r="C1586" s="151"/>
      <c r="D1586" s="2630" t="s">
        <v>1394</v>
      </c>
      <c r="E1586" s="923" t="s">
        <v>1537</v>
      </c>
      <c r="F1586" s="2628">
        <v>1978</v>
      </c>
      <c r="G1586" s="2628">
        <v>1978</v>
      </c>
      <c r="H1586" s="2628">
        <v>1978</v>
      </c>
      <c r="I1586" s="2679">
        <v>100</v>
      </c>
    </row>
    <row r="1587" spans="1:20" ht="15" thickBot="1" x14ac:dyDescent="0.25">
      <c r="A1587" s="2624"/>
      <c r="B1587" s="151"/>
      <c r="C1587" s="151"/>
      <c r="D1587" s="2625" t="s">
        <v>993</v>
      </c>
      <c r="E1587" s="2627" t="s">
        <v>1538</v>
      </c>
      <c r="F1587" s="2628">
        <v>990</v>
      </c>
      <c r="G1587" s="2628">
        <v>991</v>
      </c>
      <c r="H1587" s="2628">
        <v>991</v>
      </c>
      <c r="I1587" s="2679">
        <v>100</v>
      </c>
    </row>
    <row r="1588" spans="1:20" ht="16.5" thickTop="1" thickBot="1" x14ac:dyDescent="0.3">
      <c r="A1588" s="3241" t="s">
        <v>522</v>
      </c>
      <c r="B1588" s="3242"/>
      <c r="C1588" s="3242"/>
      <c r="D1588" s="3242"/>
      <c r="E1588" s="3300"/>
      <c r="F1588" s="2648">
        <f>F1584</f>
        <v>2968</v>
      </c>
      <c r="G1588" s="2648">
        <f t="shared" ref="G1588:H1588" si="350">G1584</f>
        <v>3216</v>
      </c>
      <c r="H1588" s="2648">
        <f t="shared" si="350"/>
        <v>3216</v>
      </c>
      <c r="I1588" s="2649">
        <v>100</v>
      </c>
      <c r="R1588" s="2691">
        <f>F1588</f>
        <v>2968</v>
      </c>
      <c r="S1588" s="2691">
        <f t="shared" ref="S1588:T1588" si="351">G1588</f>
        <v>3216</v>
      </c>
      <c r="T1588" s="2691">
        <f t="shared" si="351"/>
        <v>3216</v>
      </c>
    </row>
    <row r="1589" spans="1:20" ht="15.75" thickTop="1" x14ac:dyDescent="0.25">
      <c r="A1589" s="2640">
        <v>1660</v>
      </c>
      <c r="B1589" s="19">
        <v>4357</v>
      </c>
      <c r="C1589" s="151">
        <v>6351</v>
      </c>
      <c r="D1589" s="2641"/>
      <c r="E1589" s="845" t="s">
        <v>551</v>
      </c>
      <c r="F1589" s="2642">
        <f>F1590</f>
        <v>0</v>
      </c>
      <c r="G1589" s="2642">
        <f t="shared" ref="G1589" si="352">G1590</f>
        <v>105</v>
      </c>
      <c r="H1589" s="2642">
        <f t="shared" ref="H1589" si="353">H1590</f>
        <v>105</v>
      </c>
      <c r="I1589" s="2643">
        <v>100</v>
      </c>
      <c r="R1589" s="2691">
        <f>F1591</f>
        <v>0</v>
      </c>
      <c r="S1589" s="2691">
        <f t="shared" ref="S1589:T1589" si="354">G1591</f>
        <v>105</v>
      </c>
      <c r="T1589" s="2691">
        <f t="shared" si="354"/>
        <v>105</v>
      </c>
    </row>
    <row r="1590" spans="1:20" ht="29.25" thickBot="1" x14ac:dyDescent="0.25">
      <c r="A1590" s="2644"/>
      <c r="B1590" s="822"/>
      <c r="C1590" s="2645"/>
      <c r="D1590" s="3034" t="s">
        <v>971</v>
      </c>
      <c r="E1590" s="2633" t="s">
        <v>1546</v>
      </c>
      <c r="F1590" s="3046">
        <v>0</v>
      </c>
      <c r="G1590" s="3047">
        <v>105</v>
      </c>
      <c r="H1590" s="3048">
        <v>105</v>
      </c>
      <c r="I1590" s="903">
        <f>H1590/G1590*100</f>
        <v>100</v>
      </c>
      <c r="R1590" s="2691">
        <f>R1588+R1589</f>
        <v>2968</v>
      </c>
      <c r="S1590" s="2691">
        <f t="shared" ref="S1590:T1590" si="355">S1588+S1589</f>
        <v>3321</v>
      </c>
      <c r="T1590" s="2691">
        <f t="shared" si="355"/>
        <v>3321</v>
      </c>
    </row>
    <row r="1591" spans="1:20" ht="16.5" thickTop="1" thickBot="1" x14ac:dyDescent="0.3">
      <c r="A1591" s="3241" t="s">
        <v>523</v>
      </c>
      <c r="B1591" s="3242"/>
      <c r="C1591" s="3242"/>
      <c r="D1591" s="3242"/>
      <c r="E1591" s="3243"/>
      <c r="F1591" s="2648">
        <f>F1589</f>
        <v>0</v>
      </c>
      <c r="G1591" s="2648">
        <f t="shared" ref="G1591:H1591" si="356">G1589</f>
        <v>105</v>
      </c>
      <c r="H1591" s="2648">
        <f t="shared" si="356"/>
        <v>105</v>
      </c>
      <c r="I1591" s="2649">
        <v>100</v>
      </c>
    </row>
    <row r="1592" spans="1:20" ht="13.5" thickTop="1" x14ac:dyDescent="0.2"/>
    <row r="1593" spans="1:20" hidden="1" x14ac:dyDescent="0.2"/>
    <row r="1594" spans="1:20" hidden="1" x14ac:dyDescent="0.2"/>
    <row r="1595" spans="1:20" hidden="1" x14ac:dyDescent="0.2"/>
    <row r="1596" spans="1:20" hidden="1" x14ac:dyDescent="0.2"/>
    <row r="1597" spans="1:20" hidden="1" x14ac:dyDescent="0.2"/>
    <row r="1598" spans="1:20" hidden="1" x14ac:dyDescent="0.2"/>
    <row r="1599" spans="1:20" ht="9" customHeight="1" x14ac:dyDescent="0.2"/>
    <row r="1600" spans="1:20" ht="13.5" thickBot="1" x14ac:dyDescent="0.25">
      <c r="A1600" s="70" t="s">
        <v>1571</v>
      </c>
      <c r="B1600" s="70"/>
      <c r="C1600" s="70"/>
      <c r="D1600" s="70"/>
      <c r="E1600" s="70"/>
      <c r="F1600" s="2659"/>
      <c r="G1600" s="2659"/>
      <c r="H1600" s="2659"/>
      <c r="I1600" s="2660" t="s">
        <v>92</v>
      </c>
    </row>
    <row r="1601" spans="1:9" ht="14.25" thickTop="1" thickBot="1" x14ac:dyDescent="0.25">
      <c r="A1601" s="2661" t="s">
        <v>324</v>
      </c>
      <c r="B1601" s="2662" t="s">
        <v>93</v>
      </c>
      <c r="C1601" s="2663" t="s">
        <v>94</v>
      </c>
      <c r="D1601" s="2664" t="s">
        <v>364</v>
      </c>
      <c r="E1601" s="2664" t="s">
        <v>95</v>
      </c>
      <c r="F1601" s="2664" t="s">
        <v>328</v>
      </c>
      <c r="G1601" s="2664" t="s">
        <v>329</v>
      </c>
      <c r="H1601" s="2665" t="s">
        <v>448</v>
      </c>
      <c r="I1601" s="2666" t="s">
        <v>449</v>
      </c>
    </row>
    <row r="1602" spans="1:9" ht="14.25" thickTop="1" thickBot="1" x14ac:dyDescent="0.25">
      <c r="A1602" s="2667">
        <v>1</v>
      </c>
      <c r="B1602" s="2668">
        <v>2</v>
      </c>
      <c r="C1602" s="2668">
        <v>3</v>
      </c>
      <c r="D1602" s="2668">
        <v>4</v>
      </c>
      <c r="E1602" s="2668">
        <v>5</v>
      </c>
      <c r="F1602" s="2669">
        <v>6</v>
      </c>
      <c r="G1602" s="2669">
        <v>7</v>
      </c>
      <c r="H1602" s="2670">
        <v>8</v>
      </c>
      <c r="I1602" s="2671" t="s">
        <v>393</v>
      </c>
    </row>
    <row r="1603" spans="1:9" ht="15.75" thickTop="1" x14ac:dyDescent="0.25">
      <c r="A1603" s="2672">
        <v>1661</v>
      </c>
      <c r="B1603" s="2673">
        <v>4357</v>
      </c>
      <c r="C1603" s="2673">
        <v>5331</v>
      </c>
      <c r="D1603" s="2674"/>
      <c r="E1603" s="2675" t="s">
        <v>481</v>
      </c>
      <c r="F1603" s="2676">
        <f>F1604+F1605+F1606</f>
        <v>4562</v>
      </c>
      <c r="G1603" s="2676">
        <f t="shared" ref="G1603" si="357">G1604+G1605+G1606</f>
        <v>2890</v>
      </c>
      <c r="H1603" s="2676">
        <f t="shared" ref="H1603" si="358">H1604+H1605+H1606</f>
        <v>2890</v>
      </c>
      <c r="I1603" s="2677">
        <v>100</v>
      </c>
    </row>
    <row r="1604" spans="1:9" ht="28.5" x14ac:dyDescent="0.2">
      <c r="A1604" s="2624"/>
      <c r="B1604" s="151"/>
      <c r="C1604" s="151"/>
      <c r="D1604" s="3034" t="s">
        <v>971</v>
      </c>
      <c r="E1604" s="2633" t="s">
        <v>1546</v>
      </c>
      <c r="F1604" s="3049">
        <v>0</v>
      </c>
      <c r="G1604" s="3049">
        <v>200</v>
      </c>
      <c r="H1604" s="3049">
        <v>200</v>
      </c>
      <c r="I1604" s="3040">
        <v>100</v>
      </c>
    </row>
    <row r="1605" spans="1:9" ht="14.25" x14ac:dyDescent="0.2">
      <c r="A1605" s="2624"/>
      <c r="B1605" s="151"/>
      <c r="C1605" s="151"/>
      <c r="D1605" s="2630" t="s">
        <v>1394</v>
      </c>
      <c r="E1605" s="923" t="s">
        <v>1537</v>
      </c>
      <c r="F1605" s="2628">
        <v>2245</v>
      </c>
      <c r="G1605" s="2628">
        <v>412</v>
      </c>
      <c r="H1605" s="2628">
        <v>412</v>
      </c>
      <c r="I1605" s="2679">
        <v>100</v>
      </c>
    </row>
    <row r="1606" spans="1:9" ht="15" thickBot="1" x14ac:dyDescent="0.25">
      <c r="A1606" s="2624"/>
      <c r="B1606" s="151"/>
      <c r="C1606" s="151"/>
      <c r="D1606" s="2625" t="s">
        <v>993</v>
      </c>
      <c r="E1606" s="2627" t="s">
        <v>1538</v>
      </c>
      <c r="F1606" s="2628">
        <v>2317</v>
      </c>
      <c r="G1606" s="2628">
        <v>2278</v>
      </c>
      <c r="H1606" s="2628">
        <v>2278</v>
      </c>
      <c r="I1606" s="2679">
        <v>100</v>
      </c>
    </row>
    <row r="1607" spans="1:9" ht="16.5" thickTop="1" thickBot="1" x14ac:dyDescent="0.3">
      <c r="A1607" s="3241" t="s">
        <v>522</v>
      </c>
      <c r="B1607" s="3242"/>
      <c r="C1607" s="3242"/>
      <c r="D1607" s="3242"/>
      <c r="E1607" s="3300"/>
      <c r="F1607" s="2648">
        <f>F1603</f>
        <v>4562</v>
      </c>
      <c r="G1607" s="2648">
        <f t="shared" ref="G1607:H1607" si="359">G1603</f>
        <v>2890</v>
      </c>
      <c r="H1607" s="2648">
        <f t="shared" si="359"/>
        <v>2890</v>
      </c>
      <c r="I1607" s="2649">
        <v>100</v>
      </c>
    </row>
    <row r="1608" spans="1:9" ht="13.5" thickTop="1" x14ac:dyDescent="0.2"/>
    <row r="1610" spans="1:9" ht="13.5" thickBot="1" x14ac:dyDescent="0.25">
      <c r="A1610" s="70" t="s">
        <v>1572</v>
      </c>
      <c r="B1610" s="70"/>
      <c r="C1610" s="70"/>
      <c r="D1610" s="70"/>
      <c r="E1610" s="70"/>
      <c r="F1610" s="2659"/>
      <c r="G1610" s="2659"/>
      <c r="H1610" s="2659"/>
      <c r="I1610" s="2660" t="s">
        <v>92</v>
      </c>
    </row>
    <row r="1611" spans="1:9" ht="14.25" thickTop="1" thickBot="1" x14ac:dyDescent="0.25">
      <c r="A1611" s="2661" t="s">
        <v>324</v>
      </c>
      <c r="B1611" s="2662" t="s">
        <v>93</v>
      </c>
      <c r="C1611" s="2663" t="s">
        <v>94</v>
      </c>
      <c r="D1611" s="2664" t="s">
        <v>364</v>
      </c>
      <c r="E1611" s="2664" t="s">
        <v>95</v>
      </c>
      <c r="F1611" s="2664" t="s">
        <v>328</v>
      </c>
      <c r="G1611" s="2664" t="s">
        <v>329</v>
      </c>
      <c r="H1611" s="2665" t="s">
        <v>448</v>
      </c>
      <c r="I1611" s="2666" t="s">
        <v>449</v>
      </c>
    </row>
    <row r="1612" spans="1:9" ht="14.25" thickTop="1" thickBot="1" x14ac:dyDescent="0.25">
      <c r="A1612" s="2667">
        <v>1</v>
      </c>
      <c r="B1612" s="2668">
        <v>2</v>
      </c>
      <c r="C1612" s="2668">
        <v>3</v>
      </c>
      <c r="D1612" s="2668">
        <v>4</v>
      </c>
      <c r="E1612" s="2668">
        <v>5</v>
      </c>
      <c r="F1612" s="2669">
        <v>6</v>
      </c>
      <c r="G1612" s="2669">
        <v>7</v>
      </c>
      <c r="H1612" s="2670">
        <v>8</v>
      </c>
      <c r="I1612" s="2671" t="s">
        <v>393</v>
      </c>
    </row>
    <row r="1613" spans="1:9" ht="15.75" thickTop="1" x14ac:dyDescent="0.25">
      <c r="A1613" s="2672">
        <v>1663</v>
      </c>
      <c r="B1613" s="2673">
        <v>4357</v>
      </c>
      <c r="C1613" s="2673">
        <v>5331</v>
      </c>
      <c r="D1613" s="2674"/>
      <c r="E1613" s="2675" t="s">
        <v>481</v>
      </c>
      <c r="F1613" s="2676">
        <f>F1614+F1615+F1616</f>
        <v>2731</v>
      </c>
      <c r="G1613" s="2676">
        <f t="shared" ref="G1613" si="360">G1614+G1615+G1616</f>
        <v>2881</v>
      </c>
      <c r="H1613" s="2676">
        <f t="shared" ref="H1613" si="361">H1614+H1615+H1616</f>
        <v>2881</v>
      </c>
      <c r="I1613" s="2677">
        <v>100</v>
      </c>
    </row>
    <row r="1614" spans="1:9" ht="28.5" x14ac:dyDescent="0.2">
      <c r="A1614" s="2624"/>
      <c r="B1614" s="151"/>
      <c r="C1614" s="151"/>
      <c r="D1614" s="3034" t="s">
        <v>971</v>
      </c>
      <c r="E1614" s="2633" t="s">
        <v>1546</v>
      </c>
      <c r="F1614" s="3049">
        <v>0</v>
      </c>
      <c r="G1614" s="3049">
        <v>722</v>
      </c>
      <c r="H1614" s="3049">
        <v>722</v>
      </c>
      <c r="I1614" s="3040">
        <v>100</v>
      </c>
    </row>
    <row r="1615" spans="1:9" ht="14.25" x14ac:dyDescent="0.2">
      <c r="A1615" s="2624"/>
      <c r="B1615" s="151"/>
      <c r="C1615" s="151"/>
      <c r="D1615" s="2630" t="s">
        <v>1394</v>
      </c>
      <c r="E1615" s="923" t="s">
        <v>1537</v>
      </c>
      <c r="F1615" s="2628">
        <v>1288</v>
      </c>
      <c r="G1615" s="2628">
        <v>630</v>
      </c>
      <c r="H1615" s="2628">
        <v>630</v>
      </c>
      <c r="I1615" s="2679">
        <v>100</v>
      </c>
    </row>
    <row r="1616" spans="1:9" ht="15" thickBot="1" x14ac:dyDescent="0.25">
      <c r="A1616" s="2624"/>
      <c r="B1616" s="151"/>
      <c r="C1616" s="151"/>
      <c r="D1616" s="2625" t="s">
        <v>993</v>
      </c>
      <c r="E1616" s="2627" t="s">
        <v>1538</v>
      </c>
      <c r="F1616" s="2628">
        <v>1443</v>
      </c>
      <c r="G1616" s="2628">
        <v>1529</v>
      </c>
      <c r="H1616" s="2628">
        <v>1529</v>
      </c>
      <c r="I1616" s="2679">
        <v>100</v>
      </c>
    </row>
    <row r="1617" spans="1:20" ht="16.5" thickTop="1" thickBot="1" x14ac:dyDescent="0.3">
      <c r="A1617" s="3241" t="s">
        <v>522</v>
      </c>
      <c r="B1617" s="3242"/>
      <c r="C1617" s="3242"/>
      <c r="D1617" s="3242"/>
      <c r="E1617" s="3300"/>
      <c r="F1617" s="2648">
        <f>F1613</f>
        <v>2731</v>
      </c>
      <c r="G1617" s="2648">
        <f t="shared" ref="G1617:H1617" si="362">G1613</f>
        <v>2881</v>
      </c>
      <c r="H1617" s="2648">
        <f t="shared" si="362"/>
        <v>2881</v>
      </c>
      <c r="I1617" s="2649">
        <v>100</v>
      </c>
      <c r="R1617" s="2691">
        <f>F1617</f>
        <v>2731</v>
      </c>
      <c r="S1617" s="2691">
        <f t="shared" ref="S1617:T1617" si="363">G1617</f>
        <v>2881</v>
      </c>
      <c r="T1617" s="2691">
        <f t="shared" si="363"/>
        <v>2881</v>
      </c>
    </row>
    <row r="1618" spans="1:20" ht="15.75" thickTop="1" x14ac:dyDescent="0.25">
      <c r="A1618" s="2640">
        <v>1663</v>
      </c>
      <c r="B1618" s="19">
        <v>4357</v>
      </c>
      <c r="C1618" s="151">
        <v>6351</v>
      </c>
      <c r="D1618" s="2641"/>
      <c r="E1618" s="845" t="s">
        <v>551</v>
      </c>
      <c r="F1618" s="2642">
        <f>F1619</f>
        <v>0</v>
      </c>
      <c r="G1618" s="2642">
        <f t="shared" ref="G1618" si="364">G1619</f>
        <v>789</v>
      </c>
      <c r="H1618" s="2642">
        <f t="shared" ref="H1618" si="365">H1619</f>
        <v>789</v>
      </c>
      <c r="I1618" s="2643">
        <v>100</v>
      </c>
      <c r="R1618" s="2691">
        <f>F1620</f>
        <v>0</v>
      </c>
      <c r="S1618" s="2691">
        <f t="shared" ref="S1618:T1618" si="366">G1620</f>
        <v>789</v>
      </c>
      <c r="T1618" s="2691">
        <f t="shared" si="366"/>
        <v>789</v>
      </c>
    </row>
    <row r="1619" spans="1:20" ht="29.25" thickBot="1" x14ac:dyDescent="0.25">
      <c r="A1619" s="2644"/>
      <c r="B1619" s="822"/>
      <c r="C1619" s="2645"/>
      <c r="D1619" s="3034" t="s">
        <v>971</v>
      </c>
      <c r="E1619" s="2633" t="s">
        <v>1546</v>
      </c>
      <c r="F1619" s="3046">
        <v>0</v>
      </c>
      <c r="G1619" s="3047">
        <v>789</v>
      </c>
      <c r="H1619" s="3048">
        <v>789</v>
      </c>
      <c r="I1619" s="903">
        <f>H1619/G1619*100</f>
        <v>100</v>
      </c>
      <c r="R1619" s="2691">
        <f>R1617+R1618</f>
        <v>2731</v>
      </c>
      <c r="S1619" s="2691">
        <f t="shared" ref="S1619:T1619" si="367">S1617+S1618</f>
        <v>3670</v>
      </c>
      <c r="T1619" s="2691">
        <f t="shared" si="367"/>
        <v>3670</v>
      </c>
    </row>
    <row r="1620" spans="1:20" ht="16.5" thickTop="1" thickBot="1" x14ac:dyDescent="0.3">
      <c r="A1620" s="3241" t="s">
        <v>523</v>
      </c>
      <c r="B1620" s="3242"/>
      <c r="C1620" s="3242"/>
      <c r="D1620" s="3242"/>
      <c r="E1620" s="3243"/>
      <c r="F1620" s="2648">
        <f>F1618</f>
        <v>0</v>
      </c>
      <c r="G1620" s="2648">
        <f t="shared" ref="G1620:H1620" si="368">G1618</f>
        <v>789</v>
      </c>
      <c r="H1620" s="2648">
        <f t="shared" si="368"/>
        <v>789</v>
      </c>
      <c r="I1620" s="2649">
        <v>100</v>
      </c>
    </row>
    <row r="1621" spans="1:20" ht="13.5" thickTop="1" x14ac:dyDescent="0.2"/>
    <row r="1623" spans="1:20" ht="18" x14ac:dyDescent="0.25">
      <c r="A1623" s="2687" t="s">
        <v>1597</v>
      </c>
    </row>
    <row r="1624" spans="1:20" ht="13.5" thickBot="1" x14ac:dyDescent="0.25">
      <c r="A1624" s="70" t="s">
        <v>1573</v>
      </c>
      <c r="B1624" s="70"/>
      <c r="C1624" s="70"/>
      <c r="D1624" s="70"/>
      <c r="E1624" s="70"/>
      <c r="F1624" s="2659"/>
      <c r="G1624" s="2659"/>
      <c r="H1624" s="2659"/>
      <c r="I1624" s="2660" t="s">
        <v>92</v>
      </c>
    </row>
    <row r="1625" spans="1:20" ht="14.25" thickTop="1" thickBot="1" x14ac:dyDescent="0.25">
      <c r="A1625" s="2661" t="s">
        <v>324</v>
      </c>
      <c r="B1625" s="2662" t="s">
        <v>93</v>
      </c>
      <c r="C1625" s="2663" t="s">
        <v>94</v>
      </c>
      <c r="D1625" s="2664" t="s">
        <v>364</v>
      </c>
      <c r="E1625" s="2664" t="s">
        <v>95</v>
      </c>
      <c r="F1625" s="2664" t="s">
        <v>328</v>
      </c>
      <c r="G1625" s="2664" t="s">
        <v>329</v>
      </c>
      <c r="H1625" s="2665" t="s">
        <v>448</v>
      </c>
      <c r="I1625" s="2666" t="s">
        <v>449</v>
      </c>
    </row>
    <row r="1626" spans="1:20" ht="14.25" thickTop="1" thickBot="1" x14ac:dyDescent="0.25">
      <c r="A1626" s="2667">
        <v>1</v>
      </c>
      <c r="B1626" s="2668">
        <v>2</v>
      </c>
      <c r="C1626" s="2668">
        <v>3</v>
      </c>
      <c r="D1626" s="2668">
        <v>4</v>
      </c>
      <c r="E1626" s="2668">
        <v>5</v>
      </c>
      <c r="F1626" s="2669">
        <v>6</v>
      </c>
      <c r="G1626" s="2669">
        <v>7</v>
      </c>
      <c r="H1626" s="2670">
        <v>8</v>
      </c>
      <c r="I1626" s="2671" t="s">
        <v>393</v>
      </c>
    </row>
    <row r="1627" spans="1:20" ht="15.75" thickTop="1" x14ac:dyDescent="0.25">
      <c r="A1627" s="2672">
        <v>1599</v>
      </c>
      <c r="B1627" s="2673">
        <v>2292</v>
      </c>
      <c r="C1627" s="2673">
        <v>5331</v>
      </c>
      <c r="D1627" s="2674"/>
      <c r="E1627" s="2675" t="s">
        <v>481</v>
      </c>
      <c r="F1627" s="2676">
        <f>F1628+F1631+F1629+F1630</f>
        <v>937312</v>
      </c>
      <c r="G1627" s="2676">
        <f t="shared" ref="G1627:H1627" si="369">G1628+G1631+G1629+G1630</f>
        <v>995346</v>
      </c>
      <c r="H1627" s="2676">
        <f t="shared" si="369"/>
        <v>995346</v>
      </c>
      <c r="I1627" s="2677">
        <f t="shared" ref="I1627:I1633" si="370">H1627/G1627*100</f>
        <v>100</v>
      </c>
    </row>
    <row r="1628" spans="1:20" ht="28.5" x14ac:dyDescent="0.2">
      <c r="A1628" s="2624"/>
      <c r="B1628" s="151"/>
      <c r="C1628" s="151"/>
      <c r="D1628" s="3034" t="s">
        <v>1390</v>
      </c>
      <c r="E1628" s="2653" t="s">
        <v>1574</v>
      </c>
      <c r="F1628" s="3049">
        <v>421570</v>
      </c>
      <c r="G1628" s="3049">
        <v>478193</v>
      </c>
      <c r="H1628" s="3049">
        <v>478193</v>
      </c>
      <c r="I1628" s="3040">
        <f t="shared" si="370"/>
        <v>100</v>
      </c>
    </row>
    <row r="1629" spans="1:20" ht="28.5" x14ac:dyDescent="0.2">
      <c r="A1629" s="2624"/>
      <c r="B1629" s="151"/>
      <c r="C1629" s="151"/>
      <c r="D1629" s="3034" t="s">
        <v>1391</v>
      </c>
      <c r="E1629" s="2952" t="s">
        <v>1576</v>
      </c>
      <c r="F1629" s="3049">
        <v>453000</v>
      </c>
      <c r="G1629" s="3049">
        <v>462248</v>
      </c>
      <c r="H1629" s="3049">
        <v>462248</v>
      </c>
      <c r="I1629" s="3040">
        <f t="shared" si="370"/>
        <v>100</v>
      </c>
    </row>
    <row r="1630" spans="1:20" ht="28.5" x14ac:dyDescent="0.2">
      <c r="A1630" s="2624"/>
      <c r="B1630" s="151"/>
      <c r="C1630" s="151"/>
      <c r="D1630" s="3034" t="s">
        <v>1392</v>
      </c>
      <c r="E1630" s="2952" t="s">
        <v>1577</v>
      </c>
      <c r="F1630" s="3049">
        <v>25000</v>
      </c>
      <c r="G1630" s="3049">
        <v>17163</v>
      </c>
      <c r="H1630" s="3049">
        <v>17163</v>
      </c>
      <c r="I1630" s="3040">
        <f t="shared" si="370"/>
        <v>100</v>
      </c>
    </row>
    <row r="1631" spans="1:20" ht="14.25" x14ac:dyDescent="0.2">
      <c r="A1631" s="2624"/>
      <c r="B1631" s="151"/>
      <c r="C1631" s="151"/>
      <c r="D1631" s="2630" t="s">
        <v>1393</v>
      </c>
      <c r="E1631" s="923" t="s">
        <v>1575</v>
      </c>
      <c r="F1631" s="2628">
        <v>37742</v>
      </c>
      <c r="G1631" s="2682">
        <v>37742</v>
      </c>
      <c r="H1631" s="2628">
        <v>37742</v>
      </c>
      <c r="I1631" s="2683">
        <f t="shared" si="370"/>
        <v>100</v>
      </c>
    </row>
    <row r="1632" spans="1:20" ht="15" x14ac:dyDescent="0.25">
      <c r="A1632" s="2624">
        <v>1599</v>
      </c>
      <c r="B1632" s="19">
        <v>2299</v>
      </c>
      <c r="C1632" s="19">
        <v>5331</v>
      </c>
      <c r="D1632" s="2681"/>
      <c r="E1632" s="845" t="s">
        <v>481</v>
      </c>
      <c r="F1632" s="29">
        <f>F1633+F1634+F1635+F1636</f>
        <v>18928</v>
      </c>
      <c r="G1632" s="29">
        <f t="shared" ref="G1632:H1632" si="371">G1633+G1634+G1635+G1636</f>
        <v>25064</v>
      </c>
      <c r="H1632" s="29">
        <f t="shared" si="371"/>
        <v>25064</v>
      </c>
      <c r="I1632" s="2643">
        <f t="shared" si="370"/>
        <v>100</v>
      </c>
    </row>
    <row r="1633" spans="1:20" ht="14.25" x14ac:dyDescent="0.2">
      <c r="A1633" s="2624"/>
      <c r="B1633" s="151"/>
      <c r="C1633" s="151"/>
      <c r="D1633" s="2630" t="s">
        <v>1394</v>
      </c>
      <c r="E1633" s="923" t="s">
        <v>1537</v>
      </c>
      <c r="F1633" s="2628">
        <v>6881</v>
      </c>
      <c r="G1633" s="2628">
        <v>7362</v>
      </c>
      <c r="H1633" s="2628">
        <v>7362</v>
      </c>
      <c r="I1633" s="2679">
        <f t="shared" si="370"/>
        <v>100</v>
      </c>
    </row>
    <row r="1634" spans="1:20" ht="14.25" x14ac:dyDescent="0.2">
      <c r="A1634" s="2624"/>
      <c r="B1634" s="151"/>
      <c r="C1634" s="151"/>
      <c r="D1634" s="811" t="s">
        <v>994</v>
      </c>
      <c r="E1634" s="2627" t="s">
        <v>1541</v>
      </c>
      <c r="F1634" s="2628">
        <v>6948</v>
      </c>
      <c r="G1634" s="2628">
        <v>8208</v>
      </c>
      <c r="H1634" s="2628">
        <v>8208</v>
      </c>
      <c r="I1634" s="2679">
        <f t="shared" ref="I1634:I1636" si="372">H1634/G1634*100</f>
        <v>100</v>
      </c>
    </row>
    <row r="1635" spans="1:20" ht="14.25" x14ac:dyDescent="0.2">
      <c r="A1635" s="2624"/>
      <c r="B1635" s="151"/>
      <c r="C1635" s="151"/>
      <c r="D1635" s="811" t="s">
        <v>993</v>
      </c>
      <c r="E1635" s="2627" t="s">
        <v>1538</v>
      </c>
      <c r="F1635" s="2628">
        <v>434</v>
      </c>
      <c r="G1635" s="2628">
        <v>1501</v>
      </c>
      <c r="H1635" s="2628">
        <v>1501</v>
      </c>
      <c r="I1635" s="2679">
        <f t="shared" si="372"/>
        <v>100</v>
      </c>
    </row>
    <row r="1636" spans="1:20" ht="15" thickBot="1" x14ac:dyDescent="0.25">
      <c r="A1636" s="2624"/>
      <c r="B1636" s="151"/>
      <c r="C1636" s="151"/>
      <c r="D1636" s="811" t="s">
        <v>1395</v>
      </c>
      <c r="E1636" s="2627" t="s">
        <v>1539</v>
      </c>
      <c r="F1636" s="2628">
        <v>4665</v>
      </c>
      <c r="G1636" s="2628">
        <v>7993</v>
      </c>
      <c r="H1636" s="2628">
        <v>7993</v>
      </c>
      <c r="I1636" s="2679">
        <f t="shared" si="372"/>
        <v>100</v>
      </c>
    </row>
    <row r="1637" spans="1:20" ht="16.5" thickTop="1" thickBot="1" x14ac:dyDescent="0.3">
      <c r="A1637" s="3241" t="s">
        <v>522</v>
      </c>
      <c r="B1637" s="3242"/>
      <c r="C1637" s="3242"/>
      <c r="D1637" s="3242"/>
      <c r="E1637" s="3300"/>
      <c r="F1637" s="2648">
        <f>F1627+F1632</f>
        <v>956240</v>
      </c>
      <c r="G1637" s="2648">
        <f>G1627+G1632</f>
        <v>1020410</v>
      </c>
      <c r="H1637" s="2648">
        <f>H1627+H1632</f>
        <v>1020410</v>
      </c>
      <c r="I1637" s="2649">
        <v>100</v>
      </c>
    </row>
    <row r="1638" spans="1:20" ht="13.5" thickTop="1" x14ac:dyDescent="0.2"/>
    <row r="1640" spans="1:20" ht="13.5" thickBot="1" x14ac:dyDescent="0.25">
      <c r="A1640" s="70" t="s">
        <v>1578</v>
      </c>
      <c r="B1640" s="70"/>
      <c r="C1640" s="70"/>
      <c r="D1640" s="70"/>
      <c r="E1640" s="70"/>
      <c r="F1640" s="2659"/>
      <c r="G1640" s="2659"/>
      <c r="H1640" s="2659"/>
      <c r="I1640" s="2660" t="s">
        <v>92</v>
      </c>
    </row>
    <row r="1641" spans="1:20" ht="14.25" thickTop="1" thickBot="1" x14ac:dyDescent="0.25">
      <c r="A1641" s="2661" t="s">
        <v>324</v>
      </c>
      <c r="B1641" s="2662" t="s">
        <v>93</v>
      </c>
      <c r="C1641" s="2663" t="s">
        <v>94</v>
      </c>
      <c r="D1641" s="2664" t="s">
        <v>364</v>
      </c>
      <c r="E1641" s="2664" t="s">
        <v>95</v>
      </c>
      <c r="F1641" s="2664" t="s">
        <v>328</v>
      </c>
      <c r="G1641" s="2664" t="s">
        <v>329</v>
      </c>
      <c r="H1641" s="2665" t="s">
        <v>448</v>
      </c>
      <c r="I1641" s="2666" t="s">
        <v>449</v>
      </c>
    </row>
    <row r="1642" spans="1:20" ht="14.25" thickTop="1" thickBot="1" x14ac:dyDescent="0.25">
      <c r="A1642" s="2667">
        <v>1</v>
      </c>
      <c r="B1642" s="2668">
        <v>2</v>
      </c>
      <c r="C1642" s="2668">
        <v>3</v>
      </c>
      <c r="D1642" s="2668">
        <v>4</v>
      </c>
      <c r="E1642" s="2668">
        <v>5</v>
      </c>
      <c r="F1642" s="2669">
        <v>6</v>
      </c>
      <c r="G1642" s="2669">
        <v>7</v>
      </c>
      <c r="H1642" s="2670">
        <v>8</v>
      </c>
      <c r="I1642" s="2671" t="s">
        <v>393</v>
      </c>
      <c r="R1642" s="2691">
        <f>F1655</f>
        <v>530516</v>
      </c>
      <c r="S1642" s="2691">
        <f>G1655</f>
        <v>546582</v>
      </c>
      <c r="T1642" s="2691">
        <f>H1655</f>
        <v>546582</v>
      </c>
    </row>
    <row r="1643" spans="1:20" ht="15.75" thickTop="1" x14ac:dyDescent="0.25">
      <c r="A1643" s="2672">
        <v>1600</v>
      </c>
      <c r="B1643" s="2673">
        <v>2212</v>
      </c>
      <c r="C1643" s="2673">
        <v>5331</v>
      </c>
      <c r="D1643" s="2674"/>
      <c r="E1643" s="2675" t="s">
        <v>481</v>
      </c>
      <c r="F1643" s="2676">
        <f>F1644+F1645+F1646</f>
        <v>530516</v>
      </c>
      <c r="G1643" s="2676">
        <f t="shared" ref="G1643:H1643" si="373">G1644+G1645+G1646</f>
        <v>546582</v>
      </c>
      <c r="H1643" s="2676">
        <f t="shared" si="373"/>
        <v>546582</v>
      </c>
      <c r="I1643" s="2677">
        <f t="shared" ref="I1643:I1651" si="374">H1643/G1643*100</f>
        <v>100</v>
      </c>
      <c r="R1643" s="2691">
        <f>F1658</f>
        <v>0</v>
      </c>
      <c r="S1643" s="2691">
        <f>G1658</f>
        <v>0</v>
      </c>
      <c r="T1643" s="2691">
        <f>H1658</f>
        <v>0</v>
      </c>
    </row>
    <row r="1644" spans="1:20" ht="14.25" x14ac:dyDescent="0.2">
      <c r="A1644" s="2624"/>
      <c r="B1644" s="151"/>
      <c r="C1644" s="151"/>
      <c r="D1644" s="2630" t="s">
        <v>1394</v>
      </c>
      <c r="E1644" s="923" t="s">
        <v>1537</v>
      </c>
      <c r="F1644" s="2678">
        <v>380565</v>
      </c>
      <c r="G1644" s="2678">
        <v>396631</v>
      </c>
      <c r="H1644" s="2678">
        <v>396631</v>
      </c>
      <c r="I1644" s="2647">
        <f t="shared" si="374"/>
        <v>100</v>
      </c>
      <c r="R1644" s="2691">
        <f>R1642+R1643</f>
        <v>530516</v>
      </c>
      <c r="S1644" s="2691">
        <f t="shared" ref="S1644:T1644" si="375">S1642+S1643</f>
        <v>546582</v>
      </c>
      <c r="T1644" s="2691">
        <f t="shared" si="375"/>
        <v>546582</v>
      </c>
    </row>
    <row r="1645" spans="1:20" ht="15" thickBot="1" x14ac:dyDescent="0.25">
      <c r="A1645" s="2624"/>
      <c r="B1645" s="151"/>
      <c r="C1645" s="151"/>
      <c r="D1645" s="811" t="s">
        <v>993</v>
      </c>
      <c r="E1645" s="2627" t="s">
        <v>1538</v>
      </c>
      <c r="F1645" s="2628">
        <v>149951</v>
      </c>
      <c r="G1645" s="2682">
        <v>149951</v>
      </c>
      <c r="H1645" s="2628">
        <v>149951</v>
      </c>
      <c r="I1645" s="2683">
        <f t="shared" si="374"/>
        <v>100</v>
      </c>
    </row>
    <row r="1646" spans="1:20" ht="14.25" hidden="1" x14ac:dyDescent="0.2">
      <c r="A1646" s="2624"/>
      <c r="B1646" s="151"/>
      <c r="C1646" s="151"/>
      <c r="D1646" s="811" t="s">
        <v>1397</v>
      </c>
      <c r="E1646" s="2627" t="s">
        <v>1579</v>
      </c>
      <c r="F1646" s="2628"/>
      <c r="G1646" s="2628"/>
      <c r="H1646" s="2628"/>
      <c r="I1646" s="2683" t="e">
        <f t="shared" si="374"/>
        <v>#DIV/0!</v>
      </c>
    </row>
    <row r="1647" spans="1:20" ht="15" hidden="1" x14ac:dyDescent="0.25">
      <c r="A1647" s="2624">
        <v>1599</v>
      </c>
      <c r="B1647" s="19">
        <v>2242</v>
      </c>
      <c r="C1647" s="19">
        <v>5331</v>
      </c>
      <c r="D1647" s="2681"/>
      <c r="E1647" s="845" t="s">
        <v>481</v>
      </c>
      <c r="F1647" s="29">
        <f>F1648+F1649</f>
        <v>0</v>
      </c>
      <c r="G1647" s="2642">
        <f t="shared" ref="G1647" si="376">G1648+G1649</f>
        <v>0</v>
      </c>
      <c r="H1647" s="29">
        <f t="shared" ref="H1647" si="377">H1648+H1649</f>
        <v>0</v>
      </c>
      <c r="I1647" s="2643" t="e">
        <f t="shared" si="374"/>
        <v>#DIV/0!</v>
      </c>
    </row>
    <row r="1648" spans="1:20" ht="28.5" hidden="1" x14ac:dyDescent="0.2">
      <c r="A1648" s="2624"/>
      <c r="B1648" s="151"/>
      <c r="C1648" s="151"/>
      <c r="D1648" s="2634" t="s">
        <v>1391</v>
      </c>
      <c r="E1648" s="2653" t="s">
        <v>1576</v>
      </c>
      <c r="F1648" s="2678"/>
      <c r="G1648" s="2678"/>
      <c r="H1648" s="2678"/>
      <c r="I1648" s="2647" t="e">
        <f t="shared" si="374"/>
        <v>#DIV/0!</v>
      </c>
    </row>
    <row r="1649" spans="1:9" ht="28.5" hidden="1" x14ac:dyDescent="0.2">
      <c r="A1649" s="2624"/>
      <c r="B1649" s="151"/>
      <c r="C1649" s="151"/>
      <c r="D1649" s="2634" t="s">
        <v>1392</v>
      </c>
      <c r="E1649" s="2653" t="s">
        <v>1577</v>
      </c>
      <c r="F1649" s="2646"/>
      <c r="G1649" s="2646"/>
      <c r="H1649" s="2646"/>
      <c r="I1649" s="2647" t="e">
        <f t="shared" si="374"/>
        <v>#DIV/0!</v>
      </c>
    </row>
    <row r="1650" spans="1:9" ht="15" hidden="1" x14ac:dyDescent="0.25">
      <c r="A1650" s="2624">
        <v>1600</v>
      </c>
      <c r="B1650" s="19">
        <v>3316</v>
      </c>
      <c r="C1650" s="19">
        <v>5331</v>
      </c>
      <c r="D1650" s="2681"/>
      <c r="E1650" s="845" t="s">
        <v>481</v>
      </c>
      <c r="F1650" s="29">
        <f>F1651+F1652+F1653+F1654</f>
        <v>0</v>
      </c>
      <c r="G1650" s="29">
        <f t="shared" ref="G1650" si="378">G1651+G1652+G1653+G1654</f>
        <v>0</v>
      </c>
      <c r="H1650" s="29">
        <f t="shared" ref="H1650" si="379">H1651+H1652+H1653+H1654</f>
        <v>0</v>
      </c>
      <c r="I1650" s="2643" t="e">
        <f t="shared" si="374"/>
        <v>#DIV/0!</v>
      </c>
    </row>
    <row r="1651" spans="1:9" ht="15" hidden="1" thickBot="1" x14ac:dyDescent="0.25">
      <c r="A1651" s="2624"/>
      <c r="B1651" s="151"/>
      <c r="C1651" s="151"/>
      <c r="D1651" s="2630" t="s">
        <v>1394</v>
      </c>
      <c r="E1651" s="923" t="s">
        <v>1537</v>
      </c>
      <c r="F1651" s="2628"/>
      <c r="G1651" s="2628"/>
      <c r="H1651" s="2628"/>
      <c r="I1651" s="2679" t="e">
        <f t="shared" si="374"/>
        <v>#DIV/0!</v>
      </c>
    </row>
    <row r="1652" spans="1:9" ht="14.25" hidden="1" x14ac:dyDescent="0.2">
      <c r="A1652" s="2624"/>
      <c r="B1652" s="151"/>
      <c r="C1652" s="151"/>
      <c r="D1652" s="811" t="s">
        <v>994</v>
      </c>
      <c r="E1652" s="2627" t="s">
        <v>1541</v>
      </c>
      <c r="F1652" s="2628"/>
      <c r="G1652" s="2628"/>
      <c r="H1652" s="2628"/>
      <c r="I1652" s="2679" t="e">
        <f t="shared" ref="I1652:I1654" si="380">H1652/G1652*100</f>
        <v>#DIV/0!</v>
      </c>
    </row>
    <row r="1653" spans="1:9" ht="14.25" hidden="1" x14ac:dyDescent="0.2">
      <c r="A1653" s="2624"/>
      <c r="B1653" s="151"/>
      <c r="C1653" s="151"/>
      <c r="D1653" s="811" t="s">
        <v>993</v>
      </c>
      <c r="E1653" s="2627" t="s">
        <v>1538</v>
      </c>
      <c r="F1653" s="2628"/>
      <c r="G1653" s="2628"/>
      <c r="H1653" s="2628"/>
      <c r="I1653" s="2679" t="e">
        <f t="shared" si="380"/>
        <v>#DIV/0!</v>
      </c>
    </row>
    <row r="1654" spans="1:9" ht="15" hidden="1" thickBot="1" x14ac:dyDescent="0.25">
      <c r="A1654" s="2624"/>
      <c r="B1654" s="151"/>
      <c r="C1654" s="151"/>
      <c r="D1654" s="811" t="s">
        <v>1395</v>
      </c>
      <c r="E1654" s="2627" t="s">
        <v>1539</v>
      </c>
      <c r="F1654" s="2628"/>
      <c r="G1654" s="2628"/>
      <c r="H1654" s="2628"/>
      <c r="I1654" s="2679" t="e">
        <f t="shared" si="380"/>
        <v>#DIV/0!</v>
      </c>
    </row>
    <row r="1655" spans="1:9" ht="16.5" thickTop="1" thickBot="1" x14ac:dyDescent="0.3">
      <c r="A1655" s="3241" t="s">
        <v>522</v>
      </c>
      <c r="B1655" s="3242"/>
      <c r="C1655" s="3242"/>
      <c r="D1655" s="3242"/>
      <c r="E1655" s="3300"/>
      <c r="F1655" s="2648">
        <f>F1643+F1647+F1650</f>
        <v>530516</v>
      </c>
      <c r="G1655" s="2648">
        <f t="shared" ref="G1655:H1655" si="381">G1643+G1647+G1650</f>
        <v>546582</v>
      </c>
      <c r="H1655" s="2648">
        <f t="shared" si="381"/>
        <v>546582</v>
      </c>
      <c r="I1655" s="2649">
        <v>100</v>
      </c>
    </row>
    <row r="1656" spans="1:9" ht="15.75" hidden="1" thickTop="1" x14ac:dyDescent="0.25">
      <c r="A1656" s="2640">
        <v>1600</v>
      </c>
      <c r="B1656" s="19">
        <v>2212</v>
      </c>
      <c r="C1656" s="151">
        <v>6351</v>
      </c>
      <c r="D1656" s="2641"/>
      <c r="E1656" s="845" t="s">
        <v>551</v>
      </c>
      <c r="F1656" s="2642">
        <f>F1657</f>
        <v>0</v>
      </c>
      <c r="G1656" s="2642">
        <f t="shared" ref="G1656:H1656" si="382">G1657</f>
        <v>0</v>
      </c>
      <c r="H1656" s="2642">
        <f t="shared" si="382"/>
        <v>0</v>
      </c>
      <c r="I1656" s="2643">
        <v>100</v>
      </c>
    </row>
    <row r="1657" spans="1:9" ht="29.25" hidden="1" thickBot="1" x14ac:dyDescent="0.25">
      <c r="A1657" s="2644"/>
      <c r="B1657" s="822"/>
      <c r="C1657" s="2645"/>
      <c r="D1657" s="2634" t="s">
        <v>952</v>
      </c>
      <c r="E1657" s="2653" t="s">
        <v>1580</v>
      </c>
      <c r="F1657" s="2654"/>
      <c r="G1657" s="2655"/>
      <c r="H1657" s="2656"/>
      <c r="I1657" s="2657" t="e">
        <f>H1657/G1657*100</f>
        <v>#DIV/0!</v>
      </c>
    </row>
    <row r="1658" spans="1:9" ht="16.5" hidden="1" thickTop="1" thickBot="1" x14ac:dyDescent="0.3">
      <c r="A1658" s="3241" t="s">
        <v>523</v>
      </c>
      <c r="B1658" s="3242"/>
      <c r="C1658" s="3242"/>
      <c r="D1658" s="3242"/>
      <c r="E1658" s="3243"/>
      <c r="F1658" s="2648">
        <f>F1656</f>
        <v>0</v>
      </c>
      <c r="G1658" s="2648">
        <f t="shared" ref="G1658:H1658" si="383">G1656</f>
        <v>0</v>
      </c>
      <c r="H1658" s="2648">
        <f t="shared" si="383"/>
        <v>0</v>
      </c>
      <c r="I1658" s="2649">
        <v>100</v>
      </c>
    </row>
    <row r="1659" spans="1:9" ht="13.5" thickTop="1" x14ac:dyDescent="0.2"/>
    <row r="1661" spans="1:9" ht="18" x14ac:dyDescent="0.25">
      <c r="A1661" s="2687" t="s">
        <v>1598</v>
      </c>
    </row>
    <row r="1662" spans="1:9" ht="13.5" thickBot="1" x14ac:dyDescent="0.25">
      <c r="A1662" s="70" t="s">
        <v>1581</v>
      </c>
      <c r="B1662" s="70"/>
      <c r="C1662" s="70"/>
      <c r="D1662" s="70"/>
      <c r="E1662" s="70"/>
      <c r="F1662" s="2659"/>
      <c r="G1662" s="2659"/>
      <c r="H1662" s="2659"/>
      <c r="I1662" s="2660" t="s">
        <v>92</v>
      </c>
    </row>
    <row r="1663" spans="1:9" ht="14.25" thickTop="1" thickBot="1" x14ac:dyDescent="0.25">
      <c r="A1663" s="2661" t="s">
        <v>324</v>
      </c>
      <c r="B1663" s="2662" t="s">
        <v>93</v>
      </c>
      <c r="C1663" s="2663" t="s">
        <v>94</v>
      </c>
      <c r="D1663" s="2664" t="s">
        <v>364</v>
      </c>
      <c r="E1663" s="2664" t="s">
        <v>95</v>
      </c>
      <c r="F1663" s="2664" t="s">
        <v>328</v>
      </c>
      <c r="G1663" s="2664" t="s">
        <v>329</v>
      </c>
      <c r="H1663" s="2665" t="s">
        <v>448</v>
      </c>
      <c r="I1663" s="2666" t="s">
        <v>449</v>
      </c>
    </row>
    <row r="1664" spans="1:9" ht="14.25" thickTop="1" thickBot="1" x14ac:dyDescent="0.25">
      <c r="A1664" s="2667">
        <v>1</v>
      </c>
      <c r="B1664" s="2668">
        <v>2</v>
      </c>
      <c r="C1664" s="2668">
        <v>3</v>
      </c>
      <c r="D1664" s="2668">
        <v>4</v>
      </c>
      <c r="E1664" s="2668">
        <v>5</v>
      </c>
      <c r="F1664" s="2669">
        <v>6</v>
      </c>
      <c r="G1664" s="2669">
        <v>7</v>
      </c>
      <c r="H1664" s="2670">
        <v>8</v>
      </c>
      <c r="I1664" s="2671" t="s">
        <v>393</v>
      </c>
    </row>
    <row r="1665" spans="1:9" ht="15.75" thickTop="1" x14ac:dyDescent="0.25">
      <c r="A1665" s="2672"/>
      <c r="B1665" s="2673">
        <v>3315</v>
      </c>
      <c r="C1665" s="2673">
        <v>5331</v>
      </c>
      <c r="D1665" s="2674"/>
      <c r="E1665" s="2675" t="s">
        <v>481</v>
      </c>
      <c r="F1665" s="2676">
        <f>F1666+F1667+F1668</f>
        <v>20</v>
      </c>
      <c r="G1665" s="2676">
        <f t="shared" ref="G1665:H1665" si="384">G1666+G1667+G1668</f>
        <v>20</v>
      </c>
      <c r="H1665" s="2676">
        <f t="shared" si="384"/>
        <v>0</v>
      </c>
      <c r="I1665" s="2677">
        <v>0</v>
      </c>
    </row>
    <row r="1666" spans="1:9" ht="14.25" hidden="1" x14ac:dyDescent="0.2">
      <c r="A1666" s="2624"/>
      <c r="B1666" s="151"/>
      <c r="C1666" s="151"/>
      <c r="D1666" s="2634"/>
      <c r="E1666" s="2653"/>
      <c r="F1666" s="2678"/>
      <c r="G1666" s="2678"/>
      <c r="H1666" s="2678"/>
      <c r="I1666" s="2647">
        <v>100</v>
      </c>
    </row>
    <row r="1667" spans="1:9" ht="14.25" hidden="1" x14ac:dyDescent="0.2">
      <c r="A1667" s="2624"/>
      <c r="B1667" s="151"/>
      <c r="C1667" s="151"/>
      <c r="D1667" s="2630"/>
      <c r="E1667" s="923"/>
      <c r="F1667" s="2628"/>
      <c r="G1667" s="2628"/>
      <c r="H1667" s="2628"/>
      <c r="I1667" s="2679">
        <v>100</v>
      </c>
    </row>
    <row r="1668" spans="1:9" ht="15" thickBot="1" x14ac:dyDescent="0.25">
      <c r="A1668" s="2624"/>
      <c r="B1668" s="151"/>
      <c r="C1668" s="151"/>
      <c r="D1668" s="2625" t="s">
        <v>1414</v>
      </c>
      <c r="E1668" s="2627" t="s">
        <v>1582</v>
      </c>
      <c r="F1668" s="2628">
        <v>20</v>
      </c>
      <c r="G1668" s="2628">
        <v>20</v>
      </c>
      <c r="H1668" s="2628">
        <v>0</v>
      </c>
      <c r="I1668" s="2679">
        <v>0</v>
      </c>
    </row>
    <row r="1669" spans="1:9" ht="16.5" thickTop="1" thickBot="1" x14ac:dyDescent="0.3">
      <c r="A1669" s="3241" t="s">
        <v>522</v>
      </c>
      <c r="B1669" s="3242"/>
      <c r="C1669" s="3242"/>
      <c r="D1669" s="3242"/>
      <c r="E1669" s="3300"/>
      <c r="F1669" s="2648">
        <f>F1665</f>
        <v>20</v>
      </c>
      <c r="G1669" s="2648">
        <f t="shared" ref="G1669:H1669" si="385">G1665</f>
        <v>20</v>
      </c>
      <c r="H1669" s="2648">
        <f t="shared" si="385"/>
        <v>0</v>
      </c>
      <c r="I1669" s="2649">
        <v>0</v>
      </c>
    </row>
    <row r="1670" spans="1:9" ht="13.5" thickTop="1" x14ac:dyDescent="0.2"/>
    <row r="1672" spans="1:9" ht="13.5" thickBot="1" x14ac:dyDescent="0.25">
      <c r="A1672" s="70" t="s">
        <v>1583</v>
      </c>
      <c r="B1672" s="70"/>
      <c r="C1672" s="70"/>
      <c r="D1672" s="70"/>
      <c r="E1672" s="70"/>
      <c r="F1672" s="2659"/>
      <c r="G1672" s="2659"/>
      <c r="H1672" s="2659"/>
      <c r="I1672" s="2660" t="s">
        <v>92</v>
      </c>
    </row>
    <row r="1673" spans="1:9" ht="14.25" thickTop="1" thickBot="1" x14ac:dyDescent="0.25">
      <c r="A1673" s="2661" t="s">
        <v>324</v>
      </c>
      <c r="B1673" s="2662" t="s">
        <v>93</v>
      </c>
      <c r="C1673" s="2663" t="s">
        <v>94</v>
      </c>
      <c r="D1673" s="2664" t="s">
        <v>364</v>
      </c>
      <c r="E1673" s="2664" t="s">
        <v>95</v>
      </c>
      <c r="F1673" s="2664" t="s">
        <v>328</v>
      </c>
      <c r="G1673" s="2664" t="s">
        <v>329</v>
      </c>
      <c r="H1673" s="2665" t="s">
        <v>448</v>
      </c>
      <c r="I1673" s="2666" t="s">
        <v>449</v>
      </c>
    </row>
    <row r="1674" spans="1:9" ht="14.25" thickTop="1" thickBot="1" x14ac:dyDescent="0.25">
      <c r="A1674" s="2667">
        <v>1</v>
      </c>
      <c r="B1674" s="2668">
        <v>2</v>
      </c>
      <c r="C1674" s="2668">
        <v>3</v>
      </c>
      <c r="D1674" s="2668">
        <v>4</v>
      </c>
      <c r="E1674" s="2668">
        <v>5</v>
      </c>
      <c r="F1674" s="2669">
        <v>6</v>
      </c>
      <c r="G1674" s="2669">
        <v>7</v>
      </c>
      <c r="H1674" s="2670">
        <v>8</v>
      </c>
      <c r="I1674" s="2671" t="s">
        <v>393</v>
      </c>
    </row>
    <row r="1675" spans="1:9" ht="15.75" thickTop="1" x14ac:dyDescent="0.25">
      <c r="A1675" s="2672">
        <v>1601</v>
      </c>
      <c r="B1675" s="2673">
        <v>3314</v>
      </c>
      <c r="C1675" s="2673">
        <v>5331</v>
      </c>
      <c r="D1675" s="2674"/>
      <c r="E1675" s="2675" t="s">
        <v>481</v>
      </c>
      <c r="F1675" s="2676">
        <f>F1676+F1677+F1678+F1679+F1680</f>
        <v>38743</v>
      </c>
      <c r="G1675" s="2676">
        <f t="shared" ref="G1675:H1675" si="386">G1676+G1677+G1678+G1679+G1680</f>
        <v>42091</v>
      </c>
      <c r="H1675" s="2676">
        <f t="shared" si="386"/>
        <v>42091</v>
      </c>
      <c r="I1675" s="2677">
        <f t="shared" ref="I1675:I1685" si="387">H1675/G1675*100</f>
        <v>100</v>
      </c>
    </row>
    <row r="1676" spans="1:9" ht="14.25" x14ac:dyDescent="0.2">
      <c r="A1676" s="2624"/>
      <c r="B1676" s="151"/>
      <c r="C1676" s="151"/>
      <c r="D1676" s="2630" t="s">
        <v>1394</v>
      </c>
      <c r="E1676" s="923" t="s">
        <v>1537</v>
      </c>
      <c r="F1676" s="2678">
        <v>12084</v>
      </c>
      <c r="G1676" s="2678">
        <v>13059</v>
      </c>
      <c r="H1676" s="2678">
        <v>13059</v>
      </c>
      <c r="I1676" s="2647">
        <f t="shared" si="387"/>
        <v>100</v>
      </c>
    </row>
    <row r="1677" spans="1:9" ht="14.25" x14ac:dyDescent="0.2">
      <c r="A1677" s="2624"/>
      <c r="B1677" s="151"/>
      <c r="C1677" s="151"/>
      <c r="D1677" s="811" t="s">
        <v>994</v>
      </c>
      <c r="E1677" s="2627" t="s">
        <v>1541</v>
      </c>
      <c r="F1677" s="2628">
        <v>20987</v>
      </c>
      <c r="G1677" s="2682">
        <v>23255</v>
      </c>
      <c r="H1677" s="2628">
        <v>23255</v>
      </c>
      <c r="I1677" s="2683">
        <f t="shared" si="387"/>
        <v>100</v>
      </c>
    </row>
    <row r="1678" spans="1:9" ht="14.25" x14ac:dyDescent="0.2">
      <c r="A1678" s="2624"/>
      <c r="B1678" s="151"/>
      <c r="C1678" s="151"/>
      <c r="D1678" s="811" t="s">
        <v>993</v>
      </c>
      <c r="E1678" s="2627" t="s">
        <v>1538</v>
      </c>
      <c r="F1678" s="2628">
        <v>4075</v>
      </c>
      <c r="G1678" s="2628">
        <v>4038</v>
      </c>
      <c r="H1678" s="2628">
        <v>4038</v>
      </c>
      <c r="I1678" s="2683">
        <f t="shared" si="387"/>
        <v>100</v>
      </c>
    </row>
    <row r="1679" spans="1:9" ht="14.25" x14ac:dyDescent="0.2">
      <c r="A1679" s="2624"/>
      <c r="B1679" s="151"/>
      <c r="C1679" s="151"/>
      <c r="D1679" s="811" t="s">
        <v>1395</v>
      </c>
      <c r="E1679" s="2627" t="s">
        <v>1539</v>
      </c>
      <c r="F1679" s="2628">
        <v>0</v>
      </c>
      <c r="G1679" s="2628">
        <v>80</v>
      </c>
      <c r="H1679" s="2628">
        <v>80</v>
      </c>
      <c r="I1679" s="2683">
        <f t="shared" si="387"/>
        <v>100</v>
      </c>
    </row>
    <row r="1680" spans="1:9" ht="15" thickBot="1" x14ac:dyDescent="0.25">
      <c r="A1680" s="2624"/>
      <c r="B1680" s="151"/>
      <c r="C1680" s="151"/>
      <c r="D1680" s="811" t="s">
        <v>1396</v>
      </c>
      <c r="E1680" s="2627" t="s">
        <v>1584</v>
      </c>
      <c r="F1680" s="2628">
        <v>1597</v>
      </c>
      <c r="G1680" s="2628">
        <v>1659</v>
      </c>
      <c r="H1680" s="2628">
        <v>1659</v>
      </c>
      <c r="I1680" s="2647">
        <f t="shared" si="387"/>
        <v>100</v>
      </c>
    </row>
    <row r="1681" spans="1:9" ht="15" hidden="1" x14ac:dyDescent="0.25">
      <c r="A1681" s="2624">
        <v>1601</v>
      </c>
      <c r="B1681" s="19">
        <v>3316</v>
      </c>
      <c r="C1681" s="19">
        <v>5331</v>
      </c>
      <c r="D1681" s="2681"/>
      <c r="E1681" s="845" t="s">
        <v>481</v>
      </c>
      <c r="F1681" s="29">
        <f>F1682+F1683</f>
        <v>0</v>
      </c>
      <c r="G1681" s="2642">
        <f t="shared" ref="G1681" si="388">G1682+G1683</f>
        <v>0</v>
      </c>
      <c r="H1681" s="29">
        <f t="shared" ref="H1681" si="389">H1682+H1683</f>
        <v>0</v>
      </c>
      <c r="I1681" s="2643" t="e">
        <f t="shared" si="387"/>
        <v>#DIV/0!</v>
      </c>
    </row>
    <row r="1682" spans="1:9" ht="14.25" hidden="1" x14ac:dyDescent="0.2">
      <c r="A1682" s="2624"/>
      <c r="B1682" s="151"/>
      <c r="C1682" s="151"/>
      <c r="D1682" s="2630" t="s">
        <v>1394</v>
      </c>
      <c r="E1682" s="923" t="s">
        <v>1537</v>
      </c>
      <c r="F1682" s="2678"/>
      <c r="G1682" s="2678"/>
      <c r="H1682" s="2678"/>
      <c r="I1682" s="2647" t="e">
        <f t="shared" si="387"/>
        <v>#DIV/0!</v>
      </c>
    </row>
    <row r="1683" spans="1:9" ht="15" hidden="1" thickBot="1" x14ac:dyDescent="0.25">
      <c r="A1683" s="2624"/>
      <c r="B1683" s="151"/>
      <c r="C1683" s="151"/>
      <c r="D1683" s="811" t="s">
        <v>994</v>
      </c>
      <c r="E1683" s="2627" t="s">
        <v>1541</v>
      </c>
      <c r="F1683" s="2646"/>
      <c r="G1683" s="2646"/>
      <c r="H1683" s="2646"/>
      <c r="I1683" s="2647" t="e">
        <f t="shared" si="387"/>
        <v>#DIV/0!</v>
      </c>
    </row>
    <row r="1684" spans="1:9" ht="15" hidden="1" x14ac:dyDescent="0.25">
      <c r="A1684" s="2624">
        <v>1600</v>
      </c>
      <c r="B1684" s="19">
        <v>3316</v>
      </c>
      <c r="C1684" s="19">
        <v>5331</v>
      </c>
      <c r="D1684" s="2681"/>
      <c r="E1684" s="845" t="s">
        <v>481</v>
      </c>
      <c r="F1684" s="29">
        <f>F1685+F1686+F1687+F1688</f>
        <v>0</v>
      </c>
      <c r="G1684" s="29">
        <f t="shared" ref="G1684" si="390">G1685+G1686+G1687+G1688</f>
        <v>0</v>
      </c>
      <c r="H1684" s="29">
        <f t="shared" ref="H1684" si="391">H1685+H1686+H1687+H1688</f>
        <v>0</v>
      </c>
      <c r="I1684" s="2643" t="e">
        <f t="shared" si="387"/>
        <v>#DIV/0!</v>
      </c>
    </row>
    <row r="1685" spans="1:9" ht="14.25" hidden="1" x14ac:dyDescent="0.2">
      <c r="A1685" s="2624"/>
      <c r="B1685" s="151"/>
      <c r="C1685" s="151"/>
      <c r="D1685" s="2630" t="s">
        <v>1394</v>
      </c>
      <c r="E1685" s="923" t="s">
        <v>1537</v>
      </c>
      <c r="F1685" s="2628"/>
      <c r="G1685" s="2628"/>
      <c r="H1685" s="2628"/>
      <c r="I1685" s="2679" t="e">
        <f t="shared" si="387"/>
        <v>#DIV/0!</v>
      </c>
    </row>
    <row r="1686" spans="1:9" ht="14.25" hidden="1" x14ac:dyDescent="0.2">
      <c r="A1686" s="2624"/>
      <c r="B1686" s="151"/>
      <c r="C1686" s="151"/>
      <c r="D1686" s="811" t="s">
        <v>994</v>
      </c>
      <c r="E1686" s="2627" t="s">
        <v>1541</v>
      </c>
      <c r="F1686" s="2628"/>
      <c r="G1686" s="2628"/>
      <c r="H1686" s="2628"/>
      <c r="I1686" s="2679" t="e">
        <f t="shared" ref="I1686:I1688" si="392">H1686/G1686*100</f>
        <v>#DIV/0!</v>
      </c>
    </row>
    <row r="1687" spans="1:9" ht="14.25" hidden="1" x14ac:dyDescent="0.2">
      <c r="A1687" s="2624"/>
      <c r="B1687" s="151"/>
      <c r="C1687" s="151"/>
      <c r="D1687" s="811" t="s">
        <v>993</v>
      </c>
      <c r="E1687" s="2627" t="s">
        <v>1538</v>
      </c>
      <c r="F1687" s="2628"/>
      <c r="G1687" s="2628"/>
      <c r="H1687" s="2628"/>
      <c r="I1687" s="2679" t="e">
        <f t="shared" si="392"/>
        <v>#DIV/0!</v>
      </c>
    </row>
    <row r="1688" spans="1:9" ht="15" hidden="1" thickBot="1" x14ac:dyDescent="0.25">
      <c r="A1688" s="2624"/>
      <c r="B1688" s="151"/>
      <c r="C1688" s="151"/>
      <c r="D1688" s="811" t="s">
        <v>1395</v>
      </c>
      <c r="E1688" s="2627" t="s">
        <v>1539</v>
      </c>
      <c r="F1688" s="2628"/>
      <c r="G1688" s="2628"/>
      <c r="H1688" s="2628"/>
      <c r="I1688" s="2679" t="e">
        <f t="shared" si="392"/>
        <v>#DIV/0!</v>
      </c>
    </row>
    <row r="1689" spans="1:9" ht="16.5" thickTop="1" thickBot="1" x14ac:dyDescent="0.3">
      <c r="A1689" s="3241" t="s">
        <v>522</v>
      </c>
      <c r="B1689" s="3242"/>
      <c r="C1689" s="3242"/>
      <c r="D1689" s="3242"/>
      <c r="E1689" s="3300"/>
      <c r="F1689" s="2648">
        <f>F1675+F1681+F1684</f>
        <v>38743</v>
      </c>
      <c r="G1689" s="2648">
        <f>G1675+G1681+G1684</f>
        <v>42091</v>
      </c>
      <c r="H1689" s="2648">
        <f t="shared" ref="H1689" si="393">H1675+H1681+H1684</f>
        <v>42091</v>
      </c>
      <c r="I1689" s="2649">
        <v>100</v>
      </c>
    </row>
    <row r="1690" spans="1:9" ht="13.5" thickTop="1" x14ac:dyDescent="0.2"/>
    <row r="1692" spans="1:9" ht="13.5" thickBot="1" x14ac:dyDescent="0.25">
      <c r="A1692" s="70" t="s">
        <v>1522</v>
      </c>
      <c r="B1692" s="70"/>
      <c r="C1692" s="70"/>
      <c r="D1692" s="70"/>
      <c r="E1692" s="70"/>
      <c r="F1692" s="2659"/>
      <c r="G1692" s="2659"/>
      <c r="H1692" s="2659"/>
      <c r="I1692" s="2660" t="s">
        <v>92</v>
      </c>
    </row>
    <row r="1693" spans="1:9" ht="14.25" thickTop="1" thickBot="1" x14ac:dyDescent="0.25">
      <c r="A1693" s="2661" t="s">
        <v>324</v>
      </c>
      <c r="B1693" s="2662" t="s">
        <v>93</v>
      </c>
      <c r="C1693" s="2663" t="s">
        <v>94</v>
      </c>
      <c r="D1693" s="2664" t="s">
        <v>364</v>
      </c>
      <c r="E1693" s="2664" t="s">
        <v>95</v>
      </c>
      <c r="F1693" s="2664" t="s">
        <v>328</v>
      </c>
      <c r="G1693" s="2664" t="s">
        <v>329</v>
      </c>
      <c r="H1693" s="2665" t="s">
        <v>448</v>
      </c>
      <c r="I1693" s="2666" t="s">
        <v>449</v>
      </c>
    </row>
    <row r="1694" spans="1:9" ht="14.25" thickTop="1" thickBot="1" x14ac:dyDescent="0.25">
      <c r="A1694" s="2667">
        <v>1</v>
      </c>
      <c r="B1694" s="2668">
        <v>2</v>
      </c>
      <c r="C1694" s="2668">
        <v>3</v>
      </c>
      <c r="D1694" s="2668">
        <v>4</v>
      </c>
      <c r="E1694" s="2668">
        <v>5</v>
      </c>
      <c r="F1694" s="2669">
        <v>6</v>
      </c>
      <c r="G1694" s="2669">
        <v>7</v>
      </c>
      <c r="H1694" s="2670">
        <v>8</v>
      </c>
      <c r="I1694" s="2671" t="s">
        <v>393</v>
      </c>
    </row>
    <row r="1695" spans="1:9" ht="15.75" thickTop="1" x14ac:dyDescent="0.25">
      <c r="A1695" s="2672">
        <v>1602</v>
      </c>
      <c r="B1695" s="2673">
        <v>3315</v>
      </c>
      <c r="C1695" s="2673">
        <v>5331</v>
      </c>
      <c r="D1695" s="2685"/>
      <c r="E1695" s="2675" t="s">
        <v>481</v>
      </c>
      <c r="F1695" s="2676">
        <f>F1697+F1698+F1699+F1700+F1701+F1696</f>
        <v>36679</v>
      </c>
      <c r="G1695" s="2676">
        <f t="shared" ref="G1695:H1695" si="394">G1697+G1698+G1699+G1700+G1701+G1696</f>
        <v>40846</v>
      </c>
      <c r="H1695" s="2676">
        <f t="shared" si="394"/>
        <v>40846</v>
      </c>
      <c r="I1695" s="2677">
        <f t="shared" ref="I1695:I1706" si="395">H1695/G1695*100</f>
        <v>100</v>
      </c>
    </row>
    <row r="1696" spans="1:9" ht="28.5" x14ac:dyDescent="0.2">
      <c r="A1696" s="2624"/>
      <c r="B1696" s="151"/>
      <c r="C1696" s="151"/>
      <c r="D1696" s="810" t="s">
        <v>956</v>
      </c>
      <c r="E1696" s="2684" t="s">
        <v>1585</v>
      </c>
      <c r="F1696" s="3049">
        <v>0</v>
      </c>
      <c r="G1696" s="3049">
        <v>546</v>
      </c>
      <c r="H1696" s="3049">
        <v>546</v>
      </c>
      <c r="I1696" s="3040">
        <f t="shared" si="395"/>
        <v>100</v>
      </c>
    </row>
    <row r="1697" spans="1:20" ht="14.25" x14ac:dyDescent="0.2">
      <c r="A1697" s="2624"/>
      <c r="B1697" s="151"/>
      <c r="C1697" s="151"/>
      <c r="D1697" s="2630" t="s">
        <v>1394</v>
      </c>
      <c r="E1697" s="923" t="s">
        <v>1537</v>
      </c>
      <c r="F1697" s="2628">
        <v>13121</v>
      </c>
      <c r="G1697" s="2682">
        <v>13814</v>
      </c>
      <c r="H1697" s="2628">
        <v>13814</v>
      </c>
      <c r="I1697" s="2647">
        <f t="shared" si="395"/>
        <v>100</v>
      </c>
    </row>
    <row r="1698" spans="1:20" ht="14.25" x14ac:dyDescent="0.2">
      <c r="A1698" s="2624"/>
      <c r="B1698" s="151"/>
      <c r="C1698" s="151"/>
      <c r="D1698" s="811" t="s">
        <v>994</v>
      </c>
      <c r="E1698" s="2627" t="s">
        <v>1541</v>
      </c>
      <c r="F1698" s="2628">
        <v>16680</v>
      </c>
      <c r="G1698" s="2628">
        <v>18615</v>
      </c>
      <c r="H1698" s="2628">
        <v>18615</v>
      </c>
      <c r="I1698" s="2683">
        <f t="shared" si="395"/>
        <v>100</v>
      </c>
    </row>
    <row r="1699" spans="1:20" ht="14.25" x14ac:dyDescent="0.2">
      <c r="A1699" s="2624"/>
      <c r="B1699" s="151"/>
      <c r="C1699" s="151"/>
      <c r="D1699" s="811" t="s">
        <v>993</v>
      </c>
      <c r="E1699" s="2627" t="s">
        <v>1538</v>
      </c>
      <c r="F1699" s="2628">
        <v>6878</v>
      </c>
      <c r="G1699" s="2628">
        <v>7241</v>
      </c>
      <c r="H1699" s="2628">
        <v>7241</v>
      </c>
      <c r="I1699" s="2683">
        <f t="shared" si="395"/>
        <v>100</v>
      </c>
    </row>
    <row r="1700" spans="1:20" ht="15" thickBot="1" x14ac:dyDescent="0.25">
      <c r="A1700" s="2624"/>
      <c r="B1700" s="151"/>
      <c r="C1700" s="151"/>
      <c r="D1700" s="811" t="s">
        <v>1395</v>
      </c>
      <c r="E1700" s="2627" t="s">
        <v>1539</v>
      </c>
      <c r="F1700" s="2628"/>
      <c r="G1700" s="2628">
        <v>630</v>
      </c>
      <c r="H1700" s="2628">
        <v>630</v>
      </c>
      <c r="I1700" s="2683">
        <f t="shared" si="395"/>
        <v>100</v>
      </c>
    </row>
    <row r="1701" spans="1:20" ht="14.25" hidden="1" x14ac:dyDescent="0.2">
      <c r="A1701" s="2624"/>
      <c r="B1701" s="151"/>
      <c r="C1701" s="151"/>
      <c r="D1701" s="811" t="s">
        <v>1396</v>
      </c>
      <c r="E1701" s="2627" t="s">
        <v>1584</v>
      </c>
      <c r="F1701" s="2628"/>
      <c r="G1701" s="2628"/>
      <c r="H1701" s="2628"/>
      <c r="I1701" s="2647" t="e">
        <f t="shared" si="395"/>
        <v>#DIV/0!</v>
      </c>
    </row>
    <row r="1702" spans="1:20" ht="15" hidden="1" x14ac:dyDescent="0.25">
      <c r="A1702" s="2624">
        <v>1602</v>
      </c>
      <c r="B1702" s="19">
        <v>3316</v>
      </c>
      <c r="C1702" s="19">
        <v>5331</v>
      </c>
      <c r="D1702" s="2681"/>
      <c r="E1702" s="845" t="s">
        <v>481</v>
      </c>
      <c r="F1702" s="29">
        <f>F1703+F1704</f>
        <v>0</v>
      </c>
      <c r="G1702" s="2642">
        <f t="shared" ref="G1702" si="396">G1703+G1704</f>
        <v>0</v>
      </c>
      <c r="H1702" s="29">
        <f t="shared" ref="H1702" si="397">H1703+H1704</f>
        <v>0</v>
      </c>
      <c r="I1702" s="2643" t="e">
        <f t="shared" si="395"/>
        <v>#DIV/0!</v>
      </c>
    </row>
    <row r="1703" spans="1:20" ht="14.25" hidden="1" x14ac:dyDescent="0.2">
      <c r="A1703" s="2624"/>
      <c r="B1703" s="151"/>
      <c r="C1703" s="151"/>
      <c r="D1703" s="2630" t="s">
        <v>1394</v>
      </c>
      <c r="E1703" s="923" t="s">
        <v>1537</v>
      </c>
      <c r="F1703" s="2678"/>
      <c r="G1703" s="2678"/>
      <c r="H1703" s="2678"/>
      <c r="I1703" s="2647" t="e">
        <f t="shared" si="395"/>
        <v>#DIV/0!</v>
      </c>
    </row>
    <row r="1704" spans="1:20" ht="15" hidden="1" thickBot="1" x14ac:dyDescent="0.25">
      <c r="A1704" s="2624"/>
      <c r="B1704" s="151"/>
      <c r="C1704" s="151"/>
      <c r="D1704" s="811" t="s">
        <v>994</v>
      </c>
      <c r="E1704" s="2627" t="s">
        <v>1541</v>
      </c>
      <c r="F1704" s="2646"/>
      <c r="G1704" s="2646"/>
      <c r="H1704" s="2646"/>
      <c r="I1704" s="2647" t="e">
        <f t="shared" si="395"/>
        <v>#DIV/0!</v>
      </c>
    </row>
    <row r="1705" spans="1:20" ht="15" hidden="1" x14ac:dyDescent="0.25">
      <c r="A1705" s="2624">
        <v>1600</v>
      </c>
      <c r="B1705" s="19">
        <v>3316</v>
      </c>
      <c r="C1705" s="19">
        <v>5331</v>
      </c>
      <c r="D1705" s="2681"/>
      <c r="E1705" s="845" t="s">
        <v>481</v>
      </c>
      <c r="F1705" s="29">
        <f>F1706+F1707+F1708+F1709</f>
        <v>0</v>
      </c>
      <c r="G1705" s="29">
        <f t="shared" ref="G1705" si="398">G1706+G1707+G1708+G1709</f>
        <v>0</v>
      </c>
      <c r="H1705" s="29">
        <f t="shared" ref="H1705" si="399">H1706+H1707+H1708+H1709</f>
        <v>0</v>
      </c>
      <c r="I1705" s="2643" t="e">
        <f t="shared" si="395"/>
        <v>#DIV/0!</v>
      </c>
    </row>
    <row r="1706" spans="1:20" ht="14.25" hidden="1" x14ac:dyDescent="0.2">
      <c r="A1706" s="2624"/>
      <c r="B1706" s="151"/>
      <c r="C1706" s="151"/>
      <c r="D1706" s="2630" t="s">
        <v>1394</v>
      </c>
      <c r="E1706" s="923" t="s">
        <v>1537</v>
      </c>
      <c r="F1706" s="2628"/>
      <c r="G1706" s="2628"/>
      <c r="H1706" s="2628"/>
      <c r="I1706" s="2679" t="e">
        <f t="shared" si="395"/>
        <v>#DIV/0!</v>
      </c>
    </row>
    <row r="1707" spans="1:20" ht="14.25" hidden="1" x14ac:dyDescent="0.2">
      <c r="A1707" s="2624"/>
      <c r="B1707" s="151"/>
      <c r="C1707" s="151"/>
      <c r="D1707" s="811" t="s">
        <v>994</v>
      </c>
      <c r="E1707" s="2627" t="s">
        <v>1541</v>
      </c>
      <c r="F1707" s="2628"/>
      <c r="G1707" s="2628"/>
      <c r="H1707" s="2628"/>
      <c r="I1707" s="2679" t="e">
        <f t="shared" ref="I1707:I1709" si="400">H1707/G1707*100</f>
        <v>#DIV/0!</v>
      </c>
    </row>
    <row r="1708" spans="1:20" ht="14.25" hidden="1" x14ac:dyDescent="0.2">
      <c r="A1708" s="2624"/>
      <c r="B1708" s="151"/>
      <c r="C1708" s="151"/>
      <c r="D1708" s="811" t="s">
        <v>993</v>
      </c>
      <c r="E1708" s="2627" t="s">
        <v>1538</v>
      </c>
      <c r="F1708" s="2628"/>
      <c r="G1708" s="2628"/>
      <c r="H1708" s="2628"/>
      <c r="I1708" s="2679" t="e">
        <f t="shared" si="400"/>
        <v>#DIV/0!</v>
      </c>
    </row>
    <row r="1709" spans="1:20" ht="15" hidden="1" thickBot="1" x14ac:dyDescent="0.25">
      <c r="A1709" s="2624"/>
      <c r="B1709" s="151"/>
      <c r="C1709" s="151"/>
      <c r="D1709" s="811" t="s">
        <v>1395</v>
      </c>
      <c r="E1709" s="2627" t="s">
        <v>1539</v>
      </c>
      <c r="F1709" s="2628"/>
      <c r="G1709" s="2628"/>
      <c r="H1709" s="2628"/>
      <c r="I1709" s="2679" t="e">
        <f t="shared" si="400"/>
        <v>#DIV/0!</v>
      </c>
    </row>
    <row r="1710" spans="1:20" ht="16.5" thickTop="1" thickBot="1" x14ac:dyDescent="0.3">
      <c r="A1710" s="3241" t="s">
        <v>522</v>
      </c>
      <c r="B1710" s="3242"/>
      <c r="C1710" s="3242"/>
      <c r="D1710" s="3242"/>
      <c r="E1710" s="3300"/>
      <c r="F1710" s="2648">
        <f>F1695+F1702+F1705</f>
        <v>36679</v>
      </c>
      <c r="G1710" s="2648">
        <f>G1695+G1702+G1705</f>
        <v>40846</v>
      </c>
      <c r="H1710" s="2648">
        <f t="shared" ref="H1710" si="401">H1695+H1702+H1705</f>
        <v>40846</v>
      </c>
      <c r="I1710" s="2649">
        <v>100</v>
      </c>
      <c r="R1710" s="2691">
        <f>F1710</f>
        <v>36679</v>
      </c>
      <c r="S1710" s="2691">
        <f t="shared" ref="S1710:T1710" si="402">G1710</f>
        <v>40846</v>
      </c>
      <c r="T1710" s="2691">
        <f t="shared" si="402"/>
        <v>40846</v>
      </c>
    </row>
    <row r="1711" spans="1:20" ht="15.75" thickTop="1" x14ac:dyDescent="0.25">
      <c r="A1711" s="2640">
        <v>1602</v>
      </c>
      <c r="B1711" s="19">
        <v>3315</v>
      </c>
      <c r="C1711" s="151">
        <v>6351</v>
      </c>
      <c r="D1711" s="2641"/>
      <c r="E1711" s="845" t="s">
        <v>551</v>
      </c>
      <c r="F1711" s="2642">
        <f>F1712</f>
        <v>0</v>
      </c>
      <c r="G1711" s="2642">
        <f t="shared" ref="G1711:H1711" si="403">G1712</f>
        <v>2684</v>
      </c>
      <c r="H1711" s="2642">
        <f t="shared" si="403"/>
        <v>2684</v>
      </c>
      <c r="I1711" s="2643">
        <v>100</v>
      </c>
      <c r="R1711" s="2691">
        <f>F1713</f>
        <v>0</v>
      </c>
      <c r="S1711" s="2691">
        <f t="shared" ref="S1711:T1711" si="404">G1713</f>
        <v>2684</v>
      </c>
      <c r="T1711" s="2691">
        <f t="shared" si="404"/>
        <v>2684</v>
      </c>
    </row>
    <row r="1712" spans="1:20" ht="29.25" thickBot="1" x14ac:dyDescent="0.25">
      <c r="A1712" s="2644"/>
      <c r="B1712" s="822"/>
      <c r="C1712" s="2645"/>
      <c r="D1712" s="3034" t="s">
        <v>956</v>
      </c>
      <c r="E1712" s="2653" t="s">
        <v>1586</v>
      </c>
      <c r="F1712" s="3046">
        <v>0</v>
      </c>
      <c r="G1712" s="3047">
        <v>2684</v>
      </c>
      <c r="H1712" s="3048">
        <v>2684</v>
      </c>
      <c r="I1712" s="903">
        <f>H1712/G1712*100</f>
        <v>100</v>
      </c>
      <c r="R1712" s="2691">
        <f>R1710+R1711</f>
        <v>36679</v>
      </c>
      <c r="S1712" s="2691">
        <f t="shared" ref="S1712:T1712" si="405">S1710+S1711</f>
        <v>43530</v>
      </c>
      <c r="T1712" s="2691">
        <f t="shared" si="405"/>
        <v>43530</v>
      </c>
    </row>
    <row r="1713" spans="1:9" ht="16.5" thickTop="1" thickBot="1" x14ac:dyDescent="0.3">
      <c r="A1713" s="3241" t="s">
        <v>523</v>
      </c>
      <c r="B1713" s="3242"/>
      <c r="C1713" s="3242"/>
      <c r="D1713" s="3242"/>
      <c r="E1713" s="3243"/>
      <c r="F1713" s="2648">
        <f>F1711</f>
        <v>0</v>
      </c>
      <c r="G1713" s="2648">
        <f t="shared" ref="G1713:H1713" si="406">G1711</f>
        <v>2684</v>
      </c>
      <c r="H1713" s="2648">
        <f t="shared" si="406"/>
        <v>2684</v>
      </c>
      <c r="I1713" s="2649">
        <v>100</v>
      </c>
    </row>
    <row r="1714" spans="1:9" ht="13.5" thickTop="1" x14ac:dyDescent="0.2"/>
    <row r="1716" spans="1:9" ht="13.5" thickBot="1" x14ac:dyDescent="0.25">
      <c r="A1716" s="70" t="s">
        <v>1587</v>
      </c>
      <c r="B1716" s="70"/>
      <c r="C1716" s="70"/>
      <c r="D1716" s="70"/>
      <c r="E1716" s="70"/>
      <c r="F1716" s="2659"/>
      <c r="G1716" s="2659"/>
      <c r="H1716" s="2659"/>
      <c r="I1716" s="2660" t="s">
        <v>92</v>
      </c>
    </row>
    <row r="1717" spans="1:9" ht="14.25" thickTop="1" thickBot="1" x14ac:dyDescent="0.25">
      <c r="A1717" s="2661" t="s">
        <v>324</v>
      </c>
      <c r="B1717" s="2662" t="s">
        <v>93</v>
      </c>
      <c r="C1717" s="2663" t="s">
        <v>94</v>
      </c>
      <c r="D1717" s="2664" t="s">
        <v>364</v>
      </c>
      <c r="E1717" s="2664" t="s">
        <v>95</v>
      </c>
      <c r="F1717" s="2664" t="s">
        <v>328</v>
      </c>
      <c r="G1717" s="2664" t="s">
        <v>329</v>
      </c>
      <c r="H1717" s="2665" t="s">
        <v>448</v>
      </c>
      <c r="I1717" s="2666" t="s">
        <v>449</v>
      </c>
    </row>
    <row r="1718" spans="1:9" ht="14.25" thickTop="1" thickBot="1" x14ac:dyDescent="0.25">
      <c r="A1718" s="2667">
        <v>1</v>
      </c>
      <c r="B1718" s="2668">
        <v>2</v>
      </c>
      <c r="C1718" s="2668">
        <v>3</v>
      </c>
      <c r="D1718" s="2668">
        <v>4</v>
      </c>
      <c r="E1718" s="2668">
        <v>5</v>
      </c>
      <c r="F1718" s="2669">
        <v>6</v>
      </c>
      <c r="G1718" s="2669">
        <v>7</v>
      </c>
      <c r="H1718" s="2670">
        <v>8</v>
      </c>
      <c r="I1718" s="2671" t="s">
        <v>393</v>
      </c>
    </row>
    <row r="1719" spans="1:9" ht="15.75" thickTop="1" x14ac:dyDescent="0.25">
      <c r="A1719" s="2672">
        <v>1603</v>
      </c>
      <c r="B1719" s="2673">
        <v>3315</v>
      </c>
      <c r="C1719" s="2673">
        <v>5331</v>
      </c>
      <c r="D1719" s="2685"/>
      <c r="E1719" s="2675" t="s">
        <v>481</v>
      </c>
      <c r="F1719" s="2676">
        <f>F1721+F1722+F1723+F1724+F1725+F1720</f>
        <v>5532</v>
      </c>
      <c r="G1719" s="2676">
        <f t="shared" ref="G1719" si="407">G1721+G1722+G1723+G1724+G1725+G1720</f>
        <v>6955</v>
      </c>
      <c r="H1719" s="2676">
        <f t="shared" ref="H1719" si="408">H1721+H1722+H1723+H1724+H1725+H1720</f>
        <v>6955</v>
      </c>
      <c r="I1719" s="2677">
        <f t="shared" ref="I1719:I1730" si="409">H1719/G1719*100</f>
        <v>100</v>
      </c>
    </row>
    <row r="1720" spans="1:9" ht="14.25" hidden="1" x14ac:dyDescent="0.2">
      <c r="A1720" s="2624"/>
      <c r="B1720" s="151"/>
      <c r="C1720" s="151"/>
      <c r="D1720" s="925" t="s">
        <v>906</v>
      </c>
      <c r="E1720" s="2684" t="s">
        <v>1543</v>
      </c>
      <c r="F1720" s="2678"/>
      <c r="G1720" s="2678"/>
      <c r="H1720" s="2678"/>
      <c r="I1720" s="2647" t="e">
        <f t="shared" si="409"/>
        <v>#DIV/0!</v>
      </c>
    </row>
    <row r="1721" spans="1:9" ht="14.25" x14ac:dyDescent="0.2">
      <c r="A1721" s="2624"/>
      <c r="B1721" s="151"/>
      <c r="C1721" s="151"/>
      <c r="D1721" s="2630" t="s">
        <v>1394</v>
      </c>
      <c r="E1721" s="923" t="s">
        <v>1537</v>
      </c>
      <c r="F1721" s="2628">
        <v>1803</v>
      </c>
      <c r="G1721" s="2682">
        <v>2817</v>
      </c>
      <c r="H1721" s="2628">
        <v>2817</v>
      </c>
      <c r="I1721" s="2647">
        <f t="shared" si="409"/>
        <v>100</v>
      </c>
    </row>
    <row r="1722" spans="1:9" ht="14.25" x14ac:dyDescent="0.2">
      <c r="A1722" s="2624"/>
      <c r="B1722" s="151"/>
      <c r="C1722" s="151"/>
      <c r="D1722" s="811" t="s">
        <v>994</v>
      </c>
      <c r="E1722" s="2627" t="s">
        <v>1541</v>
      </c>
      <c r="F1722" s="2628">
        <v>2998</v>
      </c>
      <c r="G1722" s="2628">
        <v>3308</v>
      </c>
      <c r="H1722" s="2628">
        <v>3308</v>
      </c>
      <c r="I1722" s="2683">
        <f t="shared" si="409"/>
        <v>100</v>
      </c>
    </row>
    <row r="1723" spans="1:9" ht="14.25" x14ac:dyDescent="0.2">
      <c r="A1723" s="2624"/>
      <c r="B1723" s="151"/>
      <c r="C1723" s="151"/>
      <c r="D1723" s="811" t="s">
        <v>993</v>
      </c>
      <c r="E1723" s="2627" t="s">
        <v>1538</v>
      </c>
      <c r="F1723" s="2628">
        <v>731</v>
      </c>
      <c r="G1723" s="2628">
        <v>770</v>
      </c>
      <c r="H1723" s="2628">
        <v>770</v>
      </c>
      <c r="I1723" s="2683">
        <f t="shared" si="409"/>
        <v>100</v>
      </c>
    </row>
    <row r="1724" spans="1:9" ht="15" thickBot="1" x14ac:dyDescent="0.25">
      <c r="A1724" s="2624"/>
      <c r="B1724" s="151"/>
      <c r="C1724" s="151"/>
      <c r="D1724" s="811" t="s">
        <v>1395</v>
      </c>
      <c r="E1724" s="2627" t="s">
        <v>1539</v>
      </c>
      <c r="F1724" s="2628"/>
      <c r="G1724" s="2628">
        <v>60</v>
      </c>
      <c r="H1724" s="2628">
        <v>60</v>
      </c>
      <c r="I1724" s="2683">
        <f t="shared" si="409"/>
        <v>100</v>
      </c>
    </row>
    <row r="1725" spans="1:9" ht="14.25" hidden="1" x14ac:dyDescent="0.2">
      <c r="A1725" s="2624"/>
      <c r="B1725" s="151"/>
      <c r="C1725" s="151"/>
      <c r="D1725" s="811" t="s">
        <v>1396</v>
      </c>
      <c r="E1725" s="2627" t="s">
        <v>1584</v>
      </c>
      <c r="F1725" s="2628"/>
      <c r="G1725" s="2628"/>
      <c r="H1725" s="2628"/>
      <c r="I1725" s="2647" t="e">
        <f t="shared" si="409"/>
        <v>#DIV/0!</v>
      </c>
    </row>
    <row r="1726" spans="1:9" ht="15" hidden="1" x14ac:dyDescent="0.25">
      <c r="A1726" s="2624">
        <v>1603</v>
      </c>
      <c r="B1726" s="19">
        <v>3316</v>
      </c>
      <c r="C1726" s="19">
        <v>5331</v>
      </c>
      <c r="D1726" s="2681"/>
      <c r="E1726" s="845" t="s">
        <v>481</v>
      </c>
      <c r="F1726" s="29">
        <f>F1727+F1728</f>
        <v>0</v>
      </c>
      <c r="G1726" s="2642">
        <f t="shared" ref="G1726" si="410">G1727+G1728</f>
        <v>0</v>
      </c>
      <c r="H1726" s="29">
        <f t="shared" ref="H1726" si="411">H1727+H1728</f>
        <v>0</v>
      </c>
      <c r="I1726" s="2643" t="e">
        <f t="shared" si="409"/>
        <v>#DIV/0!</v>
      </c>
    </row>
    <row r="1727" spans="1:9" ht="14.25" hidden="1" x14ac:dyDescent="0.2">
      <c r="A1727" s="2624"/>
      <c r="B1727" s="151"/>
      <c r="C1727" s="151"/>
      <c r="D1727" s="2630" t="s">
        <v>1394</v>
      </c>
      <c r="E1727" s="923" t="s">
        <v>1537</v>
      </c>
      <c r="F1727" s="2678"/>
      <c r="G1727" s="2678"/>
      <c r="H1727" s="2678"/>
      <c r="I1727" s="2647" t="e">
        <f t="shared" si="409"/>
        <v>#DIV/0!</v>
      </c>
    </row>
    <row r="1728" spans="1:9" ht="15" hidden="1" thickBot="1" x14ac:dyDescent="0.25">
      <c r="A1728" s="2624"/>
      <c r="B1728" s="151"/>
      <c r="C1728" s="151"/>
      <c r="D1728" s="811" t="s">
        <v>994</v>
      </c>
      <c r="E1728" s="2627" t="s">
        <v>1541</v>
      </c>
      <c r="F1728" s="2646"/>
      <c r="G1728" s="2646"/>
      <c r="H1728" s="2646"/>
      <c r="I1728" s="2647" t="e">
        <f t="shared" si="409"/>
        <v>#DIV/0!</v>
      </c>
    </row>
    <row r="1729" spans="1:9" ht="15" hidden="1" x14ac:dyDescent="0.25">
      <c r="A1729" s="2624">
        <v>1600</v>
      </c>
      <c r="B1729" s="19">
        <v>3316</v>
      </c>
      <c r="C1729" s="19">
        <v>5331</v>
      </c>
      <c r="D1729" s="2681"/>
      <c r="E1729" s="845" t="s">
        <v>481</v>
      </c>
      <c r="F1729" s="29">
        <f>F1730+F1731+F1732+F1733</f>
        <v>0</v>
      </c>
      <c r="G1729" s="29">
        <f t="shared" ref="G1729" si="412">G1730+G1731+G1732+G1733</f>
        <v>0</v>
      </c>
      <c r="H1729" s="29">
        <f t="shared" ref="H1729" si="413">H1730+H1731+H1732+H1733</f>
        <v>0</v>
      </c>
      <c r="I1729" s="2643" t="e">
        <f t="shared" si="409"/>
        <v>#DIV/0!</v>
      </c>
    </row>
    <row r="1730" spans="1:9" ht="14.25" hidden="1" x14ac:dyDescent="0.2">
      <c r="A1730" s="2624"/>
      <c r="B1730" s="151"/>
      <c r="C1730" s="151"/>
      <c r="D1730" s="2630" t="s">
        <v>1394</v>
      </c>
      <c r="E1730" s="923" t="s">
        <v>1537</v>
      </c>
      <c r="F1730" s="2628"/>
      <c r="G1730" s="2628"/>
      <c r="H1730" s="2628"/>
      <c r="I1730" s="2679" t="e">
        <f t="shared" si="409"/>
        <v>#DIV/0!</v>
      </c>
    </row>
    <row r="1731" spans="1:9" ht="14.25" hidden="1" x14ac:dyDescent="0.2">
      <c r="A1731" s="2624"/>
      <c r="B1731" s="151"/>
      <c r="C1731" s="151"/>
      <c r="D1731" s="811" t="s">
        <v>994</v>
      </c>
      <c r="E1731" s="2627" t="s">
        <v>1541</v>
      </c>
      <c r="F1731" s="2628"/>
      <c r="G1731" s="2628"/>
      <c r="H1731" s="2628"/>
      <c r="I1731" s="2679" t="e">
        <f t="shared" ref="I1731:I1733" si="414">H1731/G1731*100</f>
        <v>#DIV/0!</v>
      </c>
    </row>
    <row r="1732" spans="1:9" ht="14.25" hidden="1" x14ac:dyDescent="0.2">
      <c r="A1732" s="2624"/>
      <c r="B1732" s="151"/>
      <c r="C1732" s="151"/>
      <c r="D1732" s="811" t="s">
        <v>993</v>
      </c>
      <c r="E1732" s="2627" t="s">
        <v>1538</v>
      </c>
      <c r="F1732" s="2628"/>
      <c r="G1732" s="2628"/>
      <c r="H1732" s="2628"/>
      <c r="I1732" s="2679" t="e">
        <f t="shared" si="414"/>
        <v>#DIV/0!</v>
      </c>
    </row>
    <row r="1733" spans="1:9" ht="15" hidden="1" thickBot="1" x14ac:dyDescent="0.25">
      <c r="A1733" s="2624"/>
      <c r="B1733" s="151"/>
      <c r="C1733" s="151"/>
      <c r="D1733" s="811" t="s">
        <v>1395</v>
      </c>
      <c r="E1733" s="2627" t="s">
        <v>1539</v>
      </c>
      <c r="F1733" s="2628"/>
      <c r="G1733" s="2628"/>
      <c r="H1733" s="2628"/>
      <c r="I1733" s="2679" t="e">
        <f t="shared" si="414"/>
        <v>#DIV/0!</v>
      </c>
    </row>
    <row r="1734" spans="1:9" ht="16.5" thickTop="1" thickBot="1" x14ac:dyDescent="0.3">
      <c r="A1734" s="3241" t="s">
        <v>522</v>
      </c>
      <c r="B1734" s="3242"/>
      <c r="C1734" s="3242"/>
      <c r="D1734" s="3242"/>
      <c r="E1734" s="3300"/>
      <c r="F1734" s="2648">
        <f>F1719+F1726+F1729</f>
        <v>5532</v>
      </c>
      <c r="G1734" s="2648">
        <f>G1719+G1726+G1729</f>
        <v>6955</v>
      </c>
      <c r="H1734" s="2648">
        <f t="shared" ref="H1734" si="415">H1719+H1726+H1729</f>
        <v>6955</v>
      </c>
      <c r="I1734" s="2649">
        <v>100</v>
      </c>
    </row>
    <row r="1735" spans="1:9" ht="15.75" thickTop="1" x14ac:dyDescent="0.25">
      <c r="A1735" s="2640">
        <v>1603</v>
      </c>
      <c r="B1735" s="19">
        <v>3315</v>
      </c>
      <c r="C1735" s="151">
        <v>6351</v>
      </c>
      <c r="D1735" s="2641"/>
      <c r="E1735" s="845" t="s">
        <v>551</v>
      </c>
      <c r="F1735" s="2642">
        <f>F1736</f>
        <v>0</v>
      </c>
      <c r="G1735" s="2642">
        <f t="shared" ref="G1735:H1735" si="416">G1736</f>
        <v>1069</v>
      </c>
      <c r="H1735" s="2642">
        <f t="shared" si="416"/>
        <v>1069</v>
      </c>
      <c r="I1735" s="2643">
        <v>100</v>
      </c>
    </row>
    <row r="1736" spans="1:9" ht="29.25" thickBot="1" x14ac:dyDescent="0.25">
      <c r="A1736" s="2644"/>
      <c r="B1736" s="822"/>
      <c r="C1736" s="2645"/>
      <c r="D1736" s="3034" t="s">
        <v>956</v>
      </c>
      <c r="E1736" s="2952" t="s">
        <v>1586</v>
      </c>
      <c r="F1736" s="3046">
        <v>0</v>
      </c>
      <c r="G1736" s="3047">
        <v>1069</v>
      </c>
      <c r="H1736" s="3048">
        <v>1069</v>
      </c>
      <c r="I1736" s="903">
        <f>H1736/G1736*100</f>
        <v>100</v>
      </c>
    </row>
    <row r="1737" spans="1:9" ht="16.5" thickTop="1" thickBot="1" x14ac:dyDescent="0.3">
      <c r="A1737" s="3241" t="s">
        <v>523</v>
      </c>
      <c r="B1737" s="3242"/>
      <c r="C1737" s="3242"/>
      <c r="D1737" s="3242"/>
      <c r="E1737" s="3243"/>
      <c r="F1737" s="2648">
        <f>F1735</f>
        <v>0</v>
      </c>
      <c r="G1737" s="2648">
        <f t="shared" ref="G1737:H1737" si="417">G1735</f>
        <v>1069</v>
      </c>
      <c r="H1737" s="2648">
        <f t="shared" si="417"/>
        <v>1069</v>
      </c>
      <c r="I1737" s="2649">
        <v>100</v>
      </c>
    </row>
    <row r="1738" spans="1:9" ht="15.75" thickTop="1" x14ac:dyDescent="0.25">
      <c r="A1738" s="2953"/>
      <c r="B1738" s="2953"/>
      <c r="C1738" s="2953"/>
      <c r="D1738" s="2953"/>
      <c r="E1738" s="2953"/>
      <c r="F1738" s="2954"/>
      <c r="G1738" s="2954"/>
      <c r="H1738" s="2954"/>
      <c r="I1738" s="2955"/>
    </row>
    <row r="1739" spans="1:9" ht="15" x14ac:dyDescent="0.25">
      <c r="A1739" s="2953"/>
      <c r="B1739" s="2953"/>
      <c r="C1739" s="2953"/>
      <c r="D1739" s="2953"/>
      <c r="E1739" s="2953"/>
      <c r="F1739" s="2954"/>
      <c r="G1739" s="2954"/>
      <c r="H1739" s="2954"/>
      <c r="I1739" s="2955"/>
    </row>
    <row r="1740" spans="1:9" ht="13.5" thickBot="1" x14ac:dyDescent="0.25">
      <c r="A1740" s="70" t="s">
        <v>1588</v>
      </c>
      <c r="B1740" s="70"/>
      <c r="C1740" s="70"/>
      <c r="D1740" s="70"/>
      <c r="E1740" s="70"/>
      <c r="F1740" s="2659"/>
      <c r="G1740" s="2659"/>
      <c r="H1740" s="2659"/>
      <c r="I1740" s="2660" t="s">
        <v>92</v>
      </c>
    </row>
    <row r="1741" spans="1:9" ht="14.25" thickTop="1" thickBot="1" x14ac:dyDescent="0.25">
      <c r="A1741" s="2661" t="s">
        <v>324</v>
      </c>
      <c r="B1741" s="2662" t="s">
        <v>93</v>
      </c>
      <c r="C1741" s="2663" t="s">
        <v>94</v>
      </c>
      <c r="D1741" s="2664" t="s">
        <v>364</v>
      </c>
      <c r="E1741" s="2664" t="s">
        <v>95</v>
      </c>
      <c r="F1741" s="2664" t="s">
        <v>328</v>
      </c>
      <c r="G1741" s="2664" t="s">
        <v>329</v>
      </c>
      <c r="H1741" s="2665" t="s">
        <v>448</v>
      </c>
      <c r="I1741" s="2666" t="s">
        <v>449</v>
      </c>
    </row>
    <row r="1742" spans="1:9" ht="14.25" thickTop="1" thickBot="1" x14ac:dyDescent="0.25">
      <c r="A1742" s="2667">
        <v>1</v>
      </c>
      <c r="B1742" s="2668">
        <v>2</v>
      </c>
      <c r="C1742" s="2668">
        <v>3</v>
      </c>
      <c r="D1742" s="2668">
        <v>4</v>
      </c>
      <c r="E1742" s="2668">
        <v>5</v>
      </c>
      <c r="F1742" s="2669">
        <v>6</v>
      </c>
      <c r="G1742" s="2669">
        <v>7</v>
      </c>
      <c r="H1742" s="2670">
        <v>8</v>
      </c>
      <c r="I1742" s="2671" t="s">
        <v>393</v>
      </c>
    </row>
    <row r="1743" spans="1:9" ht="15.75" thickTop="1" x14ac:dyDescent="0.25">
      <c r="A1743" s="2672">
        <v>1604</v>
      </c>
      <c r="B1743" s="2673">
        <v>3315</v>
      </c>
      <c r="C1743" s="2673">
        <v>5331</v>
      </c>
      <c r="D1743" s="2685"/>
      <c r="E1743" s="2675" t="s">
        <v>481</v>
      </c>
      <c r="F1743" s="2676">
        <f>F1745+F1746+F1747+F1748+F1749+F1744</f>
        <v>13259</v>
      </c>
      <c r="G1743" s="2676">
        <f t="shared" ref="G1743" si="418">G1745+G1746+G1747+G1748+G1749+G1744</f>
        <v>14586</v>
      </c>
      <c r="H1743" s="2676">
        <f t="shared" ref="H1743" si="419">H1745+H1746+H1747+H1748+H1749+H1744</f>
        <v>14586</v>
      </c>
      <c r="I1743" s="2677">
        <f t="shared" ref="I1743:I1754" si="420">H1743/G1743*100</f>
        <v>100</v>
      </c>
    </row>
    <row r="1744" spans="1:9" ht="28.5" x14ac:dyDescent="0.2">
      <c r="A1744" s="2624"/>
      <c r="B1744" s="151"/>
      <c r="C1744" s="151"/>
      <c r="D1744" s="810" t="s">
        <v>956</v>
      </c>
      <c r="E1744" s="2684" t="s">
        <v>1585</v>
      </c>
      <c r="F1744" s="3049">
        <v>0</v>
      </c>
      <c r="G1744" s="3049">
        <v>200</v>
      </c>
      <c r="H1744" s="3049">
        <v>200</v>
      </c>
      <c r="I1744" s="3040">
        <f t="shared" si="420"/>
        <v>100</v>
      </c>
    </row>
    <row r="1745" spans="1:9" ht="14.25" x14ac:dyDescent="0.2">
      <c r="A1745" s="2624"/>
      <c r="B1745" s="151"/>
      <c r="C1745" s="151"/>
      <c r="D1745" s="2630" t="s">
        <v>1394</v>
      </c>
      <c r="E1745" s="923" t="s">
        <v>1537</v>
      </c>
      <c r="F1745" s="2628">
        <v>4379</v>
      </c>
      <c r="G1745" s="2682">
        <v>5076</v>
      </c>
      <c r="H1745" s="2628">
        <v>5076</v>
      </c>
      <c r="I1745" s="2647">
        <f t="shared" si="420"/>
        <v>100</v>
      </c>
    </row>
    <row r="1746" spans="1:9" ht="14.25" x14ac:dyDescent="0.2">
      <c r="A1746" s="2624"/>
      <c r="B1746" s="151"/>
      <c r="C1746" s="151"/>
      <c r="D1746" s="811" t="s">
        <v>994</v>
      </c>
      <c r="E1746" s="2627" t="s">
        <v>1541</v>
      </c>
      <c r="F1746" s="2628">
        <v>7555</v>
      </c>
      <c r="G1746" s="2628">
        <v>8103</v>
      </c>
      <c r="H1746" s="2628">
        <v>8103</v>
      </c>
      <c r="I1746" s="2683">
        <f t="shared" si="420"/>
        <v>100</v>
      </c>
    </row>
    <row r="1747" spans="1:9" ht="15" thickBot="1" x14ac:dyDescent="0.25">
      <c r="A1747" s="2624"/>
      <c r="B1747" s="151"/>
      <c r="C1747" s="151"/>
      <c r="D1747" s="811" t="s">
        <v>993</v>
      </c>
      <c r="E1747" s="2627" t="s">
        <v>1538</v>
      </c>
      <c r="F1747" s="2628">
        <v>1325</v>
      </c>
      <c r="G1747" s="2628">
        <v>1207</v>
      </c>
      <c r="H1747" s="2628">
        <v>1207</v>
      </c>
      <c r="I1747" s="2683">
        <f t="shared" si="420"/>
        <v>100</v>
      </c>
    </row>
    <row r="1748" spans="1:9" ht="14.25" hidden="1" x14ac:dyDescent="0.2">
      <c r="A1748" s="2624"/>
      <c r="B1748" s="151"/>
      <c r="C1748" s="151"/>
      <c r="D1748" s="811" t="s">
        <v>1395</v>
      </c>
      <c r="E1748" s="2627" t="s">
        <v>1539</v>
      </c>
      <c r="F1748" s="2628"/>
      <c r="G1748" s="2628"/>
      <c r="H1748" s="2628"/>
      <c r="I1748" s="2683" t="e">
        <f t="shared" si="420"/>
        <v>#DIV/0!</v>
      </c>
    </row>
    <row r="1749" spans="1:9" ht="14.25" hidden="1" x14ac:dyDescent="0.2">
      <c r="A1749" s="2624"/>
      <c r="B1749" s="151"/>
      <c r="C1749" s="151"/>
      <c r="D1749" s="811" t="s">
        <v>1396</v>
      </c>
      <c r="E1749" s="2627" t="s">
        <v>1584</v>
      </c>
      <c r="F1749" s="2628"/>
      <c r="G1749" s="2628"/>
      <c r="H1749" s="2628"/>
      <c r="I1749" s="2647" t="e">
        <f t="shared" si="420"/>
        <v>#DIV/0!</v>
      </c>
    </row>
    <row r="1750" spans="1:9" ht="15" hidden="1" x14ac:dyDescent="0.25">
      <c r="A1750" s="2624">
        <v>1604</v>
      </c>
      <c r="B1750" s="19">
        <v>3316</v>
      </c>
      <c r="C1750" s="19">
        <v>5331</v>
      </c>
      <c r="D1750" s="2681"/>
      <c r="E1750" s="845" t="s">
        <v>481</v>
      </c>
      <c r="F1750" s="29">
        <f>F1751+F1752</f>
        <v>0</v>
      </c>
      <c r="G1750" s="2642">
        <f t="shared" ref="G1750" si="421">G1751+G1752</f>
        <v>0</v>
      </c>
      <c r="H1750" s="29">
        <f t="shared" ref="H1750" si="422">H1751+H1752</f>
        <v>0</v>
      </c>
      <c r="I1750" s="2643" t="e">
        <f t="shared" si="420"/>
        <v>#DIV/0!</v>
      </c>
    </row>
    <row r="1751" spans="1:9" ht="14.25" hidden="1" x14ac:dyDescent="0.2">
      <c r="A1751" s="2624"/>
      <c r="B1751" s="151"/>
      <c r="C1751" s="151"/>
      <c r="D1751" s="2630" t="s">
        <v>1394</v>
      </c>
      <c r="E1751" s="923" t="s">
        <v>1537</v>
      </c>
      <c r="F1751" s="2678"/>
      <c r="G1751" s="2678"/>
      <c r="H1751" s="2678"/>
      <c r="I1751" s="2647" t="e">
        <f t="shared" si="420"/>
        <v>#DIV/0!</v>
      </c>
    </row>
    <row r="1752" spans="1:9" ht="15" hidden="1" thickBot="1" x14ac:dyDescent="0.25">
      <c r="A1752" s="2624"/>
      <c r="B1752" s="151"/>
      <c r="C1752" s="151"/>
      <c r="D1752" s="811" t="s">
        <v>994</v>
      </c>
      <c r="E1752" s="2627" t="s">
        <v>1541</v>
      </c>
      <c r="F1752" s="2646"/>
      <c r="G1752" s="2646"/>
      <c r="H1752" s="2646"/>
      <c r="I1752" s="2647" t="e">
        <f t="shared" si="420"/>
        <v>#DIV/0!</v>
      </c>
    </row>
    <row r="1753" spans="1:9" ht="15" hidden="1" x14ac:dyDescent="0.25">
      <c r="A1753" s="2624">
        <v>1600</v>
      </c>
      <c r="B1753" s="19">
        <v>3316</v>
      </c>
      <c r="C1753" s="19">
        <v>5331</v>
      </c>
      <c r="D1753" s="2681"/>
      <c r="E1753" s="845" t="s">
        <v>481</v>
      </c>
      <c r="F1753" s="29">
        <f>F1754+F1755+F1756+F1757</f>
        <v>0</v>
      </c>
      <c r="G1753" s="29">
        <f t="shared" ref="G1753" si="423">G1754+G1755+G1756+G1757</f>
        <v>0</v>
      </c>
      <c r="H1753" s="29">
        <f t="shared" ref="H1753" si="424">H1754+H1755+H1756+H1757</f>
        <v>0</v>
      </c>
      <c r="I1753" s="2643" t="e">
        <f t="shared" si="420"/>
        <v>#DIV/0!</v>
      </c>
    </row>
    <row r="1754" spans="1:9" ht="14.25" hidden="1" x14ac:dyDescent="0.2">
      <c r="A1754" s="2624"/>
      <c r="B1754" s="151"/>
      <c r="C1754" s="151"/>
      <c r="D1754" s="2630" t="s">
        <v>1394</v>
      </c>
      <c r="E1754" s="923" t="s">
        <v>1537</v>
      </c>
      <c r="F1754" s="2628"/>
      <c r="G1754" s="2628"/>
      <c r="H1754" s="2628"/>
      <c r="I1754" s="2679" t="e">
        <f t="shared" si="420"/>
        <v>#DIV/0!</v>
      </c>
    </row>
    <row r="1755" spans="1:9" ht="14.25" hidden="1" x14ac:dyDescent="0.2">
      <c r="A1755" s="2624"/>
      <c r="B1755" s="151"/>
      <c r="C1755" s="151"/>
      <c r="D1755" s="811" t="s">
        <v>994</v>
      </c>
      <c r="E1755" s="2627" t="s">
        <v>1541</v>
      </c>
      <c r="F1755" s="2628"/>
      <c r="G1755" s="2628"/>
      <c r="H1755" s="2628"/>
      <c r="I1755" s="2679" t="e">
        <f t="shared" ref="I1755:I1757" si="425">H1755/G1755*100</f>
        <v>#DIV/0!</v>
      </c>
    </row>
    <row r="1756" spans="1:9" ht="14.25" hidden="1" x14ac:dyDescent="0.2">
      <c r="A1756" s="2624"/>
      <c r="B1756" s="151"/>
      <c r="C1756" s="151"/>
      <c r="D1756" s="811" t="s">
        <v>993</v>
      </c>
      <c r="E1756" s="2627" t="s">
        <v>1538</v>
      </c>
      <c r="F1756" s="2628"/>
      <c r="G1756" s="2628"/>
      <c r="H1756" s="2628"/>
      <c r="I1756" s="2679" t="e">
        <f t="shared" si="425"/>
        <v>#DIV/0!</v>
      </c>
    </row>
    <row r="1757" spans="1:9" ht="15" hidden="1" thickBot="1" x14ac:dyDescent="0.25">
      <c r="A1757" s="2624"/>
      <c r="B1757" s="151"/>
      <c r="C1757" s="151"/>
      <c r="D1757" s="811" t="s">
        <v>1395</v>
      </c>
      <c r="E1757" s="2627" t="s">
        <v>1539</v>
      </c>
      <c r="F1757" s="2628"/>
      <c r="G1757" s="2628"/>
      <c r="H1757" s="2628"/>
      <c r="I1757" s="2679" t="e">
        <f t="shared" si="425"/>
        <v>#DIV/0!</v>
      </c>
    </row>
    <row r="1758" spans="1:9" ht="16.5" thickTop="1" thickBot="1" x14ac:dyDescent="0.3">
      <c r="A1758" s="3241" t="s">
        <v>522</v>
      </c>
      <c r="B1758" s="3242"/>
      <c r="C1758" s="3242"/>
      <c r="D1758" s="3242"/>
      <c r="E1758" s="3300"/>
      <c r="F1758" s="2648">
        <f>F1743+F1750+F1753</f>
        <v>13259</v>
      </c>
      <c r="G1758" s="2648">
        <f>G1743+G1750+G1753</f>
        <v>14586</v>
      </c>
      <c r="H1758" s="2648">
        <f t="shared" ref="H1758" si="426">H1743+H1750+H1753</f>
        <v>14586</v>
      </c>
      <c r="I1758" s="2649">
        <v>100</v>
      </c>
    </row>
    <row r="1759" spans="1:9" ht="15.75" thickTop="1" x14ac:dyDescent="0.25">
      <c r="A1759" s="2640">
        <v>1604</v>
      </c>
      <c r="B1759" s="19">
        <v>3315</v>
      </c>
      <c r="C1759" s="151">
        <v>6351</v>
      </c>
      <c r="D1759" s="2641"/>
      <c r="E1759" s="845" t="s">
        <v>551</v>
      </c>
      <c r="F1759" s="2642">
        <f>F1760</f>
        <v>0</v>
      </c>
      <c r="G1759" s="2642">
        <f t="shared" ref="G1759:H1759" si="427">G1760</f>
        <v>889</v>
      </c>
      <c r="H1759" s="2642">
        <f t="shared" si="427"/>
        <v>889</v>
      </c>
      <c r="I1759" s="2643">
        <f>H1759/G1759*100</f>
        <v>100</v>
      </c>
    </row>
    <row r="1760" spans="1:9" ht="29.25" thickBot="1" x14ac:dyDescent="0.25">
      <c r="A1760" s="2644"/>
      <c r="B1760" s="822"/>
      <c r="C1760" s="2645"/>
      <c r="D1760" s="3034" t="s">
        <v>956</v>
      </c>
      <c r="E1760" s="2952" t="s">
        <v>1586</v>
      </c>
      <c r="F1760" s="3046">
        <v>0</v>
      </c>
      <c r="G1760" s="3047">
        <v>889</v>
      </c>
      <c r="H1760" s="3048">
        <v>889</v>
      </c>
      <c r="I1760" s="903">
        <f>H1760/G1760*100</f>
        <v>100</v>
      </c>
    </row>
    <row r="1761" spans="1:20" ht="16.5" thickTop="1" thickBot="1" x14ac:dyDescent="0.3">
      <c r="A1761" s="3241" t="s">
        <v>523</v>
      </c>
      <c r="B1761" s="3242"/>
      <c r="C1761" s="3242"/>
      <c r="D1761" s="3242"/>
      <c r="E1761" s="3243"/>
      <c r="F1761" s="2648">
        <f>F1759</f>
        <v>0</v>
      </c>
      <c r="G1761" s="2648">
        <f t="shared" ref="G1761:H1761" si="428">G1759</f>
        <v>889</v>
      </c>
      <c r="H1761" s="2648">
        <f t="shared" si="428"/>
        <v>889</v>
      </c>
      <c r="I1761" s="2649">
        <v>100</v>
      </c>
    </row>
    <row r="1762" spans="1:20" ht="15.75" thickTop="1" x14ac:dyDescent="0.25">
      <c r="A1762" s="2953"/>
      <c r="B1762" s="2953"/>
      <c r="C1762" s="2953"/>
      <c r="D1762" s="2953"/>
      <c r="E1762" s="2953"/>
      <c r="F1762" s="2954"/>
      <c r="G1762" s="2954"/>
      <c r="H1762" s="2954"/>
      <c r="I1762" s="2955"/>
    </row>
    <row r="1765" spans="1:20" ht="13.5" thickBot="1" x14ac:dyDescent="0.25">
      <c r="A1765" s="70" t="s">
        <v>1589</v>
      </c>
      <c r="B1765" s="70"/>
      <c r="C1765" s="70"/>
      <c r="D1765" s="70"/>
      <c r="E1765" s="70"/>
      <c r="F1765" s="2659"/>
      <c r="G1765" s="2659"/>
      <c r="H1765" s="2659"/>
      <c r="I1765" s="2660" t="s">
        <v>92</v>
      </c>
    </row>
    <row r="1766" spans="1:20" ht="14.25" thickTop="1" thickBot="1" x14ac:dyDescent="0.25">
      <c r="A1766" s="2661" t="s">
        <v>324</v>
      </c>
      <c r="B1766" s="2662" t="s">
        <v>93</v>
      </c>
      <c r="C1766" s="2663" t="s">
        <v>94</v>
      </c>
      <c r="D1766" s="2664" t="s">
        <v>364</v>
      </c>
      <c r="E1766" s="2664" t="s">
        <v>95</v>
      </c>
      <c r="F1766" s="2664" t="s">
        <v>328</v>
      </c>
      <c r="G1766" s="2664" t="s">
        <v>329</v>
      </c>
      <c r="H1766" s="2665" t="s">
        <v>448</v>
      </c>
      <c r="I1766" s="2666" t="s">
        <v>449</v>
      </c>
    </row>
    <row r="1767" spans="1:20" ht="14.25" thickTop="1" thickBot="1" x14ac:dyDescent="0.25">
      <c r="A1767" s="2667">
        <v>1</v>
      </c>
      <c r="B1767" s="2668">
        <v>2</v>
      </c>
      <c r="C1767" s="2668">
        <v>3</v>
      </c>
      <c r="D1767" s="2668">
        <v>4</v>
      </c>
      <c r="E1767" s="2668">
        <v>5</v>
      </c>
      <c r="F1767" s="2669">
        <v>6</v>
      </c>
      <c r="G1767" s="2669">
        <v>7</v>
      </c>
      <c r="H1767" s="2670">
        <v>8</v>
      </c>
      <c r="I1767" s="2671" t="s">
        <v>393</v>
      </c>
    </row>
    <row r="1768" spans="1:20" ht="15.75" thickTop="1" x14ac:dyDescent="0.25">
      <c r="A1768" s="2672">
        <v>1606</v>
      </c>
      <c r="B1768" s="2673">
        <v>3315</v>
      </c>
      <c r="C1768" s="2673">
        <v>5331</v>
      </c>
      <c r="D1768" s="2685"/>
      <c r="E1768" s="2675" t="s">
        <v>481</v>
      </c>
      <c r="F1768" s="2676">
        <f>F1770+F1771+F1772+F1773+F1774+F1769</f>
        <v>17689</v>
      </c>
      <c r="G1768" s="2676">
        <f t="shared" ref="G1768" si="429">G1770+G1771+G1772+G1773+G1774+G1769</f>
        <v>20605</v>
      </c>
      <c r="H1768" s="2676">
        <f t="shared" ref="H1768" si="430">H1770+H1771+H1772+H1773+H1774+H1769</f>
        <v>20605</v>
      </c>
      <c r="I1768" s="2677">
        <f t="shared" ref="I1768:I1779" si="431">H1768/G1768*100</f>
        <v>100</v>
      </c>
    </row>
    <row r="1769" spans="1:20" ht="28.5" x14ac:dyDescent="0.2">
      <c r="A1769" s="2624"/>
      <c r="B1769" s="151"/>
      <c r="C1769" s="151"/>
      <c r="D1769" s="925" t="s">
        <v>956</v>
      </c>
      <c r="E1769" s="2684" t="s">
        <v>1585</v>
      </c>
      <c r="F1769" s="2678"/>
      <c r="G1769" s="2678">
        <v>1166</v>
      </c>
      <c r="H1769" s="2678">
        <v>1166</v>
      </c>
      <c r="I1769" s="2647">
        <f t="shared" si="431"/>
        <v>100</v>
      </c>
      <c r="R1769" s="2691">
        <f>F1783</f>
        <v>17689</v>
      </c>
      <c r="S1769" s="2691">
        <f>G1783</f>
        <v>20605</v>
      </c>
      <c r="T1769" s="2691">
        <f>H1783</f>
        <v>20605</v>
      </c>
    </row>
    <row r="1770" spans="1:20" ht="14.25" x14ac:dyDescent="0.2">
      <c r="A1770" s="2624"/>
      <c r="B1770" s="151"/>
      <c r="C1770" s="151"/>
      <c r="D1770" s="2630" t="s">
        <v>1394</v>
      </c>
      <c r="E1770" s="923" t="s">
        <v>1537</v>
      </c>
      <c r="F1770" s="2628">
        <v>5593</v>
      </c>
      <c r="G1770" s="2682">
        <v>6069</v>
      </c>
      <c r="H1770" s="2628">
        <v>6069</v>
      </c>
      <c r="I1770" s="2647">
        <f t="shared" si="431"/>
        <v>100</v>
      </c>
      <c r="R1770" s="2691">
        <f>F1786</f>
        <v>0</v>
      </c>
      <c r="S1770" s="2691">
        <f>G1786</f>
        <v>0</v>
      </c>
      <c r="T1770" s="2691">
        <f>H1786</f>
        <v>0</v>
      </c>
    </row>
    <row r="1771" spans="1:20" ht="14.25" x14ac:dyDescent="0.2">
      <c r="A1771" s="2624"/>
      <c r="B1771" s="151"/>
      <c r="C1771" s="151"/>
      <c r="D1771" s="811" t="s">
        <v>994</v>
      </c>
      <c r="E1771" s="2627" t="s">
        <v>1541</v>
      </c>
      <c r="F1771" s="2628">
        <v>10836</v>
      </c>
      <c r="G1771" s="2628">
        <v>12157</v>
      </c>
      <c r="H1771" s="2628">
        <v>12157</v>
      </c>
      <c r="I1771" s="2683">
        <f t="shared" si="431"/>
        <v>100</v>
      </c>
      <c r="R1771" s="2691">
        <f>R1769+R1770</f>
        <v>17689</v>
      </c>
      <c r="S1771" s="2691">
        <f t="shared" ref="S1771:T1771" si="432">S1769+S1770</f>
        <v>20605</v>
      </c>
      <c r="T1771" s="2691">
        <f t="shared" si="432"/>
        <v>20605</v>
      </c>
    </row>
    <row r="1772" spans="1:20" ht="15" thickBot="1" x14ac:dyDescent="0.25">
      <c r="A1772" s="2624"/>
      <c r="B1772" s="151"/>
      <c r="C1772" s="151"/>
      <c r="D1772" s="811" t="s">
        <v>993</v>
      </c>
      <c r="E1772" s="2627" t="s">
        <v>1538</v>
      </c>
      <c r="F1772" s="2628">
        <v>1260</v>
      </c>
      <c r="G1772" s="2628">
        <v>1213</v>
      </c>
      <c r="H1772" s="2628">
        <v>1213</v>
      </c>
      <c r="I1772" s="2683">
        <f t="shared" si="431"/>
        <v>100</v>
      </c>
    </row>
    <row r="1773" spans="1:20" ht="14.25" hidden="1" x14ac:dyDescent="0.2">
      <c r="A1773" s="2624"/>
      <c r="B1773" s="151"/>
      <c r="C1773" s="151"/>
      <c r="D1773" s="811" t="s">
        <v>1395</v>
      </c>
      <c r="E1773" s="2627" t="s">
        <v>1539</v>
      </c>
      <c r="F1773" s="2628"/>
      <c r="G1773" s="2628"/>
      <c r="H1773" s="2628"/>
      <c r="I1773" s="2683" t="e">
        <f t="shared" si="431"/>
        <v>#DIV/0!</v>
      </c>
    </row>
    <row r="1774" spans="1:20" ht="14.25" hidden="1" x14ac:dyDescent="0.2">
      <c r="A1774" s="2624"/>
      <c r="B1774" s="151"/>
      <c r="C1774" s="151"/>
      <c r="D1774" s="811" t="s">
        <v>1396</v>
      </c>
      <c r="E1774" s="2627" t="s">
        <v>1584</v>
      </c>
      <c r="F1774" s="2628"/>
      <c r="G1774" s="2628"/>
      <c r="H1774" s="2628"/>
      <c r="I1774" s="2647" t="e">
        <f t="shared" si="431"/>
        <v>#DIV/0!</v>
      </c>
    </row>
    <row r="1775" spans="1:20" ht="15" hidden="1" x14ac:dyDescent="0.25">
      <c r="A1775" s="2624">
        <v>1606</v>
      </c>
      <c r="B1775" s="19">
        <v>3316</v>
      </c>
      <c r="C1775" s="19">
        <v>5331</v>
      </c>
      <c r="D1775" s="2681"/>
      <c r="E1775" s="845" t="s">
        <v>481</v>
      </c>
      <c r="F1775" s="29">
        <f>F1776+F1777</f>
        <v>0</v>
      </c>
      <c r="G1775" s="2642">
        <f t="shared" ref="G1775" si="433">G1776+G1777</f>
        <v>0</v>
      </c>
      <c r="H1775" s="29">
        <f t="shared" ref="H1775" si="434">H1776+H1777</f>
        <v>0</v>
      </c>
      <c r="I1775" s="2643" t="e">
        <f t="shared" si="431"/>
        <v>#DIV/0!</v>
      </c>
    </row>
    <row r="1776" spans="1:20" ht="14.25" hidden="1" x14ac:dyDescent="0.2">
      <c r="A1776" s="2624"/>
      <c r="B1776" s="151"/>
      <c r="C1776" s="151"/>
      <c r="D1776" s="2630" t="s">
        <v>1394</v>
      </c>
      <c r="E1776" s="923" t="s">
        <v>1537</v>
      </c>
      <c r="F1776" s="2678"/>
      <c r="G1776" s="2678"/>
      <c r="H1776" s="2678"/>
      <c r="I1776" s="2647" t="e">
        <f t="shared" si="431"/>
        <v>#DIV/0!</v>
      </c>
    </row>
    <row r="1777" spans="1:9" ht="15" hidden="1" thickBot="1" x14ac:dyDescent="0.25">
      <c r="A1777" s="2624"/>
      <c r="B1777" s="151"/>
      <c r="C1777" s="151"/>
      <c r="D1777" s="811" t="s">
        <v>994</v>
      </c>
      <c r="E1777" s="2627" t="s">
        <v>1541</v>
      </c>
      <c r="F1777" s="2646"/>
      <c r="G1777" s="2646"/>
      <c r="H1777" s="2646"/>
      <c r="I1777" s="2647" t="e">
        <f t="shared" si="431"/>
        <v>#DIV/0!</v>
      </c>
    </row>
    <row r="1778" spans="1:9" ht="15" hidden="1" x14ac:dyDescent="0.25">
      <c r="A1778" s="2624">
        <v>1600</v>
      </c>
      <c r="B1778" s="19">
        <v>3316</v>
      </c>
      <c r="C1778" s="19">
        <v>5331</v>
      </c>
      <c r="D1778" s="2681"/>
      <c r="E1778" s="845" t="s">
        <v>481</v>
      </c>
      <c r="F1778" s="29">
        <f>F1779+F1780+F1781+F1782</f>
        <v>0</v>
      </c>
      <c r="G1778" s="29">
        <f t="shared" ref="G1778" si="435">G1779+G1780+G1781+G1782</f>
        <v>0</v>
      </c>
      <c r="H1778" s="29">
        <f t="shared" ref="H1778" si="436">H1779+H1780+H1781+H1782</f>
        <v>0</v>
      </c>
      <c r="I1778" s="2643" t="e">
        <f t="shared" si="431"/>
        <v>#DIV/0!</v>
      </c>
    </row>
    <row r="1779" spans="1:9" ht="14.25" hidden="1" x14ac:dyDescent="0.2">
      <c r="A1779" s="2624"/>
      <c r="B1779" s="151"/>
      <c r="C1779" s="151"/>
      <c r="D1779" s="2630" t="s">
        <v>1394</v>
      </c>
      <c r="E1779" s="923" t="s">
        <v>1537</v>
      </c>
      <c r="F1779" s="2628"/>
      <c r="G1779" s="2628"/>
      <c r="H1779" s="2628"/>
      <c r="I1779" s="2679" t="e">
        <f t="shared" si="431"/>
        <v>#DIV/0!</v>
      </c>
    </row>
    <row r="1780" spans="1:9" ht="14.25" hidden="1" x14ac:dyDescent="0.2">
      <c r="A1780" s="2624"/>
      <c r="B1780" s="151"/>
      <c r="C1780" s="151"/>
      <c r="D1780" s="811" t="s">
        <v>994</v>
      </c>
      <c r="E1780" s="2627" t="s">
        <v>1541</v>
      </c>
      <c r="F1780" s="2628"/>
      <c r="G1780" s="2628"/>
      <c r="H1780" s="2628"/>
      <c r="I1780" s="2679" t="e">
        <f t="shared" ref="I1780:I1782" si="437">H1780/G1780*100</f>
        <v>#DIV/0!</v>
      </c>
    </row>
    <row r="1781" spans="1:9" ht="14.25" hidden="1" x14ac:dyDescent="0.2">
      <c r="A1781" s="2624"/>
      <c r="B1781" s="151"/>
      <c r="C1781" s="151"/>
      <c r="D1781" s="811" t="s">
        <v>993</v>
      </c>
      <c r="E1781" s="2627" t="s">
        <v>1538</v>
      </c>
      <c r="F1781" s="2628"/>
      <c r="G1781" s="2628"/>
      <c r="H1781" s="2628"/>
      <c r="I1781" s="2679" t="e">
        <f t="shared" si="437"/>
        <v>#DIV/0!</v>
      </c>
    </row>
    <row r="1782" spans="1:9" ht="15" hidden="1" thickBot="1" x14ac:dyDescent="0.25">
      <c r="A1782" s="2624"/>
      <c r="B1782" s="151"/>
      <c r="C1782" s="151"/>
      <c r="D1782" s="811" t="s">
        <v>1395</v>
      </c>
      <c r="E1782" s="2627" t="s">
        <v>1539</v>
      </c>
      <c r="F1782" s="2628"/>
      <c r="G1782" s="2628"/>
      <c r="H1782" s="2628"/>
      <c r="I1782" s="2679" t="e">
        <f t="shared" si="437"/>
        <v>#DIV/0!</v>
      </c>
    </row>
    <row r="1783" spans="1:9" ht="16.5" thickTop="1" thickBot="1" x14ac:dyDescent="0.3">
      <c r="A1783" s="3241" t="s">
        <v>522</v>
      </c>
      <c r="B1783" s="3242"/>
      <c r="C1783" s="3242"/>
      <c r="D1783" s="3242"/>
      <c r="E1783" s="3300"/>
      <c r="F1783" s="2648">
        <f>F1768+F1775+F1778</f>
        <v>17689</v>
      </c>
      <c r="G1783" s="2648">
        <f>G1768+G1775+G1778</f>
        <v>20605</v>
      </c>
      <c r="H1783" s="2648">
        <f t="shared" ref="H1783" si="438">H1768+H1775+H1778</f>
        <v>20605</v>
      </c>
      <c r="I1783" s="2649">
        <v>100</v>
      </c>
    </row>
    <row r="1784" spans="1:9" ht="15.75" hidden="1" thickTop="1" x14ac:dyDescent="0.25">
      <c r="A1784" s="2640">
        <v>1606</v>
      </c>
      <c r="B1784" s="19">
        <v>3315</v>
      </c>
      <c r="C1784" s="151">
        <v>6351</v>
      </c>
      <c r="D1784" s="2641"/>
      <c r="E1784" s="845" t="s">
        <v>551</v>
      </c>
      <c r="F1784" s="2642">
        <f>F1785</f>
        <v>0</v>
      </c>
      <c r="G1784" s="2642">
        <f t="shared" ref="G1784:H1784" si="439">G1785</f>
        <v>0</v>
      </c>
      <c r="H1784" s="2642">
        <f t="shared" si="439"/>
        <v>0</v>
      </c>
      <c r="I1784" s="2643">
        <v>0</v>
      </c>
    </row>
    <row r="1785" spans="1:9" ht="29.25" hidden="1" thickBot="1" x14ac:dyDescent="0.25">
      <c r="A1785" s="2644"/>
      <c r="B1785" s="822"/>
      <c r="C1785" s="2645"/>
      <c r="D1785" s="2634" t="s">
        <v>956</v>
      </c>
      <c r="E1785" s="2653" t="s">
        <v>1586</v>
      </c>
      <c r="F1785" s="2654"/>
      <c r="G1785" s="2655"/>
      <c r="H1785" s="2656"/>
      <c r="I1785" s="2657">
        <v>0</v>
      </c>
    </row>
    <row r="1786" spans="1:9" ht="16.5" hidden="1" thickTop="1" thickBot="1" x14ac:dyDescent="0.3">
      <c r="A1786" s="3241" t="s">
        <v>523</v>
      </c>
      <c r="B1786" s="3242"/>
      <c r="C1786" s="3242"/>
      <c r="D1786" s="3242"/>
      <c r="E1786" s="3243"/>
      <c r="F1786" s="2648">
        <f>F1784</f>
        <v>0</v>
      </c>
      <c r="G1786" s="2648">
        <f t="shared" ref="G1786:H1786" si="440">G1784</f>
        <v>0</v>
      </c>
      <c r="H1786" s="2648">
        <f t="shared" si="440"/>
        <v>0</v>
      </c>
      <c r="I1786" s="2649">
        <v>0</v>
      </c>
    </row>
    <row r="1787" spans="1:9" ht="13.5" thickTop="1" x14ac:dyDescent="0.2"/>
    <row r="1789" spans="1:9" ht="13.5" thickBot="1" x14ac:dyDescent="0.25">
      <c r="A1789" s="70" t="s">
        <v>1590</v>
      </c>
      <c r="B1789" s="70"/>
      <c r="C1789" s="70"/>
      <c r="D1789" s="70"/>
      <c r="E1789" s="70"/>
      <c r="F1789" s="2659"/>
      <c r="G1789" s="2659"/>
      <c r="H1789" s="2659"/>
      <c r="I1789" s="2660" t="s">
        <v>92</v>
      </c>
    </row>
    <row r="1790" spans="1:9" ht="14.25" thickTop="1" thickBot="1" x14ac:dyDescent="0.25">
      <c r="A1790" s="2661" t="s">
        <v>324</v>
      </c>
      <c r="B1790" s="2662" t="s">
        <v>93</v>
      </c>
      <c r="C1790" s="2663" t="s">
        <v>94</v>
      </c>
      <c r="D1790" s="2664" t="s">
        <v>364</v>
      </c>
      <c r="E1790" s="2664" t="s">
        <v>95</v>
      </c>
      <c r="F1790" s="2664" t="s">
        <v>328</v>
      </c>
      <c r="G1790" s="2664" t="s">
        <v>329</v>
      </c>
      <c r="H1790" s="2665" t="s">
        <v>448</v>
      </c>
      <c r="I1790" s="2666" t="s">
        <v>449</v>
      </c>
    </row>
    <row r="1791" spans="1:9" ht="14.25" thickTop="1" thickBot="1" x14ac:dyDescent="0.25">
      <c r="A1791" s="2667">
        <v>1</v>
      </c>
      <c r="B1791" s="2668">
        <v>2</v>
      </c>
      <c r="C1791" s="2668">
        <v>3</v>
      </c>
      <c r="D1791" s="2668">
        <v>4</v>
      </c>
      <c r="E1791" s="2668">
        <v>5</v>
      </c>
      <c r="F1791" s="2669">
        <v>6</v>
      </c>
      <c r="G1791" s="2669">
        <v>7</v>
      </c>
      <c r="H1791" s="2670">
        <v>8</v>
      </c>
      <c r="I1791" s="2671" t="s">
        <v>393</v>
      </c>
    </row>
    <row r="1792" spans="1:9" ht="15.75" thickTop="1" x14ac:dyDescent="0.25">
      <c r="A1792" s="2672">
        <v>1607</v>
      </c>
      <c r="B1792" s="2673">
        <v>3315</v>
      </c>
      <c r="C1792" s="2673">
        <v>5331</v>
      </c>
      <c r="D1792" s="2685"/>
      <c r="E1792" s="2675" t="s">
        <v>481</v>
      </c>
      <c r="F1792" s="2676">
        <f>F1794+F1795+F1796+F1797+F1798+F1793</f>
        <v>20105</v>
      </c>
      <c r="G1792" s="2676">
        <f t="shared" ref="G1792" si="441">G1794+G1795+G1796+G1797+G1798+G1793</f>
        <v>22180</v>
      </c>
      <c r="H1792" s="2676">
        <f t="shared" ref="H1792" si="442">H1794+H1795+H1796+H1797+H1798+H1793</f>
        <v>22180</v>
      </c>
      <c r="I1792" s="2677">
        <f t="shared" ref="I1792:I1803" si="443">H1792/G1792*100</f>
        <v>100</v>
      </c>
    </row>
    <row r="1793" spans="1:20" ht="28.5" hidden="1" x14ac:dyDescent="0.2">
      <c r="A1793" s="2624"/>
      <c r="B1793" s="151"/>
      <c r="C1793" s="151"/>
      <c r="D1793" s="925" t="s">
        <v>956</v>
      </c>
      <c r="E1793" s="2684" t="s">
        <v>1585</v>
      </c>
      <c r="F1793" s="2678"/>
      <c r="G1793" s="2678"/>
      <c r="H1793" s="2678"/>
      <c r="I1793" s="2647" t="e">
        <f t="shared" si="443"/>
        <v>#DIV/0!</v>
      </c>
    </row>
    <row r="1794" spans="1:20" ht="14.25" x14ac:dyDescent="0.2">
      <c r="A1794" s="2624"/>
      <c r="B1794" s="151"/>
      <c r="C1794" s="151"/>
      <c r="D1794" s="2630" t="s">
        <v>1394</v>
      </c>
      <c r="E1794" s="923" t="s">
        <v>1537</v>
      </c>
      <c r="F1794" s="2628">
        <v>7878</v>
      </c>
      <c r="G1794" s="2682">
        <v>8478</v>
      </c>
      <c r="H1794" s="2628">
        <v>8478</v>
      </c>
      <c r="I1794" s="2647">
        <f t="shared" si="443"/>
        <v>100</v>
      </c>
    </row>
    <row r="1795" spans="1:20" ht="14.25" x14ac:dyDescent="0.2">
      <c r="A1795" s="2624"/>
      <c r="B1795" s="151"/>
      <c r="C1795" s="151"/>
      <c r="D1795" s="811" t="s">
        <v>994</v>
      </c>
      <c r="E1795" s="2627" t="s">
        <v>1541</v>
      </c>
      <c r="F1795" s="2628">
        <v>11298</v>
      </c>
      <c r="G1795" s="2628">
        <v>12588</v>
      </c>
      <c r="H1795" s="2628">
        <v>12588</v>
      </c>
      <c r="I1795" s="2683">
        <f t="shared" si="443"/>
        <v>100</v>
      </c>
    </row>
    <row r="1796" spans="1:20" ht="14.25" x14ac:dyDescent="0.2">
      <c r="A1796" s="2624"/>
      <c r="B1796" s="151"/>
      <c r="C1796" s="151"/>
      <c r="D1796" s="811" t="s">
        <v>993</v>
      </c>
      <c r="E1796" s="2627" t="s">
        <v>1538</v>
      </c>
      <c r="F1796" s="2628">
        <v>899</v>
      </c>
      <c r="G1796" s="2628">
        <v>1084</v>
      </c>
      <c r="H1796" s="2628">
        <v>1084</v>
      </c>
      <c r="I1796" s="2683">
        <f t="shared" si="443"/>
        <v>100</v>
      </c>
    </row>
    <row r="1797" spans="1:20" ht="14.25" hidden="1" x14ac:dyDescent="0.2">
      <c r="A1797" s="2624"/>
      <c r="B1797" s="151"/>
      <c r="C1797" s="151"/>
      <c r="D1797" s="811" t="s">
        <v>1395</v>
      </c>
      <c r="E1797" s="2627" t="s">
        <v>1539</v>
      </c>
      <c r="F1797" s="2628"/>
      <c r="G1797" s="2628"/>
      <c r="H1797" s="2628"/>
      <c r="I1797" s="2683" t="e">
        <f t="shared" si="443"/>
        <v>#DIV/0!</v>
      </c>
    </row>
    <row r="1798" spans="1:20" ht="15" thickBot="1" x14ac:dyDescent="0.25">
      <c r="A1798" s="2624"/>
      <c r="B1798" s="151"/>
      <c r="C1798" s="151"/>
      <c r="D1798" s="2625" t="s">
        <v>1414</v>
      </c>
      <c r="E1798" s="2627" t="s">
        <v>1582</v>
      </c>
      <c r="F1798" s="2628">
        <v>30</v>
      </c>
      <c r="G1798" s="2628">
        <v>30</v>
      </c>
      <c r="H1798" s="2628">
        <v>30</v>
      </c>
      <c r="I1798" s="2647">
        <f t="shared" si="443"/>
        <v>100</v>
      </c>
    </row>
    <row r="1799" spans="1:20" ht="15" hidden="1" x14ac:dyDescent="0.25">
      <c r="A1799" s="2624">
        <v>1607</v>
      </c>
      <c r="B1799" s="19">
        <v>3316</v>
      </c>
      <c r="C1799" s="19">
        <v>5331</v>
      </c>
      <c r="D1799" s="2681"/>
      <c r="E1799" s="845" t="s">
        <v>481</v>
      </c>
      <c r="F1799" s="29">
        <f>F1800+F1801</f>
        <v>0</v>
      </c>
      <c r="G1799" s="2642">
        <f t="shared" ref="G1799" si="444">G1800+G1801</f>
        <v>0</v>
      </c>
      <c r="H1799" s="29">
        <f t="shared" ref="H1799" si="445">H1800+H1801</f>
        <v>0</v>
      </c>
      <c r="I1799" s="2643" t="e">
        <f t="shared" si="443"/>
        <v>#DIV/0!</v>
      </c>
    </row>
    <row r="1800" spans="1:20" ht="14.25" hidden="1" x14ac:dyDescent="0.2">
      <c r="A1800" s="2624"/>
      <c r="B1800" s="151"/>
      <c r="C1800" s="151"/>
      <c r="D1800" s="2630" t="s">
        <v>1394</v>
      </c>
      <c r="E1800" s="923" t="s">
        <v>1537</v>
      </c>
      <c r="F1800" s="2678"/>
      <c r="G1800" s="2678"/>
      <c r="H1800" s="2678"/>
      <c r="I1800" s="2647" t="e">
        <f t="shared" si="443"/>
        <v>#DIV/0!</v>
      </c>
    </row>
    <row r="1801" spans="1:20" ht="15" hidden="1" thickBot="1" x14ac:dyDescent="0.25">
      <c r="A1801" s="2624"/>
      <c r="B1801" s="151"/>
      <c r="C1801" s="151"/>
      <c r="D1801" s="811" t="s">
        <v>994</v>
      </c>
      <c r="E1801" s="2627" t="s">
        <v>1541</v>
      </c>
      <c r="F1801" s="2646"/>
      <c r="G1801" s="2646"/>
      <c r="H1801" s="2646"/>
      <c r="I1801" s="2647" t="e">
        <f t="shared" si="443"/>
        <v>#DIV/0!</v>
      </c>
    </row>
    <row r="1802" spans="1:20" ht="15" hidden="1" x14ac:dyDescent="0.25">
      <c r="A1802" s="2624">
        <v>1600</v>
      </c>
      <c r="B1802" s="19">
        <v>3316</v>
      </c>
      <c r="C1802" s="19">
        <v>5331</v>
      </c>
      <c r="D1802" s="2681"/>
      <c r="E1802" s="845" t="s">
        <v>481</v>
      </c>
      <c r="F1802" s="29">
        <f>F1803+F1804+F1805+F1806</f>
        <v>0</v>
      </c>
      <c r="G1802" s="29">
        <f t="shared" ref="G1802" si="446">G1803+G1804+G1805+G1806</f>
        <v>0</v>
      </c>
      <c r="H1802" s="29">
        <f t="shared" ref="H1802" si="447">H1803+H1804+H1805+H1806</f>
        <v>0</v>
      </c>
      <c r="I1802" s="2643" t="e">
        <f t="shared" si="443"/>
        <v>#DIV/0!</v>
      </c>
    </row>
    <row r="1803" spans="1:20" ht="14.25" hidden="1" x14ac:dyDescent="0.2">
      <c r="A1803" s="2624"/>
      <c r="B1803" s="151"/>
      <c r="C1803" s="151"/>
      <c r="D1803" s="2630" t="s">
        <v>1394</v>
      </c>
      <c r="E1803" s="923" t="s">
        <v>1537</v>
      </c>
      <c r="F1803" s="2628"/>
      <c r="G1803" s="2628"/>
      <c r="H1803" s="2628"/>
      <c r="I1803" s="2679" t="e">
        <f t="shared" si="443"/>
        <v>#DIV/0!</v>
      </c>
    </row>
    <row r="1804" spans="1:20" ht="14.25" hidden="1" x14ac:dyDescent="0.2">
      <c r="A1804" s="2624"/>
      <c r="B1804" s="151"/>
      <c r="C1804" s="151"/>
      <c r="D1804" s="811" t="s">
        <v>994</v>
      </c>
      <c r="E1804" s="2627" t="s">
        <v>1541</v>
      </c>
      <c r="F1804" s="2628"/>
      <c r="G1804" s="2628"/>
      <c r="H1804" s="2628"/>
      <c r="I1804" s="2679" t="e">
        <f t="shared" ref="I1804:I1806" si="448">H1804/G1804*100</f>
        <v>#DIV/0!</v>
      </c>
    </row>
    <row r="1805" spans="1:20" ht="14.25" hidden="1" x14ac:dyDescent="0.2">
      <c r="A1805" s="2624"/>
      <c r="B1805" s="151"/>
      <c r="C1805" s="151"/>
      <c r="D1805" s="811" t="s">
        <v>993</v>
      </c>
      <c r="E1805" s="2627" t="s">
        <v>1538</v>
      </c>
      <c r="F1805" s="2628"/>
      <c r="G1805" s="2628"/>
      <c r="H1805" s="2628"/>
      <c r="I1805" s="2679" t="e">
        <f t="shared" si="448"/>
        <v>#DIV/0!</v>
      </c>
    </row>
    <row r="1806" spans="1:20" ht="15" hidden="1" thickBot="1" x14ac:dyDescent="0.25">
      <c r="A1806" s="2624"/>
      <c r="B1806" s="151"/>
      <c r="C1806" s="151"/>
      <c r="D1806" s="811" t="s">
        <v>1395</v>
      </c>
      <c r="E1806" s="2627" t="s">
        <v>1539</v>
      </c>
      <c r="F1806" s="2628"/>
      <c r="G1806" s="2628"/>
      <c r="H1806" s="2628"/>
      <c r="I1806" s="2679" t="e">
        <f t="shared" si="448"/>
        <v>#DIV/0!</v>
      </c>
    </row>
    <row r="1807" spans="1:20" ht="16.5" thickTop="1" thickBot="1" x14ac:dyDescent="0.3">
      <c r="A1807" s="3241" t="s">
        <v>522</v>
      </c>
      <c r="B1807" s="3242"/>
      <c r="C1807" s="3242"/>
      <c r="D1807" s="3242"/>
      <c r="E1807" s="3300"/>
      <c r="F1807" s="2648">
        <f>F1792+F1799+F1802</f>
        <v>20105</v>
      </c>
      <c r="G1807" s="2648">
        <f>G1792+G1799+G1802</f>
        <v>22180</v>
      </c>
      <c r="H1807" s="2648">
        <f t="shared" ref="H1807" si="449">H1792+H1799+H1802</f>
        <v>22180</v>
      </c>
      <c r="I1807" s="2649">
        <v>100</v>
      </c>
      <c r="R1807" s="2691">
        <f>F1807</f>
        <v>20105</v>
      </c>
      <c r="S1807" s="2691">
        <f t="shared" ref="S1807:T1807" si="450">G1807</f>
        <v>22180</v>
      </c>
      <c r="T1807" s="2691">
        <f t="shared" si="450"/>
        <v>22180</v>
      </c>
    </row>
    <row r="1808" spans="1:20" ht="15.75" thickTop="1" x14ac:dyDescent="0.25">
      <c r="A1808" s="2640">
        <v>1607</v>
      </c>
      <c r="B1808" s="19">
        <v>3315</v>
      </c>
      <c r="C1808" s="151">
        <v>6351</v>
      </c>
      <c r="D1808" s="2641"/>
      <c r="E1808" s="845" t="s">
        <v>551</v>
      </c>
      <c r="F1808" s="2642">
        <f>F1809</f>
        <v>0</v>
      </c>
      <c r="G1808" s="2642">
        <f t="shared" ref="G1808:H1808" si="451">G1809</f>
        <v>1310</v>
      </c>
      <c r="H1808" s="2642">
        <f t="shared" si="451"/>
        <v>1310</v>
      </c>
      <c r="I1808" s="2643">
        <f>H1808/G1808*100</f>
        <v>100</v>
      </c>
      <c r="R1808" s="2691">
        <f>F1810</f>
        <v>0</v>
      </c>
      <c r="S1808" s="2691">
        <f t="shared" ref="S1808:T1808" si="452">G1810</f>
        <v>1310</v>
      </c>
      <c r="T1808" s="2691">
        <f t="shared" si="452"/>
        <v>1310</v>
      </c>
    </row>
    <row r="1809" spans="1:20" ht="29.25" thickBot="1" x14ac:dyDescent="0.25">
      <c r="A1809" s="2644"/>
      <c r="B1809" s="822"/>
      <c r="C1809" s="2645"/>
      <c r="D1809" s="3034" t="s">
        <v>956</v>
      </c>
      <c r="E1809" s="2653" t="s">
        <v>1586</v>
      </c>
      <c r="F1809" s="3046"/>
      <c r="G1809" s="3047">
        <v>1310</v>
      </c>
      <c r="H1809" s="3048">
        <v>1310</v>
      </c>
      <c r="I1809" s="903">
        <f>H1809/G1809*100</f>
        <v>100</v>
      </c>
      <c r="R1809" s="2691">
        <f>R1807+R1808</f>
        <v>20105</v>
      </c>
      <c r="S1809" s="2691">
        <f t="shared" ref="S1809:T1809" si="453">S1807+S1808</f>
        <v>23490</v>
      </c>
      <c r="T1809" s="2691">
        <f t="shared" si="453"/>
        <v>23490</v>
      </c>
    </row>
    <row r="1810" spans="1:20" ht="16.5" thickTop="1" thickBot="1" x14ac:dyDescent="0.3">
      <c r="A1810" s="3241" t="s">
        <v>523</v>
      </c>
      <c r="B1810" s="3242"/>
      <c r="C1810" s="3242"/>
      <c r="D1810" s="3242"/>
      <c r="E1810" s="3243"/>
      <c r="F1810" s="2648">
        <f>F1808</f>
        <v>0</v>
      </c>
      <c r="G1810" s="2648">
        <f t="shared" ref="G1810:H1810" si="454">G1808</f>
        <v>1310</v>
      </c>
      <c r="H1810" s="2648">
        <f t="shared" si="454"/>
        <v>1310</v>
      </c>
      <c r="I1810" s="2649">
        <v>100</v>
      </c>
    </row>
    <row r="1811" spans="1:20" ht="13.5" thickTop="1" x14ac:dyDescent="0.2"/>
    <row r="1813" spans="1:20" ht="13.5" thickBot="1" x14ac:dyDescent="0.25">
      <c r="A1813" s="70" t="s">
        <v>1525</v>
      </c>
      <c r="B1813" s="70"/>
      <c r="C1813" s="70"/>
      <c r="D1813" s="70"/>
      <c r="E1813" s="70"/>
      <c r="F1813" s="2659"/>
      <c r="G1813" s="2659"/>
      <c r="H1813" s="2659"/>
      <c r="I1813" s="2660" t="s">
        <v>92</v>
      </c>
    </row>
    <row r="1814" spans="1:20" ht="14.25" thickTop="1" thickBot="1" x14ac:dyDescent="0.25">
      <c r="A1814" s="2661" t="s">
        <v>324</v>
      </c>
      <c r="B1814" s="2662" t="s">
        <v>93</v>
      </c>
      <c r="C1814" s="2663" t="s">
        <v>94</v>
      </c>
      <c r="D1814" s="2664" t="s">
        <v>364</v>
      </c>
      <c r="E1814" s="2664" t="s">
        <v>95</v>
      </c>
      <c r="F1814" s="2664" t="s">
        <v>328</v>
      </c>
      <c r="G1814" s="2664" t="s">
        <v>329</v>
      </c>
      <c r="H1814" s="2665" t="s">
        <v>448</v>
      </c>
      <c r="I1814" s="2666" t="s">
        <v>449</v>
      </c>
    </row>
    <row r="1815" spans="1:20" ht="14.25" thickTop="1" thickBot="1" x14ac:dyDescent="0.25">
      <c r="A1815" s="2667">
        <v>1</v>
      </c>
      <c r="B1815" s="2668">
        <v>2</v>
      </c>
      <c r="C1815" s="2668">
        <v>3</v>
      </c>
      <c r="D1815" s="2668">
        <v>4</v>
      </c>
      <c r="E1815" s="2668">
        <v>5</v>
      </c>
      <c r="F1815" s="2669">
        <v>6</v>
      </c>
      <c r="G1815" s="2669">
        <v>7</v>
      </c>
      <c r="H1815" s="2670">
        <v>8</v>
      </c>
      <c r="I1815" s="2671" t="s">
        <v>393</v>
      </c>
    </row>
    <row r="1816" spans="1:20" ht="15.75" thickTop="1" x14ac:dyDescent="0.25">
      <c r="A1816" s="2672">
        <v>1608</v>
      </c>
      <c r="B1816" s="2673">
        <v>3315</v>
      </c>
      <c r="C1816" s="2673">
        <v>5331</v>
      </c>
      <c r="D1816" s="2685"/>
      <c r="E1816" s="2675" t="s">
        <v>481</v>
      </c>
      <c r="F1816" s="2676">
        <f>F1818+F1819+F1820+F1821+F1822+F1817</f>
        <v>2886</v>
      </c>
      <c r="G1816" s="2676">
        <f t="shared" ref="G1816" si="455">G1818+G1819+G1820+G1821+G1822+G1817</f>
        <v>3092</v>
      </c>
      <c r="H1816" s="2676">
        <f t="shared" ref="H1816" si="456">H1818+H1819+H1820+H1821+H1822+H1817</f>
        <v>3092</v>
      </c>
      <c r="I1816" s="2677">
        <f t="shared" ref="I1816:I1827" si="457">H1816/G1816*100</f>
        <v>100</v>
      </c>
    </row>
    <row r="1817" spans="1:20" ht="28.5" hidden="1" x14ac:dyDescent="0.2">
      <c r="A1817" s="2624"/>
      <c r="B1817" s="151"/>
      <c r="C1817" s="151"/>
      <c r="D1817" s="925" t="s">
        <v>956</v>
      </c>
      <c r="E1817" s="2684" t="s">
        <v>1585</v>
      </c>
      <c r="F1817" s="2678"/>
      <c r="G1817" s="2678"/>
      <c r="H1817" s="2678"/>
      <c r="I1817" s="2647" t="e">
        <f t="shared" si="457"/>
        <v>#DIV/0!</v>
      </c>
    </row>
    <row r="1818" spans="1:20" ht="14.25" x14ac:dyDescent="0.2">
      <c r="A1818" s="2624"/>
      <c r="B1818" s="151"/>
      <c r="C1818" s="151"/>
      <c r="D1818" s="2630" t="s">
        <v>1394</v>
      </c>
      <c r="E1818" s="923" t="s">
        <v>1537</v>
      </c>
      <c r="F1818" s="2628">
        <v>1170</v>
      </c>
      <c r="G1818" s="2682">
        <v>1310</v>
      </c>
      <c r="H1818" s="2628">
        <v>1310</v>
      </c>
      <c r="I1818" s="2647">
        <f t="shared" si="457"/>
        <v>100</v>
      </c>
    </row>
    <row r="1819" spans="1:20" ht="14.25" hidden="1" x14ac:dyDescent="0.2">
      <c r="A1819" s="2624"/>
      <c r="B1819" s="151"/>
      <c r="C1819" s="151"/>
      <c r="D1819" s="811" t="s">
        <v>994</v>
      </c>
      <c r="E1819" s="2627" t="s">
        <v>1541</v>
      </c>
      <c r="F1819" s="2628"/>
      <c r="G1819" s="2628"/>
      <c r="H1819" s="2628"/>
      <c r="I1819" s="2683" t="e">
        <f t="shared" si="457"/>
        <v>#DIV/0!</v>
      </c>
    </row>
    <row r="1820" spans="1:20" ht="14.25" x14ac:dyDescent="0.2">
      <c r="A1820" s="2624"/>
      <c r="B1820" s="151"/>
      <c r="C1820" s="151"/>
      <c r="D1820" s="811" t="s">
        <v>993</v>
      </c>
      <c r="E1820" s="2627" t="s">
        <v>1538</v>
      </c>
      <c r="F1820" s="2628">
        <v>1216</v>
      </c>
      <c r="G1820" s="2628">
        <v>1282</v>
      </c>
      <c r="H1820" s="2628">
        <v>1282</v>
      </c>
      <c r="I1820" s="2683">
        <f t="shared" si="457"/>
        <v>100</v>
      </c>
    </row>
    <row r="1821" spans="1:20" ht="14.25" x14ac:dyDescent="0.2">
      <c r="A1821" s="2624"/>
      <c r="B1821" s="151"/>
      <c r="C1821" s="151"/>
      <c r="D1821" s="811" t="s">
        <v>1395</v>
      </c>
      <c r="E1821" s="2627" t="s">
        <v>1539</v>
      </c>
      <c r="F1821" s="2628">
        <v>350</v>
      </c>
      <c r="G1821" s="2628">
        <v>350</v>
      </c>
      <c r="H1821" s="2628">
        <v>350</v>
      </c>
      <c r="I1821" s="2683">
        <f t="shared" si="457"/>
        <v>100</v>
      </c>
    </row>
    <row r="1822" spans="1:20" ht="15" thickBot="1" x14ac:dyDescent="0.25">
      <c r="A1822" s="2624"/>
      <c r="B1822" s="151"/>
      <c r="C1822" s="151"/>
      <c r="D1822" s="2625" t="s">
        <v>1414</v>
      </c>
      <c r="E1822" s="2627" t="s">
        <v>1582</v>
      </c>
      <c r="F1822" s="2628">
        <v>150</v>
      </c>
      <c r="G1822" s="2628">
        <v>150</v>
      </c>
      <c r="H1822" s="2628">
        <v>150</v>
      </c>
      <c r="I1822" s="2647">
        <f t="shared" si="457"/>
        <v>100</v>
      </c>
    </row>
    <row r="1823" spans="1:20" ht="15" hidden="1" x14ac:dyDescent="0.25">
      <c r="A1823" s="2624">
        <v>1608</v>
      </c>
      <c r="B1823" s="19">
        <v>3316</v>
      </c>
      <c r="C1823" s="19">
        <v>5331</v>
      </c>
      <c r="D1823" s="2681"/>
      <c r="E1823" s="845" t="s">
        <v>481</v>
      </c>
      <c r="F1823" s="29">
        <f>F1824+F1825</f>
        <v>0</v>
      </c>
      <c r="G1823" s="2642">
        <f t="shared" ref="G1823" si="458">G1824+G1825</f>
        <v>0</v>
      </c>
      <c r="H1823" s="29">
        <f t="shared" ref="H1823" si="459">H1824+H1825</f>
        <v>0</v>
      </c>
      <c r="I1823" s="2643" t="e">
        <f t="shared" si="457"/>
        <v>#DIV/0!</v>
      </c>
    </row>
    <row r="1824" spans="1:20" ht="15" hidden="1" thickBot="1" x14ac:dyDescent="0.25">
      <c r="A1824" s="2624"/>
      <c r="B1824" s="151"/>
      <c r="C1824" s="151"/>
      <c r="D1824" s="2630" t="s">
        <v>1394</v>
      </c>
      <c r="E1824" s="923" t="s">
        <v>1537</v>
      </c>
      <c r="F1824" s="2678"/>
      <c r="G1824" s="2678"/>
      <c r="H1824" s="2678"/>
      <c r="I1824" s="2647" t="e">
        <f t="shared" si="457"/>
        <v>#DIV/0!</v>
      </c>
    </row>
    <row r="1825" spans="1:20" ht="15" hidden="1" thickBot="1" x14ac:dyDescent="0.25">
      <c r="A1825" s="2624"/>
      <c r="B1825" s="151"/>
      <c r="C1825" s="151"/>
      <c r="D1825" s="811" t="s">
        <v>994</v>
      </c>
      <c r="E1825" s="2627" t="s">
        <v>1541</v>
      </c>
      <c r="F1825" s="2646"/>
      <c r="G1825" s="2646"/>
      <c r="H1825" s="2646"/>
      <c r="I1825" s="2647" t="e">
        <f t="shared" si="457"/>
        <v>#DIV/0!</v>
      </c>
    </row>
    <row r="1826" spans="1:20" ht="15" hidden="1" x14ac:dyDescent="0.25">
      <c r="A1826" s="2624">
        <v>1600</v>
      </c>
      <c r="B1826" s="19">
        <v>3316</v>
      </c>
      <c r="C1826" s="19">
        <v>5331</v>
      </c>
      <c r="D1826" s="2681"/>
      <c r="E1826" s="845" t="s">
        <v>481</v>
      </c>
      <c r="F1826" s="29">
        <f>F1827+F1828+F1829+F1830</f>
        <v>0</v>
      </c>
      <c r="G1826" s="29">
        <f t="shared" ref="G1826" si="460">G1827+G1828+G1829+G1830</f>
        <v>0</v>
      </c>
      <c r="H1826" s="29">
        <f t="shared" ref="H1826" si="461">H1827+H1828+H1829+H1830</f>
        <v>0</v>
      </c>
      <c r="I1826" s="2643" t="e">
        <f t="shared" si="457"/>
        <v>#DIV/0!</v>
      </c>
    </row>
    <row r="1827" spans="1:20" ht="14.25" hidden="1" x14ac:dyDescent="0.2">
      <c r="A1827" s="2624"/>
      <c r="B1827" s="151"/>
      <c r="C1827" s="151"/>
      <c r="D1827" s="2630" t="s">
        <v>1394</v>
      </c>
      <c r="E1827" s="923" t="s">
        <v>1537</v>
      </c>
      <c r="F1827" s="2628"/>
      <c r="G1827" s="2628"/>
      <c r="H1827" s="2628"/>
      <c r="I1827" s="2679" t="e">
        <f t="shared" si="457"/>
        <v>#DIV/0!</v>
      </c>
    </row>
    <row r="1828" spans="1:20" ht="14.25" hidden="1" x14ac:dyDescent="0.2">
      <c r="A1828" s="2624"/>
      <c r="B1828" s="151"/>
      <c r="C1828" s="151"/>
      <c r="D1828" s="811" t="s">
        <v>994</v>
      </c>
      <c r="E1828" s="2627" t="s">
        <v>1541</v>
      </c>
      <c r="F1828" s="2628"/>
      <c r="G1828" s="2628"/>
      <c r="H1828" s="2628"/>
      <c r="I1828" s="2679" t="e">
        <f t="shared" ref="I1828:I1830" si="462">H1828/G1828*100</f>
        <v>#DIV/0!</v>
      </c>
    </row>
    <row r="1829" spans="1:20" ht="14.25" hidden="1" x14ac:dyDescent="0.2">
      <c r="A1829" s="2624"/>
      <c r="B1829" s="151"/>
      <c r="C1829" s="151"/>
      <c r="D1829" s="811" t="s">
        <v>993</v>
      </c>
      <c r="E1829" s="2627" t="s">
        <v>1538</v>
      </c>
      <c r="F1829" s="2628"/>
      <c r="G1829" s="2628"/>
      <c r="H1829" s="2628"/>
      <c r="I1829" s="2679" t="e">
        <f t="shared" si="462"/>
        <v>#DIV/0!</v>
      </c>
    </row>
    <row r="1830" spans="1:20" ht="15" hidden="1" thickBot="1" x14ac:dyDescent="0.25">
      <c r="A1830" s="2624"/>
      <c r="B1830" s="151"/>
      <c r="C1830" s="151"/>
      <c r="D1830" s="811" t="s">
        <v>1395</v>
      </c>
      <c r="E1830" s="2627" t="s">
        <v>1539</v>
      </c>
      <c r="F1830" s="2628"/>
      <c r="G1830" s="2628"/>
      <c r="H1830" s="2628"/>
      <c r="I1830" s="2679" t="e">
        <f t="shared" si="462"/>
        <v>#DIV/0!</v>
      </c>
    </row>
    <row r="1831" spans="1:20" ht="16.5" thickTop="1" thickBot="1" x14ac:dyDescent="0.3">
      <c r="A1831" s="3241" t="s">
        <v>522</v>
      </c>
      <c r="B1831" s="3242"/>
      <c r="C1831" s="3242"/>
      <c r="D1831" s="3242"/>
      <c r="E1831" s="3300"/>
      <c r="F1831" s="2648">
        <f>F1816+F1823+F1826</f>
        <v>2886</v>
      </c>
      <c r="G1831" s="2648">
        <f>G1816+G1823+G1826</f>
        <v>3092</v>
      </c>
      <c r="H1831" s="2648">
        <f t="shared" ref="H1831" si="463">H1816+H1823+H1826</f>
        <v>3092</v>
      </c>
      <c r="I1831" s="2649">
        <v>100</v>
      </c>
      <c r="R1831" s="2691">
        <f>F1831</f>
        <v>2886</v>
      </c>
      <c r="S1831" s="2691">
        <f t="shared" ref="S1831:T1831" si="464">G1831</f>
        <v>3092</v>
      </c>
      <c r="T1831" s="2691">
        <f t="shared" si="464"/>
        <v>3092</v>
      </c>
    </row>
    <row r="1832" spans="1:20" ht="15.75" thickTop="1" x14ac:dyDescent="0.25">
      <c r="A1832" s="2640">
        <v>1608</v>
      </c>
      <c r="B1832" s="19">
        <v>3315</v>
      </c>
      <c r="C1832" s="151">
        <v>6351</v>
      </c>
      <c r="D1832" s="2641"/>
      <c r="E1832" s="845" t="s">
        <v>551</v>
      </c>
      <c r="F1832" s="2642">
        <f>F1833</f>
        <v>0</v>
      </c>
      <c r="G1832" s="2642">
        <f t="shared" ref="G1832:H1832" si="465">G1833</f>
        <v>362</v>
      </c>
      <c r="H1832" s="2642">
        <f t="shared" si="465"/>
        <v>362</v>
      </c>
      <c r="I1832" s="2643">
        <f>H1832/G1832*100</f>
        <v>100</v>
      </c>
      <c r="R1832" s="2691">
        <f>F1834</f>
        <v>0</v>
      </c>
      <c r="S1832" s="2691">
        <f t="shared" ref="S1832:T1832" si="466">G1834</f>
        <v>362</v>
      </c>
      <c r="T1832" s="2691">
        <f t="shared" si="466"/>
        <v>362</v>
      </c>
    </row>
    <row r="1833" spans="1:20" ht="29.25" thickBot="1" x14ac:dyDescent="0.25">
      <c r="A1833" s="2644"/>
      <c r="B1833" s="822"/>
      <c r="C1833" s="2645"/>
      <c r="D1833" s="3034" t="s">
        <v>956</v>
      </c>
      <c r="E1833" s="2653" t="s">
        <v>1586</v>
      </c>
      <c r="F1833" s="3046">
        <v>0</v>
      </c>
      <c r="G1833" s="3047">
        <v>362</v>
      </c>
      <c r="H1833" s="3048">
        <v>362</v>
      </c>
      <c r="I1833" s="903">
        <f>H1833/G1833*100</f>
        <v>100</v>
      </c>
      <c r="R1833" s="2691">
        <f>R1831+R1832</f>
        <v>2886</v>
      </c>
      <c r="S1833" s="2691">
        <f t="shared" ref="S1833:T1833" si="467">S1831+S1832</f>
        <v>3454</v>
      </c>
      <c r="T1833" s="2691">
        <f t="shared" si="467"/>
        <v>3454</v>
      </c>
    </row>
    <row r="1834" spans="1:20" ht="16.5" thickTop="1" thickBot="1" x14ac:dyDescent="0.3">
      <c r="A1834" s="3241" t="s">
        <v>523</v>
      </c>
      <c r="B1834" s="3242"/>
      <c r="C1834" s="3242"/>
      <c r="D1834" s="3242"/>
      <c r="E1834" s="3243"/>
      <c r="F1834" s="2648">
        <f>F1832</f>
        <v>0</v>
      </c>
      <c r="G1834" s="2648">
        <f t="shared" ref="G1834:H1834" si="468">G1832</f>
        <v>362</v>
      </c>
      <c r="H1834" s="2648">
        <f t="shared" si="468"/>
        <v>362</v>
      </c>
      <c r="I1834" s="2649">
        <v>100</v>
      </c>
    </row>
    <row r="1835" spans="1:20" ht="13.5" thickTop="1" x14ac:dyDescent="0.2"/>
    <row r="1837" spans="1:20" ht="18" x14ac:dyDescent="0.25">
      <c r="A1837" s="2687" t="s">
        <v>1599</v>
      </c>
    </row>
    <row r="1838" spans="1:20" ht="13.5" thickBot="1" x14ac:dyDescent="0.25">
      <c r="A1838" s="70" t="s">
        <v>1591</v>
      </c>
      <c r="B1838" s="70"/>
      <c r="C1838" s="70"/>
      <c r="D1838" s="70"/>
      <c r="E1838" s="70"/>
      <c r="F1838" s="2659"/>
      <c r="G1838" s="2659"/>
      <c r="H1838" s="2659"/>
      <c r="I1838" s="2660" t="s">
        <v>92</v>
      </c>
    </row>
    <row r="1839" spans="1:20" ht="14.25" thickTop="1" thickBot="1" x14ac:dyDescent="0.25">
      <c r="A1839" s="2661" t="s">
        <v>324</v>
      </c>
      <c r="B1839" s="2662" t="s">
        <v>93</v>
      </c>
      <c r="C1839" s="2663" t="s">
        <v>94</v>
      </c>
      <c r="D1839" s="2664" t="s">
        <v>364</v>
      </c>
      <c r="E1839" s="2664" t="s">
        <v>95</v>
      </c>
      <c r="F1839" s="2664" t="s">
        <v>328</v>
      </c>
      <c r="G1839" s="2664" t="s">
        <v>329</v>
      </c>
      <c r="H1839" s="2665" t="s">
        <v>448</v>
      </c>
      <c r="I1839" s="2666" t="s">
        <v>449</v>
      </c>
    </row>
    <row r="1840" spans="1:20" ht="14.25" thickTop="1" thickBot="1" x14ac:dyDescent="0.25">
      <c r="A1840" s="2667">
        <v>1</v>
      </c>
      <c r="B1840" s="2668">
        <v>2</v>
      </c>
      <c r="C1840" s="2668">
        <v>3</v>
      </c>
      <c r="D1840" s="2668">
        <v>4</v>
      </c>
      <c r="E1840" s="2668">
        <v>5</v>
      </c>
      <c r="F1840" s="2669">
        <v>6</v>
      </c>
      <c r="G1840" s="2669">
        <v>7</v>
      </c>
      <c r="H1840" s="2670">
        <v>8</v>
      </c>
      <c r="I1840" s="2671" t="s">
        <v>393</v>
      </c>
    </row>
    <row r="1841" spans="1:20" ht="15.75" thickTop="1" x14ac:dyDescent="0.25">
      <c r="A1841" s="2672">
        <v>1700</v>
      </c>
      <c r="B1841" s="2673">
        <v>3523</v>
      </c>
      <c r="C1841" s="2673">
        <v>5331</v>
      </c>
      <c r="D1841" s="2685"/>
      <c r="E1841" s="2675" t="s">
        <v>481</v>
      </c>
      <c r="F1841" s="2676">
        <f>F1843+F1844+F1845+F1846+F1847+F1842</f>
        <v>26595</v>
      </c>
      <c r="G1841" s="2676">
        <f t="shared" ref="G1841:H1841" si="469">G1843+G1844+G1845+G1846+G1847+G1842</f>
        <v>37084</v>
      </c>
      <c r="H1841" s="2676">
        <f t="shared" si="469"/>
        <v>37084</v>
      </c>
      <c r="I1841" s="2677">
        <f t="shared" ref="I1841:I1855" si="470">H1841/G1841*100</f>
        <v>100</v>
      </c>
    </row>
    <row r="1842" spans="1:20" ht="28.5" x14ac:dyDescent="0.2">
      <c r="A1842" s="2624"/>
      <c r="B1842" s="151"/>
      <c r="C1842" s="151"/>
      <c r="D1842" s="810" t="s">
        <v>963</v>
      </c>
      <c r="E1842" s="2684" t="s">
        <v>1592</v>
      </c>
      <c r="F1842" s="3049">
        <v>0</v>
      </c>
      <c r="G1842" s="3049">
        <v>799</v>
      </c>
      <c r="H1842" s="3049">
        <v>799</v>
      </c>
      <c r="I1842" s="3040">
        <f t="shared" si="470"/>
        <v>100</v>
      </c>
    </row>
    <row r="1843" spans="1:20" ht="14.25" x14ac:dyDescent="0.2">
      <c r="A1843" s="2624"/>
      <c r="B1843" s="151"/>
      <c r="C1843" s="151"/>
      <c r="D1843" s="2630" t="s">
        <v>1394</v>
      </c>
      <c r="E1843" s="923" t="s">
        <v>1537</v>
      </c>
      <c r="F1843" s="2628">
        <v>18114</v>
      </c>
      <c r="G1843" s="2682">
        <v>27963</v>
      </c>
      <c r="H1843" s="2628">
        <v>27963</v>
      </c>
      <c r="I1843" s="2647">
        <f t="shared" si="470"/>
        <v>100</v>
      </c>
    </row>
    <row r="1844" spans="1:20" ht="14.25" hidden="1" x14ac:dyDescent="0.2">
      <c r="A1844" s="2624"/>
      <c r="B1844" s="151"/>
      <c r="C1844" s="151"/>
      <c r="D1844" s="811" t="s">
        <v>994</v>
      </c>
      <c r="E1844" s="2627" t="s">
        <v>1541</v>
      </c>
      <c r="F1844" s="2628"/>
      <c r="G1844" s="2628"/>
      <c r="H1844" s="2628"/>
      <c r="I1844" s="2683" t="e">
        <f t="shared" si="470"/>
        <v>#DIV/0!</v>
      </c>
    </row>
    <row r="1845" spans="1:20" ht="15" thickBot="1" x14ac:dyDescent="0.25">
      <c r="A1845" s="2624"/>
      <c r="B1845" s="151"/>
      <c r="C1845" s="151"/>
      <c r="D1845" s="811" t="s">
        <v>993</v>
      </c>
      <c r="E1845" s="2627" t="s">
        <v>1538</v>
      </c>
      <c r="F1845" s="2628">
        <v>8481</v>
      </c>
      <c r="G1845" s="2628">
        <v>8322</v>
      </c>
      <c r="H1845" s="2628">
        <v>8322</v>
      </c>
      <c r="I1845" s="2683">
        <f t="shared" si="470"/>
        <v>100</v>
      </c>
    </row>
    <row r="1846" spans="1:20" ht="14.25" hidden="1" x14ac:dyDescent="0.2">
      <c r="A1846" s="2624"/>
      <c r="B1846" s="151"/>
      <c r="C1846" s="151"/>
      <c r="D1846" s="811" t="s">
        <v>1395</v>
      </c>
      <c r="E1846" s="2627" t="s">
        <v>1539</v>
      </c>
      <c r="F1846" s="2628"/>
      <c r="G1846" s="2628"/>
      <c r="H1846" s="2628"/>
      <c r="I1846" s="2683" t="e">
        <f t="shared" si="470"/>
        <v>#DIV/0!</v>
      </c>
    </row>
    <row r="1847" spans="1:20" ht="15" hidden="1" thickBot="1" x14ac:dyDescent="0.25">
      <c r="A1847" s="2624"/>
      <c r="B1847" s="151"/>
      <c r="C1847" s="151"/>
      <c r="D1847" s="811" t="s">
        <v>1396</v>
      </c>
      <c r="E1847" s="2627" t="s">
        <v>1584</v>
      </c>
      <c r="F1847" s="2628"/>
      <c r="G1847" s="2628"/>
      <c r="H1847" s="2628"/>
      <c r="I1847" s="2647">
        <v>0</v>
      </c>
    </row>
    <row r="1848" spans="1:20" ht="15" hidden="1" x14ac:dyDescent="0.25">
      <c r="A1848" s="2624">
        <v>1608</v>
      </c>
      <c r="B1848" s="19">
        <v>3316</v>
      </c>
      <c r="C1848" s="19">
        <v>5331</v>
      </c>
      <c r="D1848" s="2681"/>
      <c r="E1848" s="845" t="s">
        <v>481</v>
      </c>
      <c r="F1848" s="29">
        <f>F1849+F1850</f>
        <v>0</v>
      </c>
      <c r="G1848" s="2642">
        <f t="shared" ref="G1848:H1848" si="471">G1849+G1850</f>
        <v>0</v>
      </c>
      <c r="H1848" s="29">
        <f t="shared" si="471"/>
        <v>0</v>
      </c>
      <c r="I1848" s="2643" t="e">
        <f t="shared" si="470"/>
        <v>#DIV/0!</v>
      </c>
    </row>
    <row r="1849" spans="1:20" ht="14.25" hidden="1" x14ac:dyDescent="0.2">
      <c r="A1849" s="2624"/>
      <c r="B1849" s="151"/>
      <c r="C1849" s="151"/>
      <c r="D1849" s="2630" t="s">
        <v>1394</v>
      </c>
      <c r="E1849" s="923" t="s">
        <v>1537</v>
      </c>
      <c r="F1849" s="2678">
        <v>0</v>
      </c>
      <c r="G1849" s="2678"/>
      <c r="H1849" s="2678"/>
      <c r="I1849" s="2647" t="e">
        <f t="shared" si="470"/>
        <v>#DIV/0!</v>
      </c>
    </row>
    <row r="1850" spans="1:20" ht="14.25" hidden="1" x14ac:dyDescent="0.2">
      <c r="A1850" s="2624"/>
      <c r="B1850" s="151"/>
      <c r="C1850" s="151"/>
      <c r="D1850" s="811" t="s">
        <v>994</v>
      </c>
      <c r="E1850" s="2627" t="s">
        <v>1541</v>
      </c>
      <c r="F1850" s="2646"/>
      <c r="G1850" s="2646"/>
      <c r="H1850" s="2646"/>
      <c r="I1850" s="2647" t="e">
        <f t="shared" si="470"/>
        <v>#DIV/0!</v>
      </c>
    </row>
    <row r="1851" spans="1:20" ht="15" hidden="1" x14ac:dyDescent="0.25">
      <c r="A1851" s="2624">
        <v>1600</v>
      </c>
      <c r="B1851" s="19">
        <v>3316</v>
      </c>
      <c r="C1851" s="19">
        <v>5331</v>
      </c>
      <c r="D1851" s="2681"/>
      <c r="E1851" s="845" t="s">
        <v>481</v>
      </c>
      <c r="F1851" s="29">
        <f>F1852+F1853+F1854+F1855</f>
        <v>0</v>
      </c>
      <c r="G1851" s="29">
        <f t="shared" ref="G1851:H1851" si="472">G1852+G1853+G1854+G1855</f>
        <v>0</v>
      </c>
      <c r="H1851" s="29">
        <f t="shared" si="472"/>
        <v>0</v>
      </c>
      <c r="I1851" s="2643" t="e">
        <f t="shared" si="470"/>
        <v>#DIV/0!</v>
      </c>
    </row>
    <row r="1852" spans="1:20" ht="14.25" hidden="1" x14ac:dyDescent="0.2">
      <c r="A1852" s="2624"/>
      <c r="B1852" s="151"/>
      <c r="C1852" s="151"/>
      <c r="D1852" s="2630" t="s">
        <v>1394</v>
      </c>
      <c r="E1852" s="923" t="s">
        <v>1537</v>
      </c>
      <c r="F1852" s="2628"/>
      <c r="G1852" s="2628"/>
      <c r="H1852" s="2628"/>
      <c r="I1852" s="2679" t="e">
        <f t="shared" si="470"/>
        <v>#DIV/0!</v>
      </c>
    </row>
    <row r="1853" spans="1:20" ht="14.25" hidden="1" x14ac:dyDescent="0.2">
      <c r="A1853" s="2624"/>
      <c r="B1853" s="151"/>
      <c r="C1853" s="151"/>
      <c r="D1853" s="811" t="s">
        <v>994</v>
      </c>
      <c r="E1853" s="2627" t="s">
        <v>1541</v>
      </c>
      <c r="F1853" s="2628"/>
      <c r="G1853" s="2628"/>
      <c r="H1853" s="2628"/>
      <c r="I1853" s="2679" t="e">
        <f t="shared" si="470"/>
        <v>#DIV/0!</v>
      </c>
    </row>
    <row r="1854" spans="1:20" ht="14.25" hidden="1" x14ac:dyDescent="0.2">
      <c r="A1854" s="2624"/>
      <c r="B1854" s="151"/>
      <c r="C1854" s="151"/>
      <c r="D1854" s="811" t="s">
        <v>993</v>
      </c>
      <c r="E1854" s="2627" t="s">
        <v>1538</v>
      </c>
      <c r="F1854" s="2628"/>
      <c r="G1854" s="2628"/>
      <c r="H1854" s="2628"/>
      <c r="I1854" s="2679" t="e">
        <f t="shared" si="470"/>
        <v>#DIV/0!</v>
      </c>
    </row>
    <row r="1855" spans="1:20" ht="15" hidden="1" thickBot="1" x14ac:dyDescent="0.25">
      <c r="A1855" s="2624"/>
      <c r="B1855" s="151"/>
      <c r="C1855" s="151"/>
      <c r="D1855" s="811" t="s">
        <v>1395</v>
      </c>
      <c r="E1855" s="2627" t="s">
        <v>1539</v>
      </c>
      <c r="F1855" s="2628"/>
      <c r="G1855" s="2628"/>
      <c r="H1855" s="2628"/>
      <c r="I1855" s="2679" t="e">
        <f t="shared" si="470"/>
        <v>#DIV/0!</v>
      </c>
    </row>
    <row r="1856" spans="1:20" ht="16.5" thickTop="1" thickBot="1" x14ac:dyDescent="0.3">
      <c r="A1856" s="3241" t="s">
        <v>522</v>
      </c>
      <c r="B1856" s="3242"/>
      <c r="C1856" s="3242"/>
      <c r="D1856" s="3242"/>
      <c r="E1856" s="3300"/>
      <c r="F1856" s="2648">
        <f>F1841+F1848+F1851</f>
        <v>26595</v>
      </c>
      <c r="G1856" s="2648">
        <f>G1841+G1848+G1851</f>
        <v>37084</v>
      </c>
      <c r="H1856" s="2648">
        <f t="shared" ref="H1856" si="473">H1841+H1848+H1851</f>
        <v>37084</v>
      </c>
      <c r="I1856" s="2649">
        <v>100</v>
      </c>
      <c r="R1856" s="2691">
        <f>F1856</f>
        <v>26595</v>
      </c>
      <c r="S1856" s="2691">
        <f t="shared" ref="S1856:T1856" si="474">G1856</f>
        <v>37084</v>
      </c>
      <c r="T1856" s="2691">
        <f t="shared" si="474"/>
        <v>37084</v>
      </c>
    </row>
    <row r="1857" spans="1:20" ht="15.75" thickTop="1" x14ac:dyDescent="0.25">
      <c r="A1857" s="2640">
        <v>1700</v>
      </c>
      <c r="B1857" s="19">
        <v>3523</v>
      </c>
      <c r="C1857" s="151">
        <v>6351</v>
      </c>
      <c r="D1857" s="2641"/>
      <c r="E1857" s="845" t="s">
        <v>551</v>
      </c>
      <c r="F1857" s="2642">
        <f>F1858</f>
        <v>0</v>
      </c>
      <c r="G1857" s="2642">
        <f t="shared" ref="G1857:H1857" si="475">G1858</f>
        <v>4196</v>
      </c>
      <c r="H1857" s="2642">
        <f t="shared" si="475"/>
        <v>4196</v>
      </c>
      <c r="I1857" s="2643">
        <f>H1857/G1857*100</f>
        <v>100</v>
      </c>
      <c r="R1857" s="2691">
        <f>F1859</f>
        <v>0</v>
      </c>
      <c r="S1857" s="2691">
        <f t="shared" ref="S1857:T1857" si="476">G1859</f>
        <v>4196</v>
      </c>
      <c r="T1857" s="2691">
        <f t="shared" si="476"/>
        <v>4196</v>
      </c>
    </row>
    <row r="1858" spans="1:20" ht="29.25" thickBot="1" x14ac:dyDescent="0.25">
      <c r="A1858" s="2644"/>
      <c r="B1858" s="822"/>
      <c r="C1858" s="2645"/>
      <c r="D1858" s="810" t="s">
        <v>963</v>
      </c>
      <c r="E1858" s="2684" t="s">
        <v>1592</v>
      </c>
      <c r="F1858" s="3046">
        <v>0</v>
      </c>
      <c r="G1858" s="3047">
        <v>4196</v>
      </c>
      <c r="H1858" s="3048">
        <v>4196</v>
      </c>
      <c r="I1858" s="903">
        <f>H1858/G1858*100</f>
        <v>100</v>
      </c>
      <c r="R1858" s="2691">
        <f>R1856+R1857</f>
        <v>26595</v>
      </c>
      <c r="S1858" s="2691">
        <f t="shared" ref="S1858:T1858" si="477">S1856+S1857</f>
        <v>41280</v>
      </c>
      <c r="T1858" s="2691">
        <f t="shared" si="477"/>
        <v>41280</v>
      </c>
    </row>
    <row r="1859" spans="1:20" ht="16.5" thickTop="1" thickBot="1" x14ac:dyDescent="0.3">
      <c r="A1859" s="3241" t="s">
        <v>523</v>
      </c>
      <c r="B1859" s="3242"/>
      <c r="C1859" s="3242"/>
      <c r="D1859" s="3242"/>
      <c r="E1859" s="3243"/>
      <c r="F1859" s="2648">
        <f>F1857</f>
        <v>0</v>
      </c>
      <c r="G1859" s="2648">
        <f t="shared" ref="G1859:H1859" si="478">G1857</f>
        <v>4196</v>
      </c>
      <c r="H1859" s="2648">
        <f t="shared" si="478"/>
        <v>4196</v>
      </c>
      <c r="I1859" s="2649">
        <v>100</v>
      </c>
    </row>
    <row r="1860" spans="1:20" ht="13.5" thickTop="1" x14ac:dyDescent="0.2"/>
    <row r="1862" spans="1:20" hidden="1" x14ac:dyDescent="0.2"/>
    <row r="1863" spans="1:20" hidden="1" x14ac:dyDescent="0.2"/>
    <row r="1864" spans="1:20" hidden="1" x14ac:dyDescent="0.2"/>
    <row r="1865" spans="1:20" hidden="1" x14ac:dyDescent="0.2"/>
    <row r="1866" spans="1:20" ht="13.5" thickBot="1" x14ac:dyDescent="0.25">
      <c r="A1866" s="70" t="s">
        <v>1593</v>
      </c>
      <c r="B1866" s="70"/>
      <c r="C1866" s="70"/>
      <c r="D1866" s="70"/>
      <c r="E1866" s="70"/>
      <c r="F1866" s="2659"/>
      <c r="G1866" s="2659"/>
      <c r="H1866" s="2659"/>
      <c r="I1866" s="2660" t="s">
        <v>92</v>
      </c>
    </row>
    <row r="1867" spans="1:20" ht="14.25" thickTop="1" thickBot="1" x14ac:dyDescent="0.25">
      <c r="A1867" s="2661" t="s">
        <v>324</v>
      </c>
      <c r="B1867" s="2662" t="s">
        <v>93</v>
      </c>
      <c r="C1867" s="2663" t="s">
        <v>94</v>
      </c>
      <c r="D1867" s="2664" t="s">
        <v>364</v>
      </c>
      <c r="E1867" s="2664" t="s">
        <v>95</v>
      </c>
      <c r="F1867" s="2664" t="s">
        <v>328</v>
      </c>
      <c r="G1867" s="2664" t="s">
        <v>329</v>
      </c>
      <c r="H1867" s="2665" t="s">
        <v>448</v>
      </c>
      <c r="I1867" s="2666" t="s">
        <v>449</v>
      </c>
    </row>
    <row r="1868" spans="1:20" ht="14.25" thickTop="1" thickBot="1" x14ac:dyDescent="0.25">
      <c r="A1868" s="2667">
        <v>1</v>
      </c>
      <c r="B1868" s="2668">
        <v>2</v>
      </c>
      <c r="C1868" s="2668">
        <v>3</v>
      </c>
      <c r="D1868" s="2668">
        <v>4</v>
      </c>
      <c r="E1868" s="2668">
        <v>5</v>
      </c>
      <c r="F1868" s="2669">
        <v>6</v>
      </c>
      <c r="G1868" s="2669">
        <v>7</v>
      </c>
      <c r="H1868" s="2670">
        <v>8</v>
      </c>
      <c r="I1868" s="2671" t="s">
        <v>393</v>
      </c>
    </row>
    <row r="1869" spans="1:20" ht="15.75" thickTop="1" x14ac:dyDescent="0.25">
      <c r="A1869" s="2672">
        <v>1702</v>
      </c>
      <c r="B1869" s="2673">
        <v>3529</v>
      </c>
      <c r="C1869" s="2673">
        <v>5331</v>
      </c>
      <c r="D1869" s="2685"/>
      <c r="E1869" s="2675" t="s">
        <v>481</v>
      </c>
      <c r="F1869" s="2676">
        <f>F1871+F1872+F1873+F1874+F1875+F1870</f>
        <v>41520</v>
      </c>
      <c r="G1869" s="2676">
        <f t="shared" ref="G1869:H1869" si="479">G1871+G1872+G1873+G1874+G1875+G1870</f>
        <v>44570</v>
      </c>
      <c r="H1869" s="2676">
        <f t="shared" si="479"/>
        <v>44570</v>
      </c>
      <c r="I1869" s="2677">
        <f t="shared" ref="I1869:I1874" si="480">H1869/G1869*100</f>
        <v>100</v>
      </c>
      <c r="R1869" s="2691">
        <f>F1884</f>
        <v>41520</v>
      </c>
      <c r="S1869" s="2691">
        <f>G1884</f>
        <v>44570</v>
      </c>
      <c r="T1869" s="2691">
        <f>H1884</f>
        <v>44570</v>
      </c>
    </row>
    <row r="1870" spans="1:20" ht="28.5" hidden="1" x14ac:dyDescent="0.2">
      <c r="A1870" s="2624"/>
      <c r="B1870" s="151"/>
      <c r="C1870" s="151"/>
      <c r="D1870" s="925" t="s">
        <v>963</v>
      </c>
      <c r="E1870" s="2684" t="s">
        <v>1592</v>
      </c>
      <c r="F1870" s="2678"/>
      <c r="G1870" s="2678"/>
      <c r="H1870" s="2678"/>
      <c r="I1870" s="2647" t="e">
        <f t="shared" si="480"/>
        <v>#DIV/0!</v>
      </c>
      <c r="R1870" s="2691">
        <f>F1887</f>
        <v>0</v>
      </c>
      <c r="S1870" s="2691">
        <f>G1887</f>
        <v>0</v>
      </c>
      <c r="T1870" s="2691">
        <f>H1887</f>
        <v>0</v>
      </c>
    </row>
    <row r="1871" spans="1:20" ht="14.25" x14ac:dyDescent="0.2">
      <c r="A1871" s="2624"/>
      <c r="B1871" s="151"/>
      <c r="C1871" s="151"/>
      <c r="D1871" s="2630" t="s">
        <v>1394</v>
      </c>
      <c r="E1871" s="923" t="s">
        <v>1537</v>
      </c>
      <c r="F1871" s="2628">
        <v>11310</v>
      </c>
      <c r="G1871" s="2682">
        <v>12210</v>
      </c>
      <c r="H1871" s="2628">
        <v>12210</v>
      </c>
      <c r="I1871" s="2647">
        <f t="shared" si="480"/>
        <v>100</v>
      </c>
      <c r="R1871" s="2691">
        <f>R1869+R1870</f>
        <v>41520</v>
      </c>
      <c r="S1871" s="2691">
        <f t="shared" ref="S1871:T1871" si="481">S1869+S1870</f>
        <v>44570</v>
      </c>
      <c r="T1871" s="2691">
        <f t="shared" si="481"/>
        <v>44570</v>
      </c>
    </row>
    <row r="1872" spans="1:20" ht="14.25" x14ac:dyDescent="0.2">
      <c r="A1872" s="2624"/>
      <c r="B1872" s="151"/>
      <c r="C1872" s="151"/>
      <c r="D1872" s="811" t="s">
        <v>994</v>
      </c>
      <c r="E1872" s="2627" t="s">
        <v>1541</v>
      </c>
      <c r="F1872" s="2628">
        <v>29320</v>
      </c>
      <c r="G1872" s="2628">
        <v>31470</v>
      </c>
      <c r="H1872" s="2628">
        <v>31470</v>
      </c>
      <c r="I1872" s="2683">
        <f t="shared" si="480"/>
        <v>100</v>
      </c>
    </row>
    <row r="1873" spans="1:9" ht="15" thickBot="1" x14ac:dyDescent="0.25">
      <c r="A1873" s="2624"/>
      <c r="B1873" s="151"/>
      <c r="C1873" s="151"/>
      <c r="D1873" s="811" t="s">
        <v>993</v>
      </c>
      <c r="E1873" s="2627" t="s">
        <v>1538</v>
      </c>
      <c r="F1873" s="2628">
        <v>890</v>
      </c>
      <c r="G1873" s="2628">
        <v>890</v>
      </c>
      <c r="H1873" s="2628">
        <v>890</v>
      </c>
      <c r="I1873" s="2683">
        <f t="shared" si="480"/>
        <v>100</v>
      </c>
    </row>
    <row r="1874" spans="1:9" ht="14.25" hidden="1" x14ac:dyDescent="0.2">
      <c r="A1874" s="2624"/>
      <c r="B1874" s="151"/>
      <c r="C1874" s="151"/>
      <c r="D1874" s="811" t="s">
        <v>1395</v>
      </c>
      <c r="E1874" s="2627" t="s">
        <v>1539</v>
      </c>
      <c r="F1874" s="2628"/>
      <c r="G1874" s="2628"/>
      <c r="H1874" s="2628"/>
      <c r="I1874" s="2683" t="e">
        <f t="shared" si="480"/>
        <v>#DIV/0!</v>
      </c>
    </row>
    <row r="1875" spans="1:9" ht="14.25" hidden="1" x14ac:dyDescent="0.2">
      <c r="A1875" s="2624"/>
      <c r="B1875" s="151"/>
      <c r="C1875" s="151"/>
      <c r="D1875" s="811" t="s">
        <v>1396</v>
      </c>
      <c r="E1875" s="2627" t="s">
        <v>1584</v>
      </c>
      <c r="F1875" s="2628"/>
      <c r="G1875" s="2628"/>
      <c r="H1875" s="2628"/>
      <c r="I1875" s="2647">
        <v>0</v>
      </c>
    </row>
    <row r="1876" spans="1:9" ht="15" hidden="1" x14ac:dyDescent="0.25">
      <c r="A1876" s="2624">
        <v>1608</v>
      </c>
      <c r="B1876" s="19">
        <v>3316</v>
      </c>
      <c r="C1876" s="19">
        <v>5331</v>
      </c>
      <c r="D1876" s="2681"/>
      <c r="E1876" s="845" t="s">
        <v>481</v>
      </c>
      <c r="F1876" s="29">
        <f>F1877+F1878</f>
        <v>0</v>
      </c>
      <c r="G1876" s="2642">
        <f t="shared" ref="G1876:H1876" si="482">G1877+G1878</f>
        <v>0</v>
      </c>
      <c r="H1876" s="29">
        <f t="shared" si="482"/>
        <v>0</v>
      </c>
      <c r="I1876" s="2643" t="e">
        <f t="shared" ref="I1876:I1883" si="483">H1876/G1876*100</f>
        <v>#DIV/0!</v>
      </c>
    </row>
    <row r="1877" spans="1:9" ht="14.25" hidden="1" x14ac:dyDescent="0.2">
      <c r="A1877" s="2624"/>
      <c r="B1877" s="151"/>
      <c r="C1877" s="151"/>
      <c r="D1877" s="2630" t="s">
        <v>1394</v>
      </c>
      <c r="E1877" s="923" t="s">
        <v>1537</v>
      </c>
      <c r="F1877" s="2678">
        <v>0</v>
      </c>
      <c r="G1877" s="2678"/>
      <c r="H1877" s="2678"/>
      <c r="I1877" s="2647" t="e">
        <f t="shared" si="483"/>
        <v>#DIV/0!</v>
      </c>
    </row>
    <row r="1878" spans="1:9" ht="14.25" hidden="1" x14ac:dyDescent="0.2">
      <c r="A1878" s="2624"/>
      <c r="B1878" s="151"/>
      <c r="C1878" s="151"/>
      <c r="D1878" s="811" t="s">
        <v>994</v>
      </c>
      <c r="E1878" s="2627" t="s">
        <v>1541</v>
      </c>
      <c r="F1878" s="2646"/>
      <c r="G1878" s="2646"/>
      <c r="H1878" s="2646"/>
      <c r="I1878" s="2647" t="e">
        <f t="shared" si="483"/>
        <v>#DIV/0!</v>
      </c>
    </row>
    <row r="1879" spans="1:9" ht="15" hidden="1" x14ac:dyDescent="0.25">
      <c r="A1879" s="2624">
        <v>1600</v>
      </c>
      <c r="B1879" s="19">
        <v>3316</v>
      </c>
      <c r="C1879" s="19">
        <v>5331</v>
      </c>
      <c r="D1879" s="2681"/>
      <c r="E1879" s="845" t="s">
        <v>481</v>
      </c>
      <c r="F1879" s="29">
        <f>F1880+F1881+F1882+F1883</f>
        <v>0</v>
      </c>
      <c r="G1879" s="29">
        <f t="shared" ref="G1879:H1879" si="484">G1880+G1881+G1882+G1883</f>
        <v>0</v>
      </c>
      <c r="H1879" s="29">
        <f t="shared" si="484"/>
        <v>0</v>
      </c>
      <c r="I1879" s="2643" t="e">
        <f t="shared" si="483"/>
        <v>#DIV/0!</v>
      </c>
    </row>
    <row r="1880" spans="1:9" ht="14.25" hidden="1" x14ac:dyDescent="0.2">
      <c r="A1880" s="2624"/>
      <c r="B1880" s="151"/>
      <c r="C1880" s="151"/>
      <c r="D1880" s="2630" t="s">
        <v>1394</v>
      </c>
      <c r="E1880" s="923" t="s">
        <v>1537</v>
      </c>
      <c r="F1880" s="2628"/>
      <c r="G1880" s="2628"/>
      <c r="H1880" s="2628"/>
      <c r="I1880" s="2679" t="e">
        <f t="shared" si="483"/>
        <v>#DIV/0!</v>
      </c>
    </row>
    <row r="1881" spans="1:9" ht="14.25" hidden="1" x14ac:dyDescent="0.2">
      <c r="A1881" s="2624"/>
      <c r="B1881" s="151"/>
      <c r="C1881" s="151"/>
      <c r="D1881" s="811" t="s">
        <v>994</v>
      </c>
      <c r="E1881" s="2627" t="s">
        <v>1541</v>
      </c>
      <c r="F1881" s="2628"/>
      <c r="G1881" s="2628"/>
      <c r="H1881" s="2628"/>
      <c r="I1881" s="2679" t="e">
        <f t="shared" si="483"/>
        <v>#DIV/0!</v>
      </c>
    </row>
    <row r="1882" spans="1:9" ht="14.25" hidden="1" x14ac:dyDescent="0.2">
      <c r="A1882" s="2624"/>
      <c r="B1882" s="151"/>
      <c r="C1882" s="151"/>
      <c r="D1882" s="811" t="s">
        <v>993</v>
      </c>
      <c r="E1882" s="2627" t="s">
        <v>1538</v>
      </c>
      <c r="F1882" s="2628"/>
      <c r="G1882" s="2628"/>
      <c r="H1882" s="2628"/>
      <c r="I1882" s="2679" t="e">
        <f t="shared" si="483"/>
        <v>#DIV/0!</v>
      </c>
    </row>
    <row r="1883" spans="1:9" ht="15" hidden="1" thickBot="1" x14ac:dyDescent="0.25">
      <c r="A1883" s="2624"/>
      <c r="B1883" s="151"/>
      <c r="C1883" s="151"/>
      <c r="D1883" s="811" t="s">
        <v>1395</v>
      </c>
      <c r="E1883" s="2627" t="s">
        <v>1539</v>
      </c>
      <c r="F1883" s="2628"/>
      <c r="G1883" s="2628"/>
      <c r="H1883" s="2628"/>
      <c r="I1883" s="2679" t="e">
        <f t="shared" si="483"/>
        <v>#DIV/0!</v>
      </c>
    </row>
    <row r="1884" spans="1:9" ht="16.5" thickTop="1" thickBot="1" x14ac:dyDescent="0.3">
      <c r="A1884" s="3241" t="s">
        <v>522</v>
      </c>
      <c r="B1884" s="3242"/>
      <c r="C1884" s="3242"/>
      <c r="D1884" s="3242"/>
      <c r="E1884" s="3300"/>
      <c r="F1884" s="2648">
        <f>F1869+F1876+F1879</f>
        <v>41520</v>
      </c>
      <c r="G1884" s="2648">
        <f>G1869+G1876+G1879</f>
        <v>44570</v>
      </c>
      <c r="H1884" s="2648">
        <f t="shared" ref="H1884" si="485">H1869+H1876+H1879</f>
        <v>44570</v>
      </c>
      <c r="I1884" s="2649">
        <v>100</v>
      </c>
    </row>
    <row r="1885" spans="1:9" ht="15.75" hidden="1" thickTop="1" x14ac:dyDescent="0.25">
      <c r="A1885" s="2640">
        <v>1702</v>
      </c>
      <c r="B1885" s="19">
        <v>3529</v>
      </c>
      <c r="C1885" s="151">
        <v>6351</v>
      </c>
      <c r="D1885" s="2641"/>
      <c r="E1885" s="845" t="s">
        <v>551</v>
      </c>
      <c r="F1885" s="2642">
        <f>F1886</f>
        <v>0</v>
      </c>
      <c r="G1885" s="2642">
        <f t="shared" ref="G1885:H1885" si="486">G1886</f>
        <v>0</v>
      </c>
      <c r="H1885" s="2642">
        <f t="shared" si="486"/>
        <v>0</v>
      </c>
      <c r="I1885" s="2643" t="e">
        <f>H1885/G1885*100</f>
        <v>#DIV/0!</v>
      </c>
    </row>
    <row r="1886" spans="1:9" ht="29.25" hidden="1" thickBot="1" x14ac:dyDescent="0.25">
      <c r="A1886" s="2644"/>
      <c r="B1886" s="822"/>
      <c r="C1886" s="2645"/>
      <c r="D1886" s="925" t="s">
        <v>963</v>
      </c>
      <c r="E1886" s="2684" t="s">
        <v>1592</v>
      </c>
      <c r="F1886" s="2654"/>
      <c r="G1886" s="2655"/>
      <c r="H1886" s="2656"/>
      <c r="I1886" s="2657" t="e">
        <f>H1886/G1886*100</f>
        <v>#DIV/0!</v>
      </c>
    </row>
    <row r="1887" spans="1:9" ht="16.5" hidden="1" thickTop="1" thickBot="1" x14ac:dyDescent="0.3">
      <c r="A1887" s="3241" t="s">
        <v>523</v>
      </c>
      <c r="B1887" s="3242"/>
      <c r="C1887" s="3242"/>
      <c r="D1887" s="3242"/>
      <c r="E1887" s="3243"/>
      <c r="F1887" s="2648">
        <f>F1885</f>
        <v>0</v>
      </c>
      <c r="G1887" s="2648">
        <f t="shared" ref="G1887:H1887" si="487">G1885</f>
        <v>0</v>
      </c>
      <c r="H1887" s="2648">
        <f t="shared" si="487"/>
        <v>0</v>
      </c>
      <c r="I1887" s="2649">
        <v>100</v>
      </c>
    </row>
    <row r="1888" spans="1:9" ht="13.5" thickTop="1" x14ac:dyDescent="0.2"/>
    <row r="1890" spans="1:9" ht="13.5" thickBot="1" x14ac:dyDescent="0.25">
      <c r="A1890" s="70" t="s">
        <v>1594</v>
      </c>
      <c r="B1890" s="70"/>
      <c r="C1890" s="70"/>
      <c r="D1890" s="70"/>
      <c r="E1890" s="70"/>
      <c r="F1890" s="2659"/>
      <c r="G1890" s="2659"/>
      <c r="H1890" s="2659"/>
      <c r="I1890" s="2660" t="s">
        <v>92</v>
      </c>
    </row>
    <row r="1891" spans="1:9" ht="14.25" thickTop="1" thickBot="1" x14ac:dyDescent="0.25">
      <c r="A1891" s="2661" t="s">
        <v>324</v>
      </c>
      <c r="B1891" s="2662" t="s">
        <v>93</v>
      </c>
      <c r="C1891" s="2663" t="s">
        <v>94</v>
      </c>
      <c r="D1891" s="2664" t="s">
        <v>364</v>
      </c>
      <c r="E1891" s="2664" t="s">
        <v>95</v>
      </c>
      <c r="F1891" s="2664" t="s">
        <v>328</v>
      </c>
      <c r="G1891" s="2664" t="s">
        <v>329</v>
      </c>
      <c r="H1891" s="2665" t="s">
        <v>448</v>
      </c>
      <c r="I1891" s="2666" t="s">
        <v>449</v>
      </c>
    </row>
    <row r="1892" spans="1:9" ht="14.25" thickTop="1" thickBot="1" x14ac:dyDescent="0.25">
      <c r="A1892" s="2667">
        <v>1</v>
      </c>
      <c r="B1892" s="2668">
        <v>2</v>
      </c>
      <c r="C1892" s="2668">
        <v>3</v>
      </c>
      <c r="D1892" s="2668">
        <v>4</v>
      </c>
      <c r="E1892" s="2668">
        <v>5</v>
      </c>
      <c r="F1892" s="2669">
        <v>6</v>
      </c>
      <c r="G1892" s="2669">
        <v>7</v>
      </c>
      <c r="H1892" s="2670">
        <v>8</v>
      </c>
      <c r="I1892" s="2671" t="s">
        <v>393</v>
      </c>
    </row>
    <row r="1893" spans="1:9" ht="15.75" thickTop="1" x14ac:dyDescent="0.25">
      <c r="A1893" s="2672">
        <v>1704</v>
      </c>
      <c r="B1893" s="2673">
        <v>3533</v>
      </c>
      <c r="C1893" s="2673">
        <v>5331</v>
      </c>
      <c r="D1893" s="2685"/>
      <c r="E1893" s="2675" t="s">
        <v>481</v>
      </c>
      <c r="F1893" s="2676">
        <f>F1896+F1897+F1898+F1899+F1900+F1894+F1895</f>
        <v>170133</v>
      </c>
      <c r="G1893" s="2676">
        <f>G1896+G1897+G1898+G1899+G1900+G1894+G1895</f>
        <v>191795</v>
      </c>
      <c r="H1893" s="2676">
        <f>H1896+H1897+H1898+H1899+H1900+H1894+H1895</f>
        <v>191795</v>
      </c>
      <c r="I1893" s="2677">
        <f t="shared" ref="I1893:I1900" si="488">H1893/G1893*100</f>
        <v>100</v>
      </c>
    </row>
    <row r="1894" spans="1:9" ht="28.5" x14ac:dyDescent="0.2">
      <c r="A1894" s="2624"/>
      <c r="B1894" s="151"/>
      <c r="C1894" s="151"/>
      <c r="D1894" s="810" t="s">
        <v>963</v>
      </c>
      <c r="E1894" s="2684" t="s">
        <v>1592</v>
      </c>
      <c r="F1894" s="3049">
        <v>0</v>
      </c>
      <c r="G1894" s="3049">
        <v>424</v>
      </c>
      <c r="H1894" s="3049">
        <v>424</v>
      </c>
      <c r="I1894" s="3040">
        <f t="shared" si="488"/>
        <v>100</v>
      </c>
    </row>
    <row r="1895" spans="1:9" ht="14.25" hidden="1" x14ac:dyDescent="0.2">
      <c r="A1895" s="2624"/>
      <c r="B1895" s="151"/>
      <c r="C1895" s="151"/>
      <c r="D1895" s="925" t="s">
        <v>906</v>
      </c>
      <c r="E1895" s="2684" t="s">
        <v>1543</v>
      </c>
      <c r="F1895" s="2678"/>
      <c r="G1895" s="2678"/>
      <c r="H1895" s="2678"/>
      <c r="I1895" s="2647" t="e">
        <f t="shared" si="488"/>
        <v>#DIV/0!</v>
      </c>
    </row>
    <row r="1896" spans="1:9" ht="14.25" x14ac:dyDescent="0.2">
      <c r="A1896" s="2624"/>
      <c r="B1896" s="151"/>
      <c r="C1896" s="151"/>
      <c r="D1896" s="2630" t="s">
        <v>1394</v>
      </c>
      <c r="E1896" s="923" t="s">
        <v>1537</v>
      </c>
      <c r="F1896" s="2628">
        <v>49154</v>
      </c>
      <c r="G1896" s="2682">
        <v>54115</v>
      </c>
      <c r="H1896" s="2628">
        <v>54115</v>
      </c>
      <c r="I1896" s="2647">
        <f t="shared" si="488"/>
        <v>100</v>
      </c>
    </row>
    <row r="1897" spans="1:9" ht="14.25" x14ac:dyDescent="0.2">
      <c r="A1897" s="2624"/>
      <c r="B1897" s="151"/>
      <c r="C1897" s="151"/>
      <c r="D1897" s="811" t="s">
        <v>994</v>
      </c>
      <c r="E1897" s="2627" t="s">
        <v>1541</v>
      </c>
      <c r="F1897" s="2628">
        <v>106958</v>
      </c>
      <c r="G1897" s="2628">
        <v>120796</v>
      </c>
      <c r="H1897" s="2628">
        <v>120796</v>
      </c>
      <c r="I1897" s="2683">
        <f t="shared" si="488"/>
        <v>100</v>
      </c>
    </row>
    <row r="1898" spans="1:9" ht="14.25" x14ac:dyDescent="0.2">
      <c r="A1898" s="2624"/>
      <c r="B1898" s="151"/>
      <c r="C1898" s="151"/>
      <c r="D1898" s="811" t="s">
        <v>993</v>
      </c>
      <c r="E1898" s="2627" t="s">
        <v>1538</v>
      </c>
      <c r="F1898" s="2628">
        <v>14021</v>
      </c>
      <c r="G1898" s="2628">
        <v>16408</v>
      </c>
      <c r="H1898" s="2628">
        <v>16408</v>
      </c>
      <c r="I1898" s="2683">
        <f t="shared" si="488"/>
        <v>100</v>
      </c>
    </row>
    <row r="1899" spans="1:9" ht="14.25" hidden="1" x14ac:dyDescent="0.2">
      <c r="A1899" s="2624"/>
      <c r="B1899" s="151"/>
      <c r="C1899" s="151"/>
      <c r="D1899" s="811" t="s">
        <v>1395</v>
      </c>
      <c r="E1899" s="2627" t="s">
        <v>1539</v>
      </c>
      <c r="F1899" s="2628"/>
      <c r="G1899" s="2628"/>
      <c r="H1899" s="2628"/>
      <c r="I1899" s="2683" t="e">
        <f t="shared" si="488"/>
        <v>#DIV/0!</v>
      </c>
    </row>
    <row r="1900" spans="1:9" ht="15" thickBot="1" x14ac:dyDescent="0.25">
      <c r="A1900" s="2624"/>
      <c r="B1900" s="151"/>
      <c r="C1900" s="151"/>
      <c r="D1900" s="811" t="s">
        <v>1397</v>
      </c>
      <c r="E1900" s="2627" t="s">
        <v>1542</v>
      </c>
      <c r="F1900" s="2628"/>
      <c r="G1900" s="2628">
        <v>52</v>
      </c>
      <c r="H1900" s="2628">
        <v>52</v>
      </c>
      <c r="I1900" s="2683">
        <f t="shared" si="488"/>
        <v>100</v>
      </c>
    </row>
    <row r="1901" spans="1:9" ht="15" hidden="1" x14ac:dyDescent="0.25">
      <c r="A1901" s="2624">
        <v>1608</v>
      </c>
      <c r="B1901" s="19">
        <v>3316</v>
      </c>
      <c r="C1901" s="19">
        <v>5331</v>
      </c>
      <c r="D1901" s="2681"/>
      <c r="E1901" s="845" t="s">
        <v>481</v>
      </c>
      <c r="F1901" s="29">
        <f>F1902+F1903</f>
        <v>0</v>
      </c>
      <c r="G1901" s="2642">
        <f t="shared" ref="G1901:H1901" si="489">G1902+G1903</f>
        <v>0</v>
      </c>
      <c r="H1901" s="29">
        <f t="shared" si="489"/>
        <v>0</v>
      </c>
      <c r="I1901" s="2643" t="e">
        <f t="shared" ref="I1901:I1908" si="490">H1901/G1901*100</f>
        <v>#DIV/0!</v>
      </c>
    </row>
    <row r="1902" spans="1:9" ht="14.25" hidden="1" x14ac:dyDescent="0.2">
      <c r="A1902" s="2624"/>
      <c r="B1902" s="151"/>
      <c r="C1902" s="151"/>
      <c r="D1902" s="2630" t="s">
        <v>1394</v>
      </c>
      <c r="E1902" s="923" t="s">
        <v>1537</v>
      </c>
      <c r="F1902" s="2678">
        <v>0</v>
      </c>
      <c r="G1902" s="2678"/>
      <c r="H1902" s="2678"/>
      <c r="I1902" s="2647" t="e">
        <f t="shared" si="490"/>
        <v>#DIV/0!</v>
      </c>
    </row>
    <row r="1903" spans="1:9" ht="14.25" hidden="1" x14ac:dyDescent="0.2">
      <c r="A1903" s="2624"/>
      <c r="B1903" s="151"/>
      <c r="C1903" s="151"/>
      <c r="D1903" s="811" t="s">
        <v>994</v>
      </c>
      <c r="E1903" s="2627" t="s">
        <v>1541</v>
      </c>
      <c r="F1903" s="2646"/>
      <c r="G1903" s="2646"/>
      <c r="H1903" s="2646"/>
      <c r="I1903" s="2647" t="e">
        <f t="shared" si="490"/>
        <v>#DIV/0!</v>
      </c>
    </row>
    <row r="1904" spans="1:9" ht="15" hidden="1" x14ac:dyDescent="0.25">
      <c r="A1904" s="2624">
        <v>1600</v>
      </c>
      <c r="B1904" s="19">
        <v>3316</v>
      </c>
      <c r="C1904" s="19">
        <v>5331</v>
      </c>
      <c r="D1904" s="2681"/>
      <c r="E1904" s="845" t="s">
        <v>481</v>
      </c>
      <c r="F1904" s="29">
        <f>F1905+F1906+F1907+F1908</f>
        <v>0</v>
      </c>
      <c r="G1904" s="29">
        <f t="shared" ref="G1904:H1904" si="491">G1905+G1906+G1907+G1908</f>
        <v>0</v>
      </c>
      <c r="H1904" s="29">
        <f t="shared" si="491"/>
        <v>0</v>
      </c>
      <c r="I1904" s="2643" t="e">
        <f t="shared" si="490"/>
        <v>#DIV/0!</v>
      </c>
    </row>
    <row r="1905" spans="1:20" ht="14.25" hidden="1" x14ac:dyDescent="0.2">
      <c r="A1905" s="2624"/>
      <c r="B1905" s="151"/>
      <c r="C1905" s="151"/>
      <c r="D1905" s="2630" t="s">
        <v>1394</v>
      </c>
      <c r="E1905" s="923" t="s">
        <v>1537</v>
      </c>
      <c r="F1905" s="2628"/>
      <c r="G1905" s="2628"/>
      <c r="H1905" s="2628"/>
      <c r="I1905" s="2679" t="e">
        <f t="shared" si="490"/>
        <v>#DIV/0!</v>
      </c>
    </row>
    <row r="1906" spans="1:20" ht="14.25" hidden="1" x14ac:dyDescent="0.2">
      <c r="A1906" s="2624"/>
      <c r="B1906" s="151"/>
      <c r="C1906" s="151"/>
      <c r="D1906" s="811" t="s">
        <v>994</v>
      </c>
      <c r="E1906" s="2627" t="s">
        <v>1541</v>
      </c>
      <c r="F1906" s="2628"/>
      <c r="G1906" s="2628"/>
      <c r="H1906" s="2628"/>
      <c r="I1906" s="2679" t="e">
        <f t="shared" si="490"/>
        <v>#DIV/0!</v>
      </c>
    </row>
    <row r="1907" spans="1:20" ht="14.25" hidden="1" x14ac:dyDescent="0.2">
      <c r="A1907" s="2624"/>
      <c r="B1907" s="151"/>
      <c r="C1907" s="151"/>
      <c r="D1907" s="811" t="s">
        <v>993</v>
      </c>
      <c r="E1907" s="2627" t="s">
        <v>1538</v>
      </c>
      <c r="F1907" s="2628"/>
      <c r="G1907" s="2628"/>
      <c r="H1907" s="2628"/>
      <c r="I1907" s="2679" t="e">
        <f t="shared" si="490"/>
        <v>#DIV/0!</v>
      </c>
    </row>
    <row r="1908" spans="1:20" ht="15" hidden="1" thickBot="1" x14ac:dyDescent="0.25">
      <c r="A1908" s="2624"/>
      <c r="B1908" s="151"/>
      <c r="C1908" s="151"/>
      <c r="D1908" s="811" t="s">
        <v>1395</v>
      </c>
      <c r="E1908" s="2627" t="s">
        <v>1539</v>
      </c>
      <c r="F1908" s="2628"/>
      <c r="G1908" s="2628"/>
      <c r="H1908" s="2628"/>
      <c r="I1908" s="2679" t="e">
        <f t="shared" si="490"/>
        <v>#DIV/0!</v>
      </c>
    </row>
    <row r="1909" spans="1:20" ht="16.5" thickTop="1" thickBot="1" x14ac:dyDescent="0.3">
      <c r="A1909" s="3241" t="s">
        <v>522</v>
      </c>
      <c r="B1909" s="3242"/>
      <c r="C1909" s="3242"/>
      <c r="D1909" s="3242"/>
      <c r="E1909" s="3300"/>
      <c r="F1909" s="2648">
        <f>F1893+F1901+F1904</f>
        <v>170133</v>
      </c>
      <c r="G1909" s="2648">
        <f>G1893+G1901+G1904</f>
        <v>191795</v>
      </c>
      <c r="H1909" s="2648">
        <f t="shared" ref="H1909" si="492">H1893+H1901+H1904</f>
        <v>191795</v>
      </c>
      <c r="I1909" s="2649">
        <v>100</v>
      </c>
      <c r="R1909" s="2691">
        <f>F1909</f>
        <v>170133</v>
      </c>
      <c r="S1909" s="2691">
        <f t="shared" ref="S1909:T1909" si="493">G1909</f>
        <v>191795</v>
      </c>
      <c r="T1909" s="2691">
        <f t="shared" si="493"/>
        <v>191795</v>
      </c>
    </row>
    <row r="1910" spans="1:20" ht="15.75" thickTop="1" x14ac:dyDescent="0.25">
      <c r="A1910" s="2640">
        <v>1704</v>
      </c>
      <c r="B1910" s="19">
        <v>3533</v>
      </c>
      <c r="C1910" s="151">
        <v>6351</v>
      </c>
      <c r="D1910" s="2641"/>
      <c r="E1910" s="845" t="s">
        <v>551</v>
      </c>
      <c r="F1910" s="2642">
        <f>F1911+F1912</f>
        <v>0</v>
      </c>
      <c r="G1910" s="2642">
        <f t="shared" ref="G1910:H1910" si="494">G1911+G1912</f>
        <v>2332</v>
      </c>
      <c r="H1910" s="2642">
        <f t="shared" si="494"/>
        <v>2332</v>
      </c>
      <c r="I1910" s="2643">
        <f>H1910/G1910*100</f>
        <v>100</v>
      </c>
      <c r="R1910" s="2691">
        <f>F1913</f>
        <v>0</v>
      </c>
      <c r="S1910" s="2691">
        <f t="shared" ref="S1910:T1910" si="495">G1913</f>
        <v>2332</v>
      </c>
      <c r="T1910" s="2691">
        <f t="shared" si="495"/>
        <v>2332</v>
      </c>
    </row>
    <row r="1911" spans="1:20" ht="28.5" x14ac:dyDescent="0.2">
      <c r="A1911" s="2624"/>
      <c r="B1911" s="19"/>
      <c r="C1911" s="2956"/>
      <c r="D1911" s="810" t="s">
        <v>963</v>
      </c>
      <c r="E1911" s="2684" t="s">
        <v>1592</v>
      </c>
      <c r="F1911" s="3046">
        <v>0</v>
      </c>
      <c r="G1911" s="3047">
        <v>1983</v>
      </c>
      <c r="H1911" s="3048">
        <v>1983</v>
      </c>
      <c r="I1911" s="903">
        <f>H1911/G1911*100</f>
        <v>100</v>
      </c>
      <c r="R1911" s="2691">
        <f>R1909+R1910</f>
        <v>170133</v>
      </c>
      <c r="S1911" s="2691">
        <f t="shared" ref="S1911:T1911" si="496">S1909+S1910</f>
        <v>194127</v>
      </c>
      <c r="T1911" s="2691">
        <f t="shared" si="496"/>
        <v>194127</v>
      </c>
    </row>
    <row r="1912" spans="1:20" ht="29.25" thickBot="1" x14ac:dyDescent="0.25">
      <c r="A1912" s="2644"/>
      <c r="B1912" s="822"/>
      <c r="C1912" s="2957"/>
      <c r="D1912" s="810" t="s">
        <v>1091</v>
      </c>
      <c r="E1912" s="2684" t="s">
        <v>1890</v>
      </c>
      <c r="F1912" s="3046">
        <v>0</v>
      </c>
      <c r="G1912" s="3047">
        <v>349</v>
      </c>
      <c r="H1912" s="3048">
        <v>349</v>
      </c>
      <c r="I1912" s="903">
        <f>H1912/G1912*100</f>
        <v>100</v>
      </c>
      <c r="R1912" s="2691"/>
      <c r="S1912" s="2691"/>
      <c r="T1912" s="2691"/>
    </row>
    <row r="1913" spans="1:20" ht="16.5" thickTop="1" thickBot="1" x14ac:dyDescent="0.3">
      <c r="A1913" s="3241" t="s">
        <v>523</v>
      </c>
      <c r="B1913" s="3242"/>
      <c r="C1913" s="3242"/>
      <c r="D1913" s="3242"/>
      <c r="E1913" s="3243"/>
      <c r="F1913" s="2648">
        <f>F1910</f>
        <v>0</v>
      </c>
      <c r="G1913" s="2648">
        <f t="shared" ref="G1913:H1913" si="497">G1910</f>
        <v>2332</v>
      </c>
      <c r="H1913" s="2648">
        <f t="shared" si="497"/>
        <v>2332</v>
      </c>
      <c r="I1913" s="2649">
        <v>100</v>
      </c>
    </row>
    <row r="1914" spans="1:20" ht="13.5" thickTop="1" x14ac:dyDescent="0.2"/>
  </sheetData>
  <mergeCells count="230">
    <mergeCell ref="A1500:E1500"/>
    <mergeCell ref="A1512:E1512"/>
    <mergeCell ref="A1526:E1526"/>
    <mergeCell ref="A1563:E1563"/>
    <mergeCell ref="A1737:E1737"/>
    <mergeCell ref="A1761:E1761"/>
    <mergeCell ref="A253:E253"/>
    <mergeCell ref="A283:E283"/>
    <mergeCell ref="A406:E406"/>
    <mergeCell ref="A483:E483"/>
    <mergeCell ref="A579:E579"/>
    <mergeCell ref="A664:E664"/>
    <mergeCell ref="A710:E710"/>
    <mergeCell ref="A833:E833"/>
    <mergeCell ref="A855:E855"/>
    <mergeCell ref="A1637:E1637"/>
    <mergeCell ref="A1655:E1655"/>
    <mergeCell ref="A1658:E1658"/>
    <mergeCell ref="A1669:E1669"/>
    <mergeCell ref="A1689:E1689"/>
    <mergeCell ref="A1710:E1710"/>
    <mergeCell ref="A1713:E1713"/>
    <mergeCell ref="A1734:E1734"/>
    <mergeCell ref="A1758:E1758"/>
    <mergeCell ref="A1856:E1856"/>
    <mergeCell ref="A1859:E1859"/>
    <mergeCell ref="A1884:E1884"/>
    <mergeCell ref="A1887:E1887"/>
    <mergeCell ref="A1909:E1909"/>
    <mergeCell ref="A1913:E1913"/>
    <mergeCell ref="A1783:E1783"/>
    <mergeCell ref="A1786:E1786"/>
    <mergeCell ref="A1807:E1807"/>
    <mergeCell ref="A1810:E1810"/>
    <mergeCell ref="A1831:E1831"/>
    <mergeCell ref="A1834:E1834"/>
    <mergeCell ref="A17:E17"/>
    <mergeCell ref="A53:E53"/>
    <mergeCell ref="A80:E80"/>
    <mergeCell ref="A175:E175"/>
    <mergeCell ref="A307:E307"/>
    <mergeCell ref="A420:E420"/>
    <mergeCell ref="A541:E541"/>
    <mergeCell ref="A614:E614"/>
    <mergeCell ref="A639:E639"/>
    <mergeCell ref="A471:E471"/>
    <mergeCell ref="A430:E430"/>
    <mergeCell ref="A439:E439"/>
    <mergeCell ref="A442:E442"/>
    <mergeCell ref="A451:E451"/>
    <mergeCell ref="A322:E322"/>
    <mergeCell ref="A330:E330"/>
    <mergeCell ref="A339:E339"/>
    <mergeCell ref="A519:E519"/>
    <mergeCell ref="A527:E527"/>
    <mergeCell ref="A554:E554"/>
    <mergeCell ref="A509:E509"/>
    <mergeCell ref="A480:E480"/>
    <mergeCell ref="A492:E492"/>
    <mergeCell ref="A501:E501"/>
    <mergeCell ref="A1211:E1211"/>
    <mergeCell ref="A1221:E1221"/>
    <mergeCell ref="A1231:E1231"/>
    <mergeCell ref="A1249:E1249"/>
    <mergeCell ref="A1173:E1173"/>
    <mergeCell ref="A1189:E1189"/>
    <mergeCell ref="A1198:E1198"/>
    <mergeCell ref="A1072:E1072"/>
    <mergeCell ref="A1080:E1080"/>
    <mergeCell ref="A1089:E1089"/>
    <mergeCell ref="A1151:E1151"/>
    <mergeCell ref="A1162:E1162"/>
    <mergeCell ref="A1122:E1122"/>
    <mergeCell ref="A1131:E1131"/>
    <mergeCell ref="A1142:E1142"/>
    <mergeCell ref="A1134:E1134"/>
    <mergeCell ref="A1097:E1097"/>
    <mergeCell ref="A1105:E1105"/>
    <mergeCell ref="A1114:E1114"/>
    <mergeCell ref="A1201:E1201"/>
    <mergeCell ref="E1240:E1241"/>
    <mergeCell ref="A1154:E1154"/>
    <mergeCell ref="A1165:E1165"/>
    <mergeCell ref="A1047:E1047"/>
    <mergeCell ref="A1055:E1055"/>
    <mergeCell ref="A1064:E1064"/>
    <mergeCell ref="A1012:E1012"/>
    <mergeCell ref="A1024:E1024"/>
    <mergeCell ref="A1039:E1039"/>
    <mergeCell ref="A988:E988"/>
    <mergeCell ref="A995:E995"/>
    <mergeCell ref="A1004:E1004"/>
    <mergeCell ref="A1027:E1027"/>
    <mergeCell ref="A965:E965"/>
    <mergeCell ref="A972:E972"/>
    <mergeCell ref="A980:E980"/>
    <mergeCell ref="A948:E948"/>
    <mergeCell ref="A958:E958"/>
    <mergeCell ref="A909:E909"/>
    <mergeCell ref="A923:E923"/>
    <mergeCell ref="A936:E936"/>
    <mergeCell ref="A939:E939"/>
    <mergeCell ref="A926:E926"/>
    <mergeCell ref="A951:E951"/>
    <mergeCell ref="A868:E868"/>
    <mergeCell ref="A912:E912"/>
    <mergeCell ref="A899:E899"/>
    <mergeCell ref="A877:E877"/>
    <mergeCell ref="A886:E886"/>
    <mergeCell ref="A891:E891"/>
    <mergeCell ref="A842:E842"/>
    <mergeCell ref="A852:E852"/>
    <mergeCell ref="A865:E865"/>
    <mergeCell ref="A803:E803"/>
    <mergeCell ref="A819:E819"/>
    <mergeCell ref="A830:E830"/>
    <mergeCell ref="A770:E770"/>
    <mergeCell ref="A793:E793"/>
    <mergeCell ref="A790:E790"/>
    <mergeCell ref="A759:E759"/>
    <mergeCell ref="A767:E767"/>
    <mergeCell ref="A780:E780"/>
    <mergeCell ref="A806:E806"/>
    <mergeCell ref="A737:E737"/>
    <mergeCell ref="A749:E749"/>
    <mergeCell ref="A707:E707"/>
    <mergeCell ref="A718:E718"/>
    <mergeCell ref="A726:E726"/>
    <mergeCell ref="A740:E740"/>
    <mergeCell ref="A627:E627"/>
    <mergeCell ref="A538:E538"/>
    <mergeCell ref="A551:E551"/>
    <mergeCell ref="A673:E673"/>
    <mergeCell ref="A684:E684"/>
    <mergeCell ref="A698:E698"/>
    <mergeCell ref="A636:E636"/>
    <mergeCell ref="A649:E649"/>
    <mergeCell ref="A661:E661"/>
    <mergeCell ref="A652:E652"/>
    <mergeCell ref="A611:E611"/>
    <mergeCell ref="A624:E624"/>
    <mergeCell ref="A564:E564"/>
    <mergeCell ref="A576:E576"/>
    <mergeCell ref="A589:E589"/>
    <mergeCell ref="A592:E592"/>
    <mergeCell ref="A687:E687"/>
    <mergeCell ref="A602:E602"/>
    <mergeCell ref="A461:E461"/>
    <mergeCell ref="A403:E403"/>
    <mergeCell ref="A417:E417"/>
    <mergeCell ref="A374:E374"/>
    <mergeCell ref="A383:E383"/>
    <mergeCell ref="A394:E394"/>
    <mergeCell ref="A365:E365"/>
    <mergeCell ref="A319:E319"/>
    <mergeCell ref="A261:E261"/>
    <mergeCell ref="A271:E271"/>
    <mergeCell ref="A172:E172"/>
    <mergeCell ref="A184:E184"/>
    <mergeCell ref="A141:E141"/>
    <mergeCell ref="A150:E150"/>
    <mergeCell ref="A161:E161"/>
    <mergeCell ref="A227:E227"/>
    <mergeCell ref="A205:E205"/>
    <mergeCell ref="A217:E217"/>
    <mergeCell ref="A250:E250"/>
    <mergeCell ref="A187:E187"/>
    <mergeCell ref="A208:E208"/>
    <mergeCell ref="A239:E239"/>
    <mergeCell ref="A1345:E1345"/>
    <mergeCell ref="A1359:E1359"/>
    <mergeCell ref="A1362:E1362"/>
    <mergeCell ref="A1372:E1372"/>
    <mergeCell ref="A1375:E1375"/>
    <mergeCell ref="A1385:E1385"/>
    <mergeCell ref="A1388:E1388"/>
    <mergeCell ref="A1398:E1398"/>
    <mergeCell ref="A28:E28"/>
    <mergeCell ref="A37:E37"/>
    <mergeCell ref="A63:E63"/>
    <mergeCell ref="A77:E77"/>
    <mergeCell ref="A50:E50"/>
    <mergeCell ref="A113:E113"/>
    <mergeCell ref="A122:E122"/>
    <mergeCell ref="A132:E132"/>
    <mergeCell ref="A91:E91"/>
    <mergeCell ref="A104:E104"/>
    <mergeCell ref="A236:E236"/>
    <mergeCell ref="A292:E292"/>
    <mergeCell ref="A304:E304"/>
    <mergeCell ref="A280:E280"/>
    <mergeCell ref="A348:E348"/>
    <mergeCell ref="A356:E356"/>
    <mergeCell ref="A1277:E1277"/>
    <mergeCell ref="A1280:E1280"/>
    <mergeCell ref="A1290:E1290"/>
    <mergeCell ref="A1303:E1303"/>
    <mergeCell ref="A1316:E1316"/>
    <mergeCell ref="A1319:E1319"/>
    <mergeCell ref="A1329:E1329"/>
    <mergeCell ref="A1332:E1332"/>
    <mergeCell ref="A1342:E1342"/>
    <mergeCell ref="A1293:E1293"/>
    <mergeCell ref="A1306:E1306"/>
    <mergeCell ref="A1401:E1401"/>
    <mergeCell ref="A1411:E1411"/>
    <mergeCell ref="A1421:E1421"/>
    <mergeCell ref="A1437:E1437"/>
    <mergeCell ref="A1450:E1450"/>
    <mergeCell ref="A1464:E1464"/>
    <mergeCell ref="A1477:E1477"/>
    <mergeCell ref="A1487:E1487"/>
    <mergeCell ref="A1497:E1497"/>
    <mergeCell ref="A1424:E1424"/>
    <mergeCell ref="A1440:E1440"/>
    <mergeCell ref="A1453:E1453"/>
    <mergeCell ref="A1467:E1467"/>
    <mergeCell ref="A1591:E1591"/>
    <mergeCell ref="A1607:E1607"/>
    <mergeCell ref="A1617:E1617"/>
    <mergeCell ref="A1620:E1620"/>
    <mergeCell ref="A1509:E1509"/>
    <mergeCell ref="A1523:E1523"/>
    <mergeCell ref="A1537:E1537"/>
    <mergeCell ref="A1540:E1540"/>
    <mergeCell ref="A1550:E1550"/>
    <mergeCell ref="A1560:E1560"/>
    <mergeCell ref="A1575:E1575"/>
    <mergeCell ref="A1578:E1578"/>
    <mergeCell ref="A1588:E1588"/>
  </mergeCells>
  <pageMargins left="0.98425196850393704" right="0.98425196850393704" top="0.98425196850393704" bottom="0.98425196850393704" header="0.51181102362204722" footer="0.51181102362204722"/>
  <pageSetup paperSize="9" scale="59" firstPageNumber="104" fitToHeight="0" orientation="portrait" useFirstPageNumber="1" r:id="rId1"/>
  <headerFooter>
    <oddFooter>&amp;L&amp;"Arial,Kurzíva"Zastupitelstvo Olomouckého kraje 25. 6. 2018
5. - Rozpočet Olomouckého kraje 2017 - závěrečný  účet 
Příloha č. 3: Plnění rozpočtu výdajů Olomouckého kraje k 31. 12. 2017&amp;R&amp;"Arial,Kurzíva"Strana &amp;P (celkem 478)</oddFooter>
  </headerFooter>
  <rowBreaks count="23" manualBreakCount="23">
    <brk id="104" max="8" man="1"/>
    <brk id="175" max="8" man="1"/>
    <brk id="253" max="8" man="1"/>
    <brk id="322" max="8" man="1"/>
    <brk id="395" max="8" man="1"/>
    <brk id="472" max="8" man="1"/>
    <brk id="541" max="8" man="1"/>
    <brk id="614" max="8" man="1"/>
    <brk id="698" max="8" man="1"/>
    <brk id="770" max="8" man="1"/>
    <brk id="855" max="8" man="1"/>
    <brk id="926" max="8" man="1"/>
    <brk id="988" max="8" man="1"/>
    <brk id="1064" max="8" man="1"/>
    <brk id="1134" max="8" man="1"/>
    <brk id="1213" max="8" man="1"/>
    <brk id="1306" max="8" man="1"/>
    <brk id="1376" max="8" man="1"/>
    <brk id="1440" max="8" man="1"/>
    <brk id="1514" max="8" man="1"/>
    <brk id="1579" max="8" man="1"/>
    <brk id="1659" max="8" man="1"/>
    <brk id="1788" max="8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1"/>
  </sheetPr>
  <dimension ref="A1:I20"/>
  <sheetViews>
    <sheetView showGridLines="0" zoomScaleNormal="100" workbookViewId="0">
      <selection activeCell="F21" sqref="F21"/>
    </sheetView>
  </sheetViews>
  <sheetFormatPr defaultColWidth="9.140625" defaultRowHeight="12.75" x14ac:dyDescent="0.2"/>
  <cols>
    <col min="1" max="1" width="4.7109375" style="400" customWidth="1"/>
    <col min="2" max="2" width="6.7109375" style="400" customWidth="1"/>
    <col min="3" max="3" width="9" style="400" bestFit="1" customWidth="1"/>
    <col min="4" max="4" width="46.42578125" style="344" customWidth="1"/>
    <col min="5" max="5" width="13.85546875" style="434" customWidth="1"/>
    <col min="6" max="6" width="14.85546875" style="434" customWidth="1"/>
    <col min="7" max="7" width="13.85546875" style="434" customWidth="1"/>
    <col min="8" max="8" width="6.42578125" style="344" customWidth="1"/>
    <col min="9" max="9" width="19.85546875" style="344" customWidth="1"/>
    <col min="10" max="16384" width="9.140625" style="344"/>
  </cols>
  <sheetData>
    <row r="1" spans="1:9" ht="18" x14ac:dyDescent="0.25">
      <c r="A1" s="449" t="s">
        <v>427</v>
      </c>
      <c r="B1" s="450"/>
      <c r="C1" s="450"/>
      <c r="D1" s="450"/>
      <c r="E1" s="450"/>
      <c r="F1" s="450"/>
      <c r="G1" s="404"/>
    </row>
    <row r="2" spans="1:9" ht="18" x14ac:dyDescent="0.25">
      <c r="A2" s="564" t="s">
        <v>411</v>
      </c>
      <c r="B2" s="565"/>
      <c r="C2" s="565"/>
      <c r="D2" s="565"/>
      <c r="E2" s="565"/>
      <c r="F2" s="565"/>
      <c r="G2" s="404"/>
      <c r="H2" s="515" t="s">
        <v>412</v>
      </c>
    </row>
    <row r="3" spans="1:9" ht="18" x14ac:dyDescent="0.25">
      <c r="B3" s="404"/>
      <c r="C3" s="404"/>
      <c r="D3" s="404"/>
      <c r="E3" s="404"/>
      <c r="F3" s="404"/>
      <c r="G3" s="404"/>
      <c r="H3" s="515"/>
    </row>
    <row r="4" spans="1:9" s="372" customFormat="1" ht="16.5" customHeight="1" x14ac:dyDescent="0.2">
      <c r="A4" s="67" t="s">
        <v>201</v>
      </c>
      <c r="B4" s="28"/>
      <c r="C4" s="490" t="s">
        <v>189</v>
      </c>
    </row>
    <row r="5" spans="1:9" s="372" customFormat="1" ht="12.75" customHeight="1" x14ac:dyDescent="0.25">
      <c r="A5" s="6"/>
      <c r="B5" s="28"/>
      <c r="C5" s="490" t="s">
        <v>190</v>
      </c>
    </row>
    <row r="6" spans="1:9" ht="18" x14ac:dyDescent="0.25">
      <c r="A6" s="405" t="s">
        <v>413</v>
      </c>
      <c r="B6" s="404"/>
      <c r="C6" s="404"/>
      <c r="D6" s="404"/>
      <c r="E6" s="404"/>
      <c r="F6" s="404"/>
      <c r="G6" s="404"/>
      <c r="H6" s="515"/>
    </row>
    <row r="7" spans="1:9" ht="18.75" thickBot="1" x14ac:dyDescent="0.3">
      <c r="A7" s="405"/>
      <c r="B7" s="404"/>
      <c r="C7" s="404"/>
      <c r="D7" s="404"/>
      <c r="E7" s="404"/>
      <c r="F7" s="404"/>
      <c r="G7" s="404"/>
      <c r="H7" s="549" t="s">
        <v>583</v>
      </c>
    </row>
    <row r="8" spans="1:9" s="374" customFormat="1" ht="25.5" thickTop="1" thickBot="1" x14ac:dyDescent="0.25">
      <c r="A8" s="493" t="s">
        <v>93</v>
      </c>
      <c r="B8" s="494" t="s">
        <v>392</v>
      </c>
      <c r="C8" s="494" t="s">
        <v>209</v>
      </c>
      <c r="D8" s="495" t="s">
        <v>95</v>
      </c>
      <c r="E8" s="496" t="s">
        <v>328</v>
      </c>
      <c r="F8" s="496" t="s">
        <v>329</v>
      </c>
      <c r="G8" s="497" t="s">
        <v>448</v>
      </c>
      <c r="H8" s="498" t="s">
        <v>449</v>
      </c>
    </row>
    <row r="9" spans="1:9" s="374" customFormat="1" ht="13.5" thickTop="1" thickBot="1" x14ac:dyDescent="0.25">
      <c r="A9" s="511">
        <v>1</v>
      </c>
      <c r="B9" s="512">
        <v>2</v>
      </c>
      <c r="C9" s="512">
        <v>3</v>
      </c>
      <c r="D9" s="512">
        <v>4</v>
      </c>
      <c r="E9" s="499">
        <v>5</v>
      </c>
      <c r="F9" s="499">
        <v>6</v>
      </c>
      <c r="G9" s="500">
        <v>7</v>
      </c>
      <c r="H9" s="501" t="s">
        <v>33</v>
      </c>
    </row>
    <row r="10" spans="1:9" s="406" customFormat="1" ht="16.5" thickTop="1" thickBot="1" x14ac:dyDescent="0.25">
      <c r="A10" s="407">
        <v>6409</v>
      </c>
      <c r="B10" s="408">
        <v>5909</v>
      </c>
      <c r="C10" s="409"/>
      <c r="D10" s="410" t="s">
        <v>398</v>
      </c>
      <c r="E10" s="402">
        <v>0</v>
      </c>
      <c r="F10" s="402">
        <v>0</v>
      </c>
      <c r="G10" s="413">
        <v>0</v>
      </c>
      <c r="H10" s="568">
        <v>0</v>
      </c>
    </row>
    <row r="11" spans="1:9" s="335" customFormat="1" ht="16.5" thickTop="1" thickBot="1" x14ac:dyDescent="0.3">
      <c r="A11" s="3308" t="s">
        <v>394</v>
      </c>
      <c r="B11" s="3309"/>
      <c r="C11" s="3309"/>
      <c r="D11" s="3309"/>
      <c r="E11" s="514">
        <f>SUM(E10:E10)</f>
        <v>0</v>
      </c>
      <c r="F11" s="514">
        <f>SUM(F10:F10)</f>
        <v>0</v>
      </c>
      <c r="G11" s="566">
        <f>SUM(G10:G10)</f>
        <v>0</v>
      </c>
      <c r="H11" s="423">
        <v>0</v>
      </c>
      <c r="I11" s="521"/>
    </row>
    <row r="12" spans="1:9" ht="13.5" thickTop="1" x14ac:dyDescent="0.2">
      <c r="I12" s="434"/>
    </row>
    <row r="14" spans="1:9" s="543" customFormat="1" ht="16.5" x14ac:dyDescent="0.25">
      <c r="A14" s="522" t="s">
        <v>251</v>
      </c>
      <c r="B14" s="523"/>
      <c r="C14" s="524"/>
      <c r="D14" s="525"/>
      <c r="E14" s="526">
        <f>SUM(E15:E17)</f>
        <v>0</v>
      </c>
      <c r="F14" s="526">
        <f>F15+F16+F17+F18</f>
        <v>0</v>
      </c>
      <c r="G14" s="526">
        <f>G15+G16+G17+G18</f>
        <v>0</v>
      </c>
      <c r="H14" s="527">
        <v>0</v>
      </c>
    </row>
    <row r="15" spans="1:9" s="372" customFormat="1" ht="15" x14ac:dyDescent="0.2">
      <c r="A15" s="507" t="s">
        <v>147</v>
      </c>
      <c r="B15" s="528"/>
      <c r="C15" s="529"/>
      <c r="D15" s="530"/>
      <c r="E15" s="531">
        <f>E11</f>
        <v>0</v>
      </c>
      <c r="F15" s="531">
        <f>F11</f>
        <v>0</v>
      </c>
      <c r="G15" s="531">
        <f>G11</f>
        <v>0</v>
      </c>
      <c r="H15" s="532">
        <v>0</v>
      </c>
    </row>
    <row r="16" spans="1:9" s="372" customFormat="1" ht="15" x14ac:dyDescent="0.2">
      <c r="A16" s="507" t="s">
        <v>148</v>
      </c>
      <c r="B16" s="533"/>
      <c r="C16" s="529"/>
      <c r="D16" s="534"/>
      <c r="E16" s="531">
        <v>0</v>
      </c>
      <c r="F16" s="531">
        <v>0</v>
      </c>
      <c r="G16" s="531">
        <v>0</v>
      </c>
      <c r="H16" s="532">
        <v>0</v>
      </c>
    </row>
    <row r="17" spans="1:8" s="372" customFormat="1" ht="15" x14ac:dyDescent="0.2">
      <c r="A17" s="507" t="s">
        <v>252</v>
      </c>
      <c r="B17" s="533"/>
      <c r="C17" s="529"/>
      <c r="D17" s="534"/>
      <c r="E17" s="531">
        <v>0</v>
      </c>
      <c r="F17" s="531">
        <v>0</v>
      </c>
      <c r="G17" s="531">
        <v>0</v>
      </c>
      <c r="H17" s="548">
        <v>0</v>
      </c>
    </row>
    <row r="18" spans="1:8" s="372" customFormat="1" ht="15" x14ac:dyDescent="0.2">
      <c r="A18" s="507"/>
      <c r="B18" s="533"/>
      <c r="C18" s="529"/>
      <c r="D18" s="534"/>
      <c r="E18" s="531"/>
      <c r="F18" s="531"/>
      <c r="G18" s="531"/>
      <c r="H18" s="535"/>
    </row>
    <row r="19" spans="1:8" s="58" customFormat="1" ht="69" customHeight="1" thickBot="1" x14ac:dyDescent="0.4">
      <c r="A19" s="3196" t="s">
        <v>400</v>
      </c>
      <c r="B19" s="3310"/>
      <c r="C19" s="3310"/>
      <c r="D19" s="3310"/>
      <c r="E19" s="536">
        <f>SUM(E14)</f>
        <v>0</v>
      </c>
      <c r="F19" s="536">
        <f>SUM(F14)</f>
        <v>0</v>
      </c>
      <c r="G19" s="536">
        <f>SUM(G14)</f>
        <v>0</v>
      </c>
      <c r="H19" s="552">
        <v>0</v>
      </c>
    </row>
    <row r="20" spans="1:8" ht="13.5" thickTop="1" x14ac:dyDescent="0.2"/>
  </sheetData>
  <mergeCells count="2">
    <mergeCell ref="A11:D11"/>
    <mergeCell ref="A19:D19"/>
  </mergeCells>
  <phoneticPr fontId="35" type="noConversion"/>
  <pageMargins left="0.98425196850393704" right="0.98425196850393704" top="0.98425196850393704" bottom="0.98425196850393704" header="0.51181102362204722" footer="0.51181102362204722"/>
  <pageSetup paperSize="9" scale="70" firstPageNumber="142" orientation="portrait" r:id="rId1"/>
  <headerFooter alignWithMargins="0">
    <oddFooter xml:space="preserve">&amp;L&amp;"Arial,Kurzíva"Zastupitelstvo Olomouckého kraje 28.6.2010
8.- Rozpočet Olomouckého kraje 2009 - závěrečný  účet
Příloha č. 3: Plnění rozpočtu výdajů Olomouckého kraje k 31.12.2009&amp;R&amp;"Arial,Kurzíva"Strana &amp;P (Celkem 464)
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1"/>
  </sheetPr>
  <dimension ref="A1:H22"/>
  <sheetViews>
    <sheetView showGridLines="0" zoomScaleNormal="100" workbookViewId="0">
      <selection activeCell="A267" sqref="A267"/>
    </sheetView>
  </sheetViews>
  <sheetFormatPr defaultColWidth="9.140625" defaultRowHeight="12.75" x14ac:dyDescent="0.2"/>
  <cols>
    <col min="1" max="1" width="4.7109375" style="400" customWidth="1"/>
    <col min="2" max="2" width="6.7109375" style="400" customWidth="1"/>
    <col min="3" max="3" width="9" style="400" bestFit="1" customWidth="1"/>
    <col min="4" max="4" width="46.42578125" style="344" customWidth="1"/>
    <col min="5" max="5" width="13.85546875" style="411" customWidth="1"/>
    <col min="6" max="6" width="14.85546875" style="411" customWidth="1"/>
    <col min="7" max="7" width="13.85546875" style="411" customWidth="1"/>
    <col min="8" max="8" width="6.5703125" style="411" customWidth="1"/>
    <col min="9" max="9" width="16" style="344" bestFit="1" customWidth="1"/>
    <col min="10" max="16384" width="9.140625" style="344"/>
  </cols>
  <sheetData>
    <row r="1" spans="1:8" ht="18.75" thickBot="1" x14ac:dyDescent="0.3">
      <c r="A1" s="447" t="s">
        <v>401</v>
      </c>
      <c r="B1" s="448"/>
      <c r="C1" s="448"/>
      <c r="D1" s="448"/>
      <c r="E1" s="451"/>
      <c r="G1" s="3311" t="s">
        <v>414</v>
      </c>
      <c r="H1" s="3312"/>
    </row>
    <row r="2" spans="1:8" ht="18" x14ac:dyDescent="0.25">
      <c r="A2" s="405"/>
      <c r="B2" s="404"/>
      <c r="C2" s="404"/>
      <c r="D2" s="404"/>
    </row>
    <row r="3" spans="1:8" s="372" customFormat="1" ht="16.5" customHeight="1" x14ac:dyDescent="0.2">
      <c r="A3" s="67" t="s">
        <v>201</v>
      </c>
      <c r="B3" s="28"/>
      <c r="C3" s="490" t="s">
        <v>189</v>
      </c>
      <c r="E3" s="560"/>
      <c r="F3" s="560"/>
      <c r="G3" s="560"/>
      <c r="H3" s="560"/>
    </row>
    <row r="4" spans="1:8" s="372" customFormat="1" ht="12.75" customHeight="1" x14ac:dyDescent="0.25">
      <c r="A4" s="6"/>
      <c r="B4" s="28"/>
      <c r="C4" s="490" t="s">
        <v>190</v>
      </c>
      <c r="E4" s="560"/>
      <c r="F4" s="560"/>
      <c r="G4" s="560"/>
      <c r="H4" s="560"/>
    </row>
    <row r="5" spans="1:8" ht="18" x14ac:dyDescent="0.25">
      <c r="A5" s="405" t="s">
        <v>415</v>
      </c>
      <c r="B5" s="404"/>
      <c r="C5" s="404"/>
      <c r="D5" s="404"/>
      <c r="H5" s="412"/>
    </row>
    <row r="6" spans="1:8" ht="13.5" thickBot="1" x14ac:dyDescent="0.25">
      <c r="H6" s="549" t="s">
        <v>583</v>
      </c>
    </row>
    <row r="7" spans="1:8" s="374" customFormat="1" ht="25.5" thickTop="1" thickBot="1" x14ac:dyDescent="0.25">
      <c r="A7" s="493" t="s">
        <v>93</v>
      </c>
      <c r="B7" s="494" t="s">
        <v>392</v>
      </c>
      <c r="C7" s="494" t="s">
        <v>209</v>
      </c>
      <c r="D7" s="495" t="s">
        <v>95</v>
      </c>
      <c r="E7" s="561" t="s">
        <v>328</v>
      </c>
      <c r="F7" s="561" t="s">
        <v>329</v>
      </c>
      <c r="G7" s="562" t="s">
        <v>448</v>
      </c>
      <c r="H7" s="498" t="s">
        <v>449</v>
      </c>
    </row>
    <row r="8" spans="1:8" s="374" customFormat="1" ht="13.5" thickTop="1" thickBot="1" x14ac:dyDescent="0.25">
      <c r="A8" s="511">
        <v>1</v>
      </c>
      <c r="B8" s="512">
        <v>2</v>
      </c>
      <c r="C8" s="512">
        <v>3</v>
      </c>
      <c r="D8" s="512">
        <v>4</v>
      </c>
      <c r="E8" s="464">
        <v>5</v>
      </c>
      <c r="F8" s="464">
        <v>6</v>
      </c>
      <c r="G8" s="563">
        <v>7</v>
      </c>
      <c r="H8" s="489" t="s">
        <v>33</v>
      </c>
    </row>
    <row r="9" spans="1:8" ht="20.25" customHeight="1" thickTop="1" x14ac:dyDescent="0.2">
      <c r="A9" s="407">
        <v>6330</v>
      </c>
      <c r="B9" s="408">
        <v>5345</v>
      </c>
      <c r="C9" s="409"/>
      <c r="D9" s="410" t="s">
        <v>397</v>
      </c>
      <c r="E9" s="403">
        <v>0</v>
      </c>
      <c r="F9" s="403">
        <v>0</v>
      </c>
      <c r="G9" s="403">
        <v>0</v>
      </c>
      <c r="H9" s="424">
        <v>0</v>
      </c>
    </row>
    <row r="10" spans="1:8" ht="15.75" thickBot="1" x14ac:dyDescent="0.25">
      <c r="A10" s="407">
        <v>6409</v>
      </c>
      <c r="B10" s="408">
        <v>5909</v>
      </c>
      <c r="C10" s="409"/>
      <c r="D10" s="410" t="s">
        <v>398</v>
      </c>
      <c r="E10" s="403">
        <v>0</v>
      </c>
      <c r="F10" s="403">
        <v>0</v>
      </c>
      <c r="G10" s="403">
        <v>0</v>
      </c>
      <c r="H10" s="423">
        <v>0</v>
      </c>
    </row>
    <row r="11" spans="1:8" s="335" customFormat="1" ht="16.5" thickTop="1" thickBot="1" x14ac:dyDescent="0.3">
      <c r="A11" s="3308" t="s">
        <v>394</v>
      </c>
      <c r="B11" s="3309"/>
      <c r="C11" s="3309"/>
      <c r="D11" s="3309"/>
      <c r="E11" s="514">
        <f>SUM(E9:E10)</f>
        <v>0</v>
      </c>
      <c r="F11" s="514">
        <f>SUM(F9:F10)</f>
        <v>0</v>
      </c>
      <c r="G11" s="514">
        <f>SUM(G9:G10)</f>
        <v>0</v>
      </c>
      <c r="H11" s="423">
        <v>0</v>
      </c>
    </row>
    <row r="12" spans="1:8" s="335" customFormat="1" ht="15.75" thickTop="1" x14ac:dyDescent="0.25">
      <c r="A12" s="332" t="s">
        <v>395</v>
      </c>
      <c r="B12" s="333"/>
      <c r="C12" s="333"/>
      <c r="D12" s="334"/>
      <c r="E12" s="347">
        <f>E9</f>
        <v>0</v>
      </c>
      <c r="F12" s="347">
        <f>F9</f>
        <v>0</v>
      </c>
      <c r="G12" s="347">
        <f>G9</f>
        <v>0</v>
      </c>
      <c r="H12" s="365">
        <v>0</v>
      </c>
    </row>
    <row r="13" spans="1:8" s="335" customFormat="1" ht="15.75" thickBot="1" x14ac:dyDescent="0.3">
      <c r="A13" s="538" t="s">
        <v>399</v>
      </c>
      <c r="B13" s="509"/>
      <c r="C13" s="509"/>
      <c r="D13" s="539"/>
      <c r="E13" s="540">
        <f>E11-E12</f>
        <v>0</v>
      </c>
      <c r="F13" s="540">
        <f>F11-F12</f>
        <v>0</v>
      </c>
      <c r="G13" s="540">
        <f>G11-G12</f>
        <v>0</v>
      </c>
      <c r="H13" s="547">
        <v>0</v>
      </c>
    </row>
    <row r="14" spans="1:8" ht="13.5" thickTop="1" x14ac:dyDescent="0.2"/>
    <row r="16" spans="1:8" s="543" customFormat="1" ht="16.5" x14ac:dyDescent="0.25">
      <c r="A16" s="522" t="s">
        <v>251</v>
      </c>
      <c r="B16" s="523"/>
      <c r="C16" s="524"/>
      <c r="D16" s="525"/>
      <c r="E16" s="526">
        <f>SUM(E17:E19)</f>
        <v>0</v>
      </c>
      <c r="F16" s="526">
        <f>F17+F18+F19+F20</f>
        <v>0</v>
      </c>
      <c r="G16" s="526">
        <f>G17+G18+G19+G20</f>
        <v>0</v>
      </c>
      <c r="H16" s="527">
        <v>0</v>
      </c>
    </row>
    <row r="17" spans="1:8" s="372" customFormat="1" ht="15" x14ac:dyDescent="0.2">
      <c r="A17" s="507" t="s">
        <v>147</v>
      </c>
      <c r="B17" s="528"/>
      <c r="C17" s="529"/>
      <c r="D17" s="530"/>
      <c r="E17" s="531">
        <f>E10</f>
        <v>0</v>
      </c>
      <c r="F17" s="531">
        <f>F10</f>
        <v>0</v>
      </c>
      <c r="G17" s="531">
        <f>G10</f>
        <v>0</v>
      </c>
      <c r="H17" s="532">
        <v>0</v>
      </c>
    </row>
    <row r="18" spans="1:8" s="372" customFormat="1" ht="15" x14ac:dyDescent="0.2">
      <c r="A18" s="507" t="s">
        <v>148</v>
      </c>
      <c r="B18" s="533"/>
      <c r="C18" s="529"/>
      <c r="D18" s="534"/>
      <c r="E18" s="531">
        <v>0</v>
      </c>
      <c r="F18" s="531">
        <v>0</v>
      </c>
      <c r="G18" s="531">
        <v>0</v>
      </c>
      <c r="H18" s="548">
        <v>0</v>
      </c>
    </row>
    <row r="19" spans="1:8" s="372" customFormat="1" ht="15" x14ac:dyDescent="0.2">
      <c r="A19" s="507" t="s">
        <v>252</v>
      </c>
      <c r="B19" s="533"/>
      <c r="C19" s="529"/>
      <c r="D19" s="534"/>
      <c r="E19" s="531">
        <f>SUM(E9)</f>
        <v>0</v>
      </c>
      <c r="F19" s="531">
        <f>SUM(F9)</f>
        <v>0</v>
      </c>
      <c r="G19" s="531">
        <f>SUM(G9)</f>
        <v>0</v>
      </c>
      <c r="H19" s="548">
        <v>0</v>
      </c>
    </row>
    <row r="20" spans="1:8" s="372" customFormat="1" ht="15" x14ac:dyDescent="0.2">
      <c r="A20" s="507"/>
      <c r="B20" s="533"/>
      <c r="C20" s="529"/>
      <c r="D20" s="534"/>
      <c r="E20" s="531"/>
      <c r="F20" s="531"/>
      <c r="G20" s="531"/>
      <c r="H20" s="535"/>
    </row>
    <row r="21" spans="1:8" s="58" customFormat="1" ht="45" customHeight="1" thickBot="1" x14ac:dyDescent="0.4">
      <c r="A21" s="3196" t="s">
        <v>402</v>
      </c>
      <c r="B21" s="3310"/>
      <c r="C21" s="3310"/>
      <c r="D21" s="3310"/>
      <c r="E21" s="536">
        <f>SUM(E16)</f>
        <v>0</v>
      </c>
      <c r="F21" s="536">
        <f>SUM(F16)</f>
        <v>0</v>
      </c>
      <c r="G21" s="536">
        <f>SUM(G16)</f>
        <v>0</v>
      </c>
      <c r="H21" s="552">
        <v>0</v>
      </c>
    </row>
    <row r="22" spans="1:8" ht="13.5" thickTop="1" x14ac:dyDescent="0.2"/>
  </sheetData>
  <mergeCells count="3">
    <mergeCell ref="A21:D21"/>
    <mergeCell ref="G1:H1"/>
    <mergeCell ref="A11:D11"/>
  </mergeCells>
  <phoneticPr fontId="35" type="noConversion"/>
  <pageMargins left="0.98425196850393704" right="0.98425196850393704" top="0.98425196850393704" bottom="0.98425196850393704" header="0.51181102362204722" footer="0.51181102362204722"/>
  <pageSetup paperSize="9" scale="70" firstPageNumber="143" orientation="portrait" r:id="rId1"/>
  <headerFooter alignWithMargins="0">
    <oddFooter xml:space="preserve">&amp;L&amp;"Arial,Kurzíva"Zastupitelstvo Olomouckého kraje 28.6.2010
8.- Rozpočet Olomouckého kraje 2009 - závěrečný  účet
Příloha č. 3: Plnění rozpočtu výdajů Olomouckého kraje k 31.12.2009&amp;R&amp;"Arial,Kurzíva"Strana &amp;P (Celkem 464)
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1"/>
  </sheetPr>
  <dimension ref="A1:K20"/>
  <sheetViews>
    <sheetView showGridLines="0" zoomScaleNormal="100" workbookViewId="0">
      <selection activeCell="A267" sqref="A267"/>
    </sheetView>
  </sheetViews>
  <sheetFormatPr defaultColWidth="9.140625" defaultRowHeight="12.75" x14ac:dyDescent="0.2"/>
  <cols>
    <col min="1" max="1" width="4.7109375" style="400" customWidth="1"/>
    <col min="2" max="2" width="6.7109375" style="400" customWidth="1"/>
    <col min="3" max="3" width="9.140625" style="400"/>
    <col min="4" max="4" width="46.42578125" style="344" customWidth="1"/>
    <col min="5" max="5" width="13.85546875" style="434" customWidth="1"/>
    <col min="6" max="6" width="14.85546875" style="434" customWidth="1"/>
    <col min="7" max="7" width="13.85546875" style="434" customWidth="1"/>
    <col min="8" max="8" width="6.42578125" style="553" customWidth="1"/>
    <col min="9" max="16384" width="9.140625" style="344"/>
  </cols>
  <sheetData>
    <row r="1" spans="1:11" ht="18" x14ac:dyDescent="0.25">
      <c r="A1" s="449" t="s">
        <v>425</v>
      </c>
      <c r="B1" s="450"/>
      <c r="C1" s="450"/>
      <c r="D1" s="450"/>
      <c r="E1" s="450"/>
      <c r="F1" s="450"/>
      <c r="G1" s="404"/>
    </row>
    <row r="2" spans="1:11" ht="18.75" thickBot="1" x14ac:dyDescent="0.3">
      <c r="A2" s="452" t="s">
        <v>416</v>
      </c>
      <c r="B2" s="448"/>
      <c r="C2" s="448"/>
      <c r="D2" s="448"/>
      <c r="E2" s="448"/>
      <c r="F2" s="448"/>
      <c r="G2" s="404"/>
      <c r="H2" s="554" t="s">
        <v>417</v>
      </c>
    </row>
    <row r="3" spans="1:11" ht="18" x14ac:dyDescent="0.25">
      <c r="B3" s="404"/>
      <c r="C3" s="404"/>
      <c r="D3" s="404"/>
      <c r="E3" s="404"/>
      <c r="F3" s="404"/>
      <c r="G3" s="404"/>
      <c r="H3" s="555"/>
    </row>
    <row r="4" spans="1:11" s="372" customFormat="1" ht="16.5" customHeight="1" x14ac:dyDescent="0.2">
      <c r="A4" s="67" t="s">
        <v>201</v>
      </c>
      <c r="B4" s="28"/>
      <c r="C4" s="490" t="s">
        <v>189</v>
      </c>
    </row>
    <row r="5" spans="1:11" s="372" customFormat="1" ht="12.75" customHeight="1" x14ac:dyDescent="0.25">
      <c r="A5" s="6"/>
      <c r="B5" s="28"/>
      <c r="C5" s="490" t="s">
        <v>190</v>
      </c>
    </row>
    <row r="6" spans="1:11" ht="18" x14ac:dyDescent="0.25">
      <c r="A6" s="405" t="s">
        <v>424</v>
      </c>
      <c r="B6" s="404"/>
      <c r="C6" s="404"/>
      <c r="D6" s="404"/>
      <c r="E6" s="404"/>
      <c r="F6" s="404"/>
      <c r="G6" s="404"/>
      <c r="H6" s="555"/>
    </row>
    <row r="7" spans="1:11" ht="18.75" thickBot="1" x14ac:dyDescent="0.3">
      <c r="A7" s="405"/>
      <c r="B7" s="404"/>
      <c r="C7" s="404"/>
      <c r="D7" s="404"/>
      <c r="E7" s="404"/>
      <c r="F7" s="404"/>
      <c r="G7" s="404"/>
      <c r="H7" s="556" t="s">
        <v>583</v>
      </c>
    </row>
    <row r="8" spans="1:11" s="374" customFormat="1" ht="25.5" thickTop="1" thickBot="1" x14ac:dyDescent="0.25">
      <c r="A8" s="493" t="s">
        <v>93</v>
      </c>
      <c r="B8" s="494" t="s">
        <v>392</v>
      </c>
      <c r="C8" s="494" t="s">
        <v>209</v>
      </c>
      <c r="D8" s="495" t="s">
        <v>95</v>
      </c>
      <c r="E8" s="496" t="s">
        <v>328</v>
      </c>
      <c r="F8" s="496" t="s">
        <v>329</v>
      </c>
      <c r="G8" s="497" t="s">
        <v>448</v>
      </c>
      <c r="H8" s="557" t="s">
        <v>449</v>
      </c>
    </row>
    <row r="9" spans="1:11" s="374" customFormat="1" ht="13.5" thickTop="1" thickBot="1" x14ac:dyDescent="0.25">
      <c r="A9" s="511">
        <v>1</v>
      </c>
      <c r="B9" s="512">
        <v>2</v>
      </c>
      <c r="C9" s="512">
        <v>3</v>
      </c>
      <c r="D9" s="512">
        <v>4</v>
      </c>
      <c r="E9" s="499">
        <v>5</v>
      </c>
      <c r="F9" s="499">
        <v>6</v>
      </c>
      <c r="G9" s="500">
        <v>7</v>
      </c>
      <c r="H9" s="501" t="s">
        <v>33</v>
      </c>
    </row>
    <row r="10" spans="1:11" s="406" customFormat="1" ht="16.5" thickTop="1" thickBot="1" x14ac:dyDescent="0.25">
      <c r="A10" s="407">
        <v>6409</v>
      </c>
      <c r="B10" s="408">
        <v>5909</v>
      </c>
      <c r="C10" s="409"/>
      <c r="D10" s="410" t="s">
        <v>398</v>
      </c>
      <c r="E10" s="402">
        <v>0</v>
      </c>
      <c r="F10" s="402">
        <v>0</v>
      </c>
      <c r="G10" s="402">
        <v>0</v>
      </c>
      <c r="H10" s="568">
        <v>0</v>
      </c>
      <c r="I10" s="558"/>
      <c r="J10" s="558"/>
      <c r="K10" s="558"/>
    </row>
    <row r="11" spans="1:11" s="335" customFormat="1" ht="16.5" thickTop="1" thickBot="1" x14ac:dyDescent="0.3">
      <c r="A11" s="3308" t="s">
        <v>394</v>
      </c>
      <c r="B11" s="3309"/>
      <c r="C11" s="3309"/>
      <c r="D11" s="3309"/>
      <c r="E11" s="514">
        <f>SUM(,E10:E10)</f>
        <v>0</v>
      </c>
      <c r="F11" s="514">
        <f>SUM(,F10:F10)</f>
        <v>0</v>
      </c>
      <c r="G11" s="514">
        <f>SUM(,G10:G10)</f>
        <v>0</v>
      </c>
      <c r="H11" s="423">
        <v>0</v>
      </c>
      <c r="I11" s="559"/>
    </row>
    <row r="12" spans="1:11" ht="13.5" thickTop="1" x14ac:dyDescent="0.2"/>
    <row r="14" spans="1:11" s="543" customFormat="1" ht="16.5" x14ac:dyDescent="0.25">
      <c r="A14" s="522" t="s">
        <v>251</v>
      </c>
      <c r="B14" s="523"/>
      <c r="C14" s="524"/>
      <c r="D14" s="525"/>
      <c r="E14" s="526">
        <f>SUM(E15:E17)</f>
        <v>0</v>
      </c>
      <c r="F14" s="526">
        <f>F15+F16+F17+F18</f>
        <v>0</v>
      </c>
      <c r="G14" s="526">
        <f>G15+G16+G17+G18</f>
        <v>0</v>
      </c>
      <c r="H14" s="527">
        <v>0</v>
      </c>
    </row>
    <row r="15" spans="1:11" s="372" customFormat="1" ht="15" x14ac:dyDescent="0.2">
      <c r="A15" s="507" t="s">
        <v>147</v>
      </c>
      <c r="B15" s="528"/>
      <c r="C15" s="529"/>
      <c r="D15" s="530"/>
      <c r="E15" s="531">
        <f>SUM(E10:E10)</f>
        <v>0</v>
      </c>
      <c r="F15" s="531">
        <f>SUM(F10:F10)</f>
        <v>0</v>
      </c>
      <c r="G15" s="531">
        <f>SUM(G10:G10)</f>
        <v>0</v>
      </c>
      <c r="H15" s="532">
        <v>0</v>
      </c>
    </row>
    <row r="16" spans="1:11" s="372" customFormat="1" ht="15" x14ac:dyDescent="0.2">
      <c r="A16" s="507" t="s">
        <v>148</v>
      </c>
      <c r="B16" s="533"/>
      <c r="C16" s="529"/>
      <c r="D16" s="534"/>
      <c r="E16" s="531">
        <v>0</v>
      </c>
      <c r="F16" s="531">
        <v>0</v>
      </c>
      <c r="G16" s="531">
        <v>0</v>
      </c>
      <c r="H16" s="532">
        <v>0</v>
      </c>
    </row>
    <row r="17" spans="1:8" s="372" customFormat="1" ht="15" x14ac:dyDescent="0.2">
      <c r="A17" s="507" t="s">
        <v>252</v>
      </c>
      <c r="B17" s="533"/>
      <c r="C17" s="529"/>
      <c r="D17" s="534"/>
      <c r="E17" s="531">
        <v>0</v>
      </c>
      <c r="F17" s="531">
        <v>0</v>
      </c>
      <c r="G17" s="531">
        <v>0</v>
      </c>
      <c r="H17" s="548">
        <v>0</v>
      </c>
    </row>
    <row r="18" spans="1:8" s="372" customFormat="1" ht="15" x14ac:dyDescent="0.2">
      <c r="A18" s="507"/>
      <c r="B18" s="533"/>
      <c r="C18" s="529"/>
      <c r="D18" s="534"/>
      <c r="E18" s="531"/>
      <c r="F18" s="531"/>
      <c r="G18" s="531"/>
      <c r="H18" s="535"/>
    </row>
    <row r="19" spans="1:8" s="58" customFormat="1" ht="69" customHeight="1" thickBot="1" x14ac:dyDescent="0.4">
      <c r="A19" s="3196" t="s">
        <v>426</v>
      </c>
      <c r="B19" s="3310"/>
      <c r="C19" s="3310"/>
      <c r="D19" s="3310"/>
      <c r="E19" s="536">
        <f>SUM(E14)</f>
        <v>0</v>
      </c>
      <c r="F19" s="536">
        <f>SUM(F14)</f>
        <v>0</v>
      </c>
      <c r="G19" s="536">
        <f>SUM(G14)</f>
        <v>0</v>
      </c>
      <c r="H19" s="552">
        <v>0</v>
      </c>
    </row>
    <row r="20" spans="1:8" ht="13.5" thickTop="1" x14ac:dyDescent="0.2"/>
  </sheetData>
  <mergeCells count="2">
    <mergeCell ref="A11:D11"/>
    <mergeCell ref="A19:D19"/>
  </mergeCells>
  <phoneticPr fontId="35" type="noConversion"/>
  <pageMargins left="0.98425196850393704" right="0.98425196850393704" top="0.98425196850393704" bottom="0.98425196850393704" header="0.51181102362204722" footer="0.51181102362204722"/>
  <pageSetup paperSize="9" scale="70" firstPageNumber="146" orientation="portrait" r:id="rId1"/>
  <headerFooter alignWithMargins="0">
    <oddFooter xml:space="preserve">&amp;L&amp;"Arial,Kurzíva"Zastupitelstvo Olomouckého kraje 28.6.2010
8.- Rozpočet Olomouckého kraje 2009 - závěrečný  účet
Příloha č. 3: Plnění rozpočtu výdajů Olomouckého kraje k 31.12.2009&amp;R&amp;"Arial,Kurzíva"Strana &amp;P (Celkem 464)
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4"/>
  </sheetPr>
  <dimension ref="A1:H20"/>
  <sheetViews>
    <sheetView showGridLines="0" zoomScaleNormal="100" workbookViewId="0">
      <selection activeCell="A10" sqref="A10:G10"/>
    </sheetView>
  </sheetViews>
  <sheetFormatPr defaultColWidth="9.140625" defaultRowHeight="12.75" x14ac:dyDescent="0.2"/>
  <cols>
    <col min="1" max="1" width="4.7109375" style="400" customWidth="1"/>
    <col min="2" max="2" width="6.7109375" style="400" customWidth="1"/>
    <col min="3" max="3" width="9" style="400" bestFit="1" customWidth="1"/>
    <col min="4" max="4" width="46.42578125" style="344" customWidth="1"/>
    <col min="5" max="5" width="14.7109375" style="434" customWidth="1"/>
    <col min="6" max="6" width="14.5703125" style="434" customWidth="1"/>
    <col min="7" max="7" width="13.85546875" style="434" customWidth="1"/>
    <col min="8" max="8" width="7" style="344" customWidth="1"/>
    <col min="9" max="16384" width="9.140625" style="344"/>
  </cols>
  <sheetData>
    <row r="1" spans="1:8" ht="18" x14ac:dyDescent="0.25">
      <c r="A1" s="449" t="s">
        <v>247</v>
      </c>
      <c r="B1" s="450"/>
      <c r="C1" s="450"/>
      <c r="D1" s="450"/>
      <c r="E1" s="450"/>
      <c r="F1" s="450"/>
      <c r="G1" s="404"/>
    </row>
    <row r="2" spans="1:8" ht="18.75" thickBot="1" x14ac:dyDescent="0.3">
      <c r="A2" s="452" t="s">
        <v>248</v>
      </c>
      <c r="B2" s="448"/>
      <c r="C2" s="448"/>
      <c r="D2" s="448"/>
      <c r="E2" s="448"/>
      <c r="F2" s="448"/>
      <c r="G2" s="404"/>
      <c r="H2" s="515" t="s">
        <v>574</v>
      </c>
    </row>
    <row r="3" spans="1:8" ht="18" x14ac:dyDescent="0.25">
      <c r="A3" s="405"/>
      <c r="B3" s="404"/>
      <c r="C3" s="404"/>
      <c r="D3" s="404"/>
      <c r="E3" s="404"/>
      <c r="F3" s="404"/>
      <c r="G3" s="404"/>
      <c r="H3" s="515"/>
    </row>
    <row r="4" spans="1:8" s="372" customFormat="1" ht="16.5" customHeight="1" x14ac:dyDescent="0.2">
      <c r="A4" s="67" t="s">
        <v>201</v>
      </c>
      <c r="B4" s="28"/>
      <c r="C4" s="490" t="s">
        <v>189</v>
      </c>
    </row>
    <row r="5" spans="1:8" s="372" customFormat="1" ht="12.75" customHeight="1" x14ac:dyDescent="0.25">
      <c r="A5" s="6"/>
      <c r="B5" s="28"/>
      <c r="C5" s="490" t="s">
        <v>190</v>
      </c>
    </row>
    <row r="6" spans="1:8" ht="18" x14ac:dyDescent="0.25">
      <c r="A6" s="405" t="s">
        <v>355</v>
      </c>
      <c r="B6" s="404"/>
      <c r="C6" s="404"/>
      <c r="D6" s="404"/>
      <c r="E6" s="404"/>
      <c r="F6" s="404"/>
      <c r="G6" s="404"/>
      <c r="H6" s="515"/>
    </row>
    <row r="7" spans="1:8" ht="13.5" thickBot="1" x14ac:dyDescent="0.25">
      <c r="H7" s="344" t="s">
        <v>583</v>
      </c>
    </row>
    <row r="8" spans="1:8" s="374" customFormat="1" ht="25.5" thickTop="1" thickBot="1" x14ac:dyDescent="0.25">
      <c r="A8" s="493" t="s">
        <v>93</v>
      </c>
      <c r="B8" s="494" t="s">
        <v>392</v>
      </c>
      <c r="C8" s="494" t="s">
        <v>209</v>
      </c>
      <c r="D8" s="495" t="s">
        <v>95</v>
      </c>
      <c r="E8" s="496" t="s">
        <v>328</v>
      </c>
      <c r="F8" s="496" t="s">
        <v>329</v>
      </c>
      <c r="G8" s="497" t="s">
        <v>448</v>
      </c>
      <c r="H8" s="498" t="s">
        <v>449</v>
      </c>
    </row>
    <row r="9" spans="1:8" s="374" customFormat="1" ht="13.5" thickTop="1" thickBot="1" x14ac:dyDescent="0.25">
      <c r="A9" s="511">
        <v>1</v>
      </c>
      <c r="B9" s="512">
        <v>2</v>
      </c>
      <c r="C9" s="512">
        <v>3</v>
      </c>
      <c r="D9" s="512">
        <v>4</v>
      </c>
      <c r="E9" s="499">
        <v>5</v>
      </c>
      <c r="F9" s="499">
        <v>6</v>
      </c>
      <c r="G9" s="500">
        <v>7</v>
      </c>
      <c r="H9" s="489" t="s">
        <v>33</v>
      </c>
    </row>
    <row r="10" spans="1:8" ht="21.75" customHeight="1" thickTop="1" thickBot="1" x14ac:dyDescent="0.25">
      <c r="A10" s="407">
        <v>6409</v>
      </c>
      <c r="B10" s="408">
        <v>5909</v>
      </c>
      <c r="C10" s="409"/>
      <c r="D10" s="410" t="s">
        <v>635</v>
      </c>
      <c r="E10" s="402">
        <v>0</v>
      </c>
      <c r="F10" s="402">
        <v>0</v>
      </c>
      <c r="G10" s="402">
        <v>0</v>
      </c>
      <c r="H10" s="568">
        <v>0</v>
      </c>
    </row>
    <row r="11" spans="1:8" s="335" customFormat="1" ht="16.5" thickTop="1" thickBot="1" x14ac:dyDescent="0.3">
      <c r="A11" s="3308" t="s">
        <v>394</v>
      </c>
      <c r="B11" s="3309"/>
      <c r="C11" s="3309"/>
      <c r="D11" s="3309"/>
      <c r="E11" s="519">
        <f>SUM(E10:E10)</f>
        <v>0</v>
      </c>
      <c r="F11" s="519">
        <f>SUM(F10:F10)</f>
        <v>0</v>
      </c>
      <c r="G11" s="542">
        <f>SUM(G10:G10)</f>
        <v>0</v>
      </c>
      <c r="H11" s="520">
        <v>0</v>
      </c>
    </row>
    <row r="12" spans="1:8" ht="13.5" thickTop="1" x14ac:dyDescent="0.2"/>
    <row r="14" spans="1:8" s="543" customFormat="1" ht="16.5" x14ac:dyDescent="0.25">
      <c r="A14" s="522" t="s">
        <v>251</v>
      </c>
      <c r="B14" s="523"/>
      <c r="C14" s="524"/>
      <c r="D14" s="525"/>
      <c r="E14" s="526">
        <f>SUM(E15:E17)</f>
        <v>0</v>
      </c>
      <c r="F14" s="526">
        <f>F15+F16+F17+F18</f>
        <v>0</v>
      </c>
      <c r="G14" s="526">
        <f>G15+G16+G17+G18</f>
        <v>0</v>
      </c>
      <c r="H14" s="527">
        <v>0</v>
      </c>
    </row>
    <row r="15" spans="1:8" s="372" customFormat="1" ht="15" x14ac:dyDescent="0.2">
      <c r="A15" s="507" t="s">
        <v>147</v>
      </c>
      <c r="B15" s="528"/>
      <c r="C15" s="529"/>
      <c r="D15" s="530"/>
      <c r="E15" s="531">
        <f>SUM(E10:E10)</f>
        <v>0</v>
      </c>
      <c r="F15" s="531">
        <f>SUM(F10:F10)</f>
        <v>0</v>
      </c>
      <c r="G15" s="531">
        <f>SUM(G10:G10)</f>
        <v>0</v>
      </c>
      <c r="H15" s="532">
        <v>0</v>
      </c>
    </row>
    <row r="16" spans="1:8" s="372" customFormat="1" ht="15" x14ac:dyDescent="0.2">
      <c r="A16" s="507" t="s">
        <v>148</v>
      </c>
      <c r="B16" s="533"/>
      <c r="C16" s="529"/>
      <c r="D16" s="534"/>
      <c r="E16" s="531">
        <v>0</v>
      </c>
      <c r="F16" s="531">
        <v>0</v>
      </c>
      <c r="G16" s="531">
        <v>0</v>
      </c>
      <c r="H16" s="532">
        <v>0</v>
      </c>
    </row>
    <row r="17" spans="1:8" s="372" customFormat="1" ht="15" x14ac:dyDescent="0.2">
      <c r="A17" s="507" t="s">
        <v>252</v>
      </c>
      <c r="B17" s="533"/>
      <c r="C17" s="529"/>
      <c r="D17" s="534"/>
      <c r="E17" s="531">
        <v>0</v>
      </c>
      <c r="F17" s="531">
        <v>0</v>
      </c>
      <c r="G17" s="531">
        <v>0</v>
      </c>
      <c r="H17" s="548">
        <v>0</v>
      </c>
    </row>
    <row r="18" spans="1:8" s="372" customFormat="1" ht="15" x14ac:dyDescent="0.2">
      <c r="A18" s="507"/>
      <c r="B18" s="533"/>
      <c r="C18" s="529"/>
      <c r="D18" s="534"/>
      <c r="E18" s="531"/>
      <c r="F18" s="531"/>
      <c r="G18" s="531"/>
      <c r="H18" s="535"/>
    </row>
    <row r="19" spans="1:8" s="58" customFormat="1" ht="71.25" customHeight="1" thickBot="1" x14ac:dyDescent="0.4">
      <c r="A19" s="3196" t="s">
        <v>256</v>
      </c>
      <c r="B19" s="3310"/>
      <c r="C19" s="3310"/>
      <c r="D19" s="3310"/>
      <c r="E19" s="536">
        <f>SUM(E14)</f>
        <v>0</v>
      </c>
      <c r="F19" s="536">
        <f>SUM(F14)</f>
        <v>0</v>
      </c>
      <c r="G19" s="536">
        <f>SUM(G14)</f>
        <v>0</v>
      </c>
      <c r="H19" s="550">
        <v>0</v>
      </c>
    </row>
    <row r="20" spans="1:8" ht="13.5" thickTop="1" x14ac:dyDescent="0.2"/>
  </sheetData>
  <mergeCells count="2">
    <mergeCell ref="A11:D11"/>
    <mergeCell ref="A19:D19"/>
  </mergeCells>
  <phoneticPr fontId="35" type="noConversion"/>
  <pageMargins left="0.98425196850393704" right="0.98425196850393704" top="0.98425196850393704" bottom="0.98425196850393704" header="0.51181102362204722" footer="0.51181102362204722"/>
  <pageSetup paperSize="9" scale="65" firstPageNumber="148" orientation="portrait" r:id="rId1"/>
  <headerFooter alignWithMargins="0">
    <oddFooter xml:space="preserve">&amp;L&amp;"Arial,Kurzíva"Zastupitelstvo Olomouckého kraje 28.6.2010
8.- Rozpočet Olomouckého kraje 2009 - závěrečný  účet
Příloha č. 3: Plnění rozpočtu výdajů Olomouckého kraje k 31.12.2009&amp;R&amp;"Arial,Kurzíva"Strana &amp;P (Celkem 464)
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4"/>
  </sheetPr>
  <dimension ref="A1:H26"/>
  <sheetViews>
    <sheetView showGridLines="0" zoomScaleNormal="100" workbookViewId="0">
      <selection activeCell="A10" sqref="A10:G10"/>
    </sheetView>
  </sheetViews>
  <sheetFormatPr defaultColWidth="9.140625" defaultRowHeight="12.75" x14ac:dyDescent="0.2"/>
  <cols>
    <col min="1" max="1" width="4.7109375" style="400" customWidth="1"/>
    <col min="2" max="2" width="6.7109375" style="400" customWidth="1"/>
    <col min="3" max="3" width="9" style="400" bestFit="1" customWidth="1"/>
    <col min="4" max="4" width="46.42578125" style="344" customWidth="1"/>
    <col min="5" max="5" width="15" style="434" customWidth="1"/>
    <col min="6" max="6" width="13.5703125" style="434" customWidth="1"/>
    <col min="7" max="7" width="12.28515625" style="434" customWidth="1"/>
    <col min="8" max="8" width="6.42578125" style="344" customWidth="1"/>
    <col min="9" max="9" width="12.7109375" style="344" bestFit="1" customWidth="1"/>
    <col min="10" max="16384" width="9.140625" style="344"/>
  </cols>
  <sheetData>
    <row r="1" spans="1:8" ht="18.75" thickBot="1" x14ac:dyDescent="0.3">
      <c r="A1" s="447" t="s">
        <v>507</v>
      </c>
      <c r="B1" s="448"/>
      <c r="C1" s="448"/>
      <c r="D1" s="448"/>
      <c r="E1" s="448"/>
      <c r="F1" s="404"/>
      <c r="G1" s="404"/>
    </row>
    <row r="2" spans="1:8" ht="18" x14ac:dyDescent="0.25">
      <c r="B2" s="404"/>
      <c r="C2" s="404"/>
      <c r="D2" s="404"/>
      <c r="E2" s="404"/>
      <c r="F2" s="404"/>
      <c r="G2" s="404"/>
      <c r="H2" s="515" t="s">
        <v>575</v>
      </c>
    </row>
    <row r="3" spans="1:8" s="372" customFormat="1" ht="16.5" customHeight="1" x14ac:dyDescent="0.2">
      <c r="A3" s="67" t="s">
        <v>201</v>
      </c>
      <c r="B3" s="28"/>
      <c r="C3" s="490" t="s">
        <v>189</v>
      </c>
    </row>
    <row r="4" spans="1:8" s="372" customFormat="1" ht="12.75" customHeight="1" x14ac:dyDescent="0.25">
      <c r="A4" s="6"/>
      <c r="B4" s="28"/>
      <c r="C4" s="490" t="s">
        <v>190</v>
      </c>
    </row>
    <row r="5" spans="1:8" ht="18" x14ac:dyDescent="0.25">
      <c r="A5" s="405" t="s">
        <v>506</v>
      </c>
      <c r="B5" s="404"/>
      <c r="C5" s="404"/>
      <c r="D5" s="404"/>
      <c r="E5" s="404"/>
      <c r="F5" s="404"/>
      <c r="G5" s="404"/>
      <c r="H5" s="515"/>
    </row>
    <row r="6" spans="1:8" ht="18.75" thickBot="1" x14ac:dyDescent="0.3">
      <c r="A6" s="405"/>
      <c r="B6" s="404"/>
      <c r="C6" s="404"/>
      <c r="D6" s="404"/>
      <c r="E6" s="404"/>
      <c r="F6" s="404"/>
      <c r="G6" s="404"/>
      <c r="H6" s="549" t="s">
        <v>583</v>
      </c>
    </row>
    <row r="7" spans="1:8" s="374" customFormat="1" ht="25.5" thickTop="1" thickBot="1" x14ac:dyDescent="0.25">
      <c r="A7" s="493" t="s">
        <v>93</v>
      </c>
      <c r="B7" s="494" t="s">
        <v>392</v>
      </c>
      <c r="C7" s="494" t="s">
        <v>209</v>
      </c>
      <c r="D7" s="495" t="s">
        <v>95</v>
      </c>
      <c r="E7" s="496" t="s">
        <v>328</v>
      </c>
      <c r="F7" s="496" t="s">
        <v>329</v>
      </c>
      <c r="G7" s="497" t="s">
        <v>448</v>
      </c>
      <c r="H7" s="498" t="s">
        <v>449</v>
      </c>
    </row>
    <row r="8" spans="1:8" s="374" customFormat="1" ht="13.5" thickTop="1" thickBot="1" x14ac:dyDescent="0.25">
      <c r="A8" s="511">
        <v>1</v>
      </c>
      <c r="B8" s="512">
        <v>2</v>
      </c>
      <c r="C8" s="512">
        <v>3</v>
      </c>
      <c r="D8" s="512">
        <v>4</v>
      </c>
      <c r="E8" s="499">
        <v>5</v>
      </c>
      <c r="F8" s="499">
        <v>6</v>
      </c>
      <c r="G8" s="500">
        <v>7</v>
      </c>
      <c r="H8" s="489" t="s">
        <v>33</v>
      </c>
    </row>
    <row r="9" spans="1:8" s="345" customFormat="1" ht="20.25" customHeight="1" thickTop="1" thickBot="1" x14ac:dyDescent="0.25">
      <c r="A9" s="407">
        <v>6409</v>
      </c>
      <c r="B9" s="408">
        <v>5909</v>
      </c>
      <c r="C9" s="409"/>
      <c r="D9" s="410" t="s">
        <v>635</v>
      </c>
      <c r="E9" s="402">
        <v>0</v>
      </c>
      <c r="F9" s="402">
        <v>0</v>
      </c>
      <c r="G9" s="402">
        <v>0</v>
      </c>
      <c r="H9" s="423">
        <v>0</v>
      </c>
    </row>
    <row r="10" spans="1:8" s="335" customFormat="1" ht="16.5" thickTop="1" thickBot="1" x14ac:dyDescent="0.3">
      <c r="A10" s="3308" t="s">
        <v>394</v>
      </c>
      <c r="B10" s="3309"/>
      <c r="C10" s="3309"/>
      <c r="D10" s="3309"/>
      <c r="E10" s="519">
        <f>SUM(E9:E9)</f>
        <v>0</v>
      </c>
      <c r="F10" s="519">
        <f>SUM(F9:F9)</f>
        <v>0</v>
      </c>
      <c r="G10" s="519">
        <f>SUM(G9:G9)</f>
        <v>0</v>
      </c>
      <c r="H10" s="423">
        <v>0</v>
      </c>
    </row>
    <row r="11" spans="1:8" ht="13.5" thickTop="1" x14ac:dyDescent="0.2"/>
    <row r="13" spans="1:8" s="543" customFormat="1" ht="16.5" x14ac:dyDescent="0.25">
      <c r="A13" s="522" t="s">
        <v>251</v>
      </c>
      <c r="B13" s="523"/>
      <c r="C13" s="524"/>
      <c r="D13" s="525"/>
      <c r="E13" s="526">
        <f>SUM(E14:E16)</f>
        <v>0</v>
      </c>
      <c r="F13" s="526">
        <f>F14+F15+F16+F17</f>
        <v>0</v>
      </c>
      <c r="G13" s="526">
        <f>G14+G15+G16+G17</f>
        <v>0</v>
      </c>
      <c r="H13" s="527">
        <v>0</v>
      </c>
    </row>
    <row r="14" spans="1:8" s="372" customFormat="1" ht="15" x14ac:dyDescent="0.2">
      <c r="A14" s="507" t="s">
        <v>147</v>
      </c>
      <c r="B14" s="528"/>
      <c r="C14" s="529"/>
      <c r="D14" s="530"/>
      <c r="E14" s="531">
        <f>SUM(E10)</f>
        <v>0</v>
      </c>
      <c r="F14" s="531">
        <f>SUM(F10)</f>
        <v>0</v>
      </c>
      <c r="G14" s="531">
        <f>SUM(G10)</f>
        <v>0</v>
      </c>
      <c r="H14" s="532">
        <v>0</v>
      </c>
    </row>
    <row r="15" spans="1:8" s="372" customFormat="1" ht="15" x14ac:dyDescent="0.2">
      <c r="A15" s="507" t="s">
        <v>148</v>
      </c>
      <c r="B15" s="533"/>
      <c r="C15" s="529"/>
      <c r="D15" s="534"/>
      <c r="E15" s="531">
        <v>0</v>
      </c>
      <c r="F15" s="531">
        <v>0</v>
      </c>
      <c r="G15" s="531">
        <v>0</v>
      </c>
      <c r="H15" s="548">
        <v>0</v>
      </c>
    </row>
    <row r="16" spans="1:8" s="372" customFormat="1" ht="15" x14ac:dyDescent="0.2">
      <c r="A16" s="507" t="s">
        <v>252</v>
      </c>
      <c r="B16" s="533"/>
      <c r="C16" s="529"/>
      <c r="D16" s="534"/>
      <c r="E16" s="531">
        <v>0</v>
      </c>
      <c r="F16" s="531">
        <v>0</v>
      </c>
      <c r="G16" s="531">
        <v>0</v>
      </c>
      <c r="H16" s="548">
        <v>0</v>
      </c>
    </row>
    <row r="17" spans="1:8" s="372" customFormat="1" ht="15" x14ac:dyDescent="0.2">
      <c r="A17" s="507"/>
      <c r="B17" s="533"/>
      <c r="C17" s="529"/>
      <c r="D17" s="534"/>
      <c r="E17" s="531"/>
      <c r="F17" s="531"/>
      <c r="G17" s="531"/>
      <c r="H17" s="535"/>
    </row>
    <row r="18" spans="1:8" s="58" customFormat="1" ht="47.25" customHeight="1" thickBot="1" x14ac:dyDescent="0.4">
      <c r="A18" s="3196" t="s">
        <v>508</v>
      </c>
      <c r="B18" s="3310"/>
      <c r="C18" s="3310"/>
      <c r="D18" s="3310"/>
      <c r="E18" s="536">
        <f>SUM(E13)</f>
        <v>0</v>
      </c>
      <c r="F18" s="536">
        <f>SUM(F13)</f>
        <v>0</v>
      </c>
      <c r="G18" s="536">
        <f>SUM(G13)</f>
        <v>0</v>
      </c>
      <c r="H18" s="550" t="e">
        <f>(G18/F18)*100</f>
        <v>#DIV/0!</v>
      </c>
    </row>
    <row r="19" spans="1:8" ht="13.5" thickTop="1" x14ac:dyDescent="0.2"/>
    <row r="26" spans="1:8" ht="20.25" x14ac:dyDescent="0.3">
      <c r="D26" s="551"/>
    </row>
  </sheetData>
  <mergeCells count="2">
    <mergeCell ref="A10:D10"/>
    <mergeCell ref="A18:D18"/>
  </mergeCells>
  <phoneticPr fontId="35" type="noConversion"/>
  <pageMargins left="0.98425196850393704" right="0.98425196850393704" top="0.98425196850393704" bottom="0.98425196850393704" header="0.51181102362204722" footer="0.51181102362204722"/>
  <pageSetup paperSize="9" scale="70" firstPageNumber="149" orientation="portrait" r:id="rId1"/>
  <headerFooter alignWithMargins="0">
    <oddFooter xml:space="preserve">&amp;L&amp;"Arial,Kurzíva"Zastupitelstvo Olomouckého kraje 28.6.2010
8.- Rozpočet Olomouckého kraje 2009 - závěrečný  účet
Příloha č. 3: Plnění rozpočtu výdajů Olomouckého kraje k 31.12.2009&amp;R&amp;"Arial,Kurzíva"Strana &amp;P (Celkem 464)
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rgb="FFCCFFFF"/>
  </sheetPr>
  <dimension ref="A1:L68"/>
  <sheetViews>
    <sheetView showGridLines="0" view="pageBreakPreview" zoomScaleNormal="100" zoomScaleSheetLayoutView="100" workbookViewId="0">
      <selection activeCell="E74" sqref="E74"/>
    </sheetView>
  </sheetViews>
  <sheetFormatPr defaultColWidth="9.140625" defaultRowHeight="12.75" x14ac:dyDescent="0.2"/>
  <cols>
    <col min="1" max="1" width="5.28515625" style="570" customWidth="1"/>
    <col min="2" max="2" width="5.42578125" style="1360" customWidth="1"/>
    <col min="3" max="3" width="9.85546875" style="770" customWidth="1"/>
    <col min="4" max="4" width="47.28515625" style="372" customWidth="1"/>
    <col min="5" max="6" width="14.28515625" style="373" customWidth="1"/>
    <col min="7" max="7" width="13.42578125" style="373" customWidth="1"/>
    <col min="8" max="8" width="8.140625" style="1565" customWidth="1"/>
    <col min="9" max="9" width="9.140625" style="372"/>
    <col min="10" max="12" width="17.140625" style="372" bestFit="1" customWidth="1"/>
    <col min="13" max="16384" width="9.140625" style="372"/>
  </cols>
  <sheetData>
    <row r="1" spans="1:12" ht="18.75" thickBot="1" x14ac:dyDescent="0.3">
      <c r="A1" s="441" t="s">
        <v>215</v>
      </c>
      <c r="B1" s="442"/>
      <c r="C1" s="453"/>
      <c r="D1" s="914"/>
      <c r="E1" s="444"/>
      <c r="F1" s="445" t="s">
        <v>216</v>
      </c>
      <c r="H1" s="363"/>
    </row>
    <row r="2" spans="1:12" ht="12.75" customHeight="1" x14ac:dyDescent="0.25">
      <c r="A2" s="6"/>
      <c r="B2" s="28"/>
      <c r="C2" s="10"/>
      <c r="D2" s="920"/>
      <c r="E2" s="302"/>
      <c r="F2" s="16"/>
      <c r="G2" s="17"/>
      <c r="H2" s="363"/>
    </row>
    <row r="3" spans="1:12" ht="12.75" customHeight="1" x14ac:dyDescent="0.25">
      <c r="A3" s="67" t="s">
        <v>201</v>
      </c>
      <c r="B3" s="28"/>
      <c r="C3" s="483" t="s">
        <v>944</v>
      </c>
      <c r="D3" s="569"/>
      <c r="E3" s="302"/>
      <c r="F3" s="16"/>
      <c r="G3" s="17"/>
      <c r="H3" s="363"/>
    </row>
    <row r="4" spans="1:12" ht="12.75" customHeight="1" x14ac:dyDescent="0.25">
      <c r="A4" s="6"/>
      <c r="B4" s="28"/>
      <c r="C4" s="483" t="s">
        <v>200</v>
      </c>
      <c r="D4" s="373"/>
      <c r="E4" s="302"/>
      <c r="F4" s="16"/>
      <c r="G4" s="17"/>
      <c r="H4" s="363"/>
    </row>
    <row r="5" spans="1:12" ht="18" x14ac:dyDescent="0.25">
      <c r="A5" s="33" t="s">
        <v>450</v>
      </c>
      <c r="B5" s="28"/>
      <c r="C5" s="10"/>
      <c r="D5" s="920"/>
      <c r="E5" s="302"/>
      <c r="F5" s="16"/>
      <c r="G5" s="17"/>
      <c r="H5" s="363"/>
    </row>
    <row r="6" spans="1:12" ht="13.5" thickBot="1" x14ac:dyDescent="0.25">
      <c r="B6" s="570"/>
      <c r="C6" s="571"/>
      <c r="F6" s="560"/>
      <c r="H6" s="1565" t="s">
        <v>92</v>
      </c>
    </row>
    <row r="7" spans="1:12" s="106" customFormat="1" ht="30" customHeight="1" thickTop="1" thickBot="1" x14ac:dyDescent="0.25">
      <c r="A7" s="572" t="s">
        <v>93</v>
      </c>
      <c r="B7" s="573" t="s">
        <v>94</v>
      </c>
      <c r="C7" s="574" t="s">
        <v>364</v>
      </c>
      <c r="D7" s="639" t="s">
        <v>95</v>
      </c>
      <c r="E7" s="639" t="s">
        <v>328</v>
      </c>
      <c r="F7" s="639" t="s">
        <v>329</v>
      </c>
      <c r="G7" s="639" t="s">
        <v>448</v>
      </c>
      <c r="H7" s="785" t="s">
        <v>449</v>
      </c>
    </row>
    <row r="8" spans="1:12" s="471" customFormat="1" thickTop="1" thickBot="1" x14ac:dyDescent="0.25">
      <c r="A8" s="511">
        <v>1</v>
      </c>
      <c r="B8" s="464">
        <v>2</v>
      </c>
      <c r="C8" s="464">
        <v>3</v>
      </c>
      <c r="D8" s="464">
        <v>4</v>
      </c>
      <c r="E8" s="786">
        <v>5</v>
      </c>
      <c r="F8" s="786">
        <v>6</v>
      </c>
      <c r="G8" s="512">
        <v>7</v>
      </c>
      <c r="H8" s="787" t="s">
        <v>377</v>
      </c>
      <c r="I8" s="788"/>
    </row>
    <row r="9" spans="1:12" s="799" customFormat="1" ht="15.75" thickTop="1" x14ac:dyDescent="0.25">
      <c r="A9" s="998">
        <v>6113</v>
      </c>
      <c r="B9" s="987">
        <v>5019</v>
      </c>
      <c r="C9" s="808"/>
      <c r="D9" s="984" t="s">
        <v>584</v>
      </c>
      <c r="E9" s="991">
        <v>100</v>
      </c>
      <c r="F9" s="165">
        <v>158</v>
      </c>
      <c r="G9" s="362">
        <v>102</v>
      </c>
      <c r="H9" s="804">
        <f>(G9/F9)*100</f>
        <v>64.556962025316452</v>
      </c>
      <c r="J9" s="1612"/>
      <c r="K9" s="1612"/>
      <c r="L9" s="1612"/>
    </row>
    <row r="10" spans="1:12" s="799" customFormat="1" ht="15" x14ac:dyDescent="0.25">
      <c r="A10" s="999">
        <v>6113</v>
      </c>
      <c r="B10" s="988">
        <v>5021</v>
      </c>
      <c r="C10" s="809"/>
      <c r="D10" s="800" t="s">
        <v>217</v>
      </c>
      <c r="E10" s="992">
        <v>4100</v>
      </c>
      <c r="F10" s="165">
        <v>5440</v>
      </c>
      <c r="G10" s="310">
        <v>4812</v>
      </c>
      <c r="H10" s="804">
        <f>(G10/F10)*100</f>
        <v>88.455882352941174</v>
      </c>
      <c r="J10" s="1612"/>
      <c r="K10" s="1612"/>
      <c r="L10" s="1612"/>
    </row>
    <row r="11" spans="1:12" s="799" customFormat="1" ht="15" x14ac:dyDescent="0.25">
      <c r="A11" s="999">
        <v>6113</v>
      </c>
      <c r="B11" s="988">
        <v>5023</v>
      </c>
      <c r="C11" s="809"/>
      <c r="D11" s="985" t="s">
        <v>710</v>
      </c>
      <c r="E11" s="992">
        <v>13450</v>
      </c>
      <c r="F11" s="165">
        <v>14810</v>
      </c>
      <c r="G11" s="310">
        <v>14286</v>
      </c>
      <c r="H11" s="804">
        <f t="shared" ref="H11:H25" si="0">(G11/F11)*100</f>
        <v>96.46185010128292</v>
      </c>
      <c r="J11" s="1612"/>
      <c r="K11" s="1612"/>
      <c r="L11" s="1612"/>
    </row>
    <row r="12" spans="1:12" s="799" customFormat="1" ht="30" x14ac:dyDescent="0.2">
      <c r="A12" s="999">
        <v>6113</v>
      </c>
      <c r="B12" s="988">
        <v>5031</v>
      </c>
      <c r="C12" s="809"/>
      <c r="D12" s="985" t="s">
        <v>1232</v>
      </c>
      <c r="E12" s="992">
        <v>3365</v>
      </c>
      <c r="F12" s="983">
        <v>3800</v>
      </c>
      <c r="G12" s="704">
        <v>3609</v>
      </c>
      <c r="H12" s="995">
        <f t="shared" si="0"/>
        <v>94.973684210526315</v>
      </c>
      <c r="J12" s="1612"/>
      <c r="K12" s="1612"/>
      <c r="L12" s="1612"/>
    </row>
    <row r="13" spans="1:12" s="799" customFormat="1" ht="15" x14ac:dyDescent="0.25">
      <c r="A13" s="999">
        <v>6113</v>
      </c>
      <c r="B13" s="988">
        <v>5032</v>
      </c>
      <c r="C13" s="809"/>
      <c r="D13" s="985" t="s">
        <v>711</v>
      </c>
      <c r="E13" s="992">
        <v>1618</v>
      </c>
      <c r="F13" s="165">
        <v>1768</v>
      </c>
      <c r="G13" s="310">
        <v>1673</v>
      </c>
      <c r="H13" s="804">
        <f t="shared" si="0"/>
        <v>94.626696832579185</v>
      </c>
      <c r="J13" s="1612"/>
      <c r="K13" s="1612"/>
      <c r="L13" s="1612"/>
    </row>
    <row r="14" spans="1:12" s="799" customFormat="1" ht="30" x14ac:dyDescent="0.2">
      <c r="A14" s="999">
        <v>6113</v>
      </c>
      <c r="B14" s="988">
        <v>5039</v>
      </c>
      <c r="C14" s="809"/>
      <c r="D14" s="985" t="s">
        <v>548</v>
      </c>
      <c r="E14" s="992">
        <v>53</v>
      </c>
      <c r="F14" s="983">
        <v>41</v>
      </c>
      <c r="G14" s="704">
        <v>34</v>
      </c>
      <c r="H14" s="995">
        <f t="shared" si="0"/>
        <v>82.926829268292678</v>
      </c>
      <c r="J14" s="1612"/>
      <c r="K14" s="1612"/>
      <c r="L14" s="1612"/>
    </row>
    <row r="15" spans="1:12" s="799" customFormat="1" ht="15" x14ac:dyDescent="0.2">
      <c r="A15" s="999">
        <v>6113</v>
      </c>
      <c r="B15" s="988">
        <v>5041</v>
      </c>
      <c r="C15" s="809"/>
      <c r="D15" s="985" t="s">
        <v>1623</v>
      </c>
      <c r="E15" s="992">
        <v>510</v>
      </c>
      <c r="F15" s="983">
        <v>510</v>
      </c>
      <c r="G15" s="704">
        <v>501</v>
      </c>
      <c r="H15" s="995">
        <f t="shared" si="0"/>
        <v>98.235294117647058</v>
      </c>
      <c r="J15" s="1612"/>
      <c r="K15" s="1612"/>
      <c r="L15" s="1612"/>
    </row>
    <row r="16" spans="1:12" s="799" customFormat="1" ht="15" x14ac:dyDescent="0.25">
      <c r="A16" s="999">
        <v>6113</v>
      </c>
      <c r="B16" s="988">
        <v>5133</v>
      </c>
      <c r="C16" s="809"/>
      <c r="D16" s="800" t="s">
        <v>881</v>
      </c>
      <c r="E16" s="992">
        <v>2</v>
      </c>
      <c r="F16" s="983">
        <v>2</v>
      </c>
      <c r="G16" s="704">
        <v>0</v>
      </c>
      <c r="H16" s="995">
        <f t="shared" si="0"/>
        <v>0</v>
      </c>
      <c r="J16" s="1612"/>
      <c r="K16" s="1612"/>
      <c r="L16" s="1612"/>
    </row>
    <row r="17" spans="1:12" s="799" customFormat="1" ht="15" x14ac:dyDescent="0.25">
      <c r="A17" s="999">
        <v>6113</v>
      </c>
      <c r="B17" s="988">
        <v>5136</v>
      </c>
      <c r="C17" s="809"/>
      <c r="D17" s="985" t="s">
        <v>316</v>
      </c>
      <c r="E17" s="992">
        <v>85</v>
      </c>
      <c r="F17" s="165">
        <v>135</v>
      </c>
      <c r="G17" s="310">
        <v>102</v>
      </c>
      <c r="H17" s="804">
        <f t="shared" si="0"/>
        <v>75.555555555555557</v>
      </c>
      <c r="J17" s="1612"/>
      <c r="K17" s="1612"/>
      <c r="L17" s="1612"/>
    </row>
    <row r="18" spans="1:12" s="799" customFormat="1" ht="15" x14ac:dyDescent="0.25">
      <c r="A18" s="999">
        <v>6113</v>
      </c>
      <c r="B18" s="988">
        <v>5137</v>
      </c>
      <c r="C18" s="809"/>
      <c r="D18" s="985" t="s">
        <v>88</v>
      </c>
      <c r="E18" s="992">
        <v>150</v>
      </c>
      <c r="F18" s="165">
        <v>317</v>
      </c>
      <c r="G18" s="310">
        <v>317</v>
      </c>
      <c r="H18" s="804">
        <f t="shared" si="0"/>
        <v>100</v>
      </c>
      <c r="J18" s="1612"/>
      <c r="K18" s="1612"/>
      <c r="L18" s="1612"/>
    </row>
    <row r="19" spans="1:12" s="799" customFormat="1" ht="15" x14ac:dyDescent="0.25">
      <c r="A19" s="999">
        <v>6113</v>
      </c>
      <c r="B19" s="988">
        <v>5139</v>
      </c>
      <c r="C19" s="809"/>
      <c r="D19" s="985" t="s">
        <v>396</v>
      </c>
      <c r="E19" s="992">
        <v>400</v>
      </c>
      <c r="F19" s="165">
        <v>320</v>
      </c>
      <c r="G19" s="310">
        <v>248</v>
      </c>
      <c r="H19" s="804">
        <f t="shared" si="0"/>
        <v>77.5</v>
      </c>
      <c r="J19" s="1612"/>
      <c r="K19" s="1612"/>
      <c r="L19" s="1612"/>
    </row>
    <row r="20" spans="1:12" s="799" customFormat="1" ht="15" x14ac:dyDescent="0.25">
      <c r="A20" s="999">
        <v>6113</v>
      </c>
      <c r="B20" s="988">
        <v>5142</v>
      </c>
      <c r="C20" s="809"/>
      <c r="D20" s="985" t="s">
        <v>1622</v>
      </c>
      <c r="E20" s="992">
        <v>3</v>
      </c>
      <c r="F20" s="165">
        <v>3</v>
      </c>
      <c r="G20" s="310">
        <v>0</v>
      </c>
      <c r="H20" s="804">
        <f t="shared" si="0"/>
        <v>0</v>
      </c>
      <c r="J20" s="1612"/>
      <c r="K20" s="1612"/>
      <c r="L20" s="1612"/>
    </row>
    <row r="21" spans="1:12" s="799" customFormat="1" ht="15" x14ac:dyDescent="0.25">
      <c r="A21" s="999">
        <v>6113</v>
      </c>
      <c r="B21" s="988">
        <v>5151</v>
      </c>
      <c r="C21" s="809"/>
      <c r="D21" s="985" t="s">
        <v>435</v>
      </c>
      <c r="E21" s="992">
        <v>40</v>
      </c>
      <c r="F21" s="165">
        <v>40</v>
      </c>
      <c r="G21" s="310">
        <v>29</v>
      </c>
      <c r="H21" s="804">
        <f t="shared" si="0"/>
        <v>72.5</v>
      </c>
      <c r="J21" s="1612"/>
      <c r="K21" s="1612"/>
      <c r="L21" s="1612"/>
    </row>
    <row r="22" spans="1:12" s="799" customFormat="1" ht="15" x14ac:dyDescent="0.25">
      <c r="A22" s="999">
        <v>6113</v>
      </c>
      <c r="B22" s="988">
        <v>5152</v>
      </c>
      <c r="C22" s="809"/>
      <c r="D22" s="985" t="s">
        <v>438</v>
      </c>
      <c r="E22" s="992">
        <v>260</v>
      </c>
      <c r="F22" s="165">
        <v>248</v>
      </c>
      <c r="G22" s="310">
        <v>205</v>
      </c>
      <c r="H22" s="804">
        <f t="shared" si="0"/>
        <v>82.661290322580655</v>
      </c>
      <c r="J22" s="1612"/>
      <c r="K22" s="1612"/>
      <c r="L22" s="1612"/>
    </row>
    <row r="23" spans="1:12" s="799" customFormat="1" ht="15" x14ac:dyDescent="0.25">
      <c r="A23" s="999">
        <v>6113</v>
      </c>
      <c r="B23" s="988">
        <v>5154</v>
      </c>
      <c r="C23" s="809"/>
      <c r="D23" s="985" t="s">
        <v>159</v>
      </c>
      <c r="E23" s="992">
        <v>380</v>
      </c>
      <c r="F23" s="165">
        <v>360</v>
      </c>
      <c r="G23" s="310">
        <v>201</v>
      </c>
      <c r="H23" s="804">
        <f t="shared" si="0"/>
        <v>55.833333333333336</v>
      </c>
      <c r="J23" s="1612"/>
      <c r="K23" s="1612"/>
      <c r="L23" s="1612"/>
    </row>
    <row r="24" spans="1:12" s="799" customFormat="1" ht="15" x14ac:dyDescent="0.25">
      <c r="A24" s="999">
        <v>6113</v>
      </c>
      <c r="B24" s="988">
        <v>5156</v>
      </c>
      <c r="C24" s="809"/>
      <c r="D24" s="985" t="s">
        <v>160</v>
      </c>
      <c r="E24" s="992">
        <v>400</v>
      </c>
      <c r="F24" s="165">
        <v>400</v>
      </c>
      <c r="G24" s="310">
        <v>337</v>
      </c>
      <c r="H24" s="804">
        <f t="shared" si="0"/>
        <v>84.25</v>
      </c>
      <c r="J24" s="1612"/>
      <c r="K24" s="1612"/>
      <c r="L24" s="1612"/>
    </row>
    <row r="25" spans="1:12" s="799" customFormat="1" ht="15" x14ac:dyDescent="0.25">
      <c r="A25" s="999">
        <v>6113</v>
      </c>
      <c r="B25" s="988">
        <v>5161</v>
      </c>
      <c r="C25" s="809"/>
      <c r="D25" s="985" t="s">
        <v>822</v>
      </c>
      <c r="E25" s="992">
        <v>3</v>
      </c>
      <c r="F25" s="165">
        <v>3</v>
      </c>
      <c r="G25" s="310">
        <v>0</v>
      </c>
      <c r="H25" s="804">
        <f t="shared" si="0"/>
        <v>0</v>
      </c>
      <c r="J25" s="1612"/>
      <c r="K25" s="1612"/>
      <c r="L25" s="1612"/>
    </row>
    <row r="26" spans="1:12" s="799" customFormat="1" ht="15" x14ac:dyDescent="0.25">
      <c r="A26" s="999">
        <v>6113</v>
      </c>
      <c r="B26" s="988">
        <v>5162</v>
      </c>
      <c r="C26" s="809"/>
      <c r="D26" s="985" t="s">
        <v>439</v>
      </c>
      <c r="E26" s="992">
        <v>100</v>
      </c>
      <c r="F26" s="165">
        <v>100</v>
      </c>
      <c r="G26" s="310">
        <v>89</v>
      </c>
      <c r="H26" s="804">
        <f>(G26/F26)*100</f>
        <v>89</v>
      </c>
      <c r="J26" s="1612"/>
      <c r="K26" s="1612"/>
      <c r="L26" s="1612"/>
    </row>
    <row r="27" spans="1:12" s="799" customFormat="1" ht="15" x14ac:dyDescent="0.25">
      <c r="A27" s="999">
        <v>6113</v>
      </c>
      <c r="B27" s="988">
        <v>5163</v>
      </c>
      <c r="C27" s="809"/>
      <c r="D27" s="985" t="s">
        <v>452</v>
      </c>
      <c r="E27" s="992">
        <v>35</v>
      </c>
      <c r="F27" s="165">
        <v>35</v>
      </c>
      <c r="G27" s="310">
        <v>5</v>
      </c>
      <c r="H27" s="804">
        <f t="shared" ref="H27:H36" si="1">(G27/F27)*100</f>
        <v>14.285714285714285</v>
      </c>
      <c r="J27" s="1612"/>
      <c r="K27" s="1612"/>
      <c r="L27" s="1612"/>
    </row>
    <row r="28" spans="1:12" s="799" customFormat="1" ht="15" x14ac:dyDescent="0.25">
      <c r="A28" s="999">
        <v>6113</v>
      </c>
      <c r="B28" s="988">
        <v>5164</v>
      </c>
      <c r="C28" s="809"/>
      <c r="D28" s="985" t="s">
        <v>101</v>
      </c>
      <c r="E28" s="992">
        <v>20</v>
      </c>
      <c r="F28" s="165">
        <v>18</v>
      </c>
      <c r="G28" s="310">
        <v>8</v>
      </c>
      <c r="H28" s="804">
        <f t="shared" si="1"/>
        <v>44.444444444444443</v>
      </c>
      <c r="J28" s="1612"/>
      <c r="K28" s="1612"/>
      <c r="L28" s="1612"/>
    </row>
    <row r="29" spans="1:12" s="799" customFormat="1" ht="15" x14ac:dyDescent="0.25">
      <c r="A29" s="999">
        <v>6113</v>
      </c>
      <c r="B29" s="988">
        <v>5166</v>
      </c>
      <c r="C29" s="809"/>
      <c r="D29" s="985" t="s">
        <v>317</v>
      </c>
      <c r="E29" s="992">
        <v>20</v>
      </c>
      <c r="F29" s="165">
        <v>20</v>
      </c>
      <c r="G29" s="310">
        <v>0</v>
      </c>
      <c r="H29" s="804">
        <v>0</v>
      </c>
      <c r="J29" s="1612"/>
      <c r="K29" s="1612"/>
      <c r="L29" s="1612"/>
    </row>
    <row r="30" spans="1:12" s="799" customFormat="1" ht="15" x14ac:dyDescent="0.25">
      <c r="A30" s="999">
        <v>6113</v>
      </c>
      <c r="B30" s="988">
        <v>5167</v>
      </c>
      <c r="C30" s="809"/>
      <c r="D30" s="985" t="s">
        <v>455</v>
      </c>
      <c r="E30" s="992">
        <v>140</v>
      </c>
      <c r="F30" s="165">
        <v>140</v>
      </c>
      <c r="G30" s="310">
        <v>73</v>
      </c>
      <c r="H30" s="804">
        <f t="shared" si="1"/>
        <v>52.142857142857146</v>
      </c>
      <c r="J30" s="1612"/>
      <c r="K30" s="1612"/>
      <c r="L30" s="1612"/>
    </row>
    <row r="31" spans="1:12" s="799" customFormat="1" ht="30" x14ac:dyDescent="0.2">
      <c r="A31" s="1658">
        <v>6113</v>
      </c>
      <c r="B31" s="1659">
        <v>5168</v>
      </c>
      <c r="C31" s="809"/>
      <c r="D31" s="1657" t="s">
        <v>821</v>
      </c>
      <c r="E31" s="1660">
        <v>5</v>
      </c>
      <c r="F31" s="897">
        <v>5</v>
      </c>
      <c r="G31" s="429">
        <v>0</v>
      </c>
      <c r="H31" s="898">
        <f t="shared" si="1"/>
        <v>0</v>
      </c>
      <c r="J31" s="1612"/>
      <c r="K31" s="1612"/>
      <c r="L31" s="1612"/>
    </row>
    <row r="32" spans="1:12" s="799" customFormat="1" ht="15" x14ac:dyDescent="0.25">
      <c r="A32" s="999">
        <v>6113</v>
      </c>
      <c r="B32" s="988">
        <v>5169</v>
      </c>
      <c r="C32" s="809"/>
      <c r="D32" s="985" t="s">
        <v>430</v>
      </c>
      <c r="E32" s="992">
        <v>500</v>
      </c>
      <c r="F32" s="165">
        <v>587</v>
      </c>
      <c r="G32" s="310">
        <v>553</v>
      </c>
      <c r="H32" s="804">
        <f>(G32/F32)*100</f>
        <v>94.207836456558766</v>
      </c>
      <c r="J32" s="1612"/>
      <c r="K32" s="1612"/>
      <c r="L32" s="1612"/>
    </row>
    <row r="33" spans="1:12" s="799" customFormat="1" ht="15" x14ac:dyDescent="0.25">
      <c r="A33" s="999">
        <v>6113</v>
      </c>
      <c r="B33" s="988">
        <v>5171</v>
      </c>
      <c r="C33" s="809"/>
      <c r="D33" s="985" t="s">
        <v>456</v>
      </c>
      <c r="E33" s="992">
        <v>280</v>
      </c>
      <c r="F33" s="165">
        <v>245</v>
      </c>
      <c r="G33" s="310">
        <v>212</v>
      </c>
      <c r="H33" s="804">
        <f t="shared" si="1"/>
        <v>86.530612244897966</v>
      </c>
      <c r="J33" s="1612"/>
      <c r="K33" s="1612"/>
      <c r="L33" s="1612"/>
    </row>
    <row r="34" spans="1:12" s="799" customFormat="1" ht="15" x14ac:dyDescent="0.25">
      <c r="A34" s="999">
        <v>6113</v>
      </c>
      <c r="B34" s="988">
        <v>5172</v>
      </c>
      <c r="C34" s="809"/>
      <c r="D34" s="985" t="s">
        <v>457</v>
      </c>
      <c r="E34" s="992">
        <v>100</v>
      </c>
      <c r="F34" s="165">
        <v>50</v>
      </c>
      <c r="G34" s="310">
        <v>24</v>
      </c>
      <c r="H34" s="804">
        <f t="shared" si="1"/>
        <v>48</v>
      </c>
      <c r="J34" s="1612"/>
      <c r="K34" s="1612"/>
      <c r="L34" s="1612"/>
    </row>
    <row r="35" spans="1:12" s="799" customFormat="1" ht="15" x14ac:dyDescent="0.25">
      <c r="A35" s="999">
        <v>6113</v>
      </c>
      <c r="B35" s="988">
        <v>5173</v>
      </c>
      <c r="C35" s="809"/>
      <c r="D35" s="985" t="s">
        <v>541</v>
      </c>
      <c r="E35" s="992">
        <v>953</v>
      </c>
      <c r="F35" s="428">
        <v>953</v>
      </c>
      <c r="G35" s="1548">
        <v>754</v>
      </c>
      <c r="H35" s="804">
        <f t="shared" si="1"/>
        <v>79.118572927597057</v>
      </c>
      <c r="J35" s="1612"/>
      <c r="K35" s="1612"/>
      <c r="L35" s="1612"/>
    </row>
    <row r="36" spans="1:12" s="799" customFormat="1" ht="15" x14ac:dyDescent="0.25">
      <c r="A36" s="999">
        <v>6113</v>
      </c>
      <c r="B36" s="988">
        <v>5175</v>
      </c>
      <c r="C36" s="811"/>
      <c r="D36" s="985" t="s">
        <v>352</v>
      </c>
      <c r="E36" s="992">
        <v>1350</v>
      </c>
      <c r="F36" s="308">
        <v>1350</v>
      </c>
      <c r="G36" s="310">
        <v>1067</v>
      </c>
      <c r="H36" s="199">
        <f t="shared" si="1"/>
        <v>79.037037037037038</v>
      </c>
      <c r="J36" s="1612"/>
      <c r="K36" s="1612"/>
      <c r="L36" s="1612"/>
    </row>
    <row r="37" spans="1:12" s="799" customFormat="1" ht="15" x14ac:dyDescent="0.25">
      <c r="A37" s="999">
        <v>6113</v>
      </c>
      <c r="B37" s="988">
        <v>5176</v>
      </c>
      <c r="C37" s="811"/>
      <c r="D37" s="985" t="s">
        <v>593</v>
      </c>
      <c r="E37" s="992">
        <v>15</v>
      </c>
      <c r="F37" s="308">
        <v>15</v>
      </c>
      <c r="G37" s="310">
        <v>12</v>
      </c>
      <c r="H37" s="199">
        <f>(G37/F37)*100</f>
        <v>80</v>
      </c>
      <c r="J37" s="1612"/>
      <c r="K37" s="1612"/>
      <c r="L37" s="1612"/>
    </row>
    <row r="38" spans="1:12" s="799" customFormat="1" ht="15" x14ac:dyDescent="0.25">
      <c r="A38" s="999">
        <v>6113</v>
      </c>
      <c r="B38" s="988">
        <v>5179</v>
      </c>
      <c r="C38" s="811"/>
      <c r="D38" s="845" t="s">
        <v>1130</v>
      </c>
      <c r="E38" s="992">
        <f>SUM(E39:E40)</f>
        <v>7</v>
      </c>
      <c r="F38" s="992">
        <f t="shared" ref="F38:G38" si="2">SUM(F39:F40)</f>
        <v>44</v>
      </c>
      <c r="G38" s="992">
        <f t="shared" si="2"/>
        <v>42</v>
      </c>
      <c r="H38" s="199">
        <f>(G38/F38)*100</f>
        <v>95.454545454545453</v>
      </c>
      <c r="J38" s="1612"/>
      <c r="K38" s="1612"/>
      <c r="L38" s="1612"/>
    </row>
    <row r="39" spans="1:12" s="799" customFormat="1" ht="14.25" x14ac:dyDescent="0.2">
      <c r="A39" s="999"/>
      <c r="B39" s="988"/>
      <c r="C39" s="1028" t="s">
        <v>871</v>
      </c>
      <c r="D39" s="1034" t="s">
        <v>600</v>
      </c>
      <c r="E39" s="1024">
        <v>2</v>
      </c>
      <c r="F39" s="1023">
        <v>39</v>
      </c>
      <c r="G39" s="1022">
        <v>37</v>
      </c>
      <c r="H39" s="1061">
        <f t="shared" ref="H39:H40" si="3">(G39/F39)*100</f>
        <v>94.871794871794862</v>
      </c>
      <c r="J39" s="1612"/>
      <c r="K39" s="1612"/>
      <c r="L39" s="1612"/>
    </row>
    <row r="40" spans="1:12" s="799" customFormat="1" ht="14.25" x14ac:dyDescent="0.2">
      <c r="A40" s="999"/>
      <c r="B40" s="988"/>
      <c r="C40" s="1033" t="s">
        <v>1085</v>
      </c>
      <c r="D40" s="1569" t="s">
        <v>1089</v>
      </c>
      <c r="E40" s="1024">
        <v>5</v>
      </c>
      <c r="F40" s="1023">
        <v>5</v>
      </c>
      <c r="G40" s="1022">
        <v>5</v>
      </c>
      <c r="H40" s="1061">
        <f t="shared" si="3"/>
        <v>100</v>
      </c>
      <c r="J40" s="1612"/>
      <c r="K40" s="1612"/>
      <c r="L40" s="1612"/>
    </row>
    <row r="41" spans="1:12" s="799" customFormat="1" ht="15" x14ac:dyDescent="0.25">
      <c r="A41" s="999">
        <v>6113</v>
      </c>
      <c r="B41" s="988">
        <v>5189</v>
      </c>
      <c r="C41" s="809"/>
      <c r="D41" s="985" t="s">
        <v>440</v>
      </c>
      <c r="E41" s="992">
        <v>70</v>
      </c>
      <c r="F41" s="308">
        <v>70</v>
      </c>
      <c r="G41" s="310">
        <v>0</v>
      </c>
      <c r="H41" s="804">
        <f>(G41/F41)*100</f>
        <v>0</v>
      </c>
      <c r="J41" s="1612"/>
      <c r="K41" s="1612"/>
      <c r="L41" s="1612"/>
    </row>
    <row r="42" spans="1:12" s="799" customFormat="1" ht="15" x14ac:dyDescent="0.25">
      <c r="A42" s="999">
        <v>6113</v>
      </c>
      <c r="B42" s="988">
        <v>5194</v>
      </c>
      <c r="C42" s="809"/>
      <c r="D42" s="985" t="s">
        <v>309</v>
      </c>
      <c r="E42" s="992">
        <f>SUM(E43:E44)</f>
        <v>50</v>
      </c>
      <c r="F42" s="992">
        <f t="shared" ref="F42:G42" si="4">SUM(F43:F44)</f>
        <v>50</v>
      </c>
      <c r="G42" s="992">
        <f t="shared" si="4"/>
        <v>0</v>
      </c>
      <c r="H42" s="804">
        <f>(G42/F42)*100</f>
        <v>0</v>
      </c>
      <c r="J42" s="1612"/>
      <c r="K42" s="1612"/>
      <c r="L42" s="1612"/>
    </row>
    <row r="43" spans="1:12" s="799" customFormat="1" ht="14.25" x14ac:dyDescent="0.2">
      <c r="A43" s="999"/>
      <c r="B43" s="988"/>
      <c r="C43" s="1028" t="s">
        <v>871</v>
      </c>
      <c r="D43" s="1034" t="s">
        <v>600</v>
      </c>
      <c r="E43" s="1024">
        <v>0</v>
      </c>
      <c r="F43" s="1023">
        <v>0</v>
      </c>
      <c r="G43" s="1022">
        <v>0</v>
      </c>
      <c r="H43" s="1061">
        <v>0</v>
      </c>
      <c r="J43" s="1612"/>
      <c r="K43" s="1612"/>
      <c r="L43" s="1612"/>
    </row>
    <row r="44" spans="1:12" s="799" customFormat="1" ht="14.25" x14ac:dyDescent="0.2">
      <c r="A44" s="999"/>
      <c r="B44" s="988"/>
      <c r="C44" s="1033" t="s">
        <v>1086</v>
      </c>
      <c r="D44" s="1569" t="s">
        <v>1090</v>
      </c>
      <c r="E44" s="1024">
        <v>50</v>
      </c>
      <c r="F44" s="1023">
        <v>50</v>
      </c>
      <c r="G44" s="1022">
        <v>0</v>
      </c>
      <c r="H44" s="1061">
        <f t="shared" ref="H44" si="5">(G44/F44)*100</f>
        <v>0</v>
      </c>
      <c r="J44" s="1612"/>
      <c r="K44" s="1612"/>
      <c r="L44" s="1612"/>
    </row>
    <row r="45" spans="1:12" s="799" customFormat="1" ht="15" x14ac:dyDescent="0.25">
      <c r="A45" s="999">
        <v>6113</v>
      </c>
      <c r="B45" s="988">
        <v>5361</v>
      </c>
      <c r="C45" s="809"/>
      <c r="D45" s="985" t="s">
        <v>310</v>
      </c>
      <c r="E45" s="992">
        <v>2</v>
      </c>
      <c r="F45" s="165">
        <v>2</v>
      </c>
      <c r="G45" s="310">
        <v>0</v>
      </c>
      <c r="H45" s="804">
        <f t="shared" ref="H45:H51" si="6">(G45/F45)*100</f>
        <v>0</v>
      </c>
      <c r="J45" s="1612"/>
      <c r="K45" s="1612"/>
      <c r="L45" s="1612"/>
    </row>
    <row r="46" spans="1:12" s="799" customFormat="1" ht="15" x14ac:dyDescent="0.25">
      <c r="A46" s="999">
        <v>6113</v>
      </c>
      <c r="B46" s="988">
        <v>5362</v>
      </c>
      <c r="C46" s="809"/>
      <c r="D46" s="985" t="s">
        <v>712</v>
      </c>
      <c r="E46" s="992">
        <v>2</v>
      </c>
      <c r="F46" s="308">
        <v>2</v>
      </c>
      <c r="G46" s="310">
        <v>0</v>
      </c>
      <c r="H46" s="804">
        <f t="shared" si="6"/>
        <v>0</v>
      </c>
      <c r="J46" s="1612"/>
      <c r="K46" s="1612"/>
      <c r="L46" s="1612"/>
    </row>
    <row r="47" spans="1:12" s="799" customFormat="1" ht="15" x14ac:dyDescent="0.25">
      <c r="A47" s="999">
        <v>6113</v>
      </c>
      <c r="B47" s="988">
        <v>5424</v>
      </c>
      <c r="C47" s="809"/>
      <c r="D47" s="985" t="s">
        <v>343</v>
      </c>
      <c r="E47" s="992">
        <v>50</v>
      </c>
      <c r="F47" s="165">
        <v>50</v>
      </c>
      <c r="G47" s="310">
        <v>0</v>
      </c>
      <c r="H47" s="804">
        <f t="shared" si="6"/>
        <v>0</v>
      </c>
      <c r="J47" s="1612"/>
      <c r="K47" s="1612"/>
      <c r="L47" s="1612"/>
    </row>
    <row r="48" spans="1:12" s="799" customFormat="1" ht="15" x14ac:dyDescent="0.25">
      <c r="A48" s="999">
        <v>6113</v>
      </c>
      <c r="B48" s="988">
        <v>5492</v>
      </c>
      <c r="C48" s="809"/>
      <c r="D48" s="985" t="s">
        <v>429</v>
      </c>
      <c r="E48" s="992">
        <f>E49</f>
        <v>15</v>
      </c>
      <c r="F48" s="992">
        <f t="shared" ref="F48:G48" si="7">F49</f>
        <v>15</v>
      </c>
      <c r="G48" s="992">
        <f t="shared" si="7"/>
        <v>15</v>
      </c>
      <c r="H48" s="804">
        <f t="shared" si="6"/>
        <v>100</v>
      </c>
      <c r="J48" s="1612"/>
      <c r="K48" s="1612"/>
      <c r="L48" s="1612"/>
    </row>
    <row r="49" spans="1:12" s="799" customFormat="1" ht="14.25" x14ac:dyDescent="0.2">
      <c r="A49" s="999"/>
      <c r="B49" s="988"/>
      <c r="C49" s="1033" t="s">
        <v>1087</v>
      </c>
      <c r="D49" s="1034" t="s">
        <v>1088</v>
      </c>
      <c r="E49" s="1024">
        <v>15</v>
      </c>
      <c r="F49" s="1023">
        <v>15</v>
      </c>
      <c r="G49" s="1022">
        <v>15</v>
      </c>
      <c r="H49" s="1061">
        <f t="shared" si="6"/>
        <v>100</v>
      </c>
      <c r="J49" s="1612"/>
      <c r="K49" s="1612"/>
      <c r="L49" s="1612"/>
    </row>
    <row r="50" spans="1:12" s="799" customFormat="1" ht="18.75" customHeight="1" thickBot="1" x14ac:dyDescent="0.25">
      <c r="A50" s="1000">
        <v>6330</v>
      </c>
      <c r="B50" s="989">
        <v>5342</v>
      </c>
      <c r="C50" s="836"/>
      <c r="D50" s="986" t="s">
        <v>713</v>
      </c>
      <c r="E50" s="993">
        <v>306</v>
      </c>
      <c r="F50" s="990">
        <v>378</v>
      </c>
      <c r="G50" s="994">
        <v>347</v>
      </c>
      <c r="H50" s="996">
        <f t="shared" si="6"/>
        <v>91.798941798941797</v>
      </c>
      <c r="J50" s="1612"/>
      <c r="K50" s="1612"/>
      <c r="L50" s="1612"/>
    </row>
    <row r="51" spans="1:12" s="355" customFormat="1" ht="35.25" customHeight="1" thickTop="1" thickBot="1" x14ac:dyDescent="0.3">
      <c r="A51" s="616" t="s">
        <v>134</v>
      </c>
      <c r="B51" s="617"/>
      <c r="C51" s="812"/>
      <c r="D51" s="617"/>
      <c r="E51" s="618">
        <f>E50+E48+E47+E46+E45+E42+E41+E38+E37+E36+E35+E34+E33+E32+E31+E30+E29+E28+E27+E26+E25+E24+E23+E22+E21+E20+E19+E18+E17+E16+E15+E14+E13+E12+E11+E10+E9</f>
        <v>28939</v>
      </c>
      <c r="F51" s="618">
        <f t="shared" ref="F51:G51" si="8">F50+F48+F47+F46+F45+F42+F41+F38+F37+F36+F35+F34+F33+F32+F31+F30+F29+F28+F27+F26+F25+F24+F23+F22+F21+F20+F19+F18+F17+F16+F15+F14+F13+F12+F11+F10+F9</f>
        <v>32484</v>
      </c>
      <c r="G51" s="618">
        <f t="shared" si="8"/>
        <v>29657</v>
      </c>
      <c r="H51" s="781">
        <f t="shared" si="6"/>
        <v>91.29725403275458</v>
      </c>
    </row>
    <row r="52" spans="1:12" ht="15.75" thickTop="1" x14ac:dyDescent="0.25">
      <c r="A52" s="789"/>
      <c r="B52" s="1566"/>
      <c r="C52" s="790"/>
      <c r="D52" s="593"/>
      <c r="E52" s="754"/>
      <c r="F52" s="791"/>
      <c r="G52" s="754"/>
      <c r="H52" s="792"/>
    </row>
    <row r="53" spans="1:12" ht="18" x14ac:dyDescent="0.25">
      <c r="A53" s="33" t="s">
        <v>594</v>
      </c>
      <c r="B53" s="28"/>
      <c r="C53" s="10"/>
      <c r="D53" s="136"/>
      <c r="E53" s="134"/>
      <c r="F53" s="16"/>
      <c r="G53" s="17"/>
      <c r="H53" s="190"/>
    </row>
    <row r="54" spans="1:12" ht="13.5" thickBot="1" x14ac:dyDescent="0.25">
      <c r="B54" s="570"/>
      <c r="C54" s="571"/>
      <c r="D54" s="491"/>
      <c r="E54" s="459"/>
      <c r="F54" s="740"/>
      <c r="G54" s="459"/>
      <c r="H54" s="596" t="s">
        <v>92</v>
      </c>
    </row>
    <row r="55" spans="1:12" ht="14.25" thickTop="1" thickBot="1" x14ac:dyDescent="0.25">
      <c r="A55" s="572" t="s">
        <v>93</v>
      </c>
      <c r="B55" s="573" t="s">
        <v>94</v>
      </c>
      <c r="C55" s="575" t="s">
        <v>364</v>
      </c>
      <c r="D55" s="639" t="s">
        <v>95</v>
      </c>
      <c r="E55" s="639" t="s">
        <v>328</v>
      </c>
      <c r="F55" s="639" t="s">
        <v>329</v>
      </c>
      <c r="G55" s="639" t="s">
        <v>448</v>
      </c>
      <c r="H55" s="576" t="s">
        <v>449</v>
      </c>
    </row>
    <row r="56" spans="1:12" ht="14.25" thickTop="1" thickBot="1" x14ac:dyDescent="0.25">
      <c r="A56" s="511">
        <v>1</v>
      </c>
      <c r="B56" s="512">
        <v>2</v>
      </c>
      <c r="C56" s="512">
        <v>3</v>
      </c>
      <c r="D56" s="512">
        <v>4</v>
      </c>
      <c r="E56" s="512">
        <v>5</v>
      </c>
      <c r="F56" s="499">
        <v>6</v>
      </c>
      <c r="G56" s="499">
        <v>7</v>
      </c>
      <c r="H56" s="577" t="s">
        <v>33</v>
      </c>
    </row>
    <row r="57" spans="1:12" ht="16.5" thickTop="1" thickBot="1" x14ac:dyDescent="0.3">
      <c r="A57" s="2316">
        <v>6113</v>
      </c>
      <c r="B57" s="2315">
        <v>6123</v>
      </c>
      <c r="C57" s="808"/>
      <c r="D57" s="803" t="s">
        <v>586</v>
      </c>
      <c r="E57" s="814">
        <v>0</v>
      </c>
      <c r="F57" s="431">
        <v>1531</v>
      </c>
      <c r="G57" s="362">
        <v>1524</v>
      </c>
      <c r="H57" s="837">
        <f>(G57/F57)*100</f>
        <v>99.54278249510125</v>
      </c>
    </row>
    <row r="58" spans="1:12" ht="19.5" thickTop="1" thickBot="1" x14ac:dyDescent="0.3">
      <c r="A58" s="578" t="s">
        <v>133</v>
      </c>
      <c r="B58" s="581"/>
      <c r="C58" s="580"/>
      <c r="D58" s="581"/>
      <c r="E58" s="769">
        <f>E57</f>
        <v>0</v>
      </c>
      <c r="F58" s="769">
        <f t="shared" ref="F58:G58" si="9">F57</f>
        <v>1531</v>
      </c>
      <c r="G58" s="582">
        <f t="shared" si="9"/>
        <v>1524</v>
      </c>
      <c r="H58" s="594">
        <f>(G58/F58)*100</f>
        <v>99.54278249510125</v>
      </c>
    </row>
    <row r="59" spans="1:12" ht="15.75" thickTop="1" x14ac:dyDescent="0.25">
      <c r="A59" s="793"/>
      <c r="B59" s="1567"/>
      <c r="C59" s="794"/>
      <c r="D59" s="631"/>
      <c r="E59" s="177"/>
      <c r="F59" s="709"/>
      <c r="G59" s="177"/>
      <c r="H59" s="795"/>
    </row>
    <row r="60" spans="1:12" x14ac:dyDescent="0.2">
      <c r="H60" s="1568"/>
    </row>
    <row r="61" spans="1:12" ht="16.5" x14ac:dyDescent="0.25">
      <c r="A61" s="356" t="s">
        <v>262</v>
      </c>
      <c r="B61" s="357"/>
      <c r="C61" s="358"/>
      <c r="D61" s="358"/>
      <c r="E61" s="626">
        <f>E62+E63+E64+E65+E66</f>
        <v>28939</v>
      </c>
      <c r="F61" s="626">
        <f>F62+F63+F64+F65+F66</f>
        <v>34015</v>
      </c>
      <c r="G61" s="626">
        <f>G62+G63+G64+G65+G66</f>
        <v>31181</v>
      </c>
      <c r="H61" s="567">
        <f>(G61/F61)*100</f>
        <v>91.66838159635455</v>
      </c>
      <c r="J61" s="1291">
        <f>SUM(J62:J66)</f>
        <v>28939000</v>
      </c>
      <c r="K61" s="1291">
        <f>SUM(K62:K66)</f>
        <v>34014500</v>
      </c>
      <c r="L61" s="1291">
        <f t="shared" ref="L61" si="10">SUM(L62:L66)</f>
        <v>31180560.280000001</v>
      </c>
    </row>
    <row r="62" spans="1:12" ht="15" x14ac:dyDescent="0.2">
      <c r="A62" s="507" t="s">
        <v>147</v>
      </c>
      <c r="B62" s="645"/>
      <c r="C62" s="935"/>
      <c r="D62" s="935"/>
      <c r="E62" s="531">
        <f>E51-E50</f>
        <v>28633</v>
      </c>
      <c r="F62" s="531">
        <f>F51-F50</f>
        <v>32106</v>
      </c>
      <c r="G62" s="531">
        <f>G51-G50</f>
        <v>29310</v>
      </c>
      <c r="H62" s="796">
        <f>(G62/F62)*100</f>
        <v>91.291347411698752</v>
      </c>
      <c r="J62" s="1155">
        <v>28633000</v>
      </c>
      <c r="K62" s="1155">
        <v>32105200</v>
      </c>
      <c r="L62" s="1155">
        <v>29309477.280000001</v>
      </c>
    </row>
    <row r="63" spans="1:12" ht="15" x14ac:dyDescent="0.2">
      <c r="A63" s="507" t="s">
        <v>148</v>
      </c>
      <c r="B63" s="936"/>
      <c r="C63" s="935"/>
      <c r="D63" s="935"/>
      <c r="E63" s="535">
        <f>E58</f>
        <v>0</v>
      </c>
      <c r="F63" s="535">
        <f>F58</f>
        <v>1531</v>
      </c>
      <c r="G63" s="535">
        <f>G58</f>
        <v>1524</v>
      </c>
      <c r="H63" s="796">
        <f>(G63/F63)*100</f>
        <v>99.54278249510125</v>
      </c>
      <c r="J63" s="1155">
        <v>0</v>
      </c>
      <c r="K63" s="1155">
        <v>1531000</v>
      </c>
      <c r="L63" s="1155">
        <v>1524283</v>
      </c>
    </row>
    <row r="64" spans="1:12" ht="15" x14ac:dyDescent="0.2">
      <c r="A64" s="507" t="s">
        <v>119</v>
      </c>
      <c r="B64" s="936"/>
      <c r="C64" s="935"/>
      <c r="D64" s="935"/>
      <c r="E64" s="535">
        <v>0</v>
      </c>
      <c r="F64" s="535">
        <v>0</v>
      </c>
      <c r="G64" s="535">
        <v>0</v>
      </c>
      <c r="H64" s="796">
        <v>0</v>
      </c>
      <c r="J64" s="1155">
        <v>0</v>
      </c>
      <c r="K64" s="1155">
        <v>0</v>
      </c>
      <c r="L64" s="1155">
        <v>0</v>
      </c>
    </row>
    <row r="65" spans="1:12" ht="15" x14ac:dyDescent="0.2">
      <c r="A65" s="507" t="s">
        <v>537</v>
      </c>
      <c r="B65" s="936"/>
      <c r="C65" s="935"/>
      <c r="D65" s="935"/>
      <c r="E65" s="535">
        <v>0</v>
      </c>
      <c r="F65" s="535">
        <v>0</v>
      </c>
      <c r="G65" s="535">
        <v>0</v>
      </c>
      <c r="H65" s="796">
        <v>0</v>
      </c>
      <c r="J65" s="1155">
        <v>0</v>
      </c>
      <c r="K65" s="1155">
        <v>0</v>
      </c>
      <c r="L65" s="1155">
        <v>0</v>
      </c>
    </row>
    <row r="66" spans="1:12" ht="15" x14ac:dyDescent="0.2">
      <c r="A66" s="507" t="s">
        <v>252</v>
      </c>
      <c r="B66" s="936"/>
      <c r="C66" s="935"/>
      <c r="D66" s="935"/>
      <c r="E66" s="535">
        <f>SUM(E50)</f>
        <v>306</v>
      </c>
      <c r="F66" s="535">
        <f>SUM(F50)</f>
        <v>378</v>
      </c>
      <c r="G66" s="535">
        <f>SUM(G50)</f>
        <v>347</v>
      </c>
      <c r="H66" s="796">
        <f>(G66/F66)*100</f>
        <v>91.798941798941797</v>
      </c>
      <c r="J66" s="1155">
        <v>306000</v>
      </c>
      <c r="K66" s="1155">
        <v>378300</v>
      </c>
      <c r="L66" s="1155">
        <v>346800</v>
      </c>
    </row>
    <row r="67" spans="1:12" s="58" customFormat="1" ht="33.75" customHeight="1" thickBot="1" x14ac:dyDescent="0.4">
      <c r="A67" s="589" t="s">
        <v>314</v>
      </c>
      <c r="B67" s="590"/>
      <c r="C67" s="591"/>
      <c r="D67" s="592"/>
      <c r="E67" s="536">
        <f>SUM(E51,E58)</f>
        <v>28939</v>
      </c>
      <c r="F67" s="536">
        <f>SUM(F51,F58)</f>
        <v>34015</v>
      </c>
      <c r="G67" s="536">
        <f>SUM(G51,G58)</f>
        <v>31181</v>
      </c>
      <c r="H67" s="537">
        <f>(G67/F67)*100</f>
        <v>91.66838159635455</v>
      </c>
      <c r="J67" s="2576">
        <f>J61</f>
        <v>28939000</v>
      </c>
      <c r="K67" s="2576">
        <f t="shared" ref="K67:L67" si="11">K61</f>
        <v>34014500</v>
      </c>
      <c r="L67" s="2576">
        <f t="shared" si="11"/>
        <v>31180560.280000001</v>
      </c>
    </row>
    <row r="68" spans="1:12" s="585" customFormat="1" ht="13.5" thickTop="1" x14ac:dyDescent="0.2">
      <c r="A68" s="570"/>
      <c r="B68" s="570"/>
      <c r="C68" s="571"/>
      <c r="D68" s="797"/>
      <c r="E68" s="752"/>
      <c r="F68" s="569"/>
      <c r="G68" s="752"/>
      <c r="H68" s="798"/>
    </row>
  </sheetData>
  <phoneticPr fontId="0" type="noConversion"/>
  <pageMargins left="0.98425196850393704" right="0.78740157480314965" top="0.98425196850393704" bottom="0.98425196850393704" header="0.51181102362204722" footer="0.51181102362204722"/>
  <pageSetup paperSize="9" scale="65" firstPageNumber="25" orientation="portrait" useFirstPageNumber="1" r:id="rId1"/>
  <headerFooter alignWithMargins="0">
    <oddFooter>&amp;L&amp;"Arial,Kurzíva"Zastupitelstvo Olomouckého kraje 25. 6. 2018
5. - Rozpočet Olomouckého kraje 2017 - závěrečný  účet 
Příloha č. 3: Plnění rozpočtu výdajů Olomouckého kraje k 31. 12. 2017&amp;R&amp;"Arial,Kurzíva"Strana &amp;P (celkem 478)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4"/>
  </sheetPr>
  <dimension ref="A1:H26"/>
  <sheetViews>
    <sheetView showGridLines="0" zoomScaleNormal="100" workbookViewId="0">
      <selection activeCell="A10" sqref="A10:G10"/>
    </sheetView>
  </sheetViews>
  <sheetFormatPr defaultColWidth="9.140625" defaultRowHeight="12.75" x14ac:dyDescent="0.2"/>
  <cols>
    <col min="1" max="1" width="4.7109375" style="400" customWidth="1"/>
    <col min="2" max="2" width="6.7109375" style="400" customWidth="1"/>
    <col min="3" max="3" width="9.28515625" style="400" customWidth="1"/>
    <col min="4" max="4" width="46.42578125" style="344" customWidth="1"/>
    <col min="5" max="5" width="12.140625" style="434" customWidth="1"/>
    <col min="6" max="6" width="16.85546875" style="434" customWidth="1"/>
    <col min="7" max="7" width="13.85546875" style="434" customWidth="1"/>
    <col min="8" max="8" width="6.42578125" style="344" customWidth="1"/>
    <col min="9" max="9" width="11.7109375" style="344" bestFit="1" customWidth="1"/>
    <col min="10" max="16384" width="9.140625" style="344"/>
  </cols>
  <sheetData>
    <row r="1" spans="1:8" ht="36" customHeight="1" thickBot="1" x14ac:dyDescent="0.3">
      <c r="A1" s="3315" t="s">
        <v>240</v>
      </c>
      <c r="B1" s="3316"/>
      <c r="C1" s="3316"/>
      <c r="D1" s="3316"/>
      <c r="E1" s="3316"/>
      <c r="F1" s="3316"/>
      <c r="G1" s="3316"/>
      <c r="H1" s="3316"/>
    </row>
    <row r="2" spans="1:8" ht="18" x14ac:dyDescent="0.25">
      <c r="B2" s="404"/>
      <c r="C2" s="404"/>
      <c r="D2" s="404"/>
      <c r="E2" s="404"/>
      <c r="F2" s="404"/>
      <c r="G2" s="404"/>
      <c r="H2" s="515" t="s">
        <v>580</v>
      </c>
    </row>
    <row r="3" spans="1:8" s="372" customFormat="1" ht="16.5" customHeight="1" x14ac:dyDescent="0.25">
      <c r="A3" s="67" t="s">
        <v>201</v>
      </c>
      <c r="B3" s="28"/>
      <c r="C3" s="490" t="s">
        <v>189</v>
      </c>
      <c r="E3" s="16"/>
      <c r="G3" s="544"/>
    </row>
    <row r="4" spans="1:8" s="372" customFormat="1" ht="12.75" customHeight="1" x14ac:dyDescent="0.25">
      <c r="A4" s="6"/>
      <c r="B4" s="28"/>
      <c r="C4" s="490" t="s">
        <v>190</v>
      </c>
      <c r="E4" s="16"/>
      <c r="G4" s="544"/>
    </row>
    <row r="5" spans="1:8" ht="18" x14ac:dyDescent="0.25">
      <c r="A5" s="516"/>
      <c r="B5" s="404"/>
      <c r="C5" s="404"/>
      <c r="D5" s="404"/>
      <c r="E5" s="404"/>
      <c r="F5" s="404"/>
      <c r="G5" s="404"/>
      <c r="H5" s="515"/>
    </row>
    <row r="6" spans="1:8" ht="18" x14ac:dyDescent="0.25">
      <c r="A6" s="405" t="s">
        <v>21</v>
      </c>
      <c r="B6" s="404"/>
      <c r="C6" s="404"/>
      <c r="D6" s="404"/>
      <c r="E6" s="404"/>
      <c r="F6" s="404"/>
      <c r="G6" s="404"/>
      <c r="H6" s="515"/>
    </row>
    <row r="7" spans="1:8" ht="15.75" thickBot="1" x14ac:dyDescent="0.3">
      <c r="A7" s="492"/>
      <c r="H7" s="517" t="s">
        <v>583</v>
      </c>
    </row>
    <row r="8" spans="1:8" s="374" customFormat="1" ht="25.5" thickTop="1" thickBot="1" x14ac:dyDescent="0.25">
      <c r="A8" s="493" t="s">
        <v>93</v>
      </c>
      <c r="B8" s="494" t="s">
        <v>392</v>
      </c>
      <c r="C8" s="494" t="s">
        <v>209</v>
      </c>
      <c r="D8" s="495" t="s">
        <v>95</v>
      </c>
      <c r="E8" s="496" t="s">
        <v>328</v>
      </c>
      <c r="F8" s="496" t="s">
        <v>329</v>
      </c>
      <c r="G8" s="497" t="s">
        <v>448</v>
      </c>
      <c r="H8" s="498" t="s">
        <v>449</v>
      </c>
    </row>
    <row r="9" spans="1:8" s="374" customFormat="1" ht="13.5" thickTop="1" thickBot="1" x14ac:dyDescent="0.25">
      <c r="A9" s="511">
        <v>1</v>
      </c>
      <c r="B9" s="512">
        <v>2</v>
      </c>
      <c r="C9" s="512">
        <v>3</v>
      </c>
      <c r="D9" s="512">
        <v>4</v>
      </c>
      <c r="E9" s="499">
        <v>5</v>
      </c>
      <c r="F9" s="499">
        <v>6</v>
      </c>
      <c r="G9" s="500">
        <v>7</v>
      </c>
      <c r="H9" s="489" t="s">
        <v>33</v>
      </c>
    </row>
    <row r="10" spans="1:8" ht="16.5" thickTop="1" thickBot="1" x14ac:dyDescent="0.25">
      <c r="A10" s="407">
        <v>6409</v>
      </c>
      <c r="B10" s="408">
        <v>5909</v>
      </c>
      <c r="C10" s="409"/>
      <c r="D10" s="410" t="s">
        <v>376</v>
      </c>
      <c r="E10" s="403"/>
      <c r="F10" s="403">
        <v>0</v>
      </c>
      <c r="G10" s="546">
        <v>0</v>
      </c>
      <c r="H10" s="423">
        <v>0</v>
      </c>
    </row>
    <row r="11" spans="1:8" s="335" customFormat="1" ht="16.5" thickTop="1" thickBot="1" x14ac:dyDescent="0.3">
      <c r="A11" s="3308" t="s">
        <v>394</v>
      </c>
      <c r="B11" s="3309"/>
      <c r="C11" s="3309"/>
      <c r="D11" s="3309"/>
      <c r="E11" s="519">
        <f>SUM(E10:E10)</f>
        <v>0</v>
      </c>
      <c r="F11" s="519">
        <f>SUM(F10:F10)</f>
        <v>0</v>
      </c>
      <c r="G11" s="542">
        <f>SUM(G10:G10)</f>
        <v>0</v>
      </c>
      <c r="H11" s="423">
        <v>0</v>
      </c>
    </row>
    <row r="12" spans="1:8" s="335" customFormat="1" ht="15.75" thickTop="1" x14ac:dyDescent="0.25">
      <c r="A12" s="332" t="s">
        <v>395</v>
      </c>
      <c r="B12" s="333"/>
      <c r="C12" s="333"/>
      <c r="D12" s="334"/>
      <c r="E12" s="347"/>
      <c r="F12" s="347">
        <v>0</v>
      </c>
      <c r="G12" s="347">
        <f>G10</f>
        <v>0</v>
      </c>
      <c r="H12" s="365">
        <v>0</v>
      </c>
    </row>
    <row r="13" spans="1:8" s="335" customFormat="1" ht="15.75" thickBot="1" x14ac:dyDescent="0.3">
      <c r="A13" s="538" t="s">
        <v>399</v>
      </c>
      <c r="B13" s="509"/>
      <c r="C13" s="509"/>
      <c r="D13" s="539"/>
      <c r="E13" s="540">
        <f>E11-E12</f>
        <v>0</v>
      </c>
      <c r="F13" s="540">
        <f>F11-F12</f>
        <v>0</v>
      </c>
      <c r="G13" s="540">
        <f>G11-G12</f>
        <v>0</v>
      </c>
      <c r="H13" s="547">
        <v>0</v>
      </c>
    </row>
    <row r="14" spans="1:8" ht="13.5" thickTop="1" x14ac:dyDescent="0.2"/>
    <row r="20" spans="1:8" s="543" customFormat="1" ht="16.5" x14ac:dyDescent="0.25">
      <c r="A20" s="522" t="s">
        <v>251</v>
      </c>
      <c r="B20" s="523"/>
      <c r="C20" s="524"/>
      <c r="D20" s="525"/>
      <c r="E20" s="526">
        <f>SUM(E21:E23)</f>
        <v>0</v>
      </c>
      <c r="F20" s="526">
        <f>F21+F22+F23+F24</f>
        <v>0</v>
      </c>
      <c r="G20" s="526">
        <f>G21+G22+G23+G24</f>
        <v>0</v>
      </c>
      <c r="H20" s="527">
        <v>0</v>
      </c>
    </row>
    <row r="21" spans="1:8" s="372" customFormat="1" ht="15" x14ac:dyDescent="0.2">
      <c r="A21" s="507" t="s">
        <v>147</v>
      </c>
      <c r="B21" s="528"/>
      <c r="C21" s="529"/>
      <c r="D21" s="530"/>
      <c r="E21" s="531">
        <v>0</v>
      </c>
      <c r="F21" s="531">
        <v>0</v>
      </c>
      <c r="G21" s="531">
        <v>0</v>
      </c>
      <c r="H21" s="532">
        <v>0</v>
      </c>
    </row>
    <row r="22" spans="1:8" s="372" customFormat="1" ht="15" x14ac:dyDescent="0.2">
      <c r="A22" s="507" t="s">
        <v>148</v>
      </c>
      <c r="B22" s="533"/>
      <c r="C22" s="529"/>
      <c r="D22" s="534"/>
      <c r="E22" s="531">
        <v>0</v>
      </c>
      <c r="F22" s="531">
        <v>0</v>
      </c>
      <c r="G22" s="531">
        <v>0</v>
      </c>
      <c r="H22" s="548">
        <v>0</v>
      </c>
    </row>
    <row r="23" spans="1:8" s="372" customFormat="1" ht="15" x14ac:dyDescent="0.2">
      <c r="A23" s="507" t="s">
        <v>252</v>
      </c>
      <c r="B23" s="533"/>
      <c r="C23" s="529"/>
      <c r="D23" s="534"/>
      <c r="E23" s="531">
        <f>E10</f>
        <v>0</v>
      </c>
      <c r="F23" s="531">
        <f>F10</f>
        <v>0</v>
      </c>
      <c r="G23" s="531">
        <f>G10</f>
        <v>0</v>
      </c>
      <c r="H23" s="548">
        <v>0</v>
      </c>
    </row>
    <row r="24" spans="1:8" s="372" customFormat="1" ht="15" x14ac:dyDescent="0.2">
      <c r="A24" s="507"/>
      <c r="B24" s="533"/>
      <c r="C24" s="529"/>
      <c r="D24" s="534"/>
      <c r="E24" s="531"/>
      <c r="F24" s="531"/>
      <c r="G24" s="531"/>
      <c r="H24" s="535"/>
    </row>
    <row r="25" spans="1:8" s="58" customFormat="1" ht="75" customHeight="1" thickBot="1" x14ac:dyDescent="0.4">
      <c r="A25" s="3313" t="s">
        <v>579</v>
      </c>
      <c r="B25" s="3314"/>
      <c r="C25" s="3314"/>
      <c r="D25" s="3314"/>
      <c r="E25" s="536">
        <f>SUM(E20)</f>
        <v>0</v>
      </c>
      <c r="F25" s="536">
        <f>SUM(F20)</f>
        <v>0</v>
      </c>
      <c r="G25" s="536">
        <f>SUM(G20)</f>
        <v>0</v>
      </c>
      <c r="H25" s="537"/>
    </row>
    <row r="26" spans="1:8" ht="13.5" thickTop="1" x14ac:dyDescent="0.2"/>
  </sheetData>
  <mergeCells count="3">
    <mergeCell ref="A25:D25"/>
    <mergeCell ref="A1:H1"/>
    <mergeCell ref="A11:D11"/>
  </mergeCells>
  <phoneticPr fontId="35" type="noConversion"/>
  <pageMargins left="0.98425196850393704" right="0.98425196850393704" top="0.98425196850393704" bottom="0.98425196850393704" header="0.51181102362204722" footer="0.51181102362204722"/>
  <pageSetup paperSize="9" scale="70" firstPageNumber="153" orientation="portrait" r:id="rId1"/>
  <headerFooter alignWithMargins="0">
    <oddFooter xml:space="preserve">&amp;L&amp;"Arial,Kurzíva"Zastupitelstvo Olomouckého kraje 28.6.2010
8.- Rozpočet Olomouckého kraje 2009 - závěrečný  účet
Příloha č. 3: Plnění rozpočtu výdajů Olomouckého kraje k 31.12.2009&amp;R&amp;"Arial,Kurzíva"Strana &amp;P (Celkem 464)
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4"/>
  </sheetPr>
  <dimension ref="A1:H21"/>
  <sheetViews>
    <sheetView showGridLines="0" zoomScaleNormal="100" workbookViewId="0">
      <selection activeCell="A10" sqref="A10:G10"/>
    </sheetView>
  </sheetViews>
  <sheetFormatPr defaultColWidth="9.140625" defaultRowHeight="12.75" x14ac:dyDescent="0.2"/>
  <cols>
    <col min="1" max="1" width="4.7109375" style="400" customWidth="1"/>
    <col min="2" max="2" width="6.7109375" style="400" customWidth="1"/>
    <col min="3" max="3" width="9.42578125" style="400" customWidth="1"/>
    <col min="4" max="4" width="46.42578125" style="344" customWidth="1"/>
    <col min="5" max="5" width="12.5703125" style="434" customWidth="1"/>
    <col min="6" max="6" width="16.85546875" style="434" customWidth="1"/>
    <col min="7" max="7" width="13.85546875" style="434" customWidth="1"/>
    <col min="8" max="8" width="6.85546875" style="508" customWidth="1"/>
    <col min="9" max="9" width="15.42578125" style="344" customWidth="1"/>
    <col min="10" max="16384" width="9.140625" style="344"/>
  </cols>
  <sheetData>
    <row r="1" spans="1:8" ht="36" customHeight="1" thickBot="1" x14ac:dyDescent="0.3">
      <c r="A1" s="3315" t="s">
        <v>219</v>
      </c>
      <c r="B1" s="3316"/>
      <c r="C1" s="3316"/>
      <c r="D1" s="3316"/>
      <c r="E1" s="3316"/>
      <c r="F1" s="3316"/>
      <c r="G1" s="3316"/>
      <c r="H1" s="3316"/>
    </row>
    <row r="2" spans="1:8" ht="24" customHeight="1" x14ac:dyDescent="0.25">
      <c r="A2" s="388"/>
      <c r="B2" s="389"/>
      <c r="C2" s="389"/>
      <c r="D2" s="389"/>
      <c r="E2" s="389"/>
      <c r="F2" s="389"/>
      <c r="G2" s="389"/>
      <c r="H2" s="515" t="s">
        <v>16</v>
      </c>
    </row>
    <row r="3" spans="1:8" s="372" customFormat="1" ht="16.5" customHeight="1" x14ac:dyDescent="0.25">
      <c r="A3" s="67" t="s">
        <v>201</v>
      </c>
      <c r="B3" s="28"/>
      <c r="C3" s="490" t="s">
        <v>189</v>
      </c>
      <c r="E3" s="17"/>
      <c r="F3" s="16"/>
      <c r="H3" s="544"/>
    </row>
    <row r="4" spans="1:8" s="372" customFormat="1" ht="12.75" customHeight="1" x14ac:dyDescent="0.25">
      <c r="A4" s="6"/>
      <c r="B4" s="28"/>
      <c r="C4" s="490" t="s">
        <v>190</v>
      </c>
      <c r="E4" s="17"/>
      <c r="F4" s="16"/>
      <c r="H4" s="544"/>
    </row>
    <row r="5" spans="1:8" ht="15.75" x14ac:dyDescent="0.25">
      <c r="A5" s="510"/>
      <c r="B5" s="404"/>
      <c r="C5" s="404"/>
      <c r="D5" s="404"/>
      <c r="E5" s="404"/>
      <c r="F5" s="404"/>
      <c r="G5" s="404"/>
    </row>
    <row r="6" spans="1:8" ht="18" x14ac:dyDescent="0.25">
      <c r="A6" s="405" t="s">
        <v>17</v>
      </c>
      <c r="B6" s="404"/>
      <c r="C6" s="404"/>
      <c r="D6" s="404"/>
      <c r="E6" s="404"/>
      <c r="F6" s="404"/>
      <c r="G6" s="404"/>
      <c r="H6" s="515"/>
    </row>
    <row r="8" spans="1:8" ht="15.75" thickBot="1" x14ac:dyDescent="0.3">
      <c r="A8" s="492"/>
      <c r="H8" s="517" t="s">
        <v>92</v>
      </c>
    </row>
    <row r="9" spans="1:8" s="374" customFormat="1" ht="25.5" thickTop="1" thickBot="1" x14ac:dyDescent="0.25">
      <c r="A9" s="493" t="s">
        <v>93</v>
      </c>
      <c r="B9" s="494" t="s">
        <v>392</v>
      </c>
      <c r="C9" s="494" t="s">
        <v>209</v>
      </c>
      <c r="D9" s="495" t="s">
        <v>95</v>
      </c>
      <c r="E9" s="496" t="s">
        <v>328</v>
      </c>
      <c r="F9" s="496" t="s">
        <v>329</v>
      </c>
      <c r="G9" s="497" t="s">
        <v>448</v>
      </c>
      <c r="H9" s="498" t="s">
        <v>449</v>
      </c>
    </row>
    <row r="10" spans="1:8" s="374" customFormat="1" ht="13.5" thickTop="1" thickBot="1" x14ac:dyDescent="0.25">
      <c r="A10" s="511">
        <v>1</v>
      </c>
      <c r="B10" s="512">
        <v>2</v>
      </c>
      <c r="C10" s="512">
        <v>3</v>
      </c>
      <c r="D10" s="512">
        <v>4</v>
      </c>
      <c r="E10" s="499">
        <v>5</v>
      </c>
      <c r="F10" s="499">
        <v>6</v>
      </c>
      <c r="G10" s="500">
        <v>7</v>
      </c>
      <c r="H10" s="489" t="s">
        <v>33</v>
      </c>
    </row>
    <row r="11" spans="1:8" ht="15.75" thickTop="1" x14ac:dyDescent="0.2">
      <c r="A11" s="407">
        <v>6330</v>
      </c>
      <c r="B11" s="408">
        <v>5345</v>
      </c>
      <c r="C11" s="545"/>
      <c r="D11" s="410" t="s">
        <v>397</v>
      </c>
      <c r="E11" s="379"/>
      <c r="F11" s="379">
        <v>0</v>
      </c>
      <c r="G11" s="541">
        <v>0</v>
      </c>
      <c r="H11" s="424">
        <v>0</v>
      </c>
    </row>
    <row r="12" spans="1:8" ht="21" customHeight="1" thickBot="1" x14ac:dyDescent="0.25">
      <c r="A12" s="407">
        <v>6409</v>
      </c>
      <c r="B12" s="408">
        <v>5909</v>
      </c>
      <c r="C12" s="545"/>
      <c r="D12" s="410" t="s">
        <v>406</v>
      </c>
      <c r="E12" s="379"/>
      <c r="F12" s="379">
        <v>0</v>
      </c>
      <c r="G12" s="541">
        <v>0</v>
      </c>
      <c r="H12" s="423">
        <v>0</v>
      </c>
    </row>
    <row r="13" spans="1:8" s="335" customFormat="1" ht="16.5" thickTop="1" thickBot="1" x14ac:dyDescent="0.3">
      <c r="A13" s="3308" t="s">
        <v>394</v>
      </c>
      <c r="B13" s="3309"/>
      <c r="C13" s="3309"/>
      <c r="D13" s="3309"/>
      <c r="E13" s="519">
        <f>SUM(E11:E12)</f>
        <v>0</v>
      </c>
      <c r="F13" s="519">
        <f>SUM(F11:F12)</f>
        <v>0</v>
      </c>
      <c r="G13" s="542">
        <f>SUM(G11:G12)</f>
        <v>0</v>
      </c>
      <c r="H13" s="423">
        <v>0</v>
      </c>
    </row>
    <row r="14" spans="1:8" ht="13.5" thickTop="1" x14ac:dyDescent="0.2"/>
    <row r="15" spans="1:8" s="543" customFormat="1" ht="16.5" x14ac:dyDescent="0.25">
      <c r="A15" s="522" t="s">
        <v>251</v>
      </c>
      <c r="B15" s="523"/>
      <c r="C15" s="524"/>
      <c r="D15" s="525"/>
      <c r="E15" s="526">
        <f>SUM(E16:E18)</f>
        <v>0</v>
      </c>
      <c r="F15" s="526">
        <f>F16+F17+F18+F19</f>
        <v>0</v>
      </c>
      <c r="G15" s="526">
        <f>G16+G17+G18+G19</f>
        <v>0</v>
      </c>
      <c r="H15" s="527">
        <v>0</v>
      </c>
    </row>
    <row r="16" spans="1:8" s="372" customFormat="1" ht="15" x14ac:dyDescent="0.2">
      <c r="A16" s="507" t="s">
        <v>147</v>
      </c>
      <c r="B16" s="528"/>
      <c r="C16" s="529"/>
      <c r="D16" s="530"/>
      <c r="E16" s="531">
        <f>SUM(E12:E12)</f>
        <v>0</v>
      </c>
      <c r="F16" s="531">
        <f>SUM(F12:F12)</f>
        <v>0</v>
      </c>
      <c r="G16" s="531">
        <f>SUM(G12:G12)</f>
        <v>0</v>
      </c>
      <c r="H16" s="532">
        <v>0</v>
      </c>
    </row>
    <row r="17" spans="1:8" s="372" customFormat="1" ht="15" x14ac:dyDescent="0.2">
      <c r="A17" s="507" t="s">
        <v>148</v>
      </c>
      <c r="B17" s="533"/>
      <c r="C17" s="529"/>
      <c r="D17" s="534"/>
      <c r="E17" s="531">
        <v>0</v>
      </c>
      <c r="F17" s="531">
        <v>0</v>
      </c>
      <c r="G17" s="531">
        <v>0</v>
      </c>
      <c r="H17" s="532">
        <v>0</v>
      </c>
    </row>
    <row r="18" spans="1:8" s="372" customFormat="1" ht="15" x14ac:dyDescent="0.2">
      <c r="A18" s="507" t="s">
        <v>252</v>
      </c>
      <c r="B18" s="533"/>
      <c r="C18" s="529"/>
      <c r="D18" s="534"/>
      <c r="E18" s="531">
        <f>E11</f>
        <v>0</v>
      </c>
      <c r="F18" s="531">
        <f>F11</f>
        <v>0</v>
      </c>
      <c r="G18" s="531">
        <f>G11</f>
        <v>0</v>
      </c>
      <c r="H18" s="532">
        <v>0</v>
      </c>
    </row>
    <row r="19" spans="1:8" s="372" customFormat="1" ht="15" x14ac:dyDescent="0.2">
      <c r="A19" s="507"/>
      <c r="B19" s="533"/>
      <c r="C19" s="529"/>
      <c r="D19" s="534"/>
      <c r="E19" s="531"/>
      <c r="F19" s="531"/>
      <c r="G19" s="531"/>
      <c r="H19" s="535"/>
    </row>
    <row r="20" spans="1:8" s="58" customFormat="1" ht="75" customHeight="1" thickBot="1" x14ac:dyDescent="0.4">
      <c r="A20" s="3196" t="s">
        <v>20</v>
      </c>
      <c r="B20" s="3310"/>
      <c r="C20" s="3310"/>
      <c r="D20" s="3310"/>
      <c r="E20" s="536">
        <f>SUM(E15)</f>
        <v>0</v>
      </c>
      <c r="F20" s="536">
        <f>SUM(F15)</f>
        <v>0</v>
      </c>
      <c r="G20" s="536">
        <f>SUM(G15)</f>
        <v>0</v>
      </c>
      <c r="H20" s="537"/>
    </row>
    <row r="21" spans="1:8" ht="13.5" thickTop="1" x14ac:dyDescent="0.2"/>
  </sheetData>
  <mergeCells count="3">
    <mergeCell ref="A20:D20"/>
    <mergeCell ref="A1:H1"/>
    <mergeCell ref="A13:D13"/>
  </mergeCells>
  <phoneticPr fontId="35" type="noConversion"/>
  <pageMargins left="0.78740157480314965" right="0.98425196850393704" top="0.98425196850393704" bottom="0.98425196850393704" header="0.51181102362204722" footer="0.51181102362204722"/>
  <pageSetup paperSize="9" scale="70" firstPageNumber="155" orientation="portrait" r:id="rId1"/>
  <headerFooter alignWithMargins="0">
    <oddFooter xml:space="preserve">&amp;L&amp;"Arial,Kurzíva"Zastupitelstvo Olomouckého kraje 28.6.2010
8.- Rozpočet Olomouckého kraje 2009 - závěrečný  účet
Příloha č. 3: Plnění rozpočtu výdajů Olomouckého kraje k 31.12.2009&amp;R&amp;"Arial,Kurzíva"Strana &amp;P (Celkem 464)
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4"/>
  </sheetPr>
  <dimension ref="A1:I19"/>
  <sheetViews>
    <sheetView showGridLines="0" zoomScaleNormal="100" workbookViewId="0">
      <selection activeCell="E22" sqref="E22"/>
    </sheetView>
  </sheetViews>
  <sheetFormatPr defaultColWidth="9.140625" defaultRowHeight="12.75" x14ac:dyDescent="0.2"/>
  <cols>
    <col min="1" max="1" width="4.7109375" style="400" customWidth="1"/>
    <col min="2" max="2" width="6.7109375" style="400" customWidth="1"/>
    <col min="3" max="3" width="8.85546875" style="400" customWidth="1"/>
    <col min="4" max="4" width="46.42578125" style="344" customWidth="1"/>
    <col min="5" max="5" width="12.85546875" style="434" customWidth="1"/>
    <col min="6" max="6" width="16.85546875" style="434" customWidth="1"/>
    <col min="7" max="7" width="13.85546875" style="434" customWidth="1"/>
    <col min="8" max="8" width="6.42578125" style="344" customWidth="1"/>
    <col min="9" max="9" width="12.5703125" style="344" customWidth="1"/>
    <col min="10" max="16384" width="9.140625" style="344"/>
  </cols>
  <sheetData>
    <row r="1" spans="1:9" s="372" customFormat="1" ht="18.75" thickBot="1" x14ac:dyDescent="0.3">
      <c r="A1" s="441" t="s">
        <v>423</v>
      </c>
      <c r="B1" s="442"/>
      <c r="C1" s="443"/>
      <c r="D1" s="444"/>
      <c r="E1" s="445"/>
      <c r="F1" s="444"/>
      <c r="G1" s="446"/>
      <c r="H1" s="17"/>
      <c r="I1" s="373"/>
    </row>
    <row r="2" spans="1:9" s="372" customFormat="1" ht="21.75" customHeight="1" x14ac:dyDescent="0.25">
      <c r="A2" s="6"/>
      <c r="B2" s="28"/>
      <c r="C2" s="139"/>
      <c r="D2" s="302"/>
      <c r="E2" s="302"/>
      <c r="F2" s="16"/>
      <c r="G2" s="16"/>
      <c r="H2" s="515" t="s">
        <v>419</v>
      </c>
      <c r="I2" s="373"/>
    </row>
    <row r="3" spans="1:9" s="372" customFormat="1" ht="12.75" customHeight="1" x14ac:dyDescent="0.25">
      <c r="A3" s="67" t="s">
        <v>201</v>
      </c>
      <c r="B3" s="28"/>
      <c r="C3" s="490" t="s">
        <v>249</v>
      </c>
      <c r="D3" s="302"/>
      <c r="E3" s="16"/>
      <c r="F3" s="17"/>
      <c r="G3" s="16"/>
    </row>
    <row r="4" spans="1:9" s="372" customFormat="1" ht="12.75" customHeight="1" x14ac:dyDescent="0.25">
      <c r="A4" s="6"/>
      <c r="B4" s="28"/>
      <c r="C4" s="490" t="s">
        <v>250</v>
      </c>
      <c r="D4" s="302"/>
      <c r="E4" s="16"/>
      <c r="F4" s="17"/>
      <c r="G4" s="16"/>
    </row>
    <row r="5" spans="1:9" ht="18" x14ac:dyDescent="0.25">
      <c r="A5" s="405" t="s">
        <v>422</v>
      </c>
      <c r="B5" s="404"/>
      <c r="C5" s="404"/>
      <c r="D5" s="404"/>
      <c r="E5" s="404"/>
      <c r="F5" s="404"/>
      <c r="G5" s="404"/>
      <c r="H5" s="515"/>
    </row>
    <row r="6" spans="1:9" ht="15.75" x14ac:dyDescent="0.25">
      <c r="A6" s="516"/>
    </row>
    <row r="7" spans="1:9" ht="15.75" thickBot="1" x14ac:dyDescent="0.3">
      <c r="A7" s="492"/>
      <c r="H7" s="344" t="s">
        <v>583</v>
      </c>
    </row>
    <row r="8" spans="1:9" s="374" customFormat="1" ht="25.5" thickTop="1" thickBot="1" x14ac:dyDescent="0.25">
      <c r="A8" s="493" t="s">
        <v>93</v>
      </c>
      <c r="B8" s="494" t="s">
        <v>392</v>
      </c>
      <c r="C8" s="494" t="s">
        <v>209</v>
      </c>
      <c r="D8" s="495" t="s">
        <v>95</v>
      </c>
      <c r="E8" s="496" t="s">
        <v>328</v>
      </c>
      <c r="F8" s="496" t="s">
        <v>329</v>
      </c>
      <c r="G8" s="497" t="s">
        <v>448</v>
      </c>
      <c r="H8" s="498" t="s">
        <v>449</v>
      </c>
    </row>
    <row r="9" spans="1:9" s="374" customFormat="1" ht="13.5" thickTop="1" thickBot="1" x14ac:dyDescent="0.25">
      <c r="A9" s="511">
        <v>1</v>
      </c>
      <c r="B9" s="512">
        <v>2</v>
      </c>
      <c r="C9" s="512">
        <v>3</v>
      </c>
      <c r="D9" s="512">
        <v>4</v>
      </c>
      <c r="E9" s="499">
        <v>5</v>
      </c>
      <c r="F9" s="499">
        <v>6</v>
      </c>
      <c r="G9" s="500">
        <v>7</v>
      </c>
      <c r="H9" s="489" t="s">
        <v>33</v>
      </c>
    </row>
    <row r="10" spans="1:9" ht="16.5" thickTop="1" thickBot="1" x14ac:dyDescent="0.25">
      <c r="A10" s="407">
        <v>6409</v>
      </c>
      <c r="B10" s="408">
        <v>5909</v>
      </c>
      <c r="C10" s="409">
        <v>0</v>
      </c>
      <c r="D10" s="410" t="s">
        <v>376</v>
      </c>
      <c r="E10" s="379">
        <v>0</v>
      </c>
      <c r="F10" s="379">
        <v>0</v>
      </c>
      <c r="G10" s="541">
        <v>0</v>
      </c>
      <c r="H10" s="518">
        <v>0</v>
      </c>
    </row>
    <row r="11" spans="1:9" s="335" customFormat="1" ht="16.5" thickTop="1" thickBot="1" x14ac:dyDescent="0.3">
      <c r="A11" s="3308" t="s">
        <v>394</v>
      </c>
      <c r="B11" s="3309"/>
      <c r="C11" s="3309"/>
      <c r="D11" s="3309"/>
      <c r="E11" s="519">
        <f>SUM(E10:E10)</f>
        <v>0</v>
      </c>
      <c r="F11" s="519">
        <f>SUM(F10:F10)</f>
        <v>0</v>
      </c>
      <c r="G11" s="542">
        <v>0</v>
      </c>
      <c r="H11" s="520">
        <v>0</v>
      </c>
    </row>
    <row r="12" spans="1:9" ht="13.5" thickTop="1" x14ac:dyDescent="0.2"/>
    <row r="13" spans="1:9" s="543" customFormat="1" ht="16.5" x14ac:dyDescent="0.25">
      <c r="A13" s="522" t="s">
        <v>251</v>
      </c>
      <c r="B13" s="523"/>
      <c r="C13" s="524"/>
      <c r="D13" s="525"/>
      <c r="E13" s="526">
        <f>SUM(E14:E16)</f>
        <v>0</v>
      </c>
      <c r="F13" s="526">
        <f>F14+F15+F16+F17</f>
        <v>0</v>
      </c>
      <c r="G13" s="526">
        <f>G14+G15+G16+G17</f>
        <v>0</v>
      </c>
      <c r="H13" s="527">
        <v>0</v>
      </c>
    </row>
    <row r="14" spans="1:9" s="372" customFormat="1" ht="15" x14ac:dyDescent="0.2">
      <c r="A14" s="507" t="s">
        <v>147</v>
      </c>
      <c r="B14" s="528"/>
      <c r="C14" s="529"/>
      <c r="D14" s="530"/>
      <c r="E14" s="531">
        <f>SUM(E11)</f>
        <v>0</v>
      </c>
      <c r="F14" s="531">
        <f>SUM(F11)</f>
        <v>0</v>
      </c>
      <c r="G14" s="531">
        <f>G10</f>
        <v>0</v>
      </c>
      <c r="H14" s="532">
        <v>0</v>
      </c>
    </row>
    <row r="15" spans="1:9" s="372" customFormat="1" ht="15" x14ac:dyDescent="0.2">
      <c r="A15" s="507" t="s">
        <v>148</v>
      </c>
      <c r="B15" s="533"/>
      <c r="C15" s="529"/>
      <c r="D15" s="534"/>
      <c r="E15" s="531">
        <v>0</v>
      </c>
      <c r="F15" s="531">
        <v>0</v>
      </c>
      <c r="G15" s="531">
        <v>0</v>
      </c>
      <c r="H15" s="532">
        <v>0</v>
      </c>
    </row>
    <row r="16" spans="1:9" s="372" customFormat="1" ht="15" x14ac:dyDescent="0.2">
      <c r="A16" s="507" t="s">
        <v>252</v>
      </c>
      <c r="B16" s="533"/>
      <c r="C16" s="529"/>
      <c r="D16" s="534"/>
      <c r="E16" s="531">
        <v>0</v>
      </c>
      <c r="F16" s="531">
        <v>0</v>
      </c>
      <c r="G16" s="531">
        <v>0</v>
      </c>
      <c r="H16" s="532">
        <v>0</v>
      </c>
    </row>
    <row r="17" spans="1:8" s="372" customFormat="1" ht="15" x14ac:dyDescent="0.2">
      <c r="A17" s="507"/>
      <c r="B17" s="533"/>
      <c r="C17" s="529"/>
      <c r="D17" s="534"/>
      <c r="E17" s="531"/>
      <c r="F17" s="531"/>
      <c r="G17" s="531"/>
      <c r="H17" s="535"/>
    </row>
    <row r="18" spans="1:8" s="58" customFormat="1" ht="69" customHeight="1" thickBot="1" x14ac:dyDescent="0.4">
      <c r="A18" s="3196" t="s">
        <v>15</v>
      </c>
      <c r="B18" s="3310"/>
      <c r="C18" s="3310"/>
      <c r="D18" s="3310"/>
      <c r="E18" s="536">
        <f>SUM(E13)</f>
        <v>0</v>
      </c>
      <c r="F18" s="536">
        <f>SUM(F13)</f>
        <v>0</v>
      </c>
      <c r="G18" s="536">
        <f>SUM(G13)</f>
        <v>0</v>
      </c>
      <c r="H18" s="537"/>
    </row>
    <row r="19" spans="1:8" ht="13.5" thickTop="1" x14ac:dyDescent="0.2"/>
  </sheetData>
  <mergeCells count="2">
    <mergeCell ref="A11:D11"/>
    <mergeCell ref="A18:D18"/>
  </mergeCells>
  <phoneticPr fontId="35" type="noConversion"/>
  <pageMargins left="0.98425196850393704" right="0.98425196850393704" top="0.98425196850393704" bottom="0.98425196850393704" header="0.51181102362204722" footer="0.51181102362204722"/>
  <pageSetup paperSize="9" scale="70" firstPageNumber="156" orientation="portrait" r:id="rId1"/>
  <headerFooter alignWithMargins="0">
    <oddFooter xml:space="preserve">&amp;L&amp;"Arial,Kurzíva"Zastupitelstvo Olomouckého kraje 28.6.2010
8.- Rozpočet Olomouckého kraje 2009 - závěrečný  účet
Příloha č. 3: Plnění rozpočtu výdajů Olomouckého kraje k 31.12.2009&amp;R&amp;"Arial,Kurzíva"Strana &amp;P (Celkem 464)
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L20"/>
  <sheetViews>
    <sheetView showGridLines="0" view="pageBreakPreview" zoomScaleNormal="100" zoomScaleSheetLayoutView="100" workbookViewId="0">
      <selection activeCell="F27" sqref="F27"/>
    </sheetView>
  </sheetViews>
  <sheetFormatPr defaultColWidth="9.140625" defaultRowHeight="12.75" x14ac:dyDescent="0.2"/>
  <cols>
    <col min="1" max="1" width="4.7109375" style="1097" customWidth="1"/>
    <col min="2" max="2" width="6.7109375" style="1097" customWidth="1"/>
    <col min="3" max="3" width="9" style="1097" bestFit="1" customWidth="1"/>
    <col min="4" max="4" width="46.42578125" style="1098" customWidth="1"/>
    <col min="5" max="5" width="13.85546875" style="1123" customWidth="1"/>
    <col min="6" max="6" width="14.85546875" style="1123" customWidth="1"/>
    <col min="7" max="7" width="13.85546875" style="1123" customWidth="1"/>
    <col min="8" max="8" width="6.42578125" style="1098" customWidth="1"/>
    <col min="9" max="9" width="19.85546875" style="1098" customWidth="1"/>
    <col min="10" max="10" width="9.140625" style="1098"/>
    <col min="11" max="11" width="13.140625" style="1098" customWidth="1"/>
    <col min="12" max="12" width="13.7109375" style="1098" customWidth="1"/>
    <col min="13" max="16384" width="9.140625" style="1098"/>
  </cols>
  <sheetData>
    <row r="1" spans="1:12" ht="18" x14ac:dyDescent="0.25">
      <c r="A1" s="1376" t="s">
        <v>807</v>
      </c>
      <c r="B1" s="1377"/>
      <c r="C1" s="1377"/>
      <c r="D1" s="1377"/>
      <c r="E1" s="1377"/>
      <c r="F1" s="1377"/>
      <c r="G1" s="1125"/>
    </row>
    <row r="2" spans="1:12" ht="18" x14ac:dyDescent="0.25">
      <c r="A2" s="1378" t="s">
        <v>808</v>
      </c>
      <c r="B2" s="1379"/>
      <c r="C2" s="1379"/>
      <c r="D2" s="1379"/>
      <c r="E2" s="1379"/>
      <c r="F2" s="1379"/>
      <c r="G2" s="1125"/>
      <c r="H2" s="1163" t="s">
        <v>809</v>
      </c>
    </row>
    <row r="3" spans="1:12" ht="18" x14ac:dyDescent="0.25">
      <c r="B3" s="1125"/>
      <c r="C3" s="1125"/>
      <c r="D3" s="1125"/>
      <c r="E3" s="1125"/>
      <c r="F3" s="1125"/>
      <c r="G3" s="1125"/>
      <c r="H3" s="1163"/>
    </row>
    <row r="4" spans="1:12" s="997" customFormat="1" ht="16.5" customHeight="1" x14ac:dyDescent="0.2">
      <c r="A4" s="1077" t="s">
        <v>201</v>
      </c>
      <c r="B4" s="1056"/>
      <c r="C4" s="1096" t="s">
        <v>189</v>
      </c>
    </row>
    <row r="5" spans="1:12" s="997" customFormat="1" ht="12.75" customHeight="1" x14ac:dyDescent="0.25">
      <c r="A5" s="1075"/>
      <c r="B5" s="1056"/>
      <c r="C5" s="1096" t="s">
        <v>190</v>
      </c>
    </row>
    <row r="6" spans="1:12" ht="18" x14ac:dyDescent="0.25">
      <c r="A6" s="1101" t="s">
        <v>413</v>
      </c>
      <c r="B6" s="1125"/>
      <c r="C6" s="1125"/>
      <c r="D6" s="1125"/>
      <c r="E6" s="1125"/>
      <c r="F6" s="1125"/>
      <c r="G6" s="1125"/>
      <c r="H6" s="1163"/>
    </row>
    <row r="7" spans="1:12" ht="18.75" thickBot="1" x14ac:dyDescent="0.3">
      <c r="A7" s="1101"/>
      <c r="B7" s="1125"/>
      <c r="C7" s="1125"/>
      <c r="D7" s="1125"/>
      <c r="E7" s="1125"/>
      <c r="F7" s="1125"/>
      <c r="G7" s="1125"/>
      <c r="H7" s="1363" t="s">
        <v>583</v>
      </c>
    </row>
    <row r="8" spans="1:12" s="1037" customFormat="1" ht="25.5" thickTop="1" thickBot="1" x14ac:dyDescent="0.25">
      <c r="A8" s="1104" t="s">
        <v>93</v>
      </c>
      <c r="B8" s="1105" t="s">
        <v>392</v>
      </c>
      <c r="C8" s="1105" t="s">
        <v>209</v>
      </c>
      <c r="D8" s="1106" t="s">
        <v>95</v>
      </c>
      <c r="E8" s="1127" t="s">
        <v>328</v>
      </c>
      <c r="F8" s="1127" t="s">
        <v>329</v>
      </c>
      <c r="G8" s="1128" t="s">
        <v>448</v>
      </c>
      <c r="H8" s="1129" t="s">
        <v>449</v>
      </c>
    </row>
    <row r="9" spans="1:12" s="1037" customFormat="1" ht="13.5" thickTop="1" thickBot="1" x14ac:dyDescent="0.25">
      <c r="A9" s="1042">
        <v>1</v>
      </c>
      <c r="B9" s="1041">
        <v>2</v>
      </c>
      <c r="C9" s="1041">
        <v>3</v>
      </c>
      <c r="D9" s="1041">
        <v>4</v>
      </c>
      <c r="E9" s="1040">
        <v>5</v>
      </c>
      <c r="F9" s="1040">
        <v>6</v>
      </c>
      <c r="G9" s="1164">
        <v>7</v>
      </c>
      <c r="H9" s="1109" t="s">
        <v>33</v>
      </c>
    </row>
    <row r="10" spans="1:12" s="1136" customFormat="1" ht="46.5" thickTop="1" thickBot="1" x14ac:dyDescent="0.25">
      <c r="A10" s="1181">
        <v>6402</v>
      </c>
      <c r="B10" s="1187">
        <v>5364</v>
      </c>
      <c r="C10" s="1188">
        <v>19</v>
      </c>
      <c r="D10" s="1130" t="s">
        <v>810</v>
      </c>
      <c r="E10" s="1141">
        <v>0</v>
      </c>
      <c r="F10" s="1141">
        <v>151</v>
      </c>
      <c r="G10" s="1380">
        <v>151</v>
      </c>
      <c r="H10" s="1381">
        <f>G10/F10*100</f>
        <v>100</v>
      </c>
    </row>
    <row r="11" spans="1:12" s="1122" customFormat="1" ht="16.5" thickTop="1" thickBot="1" x14ac:dyDescent="0.3">
      <c r="A11" s="3317" t="s">
        <v>394</v>
      </c>
      <c r="B11" s="3318"/>
      <c r="C11" s="3318"/>
      <c r="D11" s="3318"/>
      <c r="E11" s="1382">
        <f>SUM(E10:E10)</f>
        <v>0</v>
      </c>
      <c r="F11" s="1382">
        <f>SUM(F10:F10)</f>
        <v>151</v>
      </c>
      <c r="G11" s="1383">
        <f>SUM(G10:G10)</f>
        <v>151</v>
      </c>
      <c r="H11" s="1384">
        <f>G11/F11*100</f>
        <v>100</v>
      </c>
      <c r="I11" s="1194"/>
    </row>
    <row r="12" spans="1:12" ht="13.5" thickTop="1" x14ac:dyDescent="0.2">
      <c r="I12" s="1123"/>
    </row>
    <row r="14" spans="1:12" s="1159" customFormat="1" ht="16.5" x14ac:dyDescent="0.25">
      <c r="A14" s="1147" t="s">
        <v>251</v>
      </c>
      <c r="B14" s="1148"/>
      <c r="C14" s="1149"/>
      <c r="D14" s="1150"/>
      <c r="E14" s="1151">
        <f>SUM(E15:E17)</f>
        <v>0</v>
      </c>
      <c r="F14" s="1151">
        <f>F15+F16+F17+F18</f>
        <v>151</v>
      </c>
      <c r="G14" s="1151">
        <f>G15+G16+G17+G18</f>
        <v>151</v>
      </c>
      <c r="H14" s="1170">
        <f>G14/F14*100</f>
        <v>100</v>
      </c>
      <c r="J14" s="1167">
        <f>J15+J16+J17</f>
        <v>0</v>
      </c>
      <c r="K14" s="1167">
        <f>K15+K16+K17</f>
        <v>150631.57999999999</v>
      </c>
      <c r="L14" s="1167">
        <f>L15+L16+L17</f>
        <v>150631.57999999999</v>
      </c>
    </row>
    <row r="15" spans="1:12" s="997" customFormat="1" ht="15" x14ac:dyDescent="0.2">
      <c r="A15" s="1011" t="s">
        <v>147</v>
      </c>
      <c r="B15" s="1013"/>
      <c r="C15" s="1009"/>
      <c r="D15" s="1154"/>
      <c r="E15" s="1012">
        <f>E11</f>
        <v>0</v>
      </c>
      <c r="F15" s="1012">
        <f>F11</f>
        <v>151</v>
      </c>
      <c r="G15" s="1012">
        <f>G11</f>
        <v>151</v>
      </c>
      <c r="H15" s="1169">
        <f>G15/F15*100</f>
        <v>100</v>
      </c>
      <c r="J15" s="1168">
        <v>0</v>
      </c>
      <c r="K15" s="1168">
        <v>150631.57999999999</v>
      </c>
      <c r="L15" s="1168">
        <v>150631.57999999999</v>
      </c>
    </row>
    <row r="16" spans="1:12" s="997" customFormat="1" ht="15" x14ac:dyDescent="0.2">
      <c r="A16" s="1011" t="s">
        <v>148</v>
      </c>
      <c r="B16" s="1010"/>
      <c r="C16" s="1009"/>
      <c r="D16" s="1156"/>
      <c r="E16" s="1012">
        <v>0</v>
      </c>
      <c r="F16" s="1012">
        <v>0</v>
      </c>
      <c r="G16" s="1012">
        <v>0</v>
      </c>
      <c r="H16" s="1169">
        <v>0</v>
      </c>
      <c r="J16" s="1155">
        <v>0</v>
      </c>
      <c r="K16" s="1155">
        <v>0</v>
      </c>
      <c r="L16" s="1155">
        <v>0</v>
      </c>
    </row>
    <row r="17" spans="1:12" s="997" customFormat="1" ht="15" x14ac:dyDescent="0.2">
      <c r="A17" s="1011" t="s">
        <v>252</v>
      </c>
      <c r="B17" s="1010"/>
      <c r="C17" s="1009"/>
      <c r="D17" s="1156"/>
      <c r="E17" s="1012">
        <v>0</v>
      </c>
      <c r="F17" s="1012">
        <v>0</v>
      </c>
      <c r="G17" s="1012">
        <v>0</v>
      </c>
      <c r="H17" s="1169">
        <v>0</v>
      </c>
      <c r="J17" s="1155">
        <v>0</v>
      </c>
      <c r="K17" s="1155">
        <v>0</v>
      </c>
      <c r="L17" s="1155">
        <v>0</v>
      </c>
    </row>
    <row r="18" spans="1:12" s="997" customFormat="1" ht="15" x14ac:dyDescent="0.2">
      <c r="A18" s="1011"/>
      <c r="B18" s="1010"/>
      <c r="C18" s="1009"/>
      <c r="D18" s="1156"/>
      <c r="E18" s="1012"/>
      <c r="F18" s="1012"/>
      <c r="G18" s="1012"/>
      <c r="H18" s="1008"/>
    </row>
    <row r="19" spans="1:12" s="1004" customFormat="1" ht="69" customHeight="1" thickBot="1" x14ac:dyDescent="0.4">
      <c r="A19" s="3264" t="s">
        <v>811</v>
      </c>
      <c r="B19" s="3319"/>
      <c r="C19" s="3319"/>
      <c r="D19" s="3319"/>
      <c r="E19" s="1006">
        <f>SUM(E14)</f>
        <v>0</v>
      </c>
      <c r="F19" s="1006">
        <f>SUM(F14)</f>
        <v>151</v>
      </c>
      <c r="G19" s="1006">
        <f>SUM(G14)</f>
        <v>151</v>
      </c>
      <c r="H19" s="1005">
        <f>G19/F19*100</f>
        <v>100</v>
      </c>
    </row>
    <row r="20" spans="1:12" ht="13.5" thickTop="1" x14ac:dyDescent="0.2"/>
  </sheetData>
  <mergeCells count="2">
    <mergeCell ref="A11:D11"/>
    <mergeCell ref="A19:D19"/>
  </mergeCells>
  <pageMargins left="0.98425196850393704" right="0.98425196850393704" top="0.98425196850393704" bottom="0.98425196850393704" header="0.51181102362204722" footer="0.51181102362204722"/>
  <pageSetup paperSize="9" scale="70" firstPageNumber="127" orientation="portrait" useFirstPageNumber="1" r:id="rId1"/>
  <headerFooter alignWithMargins="0">
    <oddFooter xml:space="preserve">&amp;L&amp;"Arial,Kurzíva"Zastupitelstvo Olomouckého kraje 20.6.2014
5.2. - Závěrečný  účet Olomouckého kraje za rok 2013
Příloha č. 3: Plnění rozpočtu výdajů Olomouckého kraje k 31.12.2013&amp;R&amp;"Arial,Kurzíva"Strana &amp;P (Celkem 480)
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L21"/>
  <sheetViews>
    <sheetView view="pageBreakPreview" zoomScaleNormal="100" zoomScaleSheetLayoutView="100" workbookViewId="0">
      <selection activeCell="J16" sqref="J16:L18"/>
    </sheetView>
  </sheetViews>
  <sheetFormatPr defaultRowHeight="12.75" x14ac:dyDescent="0.2"/>
  <cols>
    <col min="1" max="3" width="9.140625" style="1236"/>
    <col min="4" max="4" width="28.42578125" style="1236" customWidth="1"/>
    <col min="5" max="5" width="9.140625" style="1236"/>
    <col min="6" max="6" width="15.28515625" style="1236" customWidth="1"/>
    <col min="7" max="7" width="10.7109375" style="1236" customWidth="1"/>
    <col min="8" max="8" width="9" style="1236" customWidth="1"/>
    <col min="9" max="10" width="9.140625" style="1236"/>
    <col min="11" max="12" width="11.42578125" style="1236" bestFit="1" customWidth="1"/>
    <col min="13" max="259" width="9.140625" style="1236"/>
    <col min="260" max="260" width="28.42578125" style="1236" customWidth="1"/>
    <col min="261" max="261" width="9.140625" style="1236"/>
    <col min="262" max="262" width="15.28515625" style="1236" customWidth="1"/>
    <col min="263" max="263" width="10.7109375" style="1236" customWidth="1"/>
    <col min="264" max="264" width="9" style="1236" customWidth="1"/>
    <col min="265" max="266" width="9.140625" style="1236"/>
    <col min="267" max="268" width="10.140625" style="1236" bestFit="1" customWidth="1"/>
    <col min="269" max="515" width="9.140625" style="1236"/>
    <col min="516" max="516" width="28.42578125" style="1236" customWidth="1"/>
    <col min="517" max="517" width="9.140625" style="1236"/>
    <col min="518" max="518" width="15.28515625" style="1236" customWidth="1"/>
    <col min="519" max="519" width="10.7109375" style="1236" customWidth="1"/>
    <col min="520" max="520" width="9" style="1236" customWidth="1"/>
    <col min="521" max="522" width="9.140625" style="1236"/>
    <col min="523" max="524" width="10.140625" style="1236" bestFit="1" customWidth="1"/>
    <col min="525" max="771" width="9.140625" style="1236"/>
    <col min="772" max="772" width="28.42578125" style="1236" customWidth="1"/>
    <col min="773" max="773" width="9.140625" style="1236"/>
    <col min="774" max="774" width="15.28515625" style="1236" customWidth="1"/>
    <col min="775" max="775" width="10.7109375" style="1236" customWidth="1"/>
    <col min="776" max="776" width="9" style="1236" customWidth="1"/>
    <col min="777" max="778" width="9.140625" style="1236"/>
    <col min="779" max="780" width="10.140625" style="1236" bestFit="1" customWidth="1"/>
    <col min="781" max="1027" width="9.140625" style="1236"/>
    <col min="1028" max="1028" width="28.42578125" style="1236" customWidth="1"/>
    <col min="1029" max="1029" width="9.140625" style="1236"/>
    <col min="1030" max="1030" width="15.28515625" style="1236" customWidth="1"/>
    <col min="1031" max="1031" width="10.7109375" style="1236" customWidth="1"/>
    <col min="1032" max="1032" width="9" style="1236" customWidth="1"/>
    <col min="1033" max="1034" width="9.140625" style="1236"/>
    <col min="1035" max="1036" width="10.140625" style="1236" bestFit="1" customWidth="1"/>
    <col min="1037" max="1283" width="9.140625" style="1236"/>
    <col min="1284" max="1284" width="28.42578125" style="1236" customWidth="1"/>
    <col min="1285" max="1285" width="9.140625" style="1236"/>
    <col min="1286" max="1286" width="15.28515625" style="1236" customWidth="1"/>
    <col min="1287" max="1287" width="10.7109375" style="1236" customWidth="1"/>
    <col min="1288" max="1288" width="9" style="1236" customWidth="1"/>
    <col min="1289" max="1290" width="9.140625" style="1236"/>
    <col min="1291" max="1292" width="10.140625" style="1236" bestFit="1" customWidth="1"/>
    <col min="1293" max="1539" width="9.140625" style="1236"/>
    <col min="1540" max="1540" width="28.42578125" style="1236" customWidth="1"/>
    <col min="1541" max="1541" width="9.140625" style="1236"/>
    <col min="1542" max="1542" width="15.28515625" style="1236" customWidth="1"/>
    <col min="1543" max="1543" width="10.7109375" style="1236" customWidth="1"/>
    <col min="1544" max="1544" width="9" style="1236" customWidth="1"/>
    <col min="1545" max="1546" width="9.140625" style="1236"/>
    <col min="1547" max="1548" width="10.140625" style="1236" bestFit="1" customWidth="1"/>
    <col min="1549" max="1795" width="9.140625" style="1236"/>
    <col min="1796" max="1796" width="28.42578125" style="1236" customWidth="1"/>
    <col min="1797" max="1797" width="9.140625" style="1236"/>
    <col min="1798" max="1798" width="15.28515625" style="1236" customWidth="1"/>
    <col min="1799" max="1799" width="10.7109375" style="1236" customWidth="1"/>
    <col min="1800" max="1800" width="9" style="1236" customWidth="1"/>
    <col min="1801" max="1802" width="9.140625" style="1236"/>
    <col min="1803" max="1804" width="10.140625" style="1236" bestFit="1" customWidth="1"/>
    <col min="1805" max="2051" width="9.140625" style="1236"/>
    <col min="2052" max="2052" width="28.42578125" style="1236" customWidth="1"/>
    <col min="2053" max="2053" width="9.140625" style="1236"/>
    <col min="2054" max="2054" width="15.28515625" style="1236" customWidth="1"/>
    <col min="2055" max="2055" width="10.7109375" style="1236" customWidth="1"/>
    <col min="2056" max="2056" width="9" style="1236" customWidth="1"/>
    <col min="2057" max="2058" width="9.140625" style="1236"/>
    <col min="2059" max="2060" width="10.140625" style="1236" bestFit="1" customWidth="1"/>
    <col min="2061" max="2307" width="9.140625" style="1236"/>
    <col min="2308" max="2308" width="28.42578125" style="1236" customWidth="1"/>
    <col min="2309" max="2309" width="9.140625" style="1236"/>
    <col min="2310" max="2310" width="15.28515625" style="1236" customWidth="1"/>
    <col min="2311" max="2311" width="10.7109375" style="1236" customWidth="1"/>
    <col min="2312" max="2312" width="9" style="1236" customWidth="1"/>
    <col min="2313" max="2314" width="9.140625" style="1236"/>
    <col min="2315" max="2316" width="10.140625" style="1236" bestFit="1" customWidth="1"/>
    <col min="2317" max="2563" width="9.140625" style="1236"/>
    <col min="2564" max="2564" width="28.42578125" style="1236" customWidth="1"/>
    <col min="2565" max="2565" width="9.140625" style="1236"/>
    <col min="2566" max="2566" width="15.28515625" style="1236" customWidth="1"/>
    <col min="2567" max="2567" width="10.7109375" style="1236" customWidth="1"/>
    <col min="2568" max="2568" width="9" style="1236" customWidth="1"/>
    <col min="2569" max="2570" width="9.140625" style="1236"/>
    <col min="2571" max="2572" width="10.140625" style="1236" bestFit="1" customWidth="1"/>
    <col min="2573" max="2819" width="9.140625" style="1236"/>
    <col min="2820" max="2820" width="28.42578125" style="1236" customWidth="1"/>
    <col min="2821" max="2821" width="9.140625" style="1236"/>
    <col min="2822" max="2822" width="15.28515625" style="1236" customWidth="1"/>
    <col min="2823" max="2823" width="10.7109375" style="1236" customWidth="1"/>
    <col min="2824" max="2824" width="9" style="1236" customWidth="1"/>
    <col min="2825" max="2826" width="9.140625" style="1236"/>
    <col min="2827" max="2828" width="10.140625" style="1236" bestFit="1" customWidth="1"/>
    <col min="2829" max="3075" width="9.140625" style="1236"/>
    <col min="3076" max="3076" width="28.42578125" style="1236" customWidth="1"/>
    <col min="3077" max="3077" width="9.140625" style="1236"/>
    <col min="3078" max="3078" width="15.28515625" style="1236" customWidth="1"/>
    <col min="3079" max="3079" width="10.7109375" style="1236" customWidth="1"/>
    <col min="3080" max="3080" width="9" style="1236" customWidth="1"/>
    <col min="3081" max="3082" width="9.140625" style="1236"/>
    <col min="3083" max="3084" width="10.140625" style="1236" bestFit="1" customWidth="1"/>
    <col min="3085" max="3331" width="9.140625" style="1236"/>
    <col min="3332" max="3332" width="28.42578125" style="1236" customWidth="1"/>
    <col min="3333" max="3333" width="9.140625" style="1236"/>
    <col min="3334" max="3334" width="15.28515625" style="1236" customWidth="1"/>
    <col min="3335" max="3335" width="10.7109375" style="1236" customWidth="1"/>
    <col min="3336" max="3336" width="9" style="1236" customWidth="1"/>
    <col min="3337" max="3338" width="9.140625" style="1236"/>
    <col min="3339" max="3340" width="10.140625" style="1236" bestFit="1" customWidth="1"/>
    <col min="3341" max="3587" width="9.140625" style="1236"/>
    <col min="3588" max="3588" width="28.42578125" style="1236" customWidth="1"/>
    <col min="3589" max="3589" width="9.140625" style="1236"/>
    <col min="3590" max="3590" width="15.28515625" style="1236" customWidth="1"/>
    <col min="3591" max="3591" width="10.7109375" style="1236" customWidth="1"/>
    <col min="3592" max="3592" width="9" style="1236" customWidth="1"/>
    <col min="3593" max="3594" width="9.140625" style="1236"/>
    <col min="3595" max="3596" width="10.140625" style="1236" bestFit="1" customWidth="1"/>
    <col min="3597" max="3843" width="9.140625" style="1236"/>
    <col min="3844" max="3844" width="28.42578125" style="1236" customWidth="1"/>
    <col min="3845" max="3845" width="9.140625" style="1236"/>
    <col min="3846" max="3846" width="15.28515625" style="1236" customWidth="1"/>
    <col min="3847" max="3847" width="10.7109375" style="1236" customWidth="1"/>
    <col min="3848" max="3848" width="9" style="1236" customWidth="1"/>
    <col min="3849" max="3850" width="9.140625" style="1236"/>
    <col min="3851" max="3852" width="10.140625" style="1236" bestFit="1" customWidth="1"/>
    <col min="3853" max="4099" width="9.140625" style="1236"/>
    <col min="4100" max="4100" width="28.42578125" style="1236" customWidth="1"/>
    <col min="4101" max="4101" width="9.140625" style="1236"/>
    <col min="4102" max="4102" width="15.28515625" style="1236" customWidth="1"/>
    <col min="4103" max="4103" width="10.7109375" style="1236" customWidth="1"/>
    <col min="4104" max="4104" width="9" style="1236" customWidth="1"/>
    <col min="4105" max="4106" width="9.140625" style="1236"/>
    <col min="4107" max="4108" width="10.140625" style="1236" bestFit="1" customWidth="1"/>
    <col min="4109" max="4355" width="9.140625" style="1236"/>
    <col min="4356" max="4356" width="28.42578125" style="1236" customWidth="1"/>
    <col min="4357" max="4357" width="9.140625" style="1236"/>
    <col min="4358" max="4358" width="15.28515625" style="1236" customWidth="1"/>
    <col min="4359" max="4359" width="10.7109375" style="1236" customWidth="1"/>
    <col min="4360" max="4360" width="9" style="1236" customWidth="1"/>
    <col min="4361" max="4362" width="9.140625" style="1236"/>
    <col min="4363" max="4364" width="10.140625" style="1236" bestFit="1" customWidth="1"/>
    <col min="4365" max="4611" width="9.140625" style="1236"/>
    <col min="4612" max="4612" width="28.42578125" style="1236" customWidth="1"/>
    <col min="4613" max="4613" width="9.140625" style="1236"/>
    <col min="4614" max="4614" width="15.28515625" style="1236" customWidth="1"/>
    <col min="4615" max="4615" width="10.7109375" style="1236" customWidth="1"/>
    <col min="4616" max="4616" width="9" style="1236" customWidth="1"/>
    <col min="4617" max="4618" width="9.140625" style="1236"/>
    <col min="4619" max="4620" width="10.140625" style="1236" bestFit="1" customWidth="1"/>
    <col min="4621" max="4867" width="9.140625" style="1236"/>
    <col min="4868" max="4868" width="28.42578125" style="1236" customWidth="1"/>
    <col min="4869" max="4869" width="9.140625" style="1236"/>
    <col min="4870" max="4870" width="15.28515625" style="1236" customWidth="1"/>
    <col min="4871" max="4871" width="10.7109375" style="1236" customWidth="1"/>
    <col min="4872" max="4872" width="9" style="1236" customWidth="1"/>
    <col min="4873" max="4874" width="9.140625" style="1236"/>
    <col min="4875" max="4876" width="10.140625" style="1236" bestFit="1" customWidth="1"/>
    <col min="4877" max="5123" width="9.140625" style="1236"/>
    <col min="5124" max="5124" width="28.42578125" style="1236" customWidth="1"/>
    <col min="5125" max="5125" width="9.140625" style="1236"/>
    <col min="5126" max="5126" width="15.28515625" style="1236" customWidth="1"/>
    <col min="5127" max="5127" width="10.7109375" style="1236" customWidth="1"/>
    <col min="5128" max="5128" width="9" style="1236" customWidth="1"/>
    <col min="5129" max="5130" width="9.140625" style="1236"/>
    <col min="5131" max="5132" width="10.140625" style="1236" bestFit="1" customWidth="1"/>
    <col min="5133" max="5379" width="9.140625" style="1236"/>
    <col min="5380" max="5380" width="28.42578125" style="1236" customWidth="1"/>
    <col min="5381" max="5381" width="9.140625" style="1236"/>
    <col min="5382" max="5382" width="15.28515625" style="1236" customWidth="1"/>
    <col min="5383" max="5383" width="10.7109375" style="1236" customWidth="1"/>
    <col min="5384" max="5384" width="9" style="1236" customWidth="1"/>
    <col min="5385" max="5386" width="9.140625" style="1236"/>
    <col min="5387" max="5388" width="10.140625" style="1236" bestFit="1" customWidth="1"/>
    <col min="5389" max="5635" width="9.140625" style="1236"/>
    <col min="5636" max="5636" width="28.42578125" style="1236" customWidth="1"/>
    <col min="5637" max="5637" width="9.140625" style="1236"/>
    <col min="5638" max="5638" width="15.28515625" style="1236" customWidth="1"/>
    <col min="5639" max="5639" width="10.7109375" style="1236" customWidth="1"/>
    <col min="5640" max="5640" width="9" style="1236" customWidth="1"/>
    <col min="5641" max="5642" width="9.140625" style="1236"/>
    <col min="5643" max="5644" width="10.140625" style="1236" bestFit="1" customWidth="1"/>
    <col min="5645" max="5891" width="9.140625" style="1236"/>
    <col min="5892" max="5892" width="28.42578125" style="1236" customWidth="1"/>
    <col min="5893" max="5893" width="9.140625" style="1236"/>
    <col min="5894" max="5894" width="15.28515625" style="1236" customWidth="1"/>
    <col min="5895" max="5895" width="10.7109375" style="1236" customWidth="1"/>
    <col min="5896" max="5896" width="9" style="1236" customWidth="1"/>
    <col min="5897" max="5898" width="9.140625" style="1236"/>
    <col min="5899" max="5900" width="10.140625" style="1236" bestFit="1" customWidth="1"/>
    <col min="5901" max="6147" width="9.140625" style="1236"/>
    <col min="6148" max="6148" width="28.42578125" style="1236" customWidth="1"/>
    <col min="6149" max="6149" width="9.140625" style="1236"/>
    <col min="6150" max="6150" width="15.28515625" style="1236" customWidth="1"/>
    <col min="6151" max="6151" width="10.7109375" style="1236" customWidth="1"/>
    <col min="6152" max="6152" width="9" style="1236" customWidth="1"/>
    <col min="6153" max="6154" width="9.140625" style="1236"/>
    <col min="6155" max="6156" width="10.140625" style="1236" bestFit="1" customWidth="1"/>
    <col min="6157" max="6403" width="9.140625" style="1236"/>
    <col min="6404" max="6404" width="28.42578125" style="1236" customWidth="1"/>
    <col min="6405" max="6405" width="9.140625" style="1236"/>
    <col min="6406" max="6406" width="15.28515625" style="1236" customWidth="1"/>
    <col min="6407" max="6407" width="10.7109375" style="1236" customWidth="1"/>
    <col min="6408" max="6408" width="9" style="1236" customWidth="1"/>
    <col min="6409" max="6410" width="9.140625" style="1236"/>
    <col min="6411" max="6412" width="10.140625" style="1236" bestFit="1" customWidth="1"/>
    <col min="6413" max="6659" width="9.140625" style="1236"/>
    <col min="6660" max="6660" width="28.42578125" style="1236" customWidth="1"/>
    <col min="6661" max="6661" width="9.140625" style="1236"/>
    <col min="6662" max="6662" width="15.28515625" style="1236" customWidth="1"/>
    <col min="6663" max="6663" width="10.7109375" style="1236" customWidth="1"/>
    <col min="6664" max="6664" width="9" style="1236" customWidth="1"/>
    <col min="6665" max="6666" width="9.140625" style="1236"/>
    <col min="6667" max="6668" width="10.140625" style="1236" bestFit="1" customWidth="1"/>
    <col min="6669" max="6915" width="9.140625" style="1236"/>
    <col min="6916" max="6916" width="28.42578125" style="1236" customWidth="1"/>
    <col min="6917" max="6917" width="9.140625" style="1236"/>
    <col min="6918" max="6918" width="15.28515625" style="1236" customWidth="1"/>
    <col min="6919" max="6919" width="10.7109375" style="1236" customWidth="1"/>
    <col min="6920" max="6920" width="9" style="1236" customWidth="1"/>
    <col min="6921" max="6922" width="9.140625" style="1236"/>
    <col min="6923" max="6924" width="10.140625" style="1236" bestFit="1" customWidth="1"/>
    <col min="6925" max="7171" width="9.140625" style="1236"/>
    <col min="7172" max="7172" width="28.42578125" style="1236" customWidth="1"/>
    <col min="7173" max="7173" width="9.140625" style="1236"/>
    <col min="7174" max="7174" width="15.28515625" style="1236" customWidth="1"/>
    <col min="7175" max="7175" width="10.7109375" style="1236" customWidth="1"/>
    <col min="7176" max="7176" width="9" style="1236" customWidth="1"/>
    <col min="7177" max="7178" width="9.140625" style="1236"/>
    <col min="7179" max="7180" width="10.140625" style="1236" bestFit="1" customWidth="1"/>
    <col min="7181" max="7427" width="9.140625" style="1236"/>
    <col min="7428" max="7428" width="28.42578125" style="1236" customWidth="1"/>
    <col min="7429" max="7429" width="9.140625" style="1236"/>
    <col min="7430" max="7430" width="15.28515625" style="1236" customWidth="1"/>
    <col min="7431" max="7431" width="10.7109375" style="1236" customWidth="1"/>
    <col min="7432" max="7432" width="9" style="1236" customWidth="1"/>
    <col min="7433" max="7434" width="9.140625" style="1236"/>
    <col min="7435" max="7436" width="10.140625" style="1236" bestFit="1" customWidth="1"/>
    <col min="7437" max="7683" width="9.140625" style="1236"/>
    <col min="7684" max="7684" width="28.42578125" style="1236" customWidth="1"/>
    <col min="7685" max="7685" width="9.140625" style="1236"/>
    <col min="7686" max="7686" width="15.28515625" style="1236" customWidth="1"/>
    <col min="7687" max="7687" width="10.7109375" style="1236" customWidth="1"/>
    <col min="7688" max="7688" width="9" style="1236" customWidth="1"/>
    <col min="7689" max="7690" width="9.140625" style="1236"/>
    <col min="7691" max="7692" width="10.140625" style="1236" bestFit="1" customWidth="1"/>
    <col min="7693" max="7939" width="9.140625" style="1236"/>
    <col min="7940" max="7940" width="28.42578125" style="1236" customWidth="1"/>
    <col min="7941" max="7941" width="9.140625" style="1236"/>
    <col min="7942" max="7942" width="15.28515625" style="1236" customWidth="1"/>
    <col min="7943" max="7943" width="10.7109375" style="1236" customWidth="1"/>
    <col min="7944" max="7944" width="9" style="1236" customWidth="1"/>
    <col min="7945" max="7946" width="9.140625" style="1236"/>
    <col min="7947" max="7948" width="10.140625" style="1236" bestFit="1" customWidth="1"/>
    <col min="7949" max="8195" width="9.140625" style="1236"/>
    <col min="8196" max="8196" width="28.42578125" style="1236" customWidth="1"/>
    <col min="8197" max="8197" width="9.140625" style="1236"/>
    <col min="8198" max="8198" width="15.28515625" style="1236" customWidth="1"/>
    <col min="8199" max="8199" width="10.7109375" style="1236" customWidth="1"/>
    <col min="8200" max="8200" width="9" style="1236" customWidth="1"/>
    <col min="8201" max="8202" width="9.140625" style="1236"/>
    <col min="8203" max="8204" width="10.140625" style="1236" bestFit="1" customWidth="1"/>
    <col min="8205" max="8451" width="9.140625" style="1236"/>
    <col min="8452" max="8452" width="28.42578125" style="1236" customWidth="1"/>
    <col min="8453" max="8453" width="9.140625" style="1236"/>
    <col min="8454" max="8454" width="15.28515625" style="1236" customWidth="1"/>
    <col min="8455" max="8455" width="10.7109375" style="1236" customWidth="1"/>
    <col min="8456" max="8456" width="9" style="1236" customWidth="1"/>
    <col min="8457" max="8458" width="9.140625" style="1236"/>
    <col min="8459" max="8460" width="10.140625" style="1236" bestFit="1" customWidth="1"/>
    <col min="8461" max="8707" width="9.140625" style="1236"/>
    <col min="8708" max="8708" width="28.42578125" style="1236" customWidth="1"/>
    <col min="8709" max="8709" width="9.140625" style="1236"/>
    <col min="8710" max="8710" width="15.28515625" style="1236" customWidth="1"/>
    <col min="8711" max="8711" width="10.7109375" style="1236" customWidth="1"/>
    <col min="8712" max="8712" width="9" style="1236" customWidth="1"/>
    <col min="8713" max="8714" width="9.140625" style="1236"/>
    <col min="8715" max="8716" width="10.140625" style="1236" bestFit="1" customWidth="1"/>
    <col min="8717" max="8963" width="9.140625" style="1236"/>
    <col min="8964" max="8964" width="28.42578125" style="1236" customWidth="1"/>
    <col min="8965" max="8965" width="9.140625" style="1236"/>
    <col min="8966" max="8966" width="15.28515625" style="1236" customWidth="1"/>
    <col min="8967" max="8967" width="10.7109375" style="1236" customWidth="1"/>
    <col min="8968" max="8968" width="9" style="1236" customWidth="1"/>
    <col min="8969" max="8970" width="9.140625" style="1236"/>
    <col min="8971" max="8972" width="10.140625" style="1236" bestFit="1" customWidth="1"/>
    <col min="8973" max="9219" width="9.140625" style="1236"/>
    <col min="9220" max="9220" width="28.42578125" style="1236" customWidth="1"/>
    <col min="9221" max="9221" width="9.140625" style="1236"/>
    <col min="9222" max="9222" width="15.28515625" style="1236" customWidth="1"/>
    <col min="9223" max="9223" width="10.7109375" style="1236" customWidth="1"/>
    <col min="9224" max="9224" width="9" style="1236" customWidth="1"/>
    <col min="9225" max="9226" width="9.140625" style="1236"/>
    <col min="9227" max="9228" width="10.140625" style="1236" bestFit="1" customWidth="1"/>
    <col min="9229" max="9475" width="9.140625" style="1236"/>
    <col min="9476" max="9476" width="28.42578125" style="1236" customWidth="1"/>
    <col min="9477" max="9477" width="9.140625" style="1236"/>
    <col min="9478" max="9478" width="15.28515625" style="1236" customWidth="1"/>
    <col min="9479" max="9479" width="10.7109375" style="1236" customWidth="1"/>
    <col min="9480" max="9480" width="9" style="1236" customWidth="1"/>
    <col min="9481" max="9482" width="9.140625" style="1236"/>
    <col min="9483" max="9484" width="10.140625" style="1236" bestFit="1" customWidth="1"/>
    <col min="9485" max="9731" width="9.140625" style="1236"/>
    <col min="9732" max="9732" width="28.42578125" style="1236" customWidth="1"/>
    <col min="9733" max="9733" width="9.140625" style="1236"/>
    <col min="9734" max="9734" width="15.28515625" style="1236" customWidth="1"/>
    <col min="9735" max="9735" width="10.7109375" style="1236" customWidth="1"/>
    <col min="9736" max="9736" width="9" style="1236" customWidth="1"/>
    <col min="9737" max="9738" width="9.140625" style="1236"/>
    <col min="9739" max="9740" width="10.140625" style="1236" bestFit="1" customWidth="1"/>
    <col min="9741" max="9987" width="9.140625" style="1236"/>
    <col min="9988" max="9988" width="28.42578125" style="1236" customWidth="1"/>
    <col min="9989" max="9989" width="9.140625" style="1236"/>
    <col min="9990" max="9990" width="15.28515625" style="1236" customWidth="1"/>
    <col min="9991" max="9991" width="10.7109375" style="1236" customWidth="1"/>
    <col min="9992" max="9992" width="9" style="1236" customWidth="1"/>
    <col min="9993" max="9994" width="9.140625" style="1236"/>
    <col min="9995" max="9996" width="10.140625" style="1236" bestFit="1" customWidth="1"/>
    <col min="9997" max="10243" width="9.140625" style="1236"/>
    <col min="10244" max="10244" width="28.42578125" style="1236" customWidth="1"/>
    <col min="10245" max="10245" width="9.140625" style="1236"/>
    <col min="10246" max="10246" width="15.28515625" style="1236" customWidth="1"/>
    <col min="10247" max="10247" width="10.7109375" style="1236" customWidth="1"/>
    <col min="10248" max="10248" width="9" style="1236" customWidth="1"/>
    <col min="10249" max="10250" width="9.140625" style="1236"/>
    <col min="10251" max="10252" width="10.140625" style="1236" bestFit="1" customWidth="1"/>
    <col min="10253" max="10499" width="9.140625" style="1236"/>
    <col min="10500" max="10500" width="28.42578125" style="1236" customWidth="1"/>
    <col min="10501" max="10501" width="9.140625" style="1236"/>
    <col min="10502" max="10502" width="15.28515625" style="1236" customWidth="1"/>
    <col min="10503" max="10503" width="10.7109375" style="1236" customWidth="1"/>
    <col min="10504" max="10504" width="9" style="1236" customWidth="1"/>
    <col min="10505" max="10506" width="9.140625" style="1236"/>
    <col min="10507" max="10508" width="10.140625" style="1236" bestFit="1" customWidth="1"/>
    <col min="10509" max="10755" width="9.140625" style="1236"/>
    <col min="10756" max="10756" width="28.42578125" style="1236" customWidth="1"/>
    <col min="10757" max="10757" width="9.140625" style="1236"/>
    <col min="10758" max="10758" width="15.28515625" style="1236" customWidth="1"/>
    <col min="10759" max="10759" width="10.7109375" style="1236" customWidth="1"/>
    <col min="10760" max="10760" width="9" style="1236" customWidth="1"/>
    <col min="10761" max="10762" width="9.140625" style="1236"/>
    <col min="10763" max="10764" width="10.140625" style="1236" bestFit="1" customWidth="1"/>
    <col min="10765" max="11011" width="9.140625" style="1236"/>
    <col min="11012" max="11012" width="28.42578125" style="1236" customWidth="1"/>
    <col min="11013" max="11013" width="9.140625" style="1236"/>
    <col min="11014" max="11014" width="15.28515625" style="1236" customWidth="1"/>
    <col min="11015" max="11015" width="10.7109375" style="1236" customWidth="1"/>
    <col min="11016" max="11016" width="9" style="1236" customWidth="1"/>
    <col min="11017" max="11018" width="9.140625" style="1236"/>
    <col min="11019" max="11020" width="10.140625" style="1236" bestFit="1" customWidth="1"/>
    <col min="11021" max="11267" width="9.140625" style="1236"/>
    <col min="11268" max="11268" width="28.42578125" style="1236" customWidth="1"/>
    <col min="11269" max="11269" width="9.140625" style="1236"/>
    <col min="11270" max="11270" width="15.28515625" style="1236" customWidth="1"/>
    <col min="11271" max="11271" width="10.7109375" style="1236" customWidth="1"/>
    <col min="11272" max="11272" width="9" style="1236" customWidth="1"/>
    <col min="11273" max="11274" width="9.140625" style="1236"/>
    <col min="11275" max="11276" width="10.140625" style="1236" bestFit="1" customWidth="1"/>
    <col min="11277" max="11523" width="9.140625" style="1236"/>
    <col min="11524" max="11524" width="28.42578125" style="1236" customWidth="1"/>
    <col min="11525" max="11525" width="9.140625" style="1236"/>
    <col min="11526" max="11526" width="15.28515625" style="1236" customWidth="1"/>
    <col min="11527" max="11527" width="10.7109375" style="1236" customWidth="1"/>
    <col min="11528" max="11528" width="9" style="1236" customWidth="1"/>
    <col min="11529" max="11530" width="9.140625" style="1236"/>
    <col min="11531" max="11532" width="10.140625" style="1236" bestFit="1" customWidth="1"/>
    <col min="11533" max="11779" width="9.140625" style="1236"/>
    <col min="11780" max="11780" width="28.42578125" style="1236" customWidth="1"/>
    <col min="11781" max="11781" width="9.140625" style="1236"/>
    <col min="11782" max="11782" width="15.28515625" style="1236" customWidth="1"/>
    <col min="11783" max="11783" width="10.7109375" style="1236" customWidth="1"/>
    <col min="11784" max="11784" width="9" style="1236" customWidth="1"/>
    <col min="11785" max="11786" width="9.140625" style="1236"/>
    <col min="11787" max="11788" width="10.140625" style="1236" bestFit="1" customWidth="1"/>
    <col min="11789" max="12035" width="9.140625" style="1236"/>
    <col min="12036" max="12036" width="28.42578125" style="1236" customWidth="1"/>
    <col min="12037" max="12037" width="9.140625" style="1236"/>
    <col min="12038" max="12038" width="15.28515625" style="1236" customWidth="1"/>
    <col min="12039" max="12039" width="10.7109375" style="1236" customWidth="1"/>
    <col min="12040" max="12040" width="9" style="1236" customWidth="1"/>
    <col min="12041" max="12042" width="9.140625" style="1236"/>
    <col min="12043" max="12044" width="10.140625" style="1236" bestFit="1" customWidth="1"/>
    <col min="12045" max="12291" width="9.140625" style="1236"/>
    <col min="12292" max="12292" width="28.42578125" style="1236" customWidth="1"/>
    <col min="12293" max="12293" width="9.140625" style="1236"/>
    <col min="12294" max="12294" width="15.28515625" style="1236" customWidth="1"/>
    <col min="12295" max="12295" width="10.7109375" style="1236" customWidth="1"/>
    <col min="12296" max="12296" width="9" style="1236" customWidth="1"/>
    <col min="12297" max="12298" width="9.140625" style="1236"/>
    <col min="12299" max="12300" width="10.140625" style="1236" bestFit="1" customWidth="1"/>
    <col min="12301" max="12547" width="9.140625" style="1236"/>
    <col min="12548" max="12548" width="28.42578125" style="1236" customWidth="1"/>
    <col min="12549" max="12549" width="9.140625" style="1236"/>
    <col min="12550" max="12550" width="15.28515625" style="1236" customWidth="1"/>
    <col min="12551" max="12551" width="10.7109375" style="1236" customWidth="1"/>
    <col min="12552" max="12552" width="9" style="1236" customWidth="1"/>
    <col min="12553" max="12554" width="9.140625" style="1236"/>
    <col min="12555" max="12556" width="10.140625" style="1236" bestFit="1" customWidth="1"/>
    <col min="12557" max="12803" width="9.140625" style="1236"/>
    <col min="12804" max="12804" width="28.42578125" style="1236" customWidth="1"/>
    <col min="12805" max="12805" width="9.140625" style="1236"/>
    <col min="12806" max="12806" width="15.28515625" style="1236" customWidth="1"/>
    <col min="12807" max="12807" width="10.7109375" style="1236" customWidth="1"/>
    <col min="12808" max="12808" width="9" style="1236" customWidth="1"/>
    <col min="12809" max="12810" width="9.140625" style="1236"/>
    <col min="12811" max="12812" width="10.140625" style="1236" bestFit="1" customWidth="1"/>
    <col min="12813" max="13059" width="9.140625" style="1236"/>
    <col min="13060" max="13060" width="28.42578125" style="1236" customWidth="1"/>
    <col min="13061" max="13061" width="9.140625" style="1236"/>
    <col min="13062" max="13062" width="15.28515625" style="1236" customWidth="1"/>
    <col min="13063" max="13063" width="10.7109375" style="1236" customWidth="1"/>
    <col min="13064" max="13064" width="9" style="1236" customWidth="1"/>
    <col min="13065" max="13066" width="9.140625" style="1236"/>
    <col min="13067" max="13068" width="10.140625" style="1236" bestFit="1" customWidth="1"/>
    <col min="13069" max="13315" width="9.140625" style="1236"/>
    <col min="13316" max="13316" width="28.42578125" style="1236" customWidth="1"/>
    <col min="13317" max="13317" width="9.140625" style="1236"/>
    <col min="13318" max="13318" width="15.28515625" style="1236" customWidth="1"/>
    <col min="13319" max="13319" width="10.7109375" style="1236" customWidth="1"/>
    <col min="13320" max="13320" width="9" style="1236" customWidth="1"/>
    <col min="13321" max="13322" width="9.140625" style="1236"/>
    <col min="13323" max="13324" width="10.140625" style="1236" bestFit="1" customWidth="1"/>
    <col min="13325" max="13571" width="9.140625" style="1236"/>
    <col min="13572" max="13572" width="28.42578125" style="1236" customWidth="1"/>
    <col min="13573" max="13573" width="9.140625" style="1236"/>
    <col min="13574" max="13574" width="15.28515625" style="1236" customWidth="1"/>
    <col min="13575" max="13575" width="10.7109375" style="1236" customWidth="1"/>
    <col min="13576" max="13576" width="9" style="1236" customWidth="1"/>
    <col min="13577" max="13578" width="9.140625" style="1236"/>
    <col min="13579" max="13580" width="10.140625" style="1236" bestFit="1" customWidth="1"/>
    <col min="13581" max="13827" width="9.140625" style="1236"/>
    <col min="13828" max="13828" width="28.42578125" style="1236" customWidth="1"/>
    <col min="13829" max="13829" width="9.140625" style="1236"/>
    <col min="13830" max="13830" width="15.28515625" style="1236" customWidth="1"/>
    <col min="13831" max="13831" width="10.7109375" style="1236" customWidth="1"/>
    <col min="13832" max="13832" width="9" style="1236" customWidth="1"/>
    <col min="13833" max="13834" width="9.140625" style="1236"/>
    <col min="13835" max="13836" width="10.140625" style="1236" bestFit="1" customWidth="1"/>
    <col min="13837" max="14083" width="9.140625" style="1236"/>
    <col min="14084" max="14084" width="28.42578125" style="1236" customWidth="1"/>
    <col min="14085" max="14085" width="9.140625" style="1236"/>
    <col min="14086" max="14086" width="15.28515625" style="1236" customWidth="1"/>
    <col min="14087" max="14087" width="10.7109375" style="1236" customWidth="1"/>
    <col min="14088" max="14088" width="9" style="1236" customWidth="1"/>
    <col min="14089" max="14090" width="9.140625" style="1236"/>
    <col min="14091" max="14092" width="10.140625" style="1236" bestFit="1" customWidth="1"/>
    <col min="14093" max="14339" width="9.140625" style="1236"/>
    <col min="14340" max="14340" width="28.42578125" style="1236" customWidth="1"/>
    <col min="14341" max="14341" width="9.140625" style="1236"/>
    <col min="14342" max="14342" width="15.28515625" style="1236" customWidth="1"/>
    <col min="14343" max="14343" width="10.7109375" style="1236" customWidth="1"/>
    <col min="14344" max="14344" width="9" style="1236" customWidth="1"/>
    <col min="14345" max="14346" width="9.140625" style="1236"/>
    <col min="14347" max="14348" width="10.140625" style="1236" bestFit="1" customWidth="1"/>
    <col min="14349" max="14595" width="9.140625" style="1236"/>
    <col min="14596" max="14596" width="28.42578125" style="1236" customWidth="1"/>
    <col min="14597" max="14597" width="9.140625" style="1236"/>
    <col min="14598" max="14598" width="15.28515625" style="1236" customWidth="1"/>
    <col min="14599" max="14599" width="10.7109375" style="1236" customWidth="1"/>
    <col min="14600" max="14600" width="9" style="1236" customWidth="1"/>
    <col min="14601" max="14602" width="9.140625" style="1236"/>
    <col min="14603" max="14604" width="10.140625" style="1236" bestFit="1" customWidth="1"/>
    <col min="14605" max="14851" width="9.140625" style="1236"/>
    <col min="14852" max="14852" width="28.42578125" style="1236" customWidth="1"/>
    <col min="14853" max="14853" width="9.140625" style="1236"/>
    <col min="14854" max="14854" width="15.28515625" style="1236" customWidth="1"/>
    <col min="14855" max="14855" width="10.7109375" style="1236" customWidth="1"/>
    <col min="14856" max="14856" width="9" style="1236" customWidth="1"/>
    <col min="14857" max="14858" width="9.140625" style="1236"/>
    <col min="14859" max="14860" width="10.140625" style="1236" bestFit="1" customWidth="1"/>
    <col min="14861" max="15107" width="9.140625" style="1236"/>
    <col min="15108" max="15108" width="28.42578125" style="1236" customWidth="1"/>
    <col min="15109" max="15109" width="9.140625" style="1236"/>
    <col min="15110" max="15110" width="15.28515625" style="1236" customWidth="1"/>
    <col min="15111" max="15111" width="10.7109375" style="1236" customWidth="1"/>
    <col min="15112" max="15112" width="9" style="1236" customWidth="1"/>
    <col min="15113" max="15114" width="9.140625" style="1236"/>
    <col min="15115" max="15116" width="10.140625" style="1236" bestFit="1" customWidth="1"/>
    <col min="15117" max="15363" width="9.140625" style="1236"/>
    <col min="15364" max="15364" width="28.42578125" style="1236" customWidth="1"/>
    <col min="15365" max="15365" width="9.140625" style="1236"/>
    <col min="15366" max="15366" width="15.28515625" style="1236" customWidth="1"/>
    <col min="15367" max="15367" width="10.7109375" style="1236" customWidth="1"/>
    <col min="15368" max="15368" width="9" style="1236" customWidth="1"/>
    <col min="15369" max="15370" width="9.140625" style="1236"/>
    <col min="15371" max="15372" width="10.140625" style="1236" bestFit="1" customWidth="1"/>
    <col min="15373" max="15619" width="9.140625" style="1236"/>
    <col min="15620" max="15620" width="28.42578125" style="1236" customWidth="1"/>
    <col min="15621" max="15621" width="9.140625" style="1236"/>
    <col min="15622" max="15622" width="15.28515625" style="1236" customWidth="1"/>
    <col min="15623" max="15623" width="10.7109375" style="1236" customWidth="1"/>
    <col min="15624" max="15624" width="9" style="1236" customWidth="1"/>
    <col min="15625" max="15626" width="9.140625" style="1236"/>
    <col min="15627" max="15628" width="10.140625" style="1236" bestFit="1" customWidth="1"/>
    <col min="15629" max="15875" width="9.140625" style="1236"/>
    <col min="15876" max="15876" width="28.42578125" style="1236" customWidth="1"/>
    <col min="15877" max="15877" width="9.140625" style="1236"/>
    <col min="15878" max="15878" width="15.28515625" style="1236" customWidth="1"/>
    <col min="15879" max="15879" width="10.7109375" style="1236" customWidth="1"/>
    <col min="15880" max="15880" width="9" style="1236" customWidth="1"/>
    <col min="15881" max="15882" width="9.140625" style="1236"/>
    <col min="15883" max="15884" width="10.140625" style="1236" bestFit="1" customWidth="1"/>
    <col min="15885" max="16131" width="9.140625" style="1236"/>
    <col min="16132" max="16132" width="28.42578125" style="1236" customWidth="1"/>
    <col min="16133" max="16133" width="9.140625" style="1236"/>
    <col min="16134" max="16134" width="15.28515625" style="1236" customWidth="1"/>
    <col min="16135" max="16135" width="10.7109375" style="1236" customWidth="1"/>
    <col min="16136" max="16136" width="9" style="1236" customWidth="1"/>
    <col min="16137" max="16138" width="9.140625" style="1236"/>
    <col min="16139" max="16140" width="10.140625" style="1236" bestFit="1" customWidth="1"/>
    <col min="16141" max="16384" width="9.140625" style="1236"/>
  </cols>
  <sheetData>
    <row r="1" spans="1:12" ht="43.5" customHeight="1" thickBot="1" x14ac:dyDescent="0.25">
      <c r="A1" s="3320" t="s">
        <v>761</v>
      </c>
      <c r="B1" s="3320"/>
      <c r="C1" s="3320"/>
      <c r="D1" s="3320"/>
      <c r="E1" s="3320"/>
      <c r="F1" s="3320"/>
      <c r="G1" s="3320"/>
      <c r="H1" s="3320"/>
    </row>
    <row r="2" spans="1:12" ht="18" x14ac:dyDescent="0.25">
      <c r="A2" s="1243"/>
      <c r="B2" s="1243"/>
      <c r="C2" s="1243"/>
      <c r="E2" s="1244"/>
      <c r="F2" s="1244"/>
      <c r="G2" s="1244"/>
      <c r="H2" s="1163" t="s">
        <v>412</v>
      </c>
    </row>
    <row r="3" spans="1:12" s="1328" customFormat="1" ht="12.75" customHeight="1" x14ac:dyDescent="0.2">
      <c r="A3" s="1240" t="s">
        <v>201</v>
      </c>
      <c r="B3" s="1327"/>
      <c r="C3" s="1241" t="s">
        <v>189</v>
      </c>
    </row>
    <row r="4" spans="1:12" s="1328" customFormat="1" ht="12.75" customHeight="1" x14ac:dyDescent="0.25">
      <c r="A4" s="1329"/>
      <c r="B4" s="1327"/>
      <c r="C4" s="1241" t="s">
        <v>190</v>
      </c>
    </row>
    <row r="5" spans="1:12" ht="18" x14ac:dyDescent="0.25">
      <c r="A5" s="1242" t="s">
        <v>413</v>
      </c>
      <c r="B5" s="1243"/>
      <c r="C5" s="1243"/>
      <c r="E5" s="1244"/>
      <c r="F5" s="1244"/>
      <c r="G5" s="1244"/>
    </row>
    <row r="6" spans="1:12" x14ac:dyDescent="0.2">
      <c r="A6" s="1243"/>
      <c r="B6" s="1243"/>
      <c r="C6" s="1243"/>
      <c r="E6" s="1244"/>
      <c r="F6" s="1244"/>
      <c r="G6" s="1244"/>
    </row>
    <row r="7" spans="1:12" ht="15.75" thickBot="1" x14ac:dyDescent="0.3">
      <c r="A7" s="1229" t="s">
        <v>137</v>
      </c>
      <c r="B7" s="1243"/>
      <c r="C7" s="1243"/>
      <c r="E7" s="1244"/>
      <c r="F7" s="1244"/>
      <c r="G7" s="1244"/>
      <c r="H7" s="1330" t="s">
        <v>92</v>
      </c>
    </row>
    <row r="8" spans="1:12" ht="13.5" hidden="1" thickBot="1" x14ac:dyDescent="0.25">
      <c r="A8" s="1243"/>
      <c r="B8" s="1243"/>
      <c r="C8" s="1243"/>
      <c r="E8" s="1244"/>
      <c r="F8" s="1244"/>
      <c r="G8" s="1244"/>
      <c r="H8" s="1330" t="s">
        <v>92</v>
      </c>
    </row>
    <row r="9" spans="1:12" ht="25.5" thickTop="1" thickBot="1" x14ac:dyDescent="0.25">
      <c r="A9" s="1246" t="s">
        <v>93</v>
      </c>
      <c r="B9" s="1247" t="s">
        <v>392</v>
      </c>
      <c r="C9" s="1247" t="s">
        <v>209</v>
      </c>
      <c r="D9" s="1248" t="s">
        <v>95</v>
      </c>
      <c r="E9" s="1249" t="s">
        <v>328</v>
      </c>
      <c r="F9" s="1249" t="s">
        <v>329</v>
      </c>
      <c r="G9" s="1250" t="s">
        <v>448</v>
      </c>
      <c r="H9" s="1251" t="s">
        <v>449</v>
      </c>
    </row>
    <row r="10" spans="1:12" ht="14.25" thickTop="1" thickBot="1" x14ac:dyDescent="0.25">
      <c r="A10" s="1252">
        <v>1</v>
      </c>
      <c r="B10" s="1253">
        <v>2</v>
      </c>
      <c r="C10" s="1253">
        <v>3</v>
      </c>
      <c r="D10" s="1253">
        <v>4</v>
      </c>
      <c r="E10" s="1254">
        <v>5</v>
      </c>
      <c r="F10" s="1254">
        <v>6</v>
      </c>
      <c r="G10" s="1255">
        <v>7</v>
      </c>
      <c r="H10" s="1271" t="s">
        <v>33</v>
      </c>
    </row>
    <row r="11" spans="1:12" ht="32.25" customHeight="1" thickTop="1" thickBot="1" x14ac:dyDescent="0.25">
      <c r="A11" s="1262">
        <v>3636</v>
      </c>
      <c r="B11" s="1263">
        <v>5363</v>
      </c>
      <c r="C11" s="1263"/>
      <c r="D11" s="1331" t="s">
        <v>739</v>
      </c>
      <c r="E11" s="1332">
        <v>0</v>
      </c>
      <c r="F11" s="1356">
        <v>23</v>
      </c>
      <c r="G11" s="1356">
        <v>23</v>
      </c>
      <c r="H11" s="1270">
        <f>G11/F11*100</f>
        <v>100</v>
      </c>
    </row>
    <row r="12" spans="1:12" ht="16.5" thickTop="1" thickBot="1" x14ac:dyDescent="0.3">
      <c r="A12" s="1364" t="s">
        <v>394</v>
      </c>
      <c r="B12" s="1365"/>
      <c r="C12" s="1365"/>
      <c r="D12" s="1365"/>
      <c r="E12" s="1269">
        <f>SUM(E11:E11)</f>
        <v>0</v>
      </c>
      <c r="F12" s="1269">
        <f>SUM(F11:F11)</f>
        <v>23</v>
      </c>
      <c r="G12" s="1269">
        <f>SUM(G11:G11)</f>
        <v>23</v>
      </c>
      <c r="H12" s="1268">
        <v>0</v>
      </c>
    </row>
    <row r="13" spans="1:12" ht="13.5" thickTop="1" x14ac:dyDescent="0.2">
      <c r="A13" s="1243"/>
      <c r="B13" s="1243"/>
      <c r="C13" s="1243"/>
      <c r="E13" s="1244"/>
      <c r="F13" s="1244"/>
      <c r="G13" s="1244"/>
    </row>
    <row r="14" spans="1:12" s="1333" customFormat="1" x14ac:dyDescent="0.2">
      <c r="A14" s="1243"/>
      <c r="B14" s="1243"/>
      <c r="C14" s="1243"/>
      <c r="D14" s="1236"/>
      <c r="E14" s="1244"/>
      <c r="F14" s="1244"/>
      <c r="G14" s="1244"/>
      <c r="H14" s="1236"/>
    </row>
    <row r="15" spans="1:12" s="1333" customFormat="1" ht="16.5" x14ac:dyDescent="0.25">
      <c r="A15" s="1285" t="s">
        <v>251</v>
      </c>
      <c r="B15" s="1286"/>
      <c r="C15" s="1287"/>
      <c r="D15" s="1288"/>
      <c r="E15" s="1289">
        <f>SUM(E16:E18)</f>
        <v>0</v>
      </c>
      <c r="F15" s="1289">
        <f>F16+F17+F18+F19</f>
        <v>23</v>
      </c>
      <c r="G15" s="1289">
        <f>G16+G17+G18+G19</f>
        <v>23</v>
      </c>
      <c r="H15" s="1334">
        <f>G15/F15*100</f>
        <v>100</v>
      </c>
      <c r="J15" s="1335">
        <f>J16+J17+J18</f>
        <v>0</v>
      </c>
      <c r="K15" s="1335">
        <f>K16+K17+K18</f>
        <v>22553</v>
      </c>
      <c r="L15" s="1335">
        <f>L16+L17+L18</f>
        <v>22553</v>
      </c>
    </row>
    <row r="16" spans="1:12" s="1333" customFormat="1" ht="15" x14ac:dyDescent="0.2">
      <c r="A16" s="1292" t="s">
        <v>147</v>
      </c>
      <c r="B16" s="1293"/>
      <c r="C16" s="1294"/>
      <c r="D16" s="1295"/>
      <c r="E16" s="1296">
        <f>SUM(E11)</f>
        <v>0</v>
      </c>
      <c r="F16" s="1296">
        <f>SUM(F11)</f>
        <v>23</v>
      </c>
      <c r="G16" s="1296">
        <f>SUM(G11)</f>
        <v>23</v>
      </c>
      <c r="H16" s="1336">
        <f>G16/F16*100</f>
        <v>100</v>
      </c>
      <c r="J16" s="1337">
        <v>0</v>
      </c>
      <c r="K16" s="1337">
        <v>22553</v>
      </c>
      <c r="L16" s="1337">
        <v>22553</v>
      </c>
    </row>
    <row r="17" spans="1:12" ht="15" x14ac:dyDescent="0.2">
      <c r="A17" s="1292" t="s">
        <v>148</v>
      </c>
      <c r="B17" s="1299"/>
      <c r="C17" s="1294"/>
      <c r="D17" s="1300"/>
      <c r="E17" s="1296">
        <v>0</v>
      </c>
      <c r="F17" s="1296">
        <v>0</v>
      </c>
      <c r="G17" s="1296">
        <v>0</v>
      </c>
      <c r="H17" s="1336">
        <v>0</v>
      </c>
      <c r="J17" s="1298">
        <v>0</v>
      </c>
      <c r="K17" s="1298">
        <v>0</v>
      </c>
      <c r="L17" s="1298">
        <v>0</v>
      </c>
    </row>
    <row r="18" spans="1:12" ht="15" x14ac:dyDescent="0.2">
      <c r="A18" s="1292" t="s">
        <v>252</v>
      </c>
      <c r="B18" s="1299"/>
      <c r="C18" s="1294"/>
      <c r="D18" s="1300"/>
      <c r="E18" s="1296">
        <v>0</v>
      </c>
      <c r="F18" s="1296">
        <v>0</v>
      </c>
      <c r="G18" s="1296">
        <v>0</v>
      </c>
      <c r="H18" s="1336">
        <v>0</v>
      </c>
      <c r="J18" s="1298">
        <v>0</v>
      </c>
      <c r="K18" s="1298">
        <v>0</v>
      </c>
      <c r="L18" s="1298">
        <v>0</v>
      </c>
    </row>
    <row r="19" spans="1:12" ht="15" x14ac:dyDescent="0.2">
      <c r="A19" s="1292"/>
      <c r="B19" s="1299"/>
      <c r="C19" s="1294"/>
      <c r="D19" s="1300"/>
      <c r="E19" s="1296"/>
      <c r="F19" s="1296"/>
      <c r="G19" s="1296"/>
      <c r="H19" s="1301"/>
    </row>
    <row r="20" spans="1:12" s="1320" customFormat="1" ht="77.25" customHeight="1" thickBot="1" x14ac:dyDescent="0.4">
      <c r="A20" s="3321" t="s">
        <v>762</v>
      </c>
      <c r="B20" s="3322"/>
      <c r="C20" s="3322"/>
      <c r="D20" s="3322"/>
      <c r="E20" s="1302">
        <f>SUM(E15)</f>
        <v>0</v>
      </c>
      <c r="F20" s="1302">
        <f>SUM(F15)</f>
        <v>23</v>
      </c>
      <c r="G20" s="1302">
        <f>SUM(G15)</f>
        <v>23</v>
      </c>
      <c r="H20" s="1338">
        <f>G20/F20*100</f>
        <v>100</v>
      </c>
    </row>
    <row r="21" spans="1:12" ht="77.25" customHeight="1" thickTop="1" x14ac:dyDescent="0.2"/>
  </sheetData>
  <mergeCells count="2">
    <mergeCell ref="A1:H1"/>
    <mergeCell ref="A20:D20"/>
  </mergeCells>
  <pageMargins left="0.70866141732283472" right="0.70866141732283472" top="0.78740157480314965" bottom="0.78740157480314965" header="0.31496062992125984" footer="0.31496062992125984"/>
  <pageSetup paperSize="9" scale="80" firstPageNumber="128" orientation="portrait" useFirstPageNumber="1" r:id="rId1"/>
  <headerFooter>
    <oddFooter xml:space="preserve">&amp;L&amp;"Arial,Kurzíva"Zastupitelstvo Olomouckého kraje 20.6.2014
5.2. - Závěrečný  účet Olomouckého kraje za rok 2013
Příloha č. 3: Plnění rozpočtu výdajů Olomouckého kraje k 31.12.2013&amp;R&amp;"Arial,Kurzíva"Strana &amp;P (Celkem 480)
</oddFooter>
  </headerFooter>
  <colBreaks count="1" manualBreakCount="1">
    <brk id="8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</sheetPr>
  <dimension ref="A1:H35"/>
  <sheetViews>
    <sheetView showGridLines="0" topLeftCell="A13" workbookViewId="0">
      <selection activeCell="J25" sqref="J25"/>
    </sheetView>
  </sheetViews>
  <sheetFormatPr defaultRowHeight="12.75" x14ac:dyDescent="0.2"/>
  <cols>
    <col min="1" max="1" width="4.7109375" style="313" customWidth="1"/>
    <col min="2" max="2" width="6.7109375" style="313" customWidth="1"/>
    <col min="3" max="3" width="9" style="313" bestFit="1" customWidth="1"/>
    <col min="4" max="4" width="46.42578125" customWidth="1"/>
    <col min="5" max="5" width="13.85546875" style="322" customWidth="1"/>
    <col min="6" max="6" width="16.85546875" style="322" customWidth="1"/>
    <col min="7" max="7" width="13.85546875" style="322" customWidth="1"/>
    <col min="8" max="8" width="7" customWidth="1"/>
  </cols>
  <sheetData>
    <row r="1" spans="1:8" ht="18.75" thickBot="1" x14ac:dyDescent="0.3">
      <c r="A1" s="398" t="s">
        <v>194</v>
      </c>
      <c r="B1" s="399"/>
      <c r="C1" s="399"/>
      <c r="D1" s="399"/>
      <c r="E1" s="399"/>
      <c r="F1" s="306"/>
      <c r="G1" s="306"/>
    </row>
    <row r="2" spans="1:8" ht="18" x14ac:dyDescent="0.25">
      <c r="B2" s="306"/>
      <c r="C2" s="306"/>
      <c r="D2" s="306"/>
      <c r="E2" s="306"/>
      <c r="F2" s="306"/>
      <c r="G2" s="306"/>
      <c r="H2" s="321" t="s">
        <v>578</v>
      </c>
    </row>
    <row r="3" spans="1:8" s="119" customFormat="1" ht="16.5" customHeight="1" x14ac:dyDescent="0.25">
      <c r="A3" s="67" t="s">
        <v>201</v>
      </c>
      <c r="B3" s="28"/>
      <c r="C3" s="140" t="s">
        <v>18</v>
      </c>
      <c r="D3" s="380"/>
      <c r="F3" s="390"/>
    </row>
    <row r="4" spans="1:8" s="119" customFormat="1" ht="12.75" customHeight="1" x14ac:dyDescent="0.25">
      <c r="A4" s="6"/>
      <c r="B4" s="28"/>
      <c r="C4" s="140" t="s">
        <v>19</v>
      </c>
      <c r="D4" s="380"/>
      <c r="F4" s="390"/>
    </row>
    <row r="5" spans="1:8" ht="18" x14ac:dyDescent="0.25">
      <c r="A5" s="348" t="s">
        <v>577</v>
      </c>
      <c r="B5" s="306"/>
      <c r="C5" s="306"/>
      <c r="D5" s="306"/>
      <c r="E5" s="306"/>
      <c r="F5" s="306"/>
      <c r="G5" s="306"/>
      <c r="H5" s="321"/>
    </row>
    <row r="6" spans="1:8" ht="18" x14ac:dyDescent="0.25">
      <c r="A6" s="320" t="s">
        <v>193</v>
      </c>
      <c r="B6" s="306"/>
      <c r="C6" s="306"/>
      <c r="D6" s="306"/>
      <c r="E6" s="306"/>
      <c r="F6" s="306"/>
      <c r="G6" s="306"/>
      <c r="H6" s="321"/>
    </row>
    <row r="7" spans="1:8" ht="18" x14ac:dyDescent="0.25">
      <c r="A7" s="320"/>
      <c r="B7" s="306"/>
      <c r="C7" s="306"/>
      <c r="D7" s="306"/>
      <c r="E7" s="306"/>
      <c r="F7" s="306"/>
      <c r="G7" s="306"/>
      <c r="H7" s="321"/>
    </row>
    <row r="8" spans="1:8" ht="13.5" thickBot="1" x14ac:dyDescent="0.25">
      <c r="H8" s="339" t="s">
        <v>583</v>
      </c>
    </row>
    <row r="9" spans="1:8" s="318" customFormat="1" ht="25.5" thickTop="1" thickBot="1" x14ac:dyDescent="0.25">
      <c r="A9" s="323" t="s">
        <v>93</v>
      </c>
      <c r="B9" s="324" t="s">
        <v>392</v>
      </c>
      <c r="C9" s="324" t="s">
        <v>209</v>
      </c>
      <c r="D9" s="325" t="s">
        <v>95</v>
      </c>
      <c r="E9" s="326" t="s">
        <v>328</v>
      </c>
      <c r="F9" s="326" t="s">
        <v>329</v>
      </c>
      <c r="G9" s="327" t="s">
        <v>448</v>
      </c>
      <c r="H9" s="328" t="s">
        <v>449</v>
      </c>
    </row>
    <row r="10" spans="1:8" s="350" customFormat="1" thickTop="1" thickBot="1" x14ac:dyDescent="0.25">
      <c r="A10" s="314">
        <v>1</v>
      </c>
      <c r="B10" s="315">
        <v>2</v>
      </c>
      <c r="C10" s="315">
        <v>3</v>
      </c>
      <c r="D10" s="315">
        <v>5</v>
      </c>
      <c r="E10" s="316">
        <v>6</v>
      </c>
      <c r="F10" s="316">
        <v>7</v>
      </c>
      <c r="G10" s="317">
        <v>8</v>
      </c>
      <c r="H10" s="319" t="s">
        <v>393</v>
      </c>
    </row>
    <row r="11" spans="1:8" s="306" customFormat="1" ht="15.75" thickTop="1" x14ac:dyDescent="0.25">
      <c r="A11" s="329">
        <v>3636</v>
      </c>
      <c r="B11" s="330">
        <v>5011</v>
      </c>
      <c r="C11" s="391">
        <v>6500801</v>
      </c>
      <c r="D11" s="378" t="s">
        <v>117</v>
      </c>
      <c r="E11" s="394"/>
      <c r="F11" s="394">
        <v>190</v>
      </c>
      <c r="G11" s="395">
        <v>164</v>
      </c>
      <c r="H11" s="414">
        <f>G11/F11*100</f>
        <v>86.31578947368422</v>
      </c>
    </row>
    <row r="12" spans="1:8" ht="15" x14ac:dyDescent="0.2">
      <c r="A12" s="342">
        <v>3636</v>
      </c>
      <c r="B12" s="340">
        <v>5019</v>
      </c>
      <c r="C12" s="381">
        <v>6500801</v>
      </c>
      <c r="D12" s="377" t="s">
        <v>584</v>
      </c>
      <c r="E12" s="392"/>
      <c r="F12" s="392">
        <v>790</v>
      </c>
      <c r="G12" s="393">
        <v>749</v>
      </c>
      <c r="H12" s="396">
        <f t="shared" ref="H12:H23" si="0">G12/F12*100</f>
        <v>94.810126582278471</v>
      </c>
    </row>
    <row r="13" spans="1:8" ht="15" x14ac:dyDescent="0.2">
      <c r="A13" s="342">
        <v>3636</v>
      </c>
      <c r="B13" s="340">
        <v>5021</v>
      </c>
      <c r="C13" s="381">
        <v>6500801</v>
      </c>
      <c r="D13" s="377" t="s">
        <v>217</v>
      </c>
      <c r="E13" s="392"/>
      <c r="F13" s="392">
        <v>400</v>
      </c>
      <c r="G13" s="393">
        <v>367</v>
      </c>
      <c r="H13" s="396">
        <f t="shared" si="0"/>
        <v>91.75</v>
      </c>
    </row>
    <row r="14" spans="1:8" ht="30" x14ac:dyDescent="0.2">
      <c r="A14" s="342">
        <v>3636</v>
      </c>
      <c r="B14" s="340">
        <v>5031</v>
      </c>
      <c r="C14" s="381">
        <v>6500801</v>
      </c>
      <c r="D14" s="377" t="s">
        <v>552</v>
      </c>
      <c r="E14" s="392"/>
      <c r="F14" s="392">
        <v>113</v>
      </c>
      <c r="G14" s="393">
        <v>43</v>
      </c>
      <c r="H14" s="396">
        <f t="shared" si="0"/>
        <v>38.053097345132741</v>
      </c>
    </row>
    <row r="15" spans="1:8" ht="30" x14ac:dyDescent="0.2">
      <c r="A15" s="342">
        <v>3636</v>
      </c>
      <c r="B15" s="340">
        <v>5032</v>
      </c>
      <c r="C15" s="381">
        <v>6500801</v>
      </c>
      <c r="D15" s="377" t="s">
        <v>553</v>
      </c>
      <c r="E15" s="392"/>
      <c r="F15" s="392">
        <v>44</v>
      </c>
      <c r="G15" s="393">
        <v>15</v>
      </c>
      <c r="H15" s="396">
        <f t="shared" si="0"/>
        <v>34.090909090909086</v>
      </c>
    </row>
    <row r="16" spans="1:8" ht="30" x14ac:dyDescent="0.2">
      <c r="A16" s="342">
        <v>3636</v>
      </c>
      <c r="B16" s="340">
        <v>5039</v>
      </c>
      <c r="C16" s="381">
        <v>6500801</v>
      </c>
      <c r="D16" s="377" t="s">
        <v>548</v>
      </c>
      <c r="E16" s="392"/>
      <c r="F16" s="392">
        <v>238</v>
      </c>
      <c r="G16" s="393">
        <v>0</v>
      </c>
      <c r="H16" s="396">
        <f t="shared" si="0"/>
        <v>0</v>
      </c>
    </row>
    <row r="17" spans="1:8" ht="15" x14ac:dyDescent="0.2">
      <c r="A17" s="342">
        <v>3636</v>
      </c>
      <c r="B17" s="340">
        <v>5139</v>
      </c>
      <c r="C17" s="381">
        <v>6500800</v>
      </c>
      <c r="D17" s="377" t="s">
        <v>396</v>
      </c>
      <c r="E17" s="392"/>
      <c r="F17" s="392">
        <v>30</v>
      </c>
      <c r="G17" s="393">
        <v>19</v>
      </c>
      <c r="H17" s="396">
        <f t="shared" si="0"/>
        <v>63.333333333333329</v>
      </c>
    </row>
    <row r="18" spans="1:8" ht="15" x14ac:dyDescent="0.2">
      <c r="A18" s="342">
        <v>3636</v>
      </c>
      <c r="B18" s="340">
        <v>5163</v>
      </c>
      <c r="C18" s="381">
        <v>6500800</v>
      </c>
      <c r="D18" s="377" t="s">
        <v>452</v>
      </c>
      <c r="E18" s="392"/>
      <c r="F18" s="392">
        <v>1</v>
      </c>
      <c r="G18" s="393">
        <v>1</v>
      </c>
      <c r="H18" s="396">
        <f t="shared" si="0"/>
        <v>100</v>
      </c>
    </row>
    <row r="19" spans="1:8" ht="15" x14ac:dyDescent="0.2">
      <c r="A19" s="342">
        <v>3636</v>
      </c>
      <c r="B19" s="340">
        <v>5164</v>
      </c>
      <c r="C19" s="381">
        <v>6500801</v>
      </c>
      <c r="D19" s="377" t="s">
        <v>101</v>
      </c>
      <c r="E19" s="392"/>
      <c r="F19" s="392">
        <v>25</v>
      </c>
      <c r="G19" s="393">
        <v>24</v>
      </c>
      <c r="H19" s="396">
        <f t="shared" si="0"/>
        <v>96</v>
      </c>
    </row>
    <row r="20" spans="1:8" ht="15" x14ac:dyDescent="0.2">
      <c r="A20" s="342">
        <v>3636</v>
      </c>
      <c r="B20" s="340">
        <v>5169</v>
      </c>
      <c r="C20" s="381">
        <v>6500801</v>
      </c>
      <c r="D20" s="377" t="s">
        <v>430</v>
      </c>
      <c r="E20" s="392"/>
      <c r="F20" s="392">
        <v>1403</v>
      </c>
      <c r="G20" s="393">
        <v>1170</v>
      </c>
      <c r="H20" s="396">
        <f t="shared" si="0"/>
        <v>83.392729864575912</v>
      </c>
    </row>
    <row r="21" spans="1:8" ht="15" x14ac:dyDescent="0.2">
      <c r="A21" s="342">
        <v>3636</v>
      </c>
      <c r="B21" s="340">
        <v>5169</v>
      </c>
      <c r="C21" s="381">
        <v>6500802</v>
      </c>
      <c r="D21" s="377" t="s">
        <v>430</v>
      </c>
      <c r="E21" s="392"/>
      <c r="F21" s="392">
        <v>453</v>
      </c>
      <c r="G21" s="393">
        <v>453</v>
      </c>
      <c r="H21" s="396">
        <f t="shared" si="0"/>
        <v>100</v>
      </c>
    </row>
    <row r="22" spans="1:8" ht="15" x14ac:dyDescent="0.2">
      <c r="A22" s="342">
        <v>3636</v>
      </c>
      <c r="B22" s="340">
        <v>5173</v>
      </c>
      <c r="C22" s="381">
        <v>6500800</v>
      </c>
      <c r="D22" s="377" t="s">
        <v>541</v>
      </c>
      <c r="E22" s="392"/>
      <c r="F22" s="392">
        <v>3</v>
      </c>
      <c r="G22" s="393">
        <v>0</v>
      </c>
      <c r="H22" s="396">
        <f t="shared" si="0"/>
        <v>0</v>
      </c>
    </row>
    <row r="23" spans="1:8" ht="15" x14ac:dyDescent="0.2">
      <c r="A23" s="342">
        <v>3636</v>
      </c>
      <c r="B23" s="340">
        <v>5175</v>
      </c>
      <c r="C23" s="381">
        <v>6500800</v>
      </c>
      <c r="D23" s="377" t="s">
        <v>352</v>
      </c>
      <c r="E23" s="392"/>
      <c r="F23" s="392">
        <v>30</v>
      </c>
      <c r="G23" s="393">
        <v>22</v>
      </c>
      <c r="H23" s="396">
        <f t="shared" si="0"/>
        <v>73.333333333333329</v>
      </c>
    </row>
    <row r="24" spans="1:8" s="343" customFormat="1" ht="15.75" thickBot="1" x14ac:dyDescent="0.25">
      <c r="A24" s="342">
        <v>6330</v>
      </c>
      <c r="B24" s="340">
        <v>5345</v>
      </c>
      <c r="C24" s="340"/>
      <c r="D24" s="377" t="s">
        <v>397</v>
      </c>
      <c r="E24" s="392"/>
      <c r="F24" s="392"/>
      <c r="G24" s="393">
        <v>3602</v>
      </c>
      <c r="H24" s="397"/>
    </row>
    <row r="25" spans="1:8" s="69" customFormat="1" ht="16.5" thickTop="1" thickBot="1" x14ac:dyDescent="0.3">
      <c r="A25" s="3324" t="s">
        <v>394</v>
      </c>
      <c r="B25" s="3325"/>
      <c r="C25" s="3325"/>
      <c r="D25" s="3325"/>
      <c r="E25" s="331">
        <f>SUM(E11:E24)</f>
        <v>0</v>
      </c>
      <c r="F25" s="331">
        <f>SUM(F11:F24)</f>
        <v>3720</v>
      </c>
      <c r="G25" s="382">
        <f>SUM(G11:G24)</f>
        <v>6629</v>
      </c>
      <c r="H25" s="349">
        <f>G25/F25*100</f>
        <v>178.19892473118279</v>
      </c>
    </row>
    <row r="26" spans="1:8" s="335" customFormat="1" ht="15.75" thickTop="1" x14ac:dyDescent="0.25">
      <c r="A26" s="332" t="s">
        <v>395</v>
      </c>
      <c r="B26" s="333"/>
      <c r="C26" s="333"/>
      <c r="D26" s="334"/>
      <c r="E26" s="375"/>
      <c r="F26" s="375"/>
      <c r="G26" s="375">
        <f>SUM(G24)</f>
        <v>3602</v>
      </c>
      <c r="H26" s="365"/>
    </row>
    <row r="27" spans="1:8" s="335" customFormat="1" ht="15.75" thickBot="1" x14ac:dyDescent="0.3">
      <c r="A27" s="336" t="s">
        <v>399</v>
      </c>
      <c r="B27" s="337"/>
      <c r="C27" s="337"/>
      <c r="D27" s="338"/>
      <c r="E27" s="376">
        <f>E25-E26</f>
        <v>0</v>
      </c>
      <c r="F27" s="376">
        <f>F25-F26</f>
        <v>3720</v>
      </c>
      <c r="G27" s="376">
        <f>G25-G26</f>
        <v>3027</v>
      </c>
      <c r="H27" s="366">
        <f>G27/F27*100</f>
        <v>81.370967741935488</v>
      </c>
    </row>
    <row r="28" spans="1:8" s="335" customFormat="1" ht="15.75" thickTop="1" x14ac:dyDescent="0.25">
      <c r="A28" s="333"/>
      <c r="B28" s="333"/>
      <c r="C28" s="333"/>
      <c r="D28" s="333"/>
      <c r="E28" s="346"/>
      <c r="F28" s="346"/>
      <c r="G28" s="346"/>
      <c r="H28" s="341"/>
    </row>
    <row r="29" spans="1:8" s="387" customFormat="1" ht="16.5" x14ac:dyDescent="0.25">
      <c r="A29" s="383" t="s">
        <v>251</v>
      </c>
      <c r="B29" s="384"/>
      <c r="C29" s="385"/>
      <c r="D29" s="386"/>
      <c r="E29" s="99">
        <f>SUM(E30:E32)</f>
        <v>0</v>
      </c>
      <c r="F29" s="99">
        <f>F30+F31+F32+F33</f>
        <v>3720</v>
      </c>
      <c r="G29" s="99">
        <f>G30+G31+G32+G33</f>
        <v>6629</v>
      </c>
      <c r="H29" s="415">
        <f>G29/F29*100</f>
        <v>178.19892473118279</v>
      </c>
    </row>
    <row r="30" spans="1:8" s="66" customFormat="1" ht="15" x14ac:dyDescent="0.2">
      <c r="A30" s="255" t="s">
        <v>147</v>
      </c>
      <c r="B30" s="101"/>
      <c r="C30" s="167"/>
      <c r="D30" s="103"/>
      <c r="E30" s="257">
        <f>SUM(E11:E23)</f>
        <v>0</v>
      </c>
      <c r="F30" s="257">
        <f>SUM(F11:F23)</f>
        <v>3720</v>
      </c>
      <c r="G30" s="257">
        <f>SUM(G11:G23)</f>
        <v>3027</v>
      </c>
      <c r="H30" s="416">
        <f>G30/F30*100</f>
        <v>81.370967741935488</v>
      </c>
    </row>
    <row r="31" spans="1:8" s="66" customFormat="1" ht="15" x14ac:dyDescent="0.2">
      <c r="A31" s="255" t="s">
        <v>148</v>
      </c>
      <c r="B31" s="100"/>
      <c r="C31" s="167"/>
      <c r="D31" s="105"/>
      <c r="E31" s="257">
        <v>0</v>
      </c>
      <c r="F31" s="257">
        <v>0</v>
      </c>
      <c r="G31" s="257">
        <v>0</v>
      </c>
      <c r="H31" s="297">
        <v>0</v>
      </c>
    </row>
    <row r="32" spans="1:8" s="66" customFormat="1" ht="15" x14ac:dyDescent="0.2">
      <c r="A32" s="255" t="s">
        <v>252</v>
      </c>
      <c r="B32" s="100"/>
      <c r="C32" s="167"/>
      <c r="D32" s="105"/>
      <c r="E32" s="257">
        <f>SUM(E24)</f>
        <v>0</v>
      </c>
      <c r="F32" s="257">
        <f>SUM(F24)</f>
        <v>0</v>
      </c>
      <c r="G32" s="257">
        <f>SUM(G24)</f>
        <v>3602</v>
      </c>
      <c r="H32" s="297">
        <v>0</v>
      </c>
    </row>
    <row r="33" spans="1:8" s="66" customFormat="1" ht="15" x14ac:dyDescent="0.2">
      <c r="A33" s="255"/>
      <c r="B33" s="100"/>
      <c r="C33" s="167"/>
      <c r="D33" s="105"/>
      <c r="E33" s="257"/>
      <c r="F33" s="257"/>
      <c r="G33" s="257"/>
      <c r="H33" s="298"/>
    </row>
    <row r="34" spans="1:8" s="58" customFormat="1" ht="52.5" customHeight="1" thickBot="1" x14ac:dyDescent="0.4">
      <c r="A34" s="3213" t="s">
        <v>576</v>
      </c>
      <c r="B34" s="3323"/>
      <c r="C34" s="3323"/>
      <c r="D34" s="3323"/>
      <c r="E34" s="44">
        <f>SUM(E29)</f>
        <v>0</v>
      </c>
      <c r="F34" s="44">
        <f>SUM(F29)</f>
        <v>3720</v>
      </c>
      <c r="G34" s="44">
        <f>SUM(G29)</f>
        <v>6629</v>
      </c>
      <c r="H34" s="361">
        <f>(G34/F34)*100</f>
        <v>178.19892473118279</v>
      </c>
    </row>
    <row r="35" spans="1:8" ht="13.5" thickTop="1" x14ac:dyDescent="0.2"/>
  </sheetData>
  <mergeCells count="2">
    <mergeCell ref="A34:D34"/>
    <mergeCell ref="A25:D25"/>
  </mergeCells>
  <phoneticPr fontId="35" type="noConversion"/>
  <pageMargins left="0.78740157480314965" right="0.78740157480314965" top="0.98425196850393704" bottom="0.98425196850393704" header="0.51181102362204722" footer="0.51181102362204722"/>
  <pageSetup paperSize="9" scale="70" firstPageNumber="136" orientation="portrait" useFirstPageNumber="1" r:id="rId1"/>
  <headerFooter alignWithMargins="0">
    <oddFooter xml:space="preserve">&amp;L&amp;"Arial,Kurzíva"Zastupitelstvo Olomouckého kraje 21.4.2008
5. - Rozpočet Olomouckého kraje 2007- závěrečný účet
Příloha č. 3:Plnění rozpočtu výdajů Olomouckého kraje k 31.12.2007
&amp;R&amp;"Arial,Kurzíva"Strana &amp;P (celkem 414)
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indexed="33"/>
  </sheetPr>
  <dimension ref="A1:N66"/>
  <sheetViews>
    <sheetView showGridLines="0" topLeftCell="B52" zoomScaleNormal="100" workbookViewId="0">
      <selection activeCell="D63" sqref="D62:D64"/>
    </sheetView>
  </sheetViews>
  <sheetFormatPr defaultRowHeight="12.75" x14ac:dyDescent="0.2"/>
  <cols>
    <col min="1" max="2" width="4.7109375" customWidth="1"/>
    <col min="3" max="3" width="6.7109375" customWidth="1"/>
    <col min="4" max="4" width="47.28515625" customWidth="1"/>
    <col min="5" max="7" width="13.5703125" style="12" customWidth="1"/>
    <col min="8" max="8" width="6.7109375" style="113" customWidth="1"/>
  </cols>
  <sheetData>
    <row r="1" spans="1:8" s="74" customFormat="1" ht="18.75" thickBot="1" x14ac:dyDescent="0.3">
      <c r="A1" s="77" t="s">
        <v>208</v>
      </c>
      <c r="B1" s="77"/>
      <c r="C1" s="77"/>
      <c r="D1" s="77"/>
      <c r="E1" s="79"/>
      <c r="F1" s="79" t="s">
        <v>372</v>
      </c>
      <c r="G1" s="80"/>
      <c r="H1" s="212"/>
    </row>
    <row r="3" spans="1:8" ht="14.25" x14ac:dyDescent="0.2">
      <c r="A3" s="65" t="s">
        <v>201</v>
      </c>
      <c r="B3" s="65"/>
      <c r="C3" s="65" t="s">
        <v>202</v>
      </c>
      <c r="D3" s="65"/>
    </row>
    <row r="4" spans="1:8" ht="14.25" x14ac:dyDescent="0.2">
      <c r="A4" s="65"/>
      <c r="B4" s="65"/>
      <c r="C4" s="65" t="s">
        <v>187</v>
      </c>
      <c r="D4" s="65"/>
    </row>
    <row r="6" spans="1:8" ht="15.75" x14ac:dyDescent="0.25">
      <c r="A6" s="73" t="s">
        <v>450</v>
      </c>
    </row>
    <row r="7" spans="1:8" ht="13.5" thickBot="1" x14ac:dyDescent="0.25">
      <c r="H7" s="113" t="s">
        <v>92</v>
      </c>
    </row>
    <row r="8" spans="1:8" s="24" customFormat="1" ht="20.25" customHeight="1" thickTop="1" thickBot="1" x14ac:dyDescent="0.25">
      <c r="A8" s="21" t="s">
        <v>93</v>
      </c>
      <c r="B8" s="22" t="s">
        <v>94</v>
      </c>
      <c r="C8" s="46" t="s">
        <v>364</v>
      </c>
      <c r="D8" s="46" t="s">
        <v>95</v>
      </c>
      <c r="E8" s="46" t="s">
        <v>96</v>
      </c>
      <c r="F8" s="46" t="s">
        <v>447</v>
      </c>
      <c r="G8" s="46" t="s">
        <v>448</v>
      </c>
      <c r="H8" s="200" t="s">
        <v>449</v>
      </c>
    </row>
    <row r="9" spans="1:8" s="106" customFormat="1" ht="15.75" customHeight="1" thickTop="1" x14ac:dyDescent="0.25">
      <c r="A9" s="230">
        <v>6113</v>
      </c>
      <c r="B9" s="215">
        <v>5169</v>
      </c>
      <c r="C9" s="231"/>
      <c r="D9" s="217" t="s">
        <v>430</v>
      </c>
      <c r="E9" s="223">
        <v>36</v>
      </c>
      <c r="F9" s="145">
        <f>E9+F11</f>
        <v>40</v>
      </c>
      <c r="G9" s="145">
        <v>24</v>
      </c>
      <c r="H9" s="235">
        <f>(G9/F9)*100</f>
        <v>60</v>
      </c>
    </row>
    <row r="10" spans="1:8" s="106" customFormat="1" ht="15.75" customHeight="1" x14ac:dyDescent="0.25">
      <c r="A10" s="219"/>
      <c r="B10" s="95"/>
      <c r="C10" s="171"/>
      <c r="D10" s="220" t="s">
        <v>218</v>
      </c>
      <c r="E10" s="146"/>
      <c r="F10" s="60"/>
      <c r="G10" s="60"/>
      <c r="H10" s="208"/>
    </row>
    <row r="11" spans="1:8" s="106" customFormat="1" ht="15.75" customHeight="1" x14ac:dyDescent="0.25">
      <c r="A11" s="233"/>
      <c r="B11" s="94"/>
      <c r="C11" s="172"/>
      <c r="D11" s="168" t="s">
        <v>154</v>
      </c>
      <c r="E11" s="214"/>
      <c r="F11" s="96">
        <v>4</v>
      </c>
      <c r="G11" s="125"/>
      <c r="H11" s="243"/>
    </row>
    <row r="12" spans="1:8" s="106" customFormat="1" ht="15.75" customHeight="1" x14ac:dyDescent="0.25">
      <c r="A12" s="219">
        <v>6113</v>
      </c>
      <c r="B12" s="95">
        <v>5499</v>
      </c>
      <c r="C12" s="171"/>
      <c r="D12" s="68" t="s">
        <v>207</v>
      </c>
      <c r="E12" s="146">
        <v>29</v>
      </c>
      <c r="F12" s="60">
        <f>E12+F14</f>
        <v>25</v>
      </c>
      <c r="G12" s="60">
        <v>7</v>
      </c>
      <c r="H12" s="208">
        <f>(G12/F12)*100</f>
        <v>28.000000000000004</v>
      </c>
    </row>
    <row r="13" spans="1:8" s="106" customFormat="1" ht="15.75" customHeight="1" x14ac:dyDescent="0.25">
      <c r="A13" s="219"/>
      <c r="B13" s="95"/>
      <c r="C13" s="171"/>
      <c r="D13" s="90" t="s">
        <v>454</v>
      </c>
      <c r="E13" s="146"/>
      <c r="F13" s="60"/>
      <c r="G13" s="60"/>
      <c r="H13" s="208"/>
    </row>
    <row r="14" spans="1:8" s="106" customFormat="1" ht="15.75" customHeight="1" x14ac:dyDescent="0.25">
      <c r="A14" s="233"/>
      <c r="B14" s="94"/>
      <c r="C14" s="172"/>
      <c r="D14" s="168" t="s">
        <v>403</v>
      </c>
      <c r="E14" s="214"/>
      <c r="F14" s="96">
        <v>-4</v>
      </c>
      <c r="G14" s="125"/>
      <c r="H14" s="243"/>
    </row>
    <row r="15" spans="1:8" s="106" customFormat="1" ht="15.75" customHeight="1" x14ac:dyDescent="0.25">
      <c r="A15" s="246">
        <v>6113</v>
      </c>
      <c r="B15" s="216">
        <v>5901</v>
      </c>
      <c r="C15" s="247"/>
      <c r="D15" s="108" t="s">
        <v>311</v>
      </c>
      <c r="E15" s="183">
        <v>90</v>
      </c>
      <c r="F15" s="182">
        <v>90</v>
      </c>
      <c r="G15" s="182">
        <v>0</v>
      </c>
      <c r="H15" s="252">
        <v>0</v>
      </c>
    </row>
    <row r="16" spans="1:8" s="106" customFormat="1" ht="15.75" customHeight="1" x14ac:dyDescent="0.25">
      <c r="A16" s="219">
        <v>6172</v>
      </c>
      <c r="B16" s="95">
        <v>5137</v>
      </c>
      <c r="C16" s="171"/>
      <c r="D16" s="68" t="s">
        <v>404</v>
      </c>
      <c r="E16" s="146"/>
      <c r="F16" s="60">
        <v>10</v>
      </c>
      <c r="G16" s="60">
        <v>6</v>
      </c>
      <c r="H16" s="208">
        <f>(G16/F16)*100</f>
        <v>60</v>
      </c>
    </row>
    <row r="17" spans="1:8" s="107" customFormat="1" ht="15.75" customHeight="1" x14ac:dyDescent="0.25">
      <c r="A17" s="219"/>
      <c r="B17" s="95"/>
      <c r="C17" s="171"/>
      <c r="D17" s="220" t="s">
        <v>218</v>
      </c>
      <c r="E17" s="146"/>
      <c r="F17" s="60"/>
      <c r="G17" s="60"/>
      <c r="H17" s="208"/>
    </row>
    <row r="18" spans="1:8" s="107" customFormat="1" ht="15.75" customHeight="1" x14ac:dyDescent="0.25">
      <c r="A18" s="233"/>
      <c r="B18" s="94"/>
      <c r="C18" s="172"/>
      <c r="D18" s="168" t="s">
        <v>405</v>
      </c>
      <c r="E18" s="214"/>
      <c r="F18" s="96">
        <v>10</v>
      </c>
      <c r="G18" s="125"/>
      <c r="H18" s="243"/>
    </row>
    <row r="19" spans="1:8" s="106" customFormat="1" ht="15.75" customHeight="1" x14ac:dyDescent="0.25">
      <c r="A19" s="219">
        <v>6172</v>
      </c>
      <c r="B19" s="95">
        <v>5139</v>
      </c>
      <c r="C19" s="171"/>
      <c r="D19" s="68" t="s">
        <v>325</v>
      </c>
      <c r="E19" s="146"/>
      <c r="F19" s="60">
        <v>1</v>
      </c>
      <c r="G19" s="60">
        <v>0</v>
      </c>
      <c r="H19" s="208">
        <v>0</v>
      </c>
    </row>
    <row r="20" spans="1:8" s="106" customFormat="1" ht="15.75" customHeight="1" x14ac:dyDescent="0.25">
      <c r="A20" s="219"/>
      <c r="B20" s="95"/>
      <c r="C20" s="171"/>
      <c r="D20" s="220" t="s">
        <v>218</v>
      </c>
      <c r="E20" s="146"/>
      <c r="F20" s="123"/>
      <c r="G20" s="60"/>
      <c r="H20" s="208"/>
    </row>
    <row r="21" spans="1:8" s="106" customFormat="1" ht="15.75" customHeight="1" x14ac:dyDescent="0.25">
      <c r="A21" s="233"/>
      <c r="B21" s="94"/>
      <c r="C21" s="172"/>
      <c r="D21" s="168" t="s">
        <v>463</v>
      </c>
      <c r="E21" s="214"/>
      <c r="F21" s="96">
        <v>1</v>
      </c>
      <c r="G21" s="125"/>
      <c r="H21" s="243"/>
    </row>
    <row r="22" spans="1:8" s="106" customFormat="1" ht="15.75" customHeight="1" x14ac:dyDescent="0.25">
      <c r="A22" s="246">
        <v>6172</v>
      </c>
      <c r="B22" s="216">
        <v>5163</v>
      </c>
      <c r="C22" s="247"/>
      <c r="D22" s="108" t="s">
        <v>452</v>
      </c>
      <c r="E22" s="183">
        <v>30</v>
      </c>
      <c r="F22" s="182">
        <v>30</v>
      </c>
      <c r="G22" s="182">
        <v>17</v>
      </c>
      <c r="H22" s="252">
        <f>(G22/F22)*100</f>
        <v>56.666666666666664</v>
      </c>
    </row>
    <row r="23" spans="1:8" s="106" customFormat="1" ht="15.75" customHeight="1" x14ac:dyDescent="0.25">
      <c r="A23" s="219">
        <v>6172</v>
      </c>
      <c r="B23" s="95">
        <v>5164</v>
      </c>
      <c r="C23" s="171"/>
      <c r="D23" s="68" t="s">
        <v>101</v>
      </c>
      <c r="E23" s="146">
        <v>50</v>
      </c>
      <c r="F23" s="60">
        <f>E23+F25</f>
        <v>75</v>
      </c>
      <c r="G23" s="60">
        <v>70</v>
      </c>
      <c r="H23" s="208">
        <f>(G23/F23)*100</f>
        <v>93.333333333333329</v>
      </c>
    </row>
    <row r="24" spans="1:8" s="106" customFormat="1" ht="15.75" customHeight="1" x14ac:dyDescent="0.25">
      <c r="A24" s="219"/>
      <c r="B24" s="95"/>
      <c r="C24" s="171"/>
      <c r="D24" s="220" t="s">
        <v>218</v>
      </c>
      <c r="E24" s="146"/>
      <c r="F24" s="60"/>
      <c r="G24" s="60"/>
      <c r="H24" s="208"/>
    </row>
    <row r="25" spans="1:8" s="106" customFormat="1" ht="15.75" customHeight="1" x14ac:dyDescent="0.25">
      <c r="A25" s="233"/>
      <c r="B25" s="94"/>
      <c r="C25" s="172"/>
      <c r="D25" s="168" t="s">
        <v>463</v>
      </c>
      <c r="E25" s="214"/>
      <c r="F25" s="96">
        <v>25</v>
      </c>
      <c r="G25" s="125"/>
      <c r="H25" s="243"/>
    </row>
    <row r="26" spans="1:8" s="106" customFormat="1" ht="15.75" customHeight="1" x14ac:dyDescent="0.25">
      <c r="A26" s="219">
        <v>6172</v>
      </c>
      <c r="B26" s="95">
        <v>5169</v>
      </c>
      <c r="C26" s="171"/>
      <c r="D26" s="68" t="s">
        <v>430</v>
      </c>
      <c r="E26" s="146">
        <v>2706</v>
      </c>
      <c r="F26" s="60">
        <f>E26+F28+F29+F32</f>
        <v>2967</v>
      </c>
      <c r="G26" s="60">
        <v>2738</v>
      </c>
      <c r="H26" s="208">
        <f>(G26/F26)*100</f>
        <v>92.281766093697343</v>
      </c>
    </row>
    <row r="27" spans="1:8" s="106" customFormat="1" ht="15.75" customHeight="1" x14ac:dyDescent="0.25">
      <c r="A27" s="219"/>
      <c r="B27" s="95"/>
      <c r="C27" s="171"/>
      <c r="D27" s="220" t="s">
        <v>218</v>
      </c>
      <c r="E27" s="146"/>
      <c r="F27" s="60"/>
      <c r="G27" s="60"/>
      <c r="H27" s="208"/>
    </row>
    <row r="28" spans="1:8" s="106" customFormat="1" ht="15.75" customHeight="1" x14ac:dyDescent="0.25">
      <c r="A28" s="219"/>
      <c r="B28" s="95"/>
      <c r="C28" s="171"/>
      <c r="D28" s="221" t="s">
        <v>464</v>
      </c>
      <c r="E28" s="146"/>
      <c r="F28" s="123">
        <v>523</v>
      </c>
      <c r="G28" s="60"/>
      <c r="H28" s="208"/>
    </row>
    <row r="29" spans="1:8" s="106" customFormat="1" ht="15.75" customHeight="1" x14ac:dyDescent="0.25">
      <c r="A29" s="219"/>
      <c r="B29" s="95"/>
      <c r="C29" s="171"/>
      <c r="D29" s="3326" t="s">
        <v>353</v>
      </c>
      <c r="E29" s="146"/>
      <c r="F29" s="123">
        <v>38</v>
      </c>
      <c r="G29" s="60"/>
      <c r="H29" s="208"/>
    </row>
    <row r="30" spans="1:8" s="106" customFormat="1" ht="15.75" customHeight="1" x14ac:dyDescent="0.25">
      <c r="A30" s="219"/>
      <c r="B30" s="95"/>
      <c r="C30" s="171"/>
      <c r="D30" s="3326"/>
      <c r="E30" s="146"/>
      <c r="F30" s="123"/>
      <c r="G30" s="60"/>
      <c r="H30" s="208"/>
    </row>
    <row r="31" spans="1:8" s="106" customFormat="1" ht="15.75" customHeight="1" x14ac:dyDescent="0.25">
      <c r="A31" s="219"/>
      <c r="B31" s="95"/>
      <c r="C31" s="171"/>
      <c r="D31" s="90" t="s">
        <v>454</v>
      </c>
      <c r="E31" s="146"/>
      <c r="F31" s="123"/>
      <c r="G31" s="60"/>
      <c r="H31" s="208"/>
    </row>
    <row r="32" spans="1:8" s="106" customFormat="1" ht="15.75" customHeight="1" x14ac:dyDescent="0.25">
      <c r="A32" s="233"/>
      <c r="B32" s="94"/>
      <c r="C32" s="172"/>
      <c r="D32" s="244" t="s">
        <v>142</v>
      </c>
      <c r="E32" s="214"/>
      <c r="F32" s="96">
        <v>-300</v>
      </c>
      <c r="G32" s="125"/>
      <c r="H32" s="243"/>
    </row>
    <row r="33" spans="1:8" s="106" customFormat="1" ht="15.75" customHeight="1" x14ac:dyDescent="0.25">
      <c r="A33" s="219">
        <v>6172</v>
      </c>
      <c r="B33" s="95">
        <v>5175</v>
      </c>
      <c r="C33" s="171"/>
      <c r="D33" s="251" t="s">
        <v>352</v>
      </c>
      <c r="E33" s="146"/>
      <c r="F33" s="60">
        <v>150</v>
      </c>
      <c r="G33" s="60">
        <v>136</v>
      </c>
      <c r="H33" s="208">
        <f>(G33/F33)*100</f>
        <v>90.666666666666657</v>
      </c>
    </row>
    <row r="34" spans="1:8" s="106" customFormat="1" ht="15.75" customHeight="1" x14ac:dyDescent="0.25">
      <c r="A34" s="219"/>
      <c r="B34" s="95"/>
      <c r="C34" s="171"/>
      <c r="D34" s="220" t="s">
        <v>218</v>
      </c>
      <c r="E34" s="146"/>
      <c r="F34" s="123"/>
      <c r="G34" s="60"/>
      <c r="H34" s="208"/>
    </row>
    <row r="35" spans="1:8" s="106" customFormat="1" ht="15.75" customHeight="1" x14ac:dyDescent="0.25">
      <c r="A35" s="233"/>
      <c r="B35" s="94"/>
      <c r="C35" s="172"/>
      <c r="D35" s="168" t="s">
        <v>405</v>
      </c>
      <c r="E35" s="214"/>
      <c r="F35" s="96">
        <v>150</v>
      </c>
      <c r="G35" s="125"/>
      <c r="H35" s="243"/>
    </row>
    <row r="36" spans="1:8" s="106" customFormat="1" ht="15.75" customHeight="1" x14ac:dyDescent="0.25">
      <c r="A36" s="219">
        <v>6172</v>
      </c>
      <c r="B36" s="95">
        <v>5194</v>
      </c>
      <c r="C36" s="171"/>
      <c r="D36" s="68" t="s">
        <v>309</v>
      </c>
      <c r="E36" s="146">
        <v>100</v>
      </c>
      <c r="F36" s="60">
        <f>E36+F38</f>
        <v>50</v>
      </c>
      <c r="G36" s="60">
        <v>49</v>
      </c>
      <c r="H36" s="208">
        <f>(G36/F36)*100</f>
        <v>98</v>
      </c>
    </row>
    <row r="37" spans="1:8" s="106" customFormat="1" ht="15.75" customHeight="1" x14ac:dyDescent="0.25">
      <c r="A37" s="219"/>
      <c r="B37" s="95"/>
      <c r="C37" s="171"/>
      <c r="D37" s="90" t="s">
        <v>454</v>
      </c>
      <c r="E37" s="146"/>
      <c r="F37" s="60"/>
      <c r="G37" s="60"/>
      <c r="H37" s="208"/>
    </row>
    <row r="38" spans="1:8" s="106" customFormat="1" ht="15.75" customHeight="1" x14ac:dyDescent="0.25">
      <c r="A38" s="233"/>
      <c r="B38" s="94"/>
      <c r="C38" s="172"/>
      <c r="D38" s="168" t="s">
        <v>464</v>
      </c>
      <c r="E38" s="214"/>
      <c r="F38" s="96">
        <v>-50</v>
      </c>
      <c r="G38" s="125"/>
      <c r="H38" s="243"/>
    </row>
    <row r="39" spans="1:8" s="106" customFormat="1" ht="15.75" customHeight="1" x14ac:dyDescent="0.25">
      <c r="A39" s="219">
        <v>6172</v>
      </c>
      <c r="B39" s="95">
        <v>5499</v>
      </c>
      <c r="C39" s="171"/>
      <c r="D39" s="68" t="s">
        <v>207</v>
      </c>
      <c r="E39" s="146">
        <v>1400</v>
      </c>
      <c r="F39" s="60">
        <f>E39+F41+F44+F42</f>
        <v>1798</v>
      </c>
      <c r="G39" s="60">
        <v>1803</v>
      </c>
      <c r="H39" s="208">
        <f>(G39/F39)*100</f>
        <v>100.27808676307008</v>
      </c>
    </row>
    <row r="40" spans="1:8" s="106" customFormat="1" ht="15.75" customHeight="1" x14ac:dyDescent="0.25">
      <c r="A40" s="219"/>
      <c r="B40" s="95"/>
      <c r="C40" s="171"/>
      <c r="D40" s="220" t="s">
        <v>218</v>
      </c>
      <c r="E40" s="146"/>
      <c r="F40" s="60"/>
      <c r="G40" s="60"/>
      <c r="H40" s="208"/>
    </row>
    <row r="41" spans="1:8" s="106" customFormat="1" ht="15.75" customHeight="1" x14ac:dyDescent="0.25">
      <c r="A41" s="219"/>
      <c r="B41" s="95"/>
      <c r="C41" s="171"/>
      <c r="D41" s="221" t="s">
        <v>464</v>
      </c>
      <c r="E41" s="146"/>
      <c r="F41" s="123">
        <v>214</v>
      </c>
      <c r="G41" s="60"/>
      <c r="H41" s="208"/>
    </row>
    <row r="42" spans="1:8" s="106" customFormat="1" ht="15.75" customHeight="1" x14ac:dyDescent="0.25">
      <c r="A42" s="219"/>
      <c r="B42" s="95"/>
      <c r="C42" s="171"/>
      <c r="D42" s="221" t="s">
        <v>143</v>
      </c>
      <c r="E42" s="146"/>
      <c r="F42" s="123">
        <v>300</v>
      </c>
      <c r="G42" s="60"/>
      <c r="H42" s="208"/>
    </row>
    <row r="43" spans="1:8" s="106" customFormat="1" ht="15.75" customHeight="1" x14ac:dyDescent="0.25">
      <c r="A43" s="219"/>
      <c r="B43" s="95"/>
      <c r="C43" s="171"/>
      <c r="D43" s="90" t="s">
        <v>454</v>
      </c>
      <c r="E43" s="146"/>
      <c r="F43" s="123"/>
      <c r="G43" s="60"/>
      <c r="H43" s="208"/>
    </row>
    <row r="44" spans="1:8" s="106" customFormat="1" ht="15.75" customHeight="1" thickBot="1" x14ac:dyDescent="0.3">
      <c r="A44" s="258"/>
      <c r="B44" s="245"/>
      <c r="C44" s="259"/>
      <c r="D44" s="222" t="s">
        <v>144</v>
      </c>
      <c r="E44" s="260"/>
      <c r="F44" s="180">
        <v>-116</v>
      </c>
      <c r="G44" s="261"/>
      <c r="H44" s="262"/>
    </row>
    <row r="45" spans="1:8" s="106" customFormat="1" ht="15.75" customHeight="1" thickTop="1" x14ac:dyDescent="0.25">
      <c r="A45" s="263"/>
      <c r="B45" s="263"/>
      <c r="C45" s="171"/>
      <c r="D45" s="163"/>
      <c r="E45" s="146"/>
      <c r="F45" s="122"/>
      <c r="G45" s="146"/>
      <c r="H45" s="264"/>
    </row>
    <row r="46" spans="1:8" s="106" customFormat="1" ht="15.75" customHeight="1" x14ac:dyDescent="0.25">
      <c r="A46" s="263"/>
      <c r="B46" s="263"/>
      <c r="C46" s="171"/>
      <c r="D46" s="163"/>
      <c r="E46" s="146"/>
      <c r="F46" s="122"/>
      <c r="G46" s="146"/>
      <c r="H46" s="264"/>
    </row>
    <row r="47" spans="1:8" s="106" customFormat="1" ht="15.75" customHeight="1" x14ac:dyDescent="0.25">
      <c r="A47" s="263"/>
      <c r="B47" s="263"/>
      <c r="C47" s="171"/>
      <c r="D47" s="163"/>
      <c r="E47" s="146"/>
      <c r="F47" s="122"/>
      <c r="G47" s="146"/>
      <c r="H47" s="264"/>
    </row>
    <row r="48" spans="1:8" s="106" customFormat="1" ht="15.75" customHeight="1" x14ac:dyDescent="0.25">
      <c r="A48" s="263"/>
      <c r="B48" s="263"/>
      <c r="C48" s="171"/>
      <c r="D48" s="163"/>
      <c r="E48" s="146"/>
      <c r="F48" s="122"/>
      <c r="G48" s="146"/>
      <c r="H48" s="264"/>
    </row>
    <row r="49" spans="1:8" s="106" customFormat="1" ht="15.75" customHeight="1" x14ac:dyDescent="0.25">
      <c r="A49" s="263"/>
      <c r="B49" s="263"/>
      <c r="C49" s="171"/>
      <c r="D49" s="163"/>
      <c r="E49" s="146"/>
      <c r="F49" s="122"/>
      <c r="G49" s="146"/>
      <c r="H49" s="264"/>
    </row>
    <row r="50" spans="1:8" s="106" customFormat="1" ht="15.75" customHeight="1" x14ac:dyDescent="0.25">
      <c r="A50" s="263"/>
      <c r="B50" s="263"/>
      <c r="C50" s="171"/>
      <c r="D50" s="163"/>
      <c r="E50" s="146"/>
      <c r="F50" s="122"/>
      <c r="G50" s="146"/>
      <c r="H50" s="264"/>
    </row>
    <row r="51" spans="1:8" s="106" customFormat="1" ht="15.75" customHeight="1" x14ac:dyDescent="0.25">
      <c r="A51" s="263"/>
      <c r="B51" s="263"/>
      <c r="C51" s="171"/>
      <c r="D51" s="163"/>
      <c r="E51" s="146"/>
      <c r="F51" s="122"/>
      <c r="G51" s="146"/>
      <c r="H51" s="264"/>
    </row>
    <row r="52" spans="1:8" s="106" customFormat="1" ht="15.75" customHeight="1" x14ac:dyDescent="0.25">
      <c r="A52" s="263"/>
      <c r="B52" s="263"/>
      <c r="C52" s="171"/>
      <c r="D52" s="163"/>
      <c r="E52" s="146"/>
      <c r="F52" s="122"/>
      <c r="G52" s="146"/>
      <c r="H52" s="264"/>
    </row>
    <row r="53" spans="1:8" s="106" customFormat="1" ht="15.75" customHeight="1" x14ac:dyDescent="0.25">
      <c r="A53" s="263"/>
      <c r="B53" s="263"/>
      <c r="C53" s="171"/>
      <c r="D53" s="163"/>
      <c r="E53" s="146"/>
      <c r="F53" s="122"/>
      <c r="G53" s="146"/>
      <c r="H53" s="264"/>
    </row>
    <row r="54" spans="1:8" s="106" customFormat="1" ht="15.75" customHeight="1" x14ac:dyDescent="0.25">
      <c r="A54" s="263"/>
      <c r="B54" s="263"/>
      <c r="C54" s="171"/>
      <c r="D54" s="163"/>
      <c r="E54" s="146"/>
      <c r="F54" s="122"/>
      <c r="G54" s="146"/>
      <c r="H54" s="264"/>
    </row>
    <row r="55" spans="1:8" ht="13.5" thickBot="1" x14ac:dyDescent="0.25">
      <c r="H55" s="113" t="s">
        <v>92</v>
      </c>
    </row>
    <row r="56" spans="1:8" s="24" customFormat="1" ht="20.25" customHeight="1" thickTop="1" thickBot="1" x14ac:dyDescent="0.25">
      <c r="A56" s="21" t="s">
        <v>93</v>
      </c>
      <c r="B56" s="22" t="s">
        <v>94</v>
      </c>
      <c r="C56" s="46" t="s">
        <v>364</v>
      </c>
      <c r="D56" s="46" t="s">
        <v>95</v>
      </c>
      <c r="E56" s="46" t="s">
        <v>96</v>
      </c>
      <c r="F56" s="46" t="s">
        <v>447</v>
      </c>
      <c r="G56" s="46" t="s">
        <v>448</v>
      </c>
      <c r="H56" s="200" t="s">
        <v>449</v>
      </c>
    </row>
    <row r="57" spans="1:8" s="106" customFormat="1" ht="15.75" customHeight="1" thickTop="1" x14ac:dyDescent="0.25">
      <c r="A57" s="219">
        <v>6172</v>
      </c>
      <c r="B57" s="95">
        <v>5901</v>
      </c>
      <c r="C57" s="171"/>
      <c r="D57" s="68" t="s">
        <v>311</v>
      </c>
      <c r="E57" s="146">
        <v>129</v>
      </c>
      <c r="F57" s="60">
        <f>E57+F59+F60+F63+F61</f>
        <v>125</v>
      </c>
      <c r="G57" s="60">
        <v>0</v>
      </c>
      <c r="H57" s="207">
        <v>0</v>
      </c>
    </row>
    <row r="58" spans="1:8" s="106" customFormat="1" ht="15.75" customHeight="1" x14ac:dyDescent="0.25">
      <c r="A58" s="219"/>
      <c r="B58" s="95"/>
      <c r="C58" s="171"/>
      <c r="D58" s="90" t="s">
        <v>454</v>
      </c>
      <c r="E58" s="146"/>
      <c r="F58" s="60"/>
      <c r="G58" s="60"/>
      <c r="H58" s="253"/>
    </row>
    <row r="59" spans="1:8" s="106" customFormat="1" ht="15.75" customHeight="1" x14ac:dyDescent="0.25">
      <c r="A59" s="219"/>
      <c r="B59" s="95"/>
      <c r="C59" s="171"/>
      <c r="D59" s="221" t="s">
        <v>464</v>
      </c>
      <c r="E59" s="146"/>
      <c r="F59" s="123">
        <v>-5</v>
      </c>
      <c r="G59" s="60"/>
      <c r="H59" s="253"/>
    </row>
    <row r="60" spans="1:8" s="106" customFormat="1" ht="15.75" customHeight="1" x14ac:dyDescent="0.25">
      <c r="A60" s="219"/>
      <c r="B60" s="95"/>
      <c r="C60" s="171"/>
      <c r="D60" s="221" t="s">
        <v>145</v>
      </c>
      <c r="E60" s="146"/>
      <c r="F60" s="123">
        <v>-160</v>
      </c>
      <c r="G60" s="60"/>
      <c r="H60" s="253"/>
    </row>
    <row r="61" spans="1:8" s="106" customFormat="1" ht="15.75" customHeight="1" x14ac:dyDescent="0.25">
      <c r="A61" s="219"/>
      <c r="B61" s="95"/>
      <c r="C61" s="171"/>
      <c r="D61" s="221" t="s">
        <v>118</v>
      </c>
      <c r="E61" s="146"/>
      <c r="F61" s="123">
        <v>-26</v>
      </c>
      <c r="G61" s="60"/>
      <c r="H61" s="253"/>
    </row>
    <row r="62" spans="1:8" s="106" customFormat="1" ht="15.75" customHeight="1" x14ac:dyDescent="0.25">
      <c r="A62" s="219"/>
      <c r="B62" s="95"/>
      <c r="C62" s="171"/>
      <c r="D62" s="220" t="s">
        <v>218</v>
      </c>
      <c r="E62" s="146"/>
      <c r="F62" s="123"/>
      <c r="G62" s="60"/>
      <c r="H62" s="253"/>
    </row>
    <row r="63" spans="1:8" s="106" customFormat="1" ht="15.75" customHeight="1" x14ac:dyDescent="0.25">
      <c r="A63" s="219"/>
      <c r="B63" s="95"/>
      <c r="C63" s="171"/>
      <c r="D63" s="3326" t="s">
        <v>353</v>
      </c>
      <c r="E63" s="146"/>
      <c r="F63" s="123">
        <v>187</v>
      </c>
      <c r="G63" s="60"/>
      <c r="H63" s="253"/>
    </row>
    <row r="64" spans="1:8" s="78" customFormat="1" ht="20.25" customHeight="1" x14ac:dyDescent="0.25">
      <c r="A64" s="233"/>
      <c r="B64" s="94"/>
      <c r="C64" s="172"/>
      <c r="D64" s="3327"/>
      <c r="E64" s="214"/>
      <c r="F64" s="96"/>
      <c r="G64" s="125"/>
      <c r="H64" s="254"/>
    </row>
    <row r="65" spans="1:14" s="45" customFormat="1" ht="47.25" customHeight="1" thickBot="1" x14ac:dyDescent="0.4">
      <c r="A65" s="40" t="s">
        <v>561</v>
      </c>
      <c r="B65" s="41"/>
      <c r="C65" s="42"/>
      <c r="D65" s="43"/>
      <c r="E65" s="44">
        <f>SUM(E9,E12,E15,E22,E23,E26,E36,E39,E57)</f>
        <v>4570</v>
      </c>
      <c r="F65" s="44">
        <f>SUM(F9,F12,F15,F16,F19,F22,F23,,F26,F33,F36,F39,F57)</f>
        <v>5361</v>
      </c>
      <c r="G65" s="44">
        <f>SUM(G9,G12,G15,G16,G19,G22,G23,,G26,G33,G36,G39,G57)</f>
        <v>4850</v>
      </c>
      <c r="H65" s="296">
        <f>(G65/F65)*100</f>
        <v>90.468196232046267</v>
      </c>
      <c r="I65" s="81"/>
      <c r="J65" s="82"/>
      <c r="K65" s="82"/>
      <c r="L65" s="82"/>
      <c r="M65" s="82"/>
      <c r="N65" s="82"/>
    </row>
    <row r="66" spans="1:14" ht="13.5" thickTop="1" x14ac:dyDescent="0.2"/>
  </sheetData>
  <mergeCells count="2">
    <mergeCell ref="D29:D30"/>
    <mergeCell ref="D63:D64"/>
  </mergeCells>
  <phoneticPr fontId="35" type="noConversion"/>
  <pageMargins left="0.59055118110236227" right="0.39370078740157483" top="0.98425196850393704" bottom="0.98425196850393704" header="0.51181102362204722" footer="0.51181102362204722"/>
  <pageSetup paperSize="9" scale="85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indexed="33"/>
  </sheetPr>
  <dimension ref="A1:N40"/>
  <sheetViews>
    <sheetView showGridLines="0" topLeftCell="A34" zoomScaleNormal="100" workbookViewId="0">
      <selection activeCell="G2" sqref="G2"/>
    </sheetView>
  </sheetViews>
  <sheetFormatPr defaultRowHeight="12.75" x14ac:dyDescent="0.2"/>
  <cols>
    <col min="1" max="2" width="4.7109375" customWidth="1"/>
    <col min="3" max="3" width="6.7109375" customWidth="1"/>
    <col min="4" max="4" width="47.28515625" customWidth="1"/>
    <col min="5" max="7" width="13.5703125" style="12" customWidth="1"/>
    <col min="8" max="8" width="6.7109375" style="113" customWidth="1"/>
  </cols>
  <sheetData>
    <row r="1" spans="1:8" s="74" customFormat="1" ht="18" x14ac:dyDescent="0.25">
      <c r="A1" s="265" t="s">
        <v>150</v>
      </c>
      <c r="B1" s="266"/>
      <c r="C1" s="266"/>
      <c r="D1" s="267"/>
      <c r="E1" s="268"/>
      <c r="F1" s="269"/>
      <c r="G1" s="269"/>
      <c r="H1" s="212"/>
    </row>
    <row r="2" spans="1:8" ht="18" x14ac:dyDescent="0.25">
      <c r="A2" s="270" t="s">
        <v>345</v>
      </c>
      <c r="B2" s="271"/>
      <c r="C2" s="271"/>
      <c r="D2" s="272"/>
      <c r="E2" s="273"/>
      <c r="F2" s="273"/>
      <c r="G2" s="295" t="s">
        <v>346</v>
      </c>
    </row>
    <row r="3" spans="1:8" s="92" customFormat="1" ht="18" x14ac:dyDescent="0.25">
      <c r="A3" s="274"/>
      <c r="B3" s="275"/>
      <c r="C3" s="275"/>
      <c r="D3" s="276"/>
      <c r="E3" s="277"/>
      <c r="F3" s="277"/>
      <c r="G3" s="278"/>
      <c r="H3" s="279"/>
    </row>
    <row r="4" spans="1:8" ht="14.25" x14ac:dyDescent="0.2">
      <c r="A4" s="67" t="s">
        <v>201</v>
      </c>
      <c r="B4" s="28"/>
      <c r="C4" s="140" t="s">
        <v>179</v>
      </c>
      <c r="D4" s="14"/>
    </row>
    <row r="5" spans="1:8" ht="18" x14ac:dyDescent="0.25">
      <c r="A5" s="6"/>
      <c r="B5" s="28"/>
      <c r="C5" s="140" t="s">
        <v>322</v>
      </c>
      <c r="D5" s="132"/>
    </row>
    <row r="7" spans="1:8" ht="15.75" x14ac:dyDescent="0.25">
      <c r="A7" s="73" t="s">
        <v>450</v>
      </c>
    </row>
    <row r="8" spans="1:8" ht="13.5" thickBot="1" x14ac:dyDescent="0.25">
      <c r="H8" s="113" t="s">
        <v>92</v>
      </c>
    </row>
    <row r="9" spans="1:8" s="24" customFormat="1" ht="20.25" customHeight="1" thickTop="1" thickBot="1" x14ac:dyDescent="0.25">
      <c r="A9" s="21" t="s">
        <v>93</v>
      </c>
      <c r="B9" s="22" t="s">
        <v>94</v>
      </c>
      <c r="C9" s="46" t="s">
        <v>364</v>
      </c>
      <c r="D9" s="46" t="s">
        <v>95</v>
      </c>
      <c r="E9" s="46" t="s">
        <v>96</v>
      </c>
      <c r="F9" s="46" t="s">
        <v>447</v>
      </c>
      <c r="G9" s="46" t="s">
        <v>448</v>
      </c>
      <c r="H9" s="200" t="s">
        <v>449</v>
      </c>
    </row>
    <row r="10" spans="1:8" s="106" customFormat="1" ht="15.75" customHeight="1" thickTop="1" x14ac:dyDescent="0.25">
      <c r="A10" s="230">
        <v>2310</v>
      </c>
      <c r="B10" s="215">
        <v>6341</v>
      </c>
      <c r="C10" s="224"/>
      <c r="D10" s="217" t="s">
        <v>161</v>
      </c>
      <c r="E10" s="287"/>
      <c r="F10" s="88">
        <v>18393</v>
      </c>
      <c r="G10" s="88">
        <v>18268</v>
      </c>
      <c r="H10" s="280">
        <f>(G10/F10)*100</f>
        <v>99.320393628010663</v>
      </c>
    </row>
    <row r="11" spans="1:8" s="106" customFormat="1" ht="15.75" customHeight="1" x14ac:dyDescent="0.25">
      <c r="A11" s="281"/>
      <c r="B11" s="285"/>
      <c r="C11" s="286"/>
      <c r="D11" s="90" t="s">
        <v>218</v>
      </c>
      <c r="E11" s="288"/>
      <c r="F11" s="248"/>
      <c r="G11" s="55"/>
      <c r="H11" s="282"/>
    </row>
    <row r="12" spans="1:8" s="106" customFormat="1" ht="15.75" customHeight="1" x14ac:dyDescent="0.25">
      <c r="A12" s="290"/>
      <c r="B12" s="291"/>
      <c r="C12" s="225">
        <v>551</v>
      </c>
      <c r="D12" s="117" t="s">
        <v>347</v>
      </c>
      <c r="E12" s="292"/>
      <c r="F12" s="89">
        <v>18393</v>
      </c>
      <c r="G12" s="89"/>
      <c r="H12" s="234"/>
    </row>
    <row r="13" spans="1:8" s="106" customFormat="1" ht="15.75" customHeight="1" x14ac:dyDescent="0.25">
      <c r="A13" s="219">
        <v>2321</v>
      </c>
      <c r="B13" s="95">
        <v>6341</v>
      </c>
      <c r="C13" s="227"/>
      <c r="D13" s="68" t="s">
        <v>161</v>
      </c>
      <c r="E13" s="288"/>
      <c r="F13" s="71">
        <f>F15+F17</f>
        <v>26627</v>
      </c>
      <c r="G13" s="71">
        <v>26627</v>
      </c>
      <c r="H13" s="250">
        <f>(G13/F13)*100</f>
        <v>100</v>
      </c>
    </row>
    <row r="14" spans="1:8" s="106" customFormat="1" ht="15.75" customHeight="1" x14ac:dyDescent="0.25">
      <c r="A14" s="281"/>
      <c r="B14" s="285"/>
      <c r="C14" s="286"/>
      <c r="D14" s="90" t="s">
        <v>218</v>
      </c>
      <c r="E14" s="288"/>
      <c r="F14" s="248"/>
      <c r="G14" s="55"/>
      <c r="H14" s="282"/>
    </row>
    <row r="15" spans="1:8" s="106" customFormat="1" ht="15.75" customHeight="1" x14ac:dyDescent="0.25">
      <c r="A15" s="281"/>
      <c r="B15" s="285"/>
      <c r="C15" s="226">
        <v>551</v>
      </c>
      <c r="D15" s="116" t="s">
        <v>347</v>
      </c>
      <c r="E15" s="288"/>
      <c r="F15" s="55">
        <v>28652</v>
      </c>
      <c r="G15" s="55"/>
      <c r="H15" s="232"/>
    </row>
    <row r="16" spans="1:8" s="106" customFormat="1" ht="15.75" customHeight="1" x14ac:dyDescent="0.25">
      <c r="A16" s="281"/>
      <c r="B16" s="285"/>
      <c r="C16" s="226"/>
      <c r="D16" s="90" t="s">
        <v>454</v>
      </c>
      <c r="E16" s="288"/>
      <c r="F16" s="55"/>
      <c r="G16" s="55"/>
      <c r="H16" s="232"/>
    </row>
    <row r="17" spans="1:8" s="106" customFormat="1" ht="15.75" customHeight="1" x14ac:dyDescent="0.25">
      <c r="A17" s="290"/>
      <c r="B17" s="291"/>
      <c r="C17" s="225">
        <v>551</v>
      </c>
      <c r="D17" s="117" t="s">
        <v>348</v>
      </c>
      <c r="E17" s="292"/>
      <c r="F17" s="89">
        <v>-2025</v>
      </c>
      <c r="G17" s="89"/>
      <c r="H17" s="234"/>
    </row>
    <row r="18" spans="1:8" s="107" customFormat="1" ht="15.75" customHeight="1" x14ac:dyDescent="0.25">
      <c r="A18" s="219">
        <v>2334</v>
      </c>
      <c r="B18" s="95">
        <v>6341</v>
      </c>
      <c r="C18" s="227"/>
      <c r="D18" s="68" t="s">
        <v>161</v>
      </c>
      <c r="E18" s="288"/>
      <c r="F18" s="71">
        <v>1703</v>
      </c>
      <c r="G18" s="71">
        <v>1640</v>
      </c>
      <c r="H18" s="250">
        <f>(G18/F18)*100</f>
        <v>96.300645918966538</v>
      </c>
    </row>
    <row r="19" spans="1:8" s="107" customFormat="1" ht="15.75" customHeight="1" x14ac:dyDescent="0.25">
      <c r="A19" s="281"/>
      <c r="B19" s="285"/>
      <c r="C19" s="286"/>
      <c r="D19" s="90" t="s">
        <v>218</v>
      </c>
      <c r="E19" s="288"/>
      <c r="F19" s="55"/>
      <c r="G19" s="55"/>
      <c r="H19" s="282"/>
    </row>
    <row r="20" spans="1:8" s="106" customFormat="1" ht="15.75" customHeight="1" x14ac:dyDescent="0.25">
      <c r="A20" s="290"/>
      <c r="B20" s="291"/>
      <c r="C20" s="225">
        <v>551</v>
      </c>
      <c r="D20" s="117" t="s">
        <v>347</v>
      </c>
      <c r="E20" s="292"/>
      <c r="F20" s="89">
        <v>1703</v>
      </c>
      <c r="G20" s="89"/>
      <c r="H20" s="234"/>
    </row>
    <row r="21" spans="1:8" s="106" customFormat="1" ht="15.75" customHeight="1" x14ac:dyDescent="0.25">
      <c r="A21" s="219">
        <v>2399</v>
      </c>
      <c r="B21" s="95">
        <v>6341</v>
      </c>
      <c r="C21" s="227"/>
      <c r="D21" s="68" t="s">
        <v>161</v>
      </c>
      <c r="E21" s="146">
        <v>40000</v>
      </c>
      <c r="F21" s="60">
        <f>E21+F23+F24+F29+F25+F26+F32+F27</f>
        <v>27789</v>
      </c>
      <c r="G21" s="60">
        <v>0</v>
      </c>
      <c r="H21" s="293">
        <v>0</v>
      </c>
    </row>
    <row r="22" spans="1:8" s="106" customFormat="1" ht="15.75" customHeight="1" x14ac:dyDescent="0.25">
      <c r="A22" s="219"/>
      <c r="B22" s="95"/>
      <c r="C22" s="227"/>
      <c r="D22" s="90" t="s">
        <v>454</v>
      </c>
      <c r="E22" s="146"/>
      <c r="F22" s="60"/>
      <c r="G22" s="60"/>
      <c r="H22" s="283"/>
    </row>
    <row r="23" spans="1:8" s="106" customFormat="1" ht="15.75" customHeight="1" x14ac:dyDescent="0.25">
      <c r="A23" s="219"/>
      <c r="B23" s="95"/>
      <c r="C23" s="227"/>
      <c r="D23" s="91" t="s">
        <v>626</v>
      </c>
      <c r="E23" s="146"/>
      <c r="F23" s="123">
        <v>-31543</v>
      </c>
      <c r="G23" s="60"/>
      <c r="H23" s="283"/>
    </row>
    <row r="24" spans="1:8" s="106" customFormat="1" ht="15.75" customHeight="1" x14ac:dyDescent="0.25">
      <c r="A24" s="219"/>
      <c r="B24" s="95"/>
      <c r="C24" s="227"/>
      <c r="D24" s="91" t="s">
        <v>627</v>
      </c>
      <c r="E24" s="146"/>
      <c r="F24" s="123">
        <v>-102</v>
      </c>
      <c r="G24" s="60"/>
      <c r="H24" s="283"/>
    </row>
    <row r="25" spans="1:8" s="106" customFormat="1" ht="15.75" customHeight="1" x14ac:dyDescent="0.25">
      <c r="A25" s="219"/>
      <c r="B25" s="95"/>
      <c r="C25" s="227"/>
      <c r="D25" s="91" t="s">
        <v>155</v>
      </c>
      <c r="E25" s="146"/>
      <c r="F25" s="123">
        <v>-282</v>
      </c>
      <c r="G25" s="60"/>
      <c r="H25" s="283"/>
    </row>
    <row r="26" spans="1:8" s="106" customFormat="1" ht="15.75" customHeight="1" x14ac:dyDescent="0.25">
      <c r="A26" s="219"/>
      <c r="B26" s="95"/>
      <c r="C26" s="227"/>
      <c r="D26" s="91" t="s">
        <v>156</v>
      </c>
      <c r="E26" s="146"/>
      <c r="F26" s="123">
        <v>-48748</v>
      </c>
      <c r="G26" s="60"/>
      <c r="H26" s="283"/>
    </row>
    <row r="27" spans="1:8" s="106" customFormat="1" ht="15.75" customHeight="1" x14ac:dyDescent="0.25">
      <c r="A27" s="219"/>
      <c r="B27" s="95"/>
      <c r="C27" s="227"/>
      <c r="D27" s="91" t="s">
        <v>157</v>
      </c>
      <c r="E27" s="146"/>
      <c r="F27" s="123">
        <v>-41</v>
      </c>
      <c r="G27" s="60"/>
      <c r="H27" s="283"/>
    </row>
    <row r="28" spans="1:8" s="106" customFormat="1" ht="15.75" customHeight="1" x14ac:dyDescent="0.25">
      <c r="A28" s="219"/>
      <c r="B28" s="95"/>
      <c r="C28" s="227"/>
      <c r="D28" s="90" t="s">
        <v>218</v>
      </c>
      <c r="E28" s="146"/>
      <c r="F28" s="123"/>
      <c r="G28" s="60"/>
      <c r="H28" s="283"/>
    </row>
    <row r="29" spans="1:8" s="106" customFormat="1" ht="14.25" customHeight="1" x14ac:dyDescent="0.25">
      <c r="A29" s="219"/>
      <c r="B29" s="95"/>
      <c r="C29" s="171"/>
      <c r="D29" s="3330" t="s">
        <v>253</v>
      </c>
      <c r="E29" s="181"/>
      <c r="F29" s="123">
        <v>66480</v>
      </c>
      <c r="G29" s="60"/>
      <c r="H29" s="283"/>
    </row>
    <row r="30" spans="1:8" s="106" customFormat="1" ht="14.25" customHeight="1" x14ac:dyDescent="0.25">
      <c r="A30" s="219"/>
      <c r="B30" s="95"/>
      <c r="C30" s="171"/>
      <c r="D30" s="3330"/>
      <c r="E30" s="181"/>
      <c r="F30" s="123"/>
      <c r="G30" s="60"/>
      <c r="H30" s="283"/>
    </row>
    <row r="31" spans="1:8" s="106" customFormat="1" ht="14.25" customHeight="1" x14ac:dyDescent="0.25">
      <c r="A31" s="219"/>
      <c r="B31" s="95"/>
      <c r="C31" s="171"/>
      <c r="D31" s="3218"/>
      <c r="E31" s="181"/>
      <c r="F31" s="123"/>
      <c r="G31" s="60"/>
      <c r="H31" s="283"/>
    </row>
    <row r="32" spans="1:8" s="106" customFormat="1" ht="15.75" customHeight="1" x14ac:dyDescent="0.25">
      <c r="A32" s="233"/>
      <c r="B32" s="94"/>
      <c r="C32" s="172"/>
      <c r="D32" s="213" t="s">
        <v>254</v>
      </c>
      <c r="E32" s="289"/>
      <c r="F32" s="96">
        <v>2025</v>
      </c>
      <c r="G32" s="125"/>
      <c r="H32" s="284"/>
    </row>
    <row r="33" spans="1:14" s="106" customFormat="1" ht="15.75" customHeight="1" x14ac:dyDescent="0.25">
      <c r="A33" s="219">
        <v>2399</v>
      </c>
      <c r="B33" s="95">
        <v>5909</v>
      </c>
      <c r="C33" s="171"/>
      <c r="D33" s="170" t="s">
        <v>344</v>
      </c>
      <c r="E33" s="146"/>
      <c r="F33" s="60">
        <f>F35+F36+F37+F38</f>
        <v>31968</v>
      </c>
      <c r="G33" s="60">
        <v>31968</v>
      </c>
      <c r="H33" s="199">
        <f>(G33/F33)*100</f>
        <v>100</v>
      </c>
    </row>
    <row r="34" spans="1:14" s="106" customFormat="1" ht="15.75" customHeight="1" x14ac:dyDescent="0.25">
      <c r="A34" s="219"/>
      <c r="B34" s="95"/>
      <c r="C34" s="171"/>
      <c r="D34" s="90" t="s">
        <v>218</v>
      </c>
      <c r="E34" s="146"/>
      <c r="F34" s="60"/>
      <c r="G34" s="60"/>
      <c r="H34" s="283"/>
    </row>
    <row r="35" spans="1:14" s="106" customFormat="1" ht="15.75" customHeight="1" x14ac:dyDescent="0.25">
      <c r="A35" s="219"/>
      <c r="B35" s="95"/>
      <c r="C35" s="171"/>
      <c r="D35" s="91" t="s">
        <v>255</v>
      </c>
      <c r="E35" s="146"/>
      <c r="F35" s="123">
        <v>31543</v>
      </c>
      <c r="G35" s="60"/>
      <c r="H35" s="283"/>
    </row>
    <row r="36" spans="1:14" s="106" customFormat="1" ht="15.75" customHeight="1" x14ac:dyDescent="0.25">
      <c r="A36" s="219"/>
      <c r="B36" s="95"/>
      <c r="C36" s="171"/>
      <c r="D36" s="221" t="s">
        <v>381</v>
      </c>
      <c r="E36" s="146"/>
      <c r="F36" s="123">
        <v>102</v>
      </c>
      <c r="G36" s="60"/>
      <c r="H36" s="283"/>
    </row>
    <row r="37" spans="1:14" s="106" customFormat="1" ht="15.75" customHeight="1" x14ac:dyDescent="0.25">
      <c r="A37" s="219"/>
      <c r="B37" s="95"/>
      <c r="C37" s="171"/>
      <c r="D37" s="221" t="s">
        <v>382</v>
      </c>
      <c r="E37" s="146"/>
      <c r="F37" s="123">
        <v>282</v>
      </c>
      <c r="G37" s="60"/>
      <c r="H37" s="283"/>
    </row>
    <row r="38" spans="1:14" s="106" customFormat="1" ht="15.75" customHeight="1" x14ac:dyDescent="0.25">
      <c r="A38" s="233"/>
      <c r="B38" s="94"/>
      <c r="C38" s="172"/>
      <c r="D38" s="168" t="s">
        <v>191</v>
      </c>
      <c r="E38" s="214"/>
      <c r="F38" s="96">
        <v>41</v>
      </c>
      <c r="G38" s="125"/>
      <c r="H38" s="284"/>
    </row>
    <row r="39" spans="1:14" s="45" customFormat="1" ht="47.25" customHeight="1" thickBot="1" x14ac:dyDescent="0.4">
      <c r="A39" s="3328" t="s">
        <v>192</v>
      </c>
      <c r="B39" s="3329"/>
      <c r="C39" s="3329"/>
      <c r="D39" s="3329"/>
      <c r="E39" s="249">
        <f>SUM(E21)</f>
        <v>40000</v>
      </c>
      <c r="F39" s="249">
        <f>SUM(F10,F13,F18,F21,F33)</f>
        <v>106480</v>
      </c>
      <c r="G39" s="249">
        <f>SUM(G10,G13,G18,G21,G33)</f>
        <v>78503</v>
      </c>
      <c r="H39" s="294">
        <f>(G39/F39)*100</f>
        <v>73.725582268970697</v>
      </c>
      <c r="I39" s="81"/>
      <c r="J39" s="82"/>
      <c r="K39" s="82"/>
      <c r="L39" s="82"/>
      <c r="M39" s="82"/>
      <c r="N39" s="82"/>
    </row>
    <row r="40" spans="1:14" ht="13.5" thickTop="1" x14ac:dyDescent="0.2"/>
  </sheetData>
  <mergeCells count="2">
    <mergeCell ref="A39:D39"/>
    <mergeCell ref="D29:D31"/>
  </mergeCells>
  <phoneticPr fontId="35" type="noConversion"/>
  <pageMargins left="0.59055118110236227" right="0.39370078740157483" top="0.98425196850393704" bottom="0.98425196850393704" header="0.51181102362204722" footer="0.51181102362204722"/>
  <pageSetup paperSize="9" scale="85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FF"/>
  </sheetPr>
  <dimension ref="A1:U17"/>
  <sheetViews>
    <sheetView showGridLines="0" view="pageBreakPreview" zoomScaleNormal="100" zoomScaleSheetLayoutView="100" workbookViewId="0">
      <selection activeCell="G1" sqref="G1:H1"/>
    </sheetView>
  </sheetViews>
  <sheetFormatPr defaultColWidth="9.140625" defaultRowHeight="12.75" x14ac:dyDescent="0.2"/>
  <cols>
    <col min="1" max="1" width="5.7109375" style="1098" customWidth="1"/>
    <col min="2" max="2" width="4.85546875" style="1098" customWidth="1"/>
    <col min="3" max="3" width="6.140625" style="1098" customWidth="1"/>
    <col min="4" max="4" width="46.42578125" style="1098" customWidth="1"/>
    <col min="5" max="6" width="13.85546875" style="1098" customWidth="1"/>
    <col min="7" max="7" width="12.85546875" style="1098" customWidth="1"/>
    <col min="8" max="8" width="8" style="1935" customWidth="1"/>
    <col min="9" max="9" width="9.140625" style="1098"/>
    <col min="10" max="10" width="10.7109375" style="1098" customWidth="1"/>
    <col min="11" max="11" width="11.28515625" style="1098" customWidth="1"/>
    <col min="12" max="12" width="10.140625" style="1098" bestFit="1" customWidth="1"/>
    <col min="13" max="16384" width="9.140625" style="1098"/>
  </cols>
  <sheetData>
    <row r="1" spans="1:21" ht="21.75" customHeight="1" thickBot="1" x14ac:dyDescent="0.3">
      <c r="A1" s="1082" t="s">
        <v>2026</v>
      </c>
      <c r="B1" s="1081"/>
      <c r="C1" s="1081"/>
      <c r="D1" s="1080"/>
      <c r="E1" s="1948"/>
      <c r="F1" s="1078" t="s">
        <v>1923</v>
      </c>
      <c r="G1" s="1099"/>
      <c r="I1" s="1052"/>
    </row>
    <row r="2" spans="1:21" ht="12.75" customHeight="1" x14ac:dyDescent="0.25">
      <c r="A2" s="1075"/>
      <c r="B2" s="1056"/>
      <c r="C2" s="1056"/>
      <c r="D2" s="1074"/>
      <c r="E2" s="1947"/>
      <c r="F2" s="1947"/>
      <c r="G2" s="1668"/>
      <c r="H2" s="1866"/>
      <c r="I2" s="1052"/>
    </row>
    <row r="3" spans="1:21" ht="12.75" customHeight="1" x14ac:dyDescent="0.25">
      <c r="A3" s="1077" t="s">
        <v>201</v>
      </c>
      <c r="B3" s="1056"/>
      <c r="C3" s="1697" t="s">
        <v>944</v>
      </c>
      <c r="D3" s="1076"/>
      <c r="E3" s="1947"/>
      <c r="F3" s="1668"/>
      <c r="G3" s="1052"/>
      <c r="H3" s="1866"/>
    </row>
    <row r="4" spans="1:21" ht="16.5" customHeight="1" x14ac:dyDescent="0.25">
      <c r="A4" s="1075"/>
      <c r="B4" s="1056"/>
      <c r="C4" s="1697" t="s">
        <v>1924</v>
      </c>
      <c r="D4" s="1099"/>
      <c r="E4" s="1947"/>
      <c r="F4" s="1668"/>
      <c r="G4" s="1052"/>
      <c r="H4" s="1866"/>
    </row>
    <row r="5" spans="1:21" ht="12.75" customHeight="1" x14ac:dyDescent="0.25">
      <c r="A5" s="1075"/>
      <c r="B5" s="1056"/>
      <c r="C5" s="1056"/>
      <c r="D5" s="1074"/>
      <c r="E5" s="1947"/>
      <c r="F5" s="1947"/>
      <c r="G5" s="1668"/>
      <c r="H5" s="1866"/>
      <c r="I5" s="1052"/>
    </row>
    <row r="6" spans="1:21" ht="18" x14ac:dyDescent="0.25">
      <c r="A6" s="1057" t="s">
        <v>450</v>
      </c>
      <c r="B6" s="1056"/>
      <c r="C6" s="1056"/>
      <c r="D6" s="1074"/>
      <c r="E6" s="1947"/>
      <c r="F6" s="1947"/>
      <c r="G6" s="1668"/>
      <c r="H6" s="1866"/>
      <c r="I6" s="1052"/>
    </row>
    <row r="7" spans="1:21" ht="13.5" thickBot="1" x14ac:dyDescent="0.25">
      <c r="A7" s="1050"/>
      <c r="B7" s="1050"/>
      <c r="C7" s="1050"/>
      <c r="D7" s="1070"/>
      <c r="E7" s="1099"/>
      <c r="F7" s="1099"/>
      <c r="G7" s="1946"/>
      <c r="H7" s="1958" t="s">
        <v>92</v>
      </c>
    </row>
    <row r="8" spans="1:21" s="1043" customFormat="1" ht="20.25" customHeight="1" thickTop="1" thickBot="1" x14ac:dyDescent="0.25">
      <c r="A8" s="1047" t="s">
        <v>93</v>
      </c>
      <c r="B8" s="1046" t="s">
        <v>94</v>
      </c>
      <c r="C8" s="1957" t="s">
        <v>364</v>
      </c>
      <c r="D8" s="1069" t="s">
        <v>95</v>
      </c>
      <c r="E8" s="1069" t="s">
        <v>328</v>
      </c>
      <c r="F8" s="1069" t="s">
        <v>329</v>
      </c>
      <c r="G8" s="1749" t="s">
        <v>448</v>
      </c>
      <c r="H8" s="1784" t="s">
        <v>449</v>
      </c>
    </row>
    <row r="9" spans="1:21" s="1037" customFormat="1" ht="13.5" thickTop="1" thickBot="1" x14ac:dyDescent="0.25">
      <c r="A9" s="1042">
        <v>1</v>
      </c>
      <c r="B9" s="1041">
        <v>2</v>
      </c>
      <c r="C9" s="1041">
        <v>3</v>
      </c>
      <c r="D9" s="1041">
        <v>4</v>
      </c>
      <c r="E9" s="1041">
        <v>5</v>
      </c>
      <c r="F9" s="1040">
        <v>6</v>
      </c>
      <c r="G9" s="1040">
        <v>7</v>
      </c>
      <c r="H9" s="1039" t="s">
        <v>33</v>
      </c>
      <c r="I9" s="1043"/>
    </row>
    <row r="10" spans="1:21" s="1037" customFormat="1" ht="18.75" thickTop="1" x14ac:dyDescent="0.25">
      <c r="A10" s="3116">
        <v>6172</v>
      </c>
      <c r="B10" s="3117">
        <v>5166</v>
      </c>
      <c r="C10" s="2450"/>
      <c r="D10" s="3088" t="s">
        <v>317</v>
      </c>
      <c r="E10" s="3090">
        <v>15</v>
      </c>
      <c r="F10" s="3091">
        <v>15</v>
      </c>
      <c r="G10" s="3092">
        <v>0</v>
      </c>
      <c r="H10" s="3093">
        <v>0</v>
      </c>
      <c r="I10" s="1043"/>
    </row>
    <row r="11" spans="1:21" s="1816" customFormat="1" ht="18.75" thickBot="1" x14ac:dyDescent="0.3">
      <c r="A11" s="2562">
        <v>6172</v>
      </c>
      <c r="B11" s="2844">
        <v>5192</v>
      </c>
      <c r="C11" s="3084"/>
      <c r="D11" s="3089" t="s">
        <v>826</v>
      </c>
      <c r="E11" s="3085">
        <v>0</v>
      </c>
      <c r="F11" s="3086">
        <v>565</v>
      </c>
      <c r="G11" s="3087">
        <v>204</v>
      </c>
      <c r="H11" s="1384">
        <f>G11/F11*100</f>
        <v>36.10619469026549</v>
      </c>
      <c r="I11" s="1810"/>
      <c r="J11" s="1810"/>
      <c r="K11" s="1810"/>
      <c r="L11" s="1810"/>
      <c r="M11" s="1810"/>
      <c r="N11" s="1810"/>
      <c r="O11" s="1810"/>
      <c r="P11" s="1810"/>
      <c r="Q11" s="1810"/>
      <c r="R11" s="1810"/>
      <c r="S11" s="1810"/>
      <c r="T11" s="1810"/>
      <c r="U11" s="1810"/>
    </row>
    <row r="12" spans="1:21" s="1014" customFormat="1" ht="25.5" customHeight="1" thickTop="1" thickBot="1" x14ac:dyDescent="0.3">
      <c r="A12" s="1020" t="s">
        <v>134</v>
      </c>
      <c r="B12" s="1945"/>
      <c r="C12" s="1018"/>
      <c r="D12" s="1019"/>
      <c r="E12" s="1016">
        <f>SUM(E10:E11)</f>
        <v>15</v>
      </c>
      <c r="F12" s="1016">
        <f t="shared" ref="F12:G12" si="0">SUM(F10:F11)</f>
        <v>580</v>
      </c>
      <c r="G12" s="1016">
        <f t="shared" si="0"/>
        <v>204</v>
      </c>
      <c r="H12" s="3094">
        <f>G12/F12*100</f>
        <v>35.172413793103445</v>
      </c>
    </row>
    <row r="13" spans="1:21" ht="15.75" thickTop="1" x14ac:dyDescent="0.25">
      <c r="A13" s="1829"/>
      <c r="B13" s="1829"/>
      <c r="C13" s="1829"/>
      <c r="D13" s="1944"/>
      <c r="E13" s="1944"/>
      <c r="F13" s="1943"/>
      <c r="G13" s="1942"/>
      <c r="H13" s="1951"/>
    </row>
    <row r="14" spans="1:21" x14ac:dyDescent="0.2">
      <c r="A14" s="1829"/>
    </row>
    <row r="15" spans="1:21" x14ac:dyDescent="0.2">
      <c r="A15" s="1829"/>
    </row>
    <row r="16" spans="1:21" s="1004" customFormat="1" ht="47.25" customHeight="1" thickBot="1" x14ac:dyDescent="0.4">
      <c r="A16" s="1941" t="s">
        <v>1925</v>
      </c>
      <c r="B16" s="1940"/>
      <c r="C16" s="1939"/>
      <c r="D16" s="1938"/>
      <c r="E16" s="1006">
        <f>SUM(E12)</f>
        <v>15</v>
      </c>
      <c r="F16" s="1006">
        <f>SUM(F12)</f>
        <v>580</v>
      </c>
      <c r="G16" s="1006">
        <f>SUM(G12)</f>
        <v>204</v>
      </c>
      <c r="H16" s="1158">
        <f>(G16/F16)*100</f>
        <v>35.172413793103445</v>
      </c>
      <c r="I16" s="1937"/>
      <c r="J16" s="1949">
        <v>15000</v>
      </c>
      <c r="K16" s="1949">
        <v>580347</v>
      </c>
      <c r="L16" s="1949">
        <v>203990</v>
      </c>
    </row>
    <row r="17" ht="13.5" thickTop="1" x14ac:dyDescent="0.2"/>
  </sheetData>
  <pageMargins left="0.98425196850393704" right="0.98425196850393704" top="0.98425196850393704" bottom="0.98425196850393704" header="0.51181102362204722" footer="0.51181102362204722"/>
  <pageSetup paperSize="9" scale="70" firstPageNumber="128" orientation="portrait" useFirstPageNumber="1" r:id="rId1"/>
  <headerFooter alignWithMargins="0">
    <oddFooter>&amp;L&amp;"Arial,Kurzíva"Zastupitelstvo Olomouckého kraje 25. 6. 2018
5. - Rozpočet Olomouckého kraje 2017 - závěrečný  účet 
Příloha č. 3: Plnění rozpočtu výdajů Olomouckého kraje k 31. 12. 2017&amp;R&amp;"Arial,Kurzíva"Strana &amp;P (celkem 478)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FF"/>
  </sheetPr>
  <dimension ref="A1:M55"/>
  <sheetViews>
    <sheetView showGridLines="0" tabSelected="1" view="pageBreakPreview" zoomScaleNormal="100" zoomScaleSheetLayoutView="100" workbookViewId="0">
      <selection activeCell="H4" sqref="H4"/>
    </sheetView>
  </sheetViews>
  <sheetFormatPr defaultRowHeight="12.75" x14ac:dyDescent="0.2"/>
  <cols>
    <col min="1" max="1" width="5.7109375" style="1097" customWidth="1"/>
    <col min="2" max="2" width="6.7109375" style="1097" customWidth="1"/>
    <col min="3" max="3" width="10.28515625" style="1097" customWidth="1"/>
    <col min="4" max="4" width="46.42578125" style="1098" customWidth="1"/>
    <col min="5" max="5" width="15.42578125" style="1099" customWidth="1"/>
    <col min="6" max="6" width="14.85546875" style="1099" customWidth="1"/>
    <col min="7" max="7" width="13.85546875" style="1099" customWidth="1"/>
    <col min="8" max="8" width="8.5703125" style="1100" customWidth="1"/>
    <col min="9" max="9" width="9.140625" style="1098"/>
    <col min="10" max="12" width="16" style="1098" bestFit="1" customWidth="1"/>
    <col min="13" max="256" width="9.140625" style="1098"/>
    <col min="257" max="257" width="5.7109375" style="1098" customWidth="1"/>
    <col min="258" max="258" width="6.7109375" style="1098" customWidth="1"/>
    <col min="259" max="259" width="10.28515625" style="1098" customWidth="1"/>
    <col min="260" max="260" width="46.42578125" style="1098" customWidth="1"/>
    <col min="261" max="261" width="13.85546875" style="1098" customWidth="1"/>
    <col min="262" max="262" width="14.85546875" style="1098" customWidth="1"/>
    <col min="263" max="263" width="13.85546875" style="1098" customWidth="1"/>
    <col min="264" max="264" width="8.5703125" style="1098" customWidth="1"/>
    <col min="265" max="265" width="9.140625" style="1098"/>
    <col min="266" max="268" width="16" style="1098" bestFit="1" customWidth="1"/>
    <col min="269" max="512" width="9.140625" style="1098"/>
    <col min="513" max="513" width="5.7109375" style="1098" customWidth="1"/>
    <col min="514" max="514" width="6.7109375" style="1098" customWidth="1"/>
    <col min="515" max="515" width="10.28515625" style="1098" customWidth="1"/>
    <col min="516" max="516" width="46.42578125" style="1098" customWidth="1"/>
    <col min="517" max="517" width="13.85546875" style="1098" customWidth="1"/>
    <col min="518" max="518" width="14.85546875" style="1098" customWidth="1"/>
    <col min="519" max="519" width="13.85546875" style="1098" customWidth="1"/>
    <col min="520" max="520" width="8.5703125" style="1098" customWidth="1"/>
    <col min="521" max="521" width="9.140625" style="1098"/>
    <col min="522" max="524" width="16" style="1098" bestFit="1" customWidth="1"/>
    <col min="525" max="768" width="9.140625" style="1098"/>
    <col min="769" max="769" width="5.7109375" style="1098" customWidth="1"/>
    <col min="770" max="770" width="6.7109375" style="1098" customWidth="1"/>
    <col min="771" max="771" width="10.28515625" style="1098" customWidth="1"/>
    <col min="772" max="772" width="46.42578125" style="1098" customWidth="1"/>
    <col min="773" max="773" width="13.85546875" style="1098" customWidth="1"/>
    <col min="774" max="774" width="14.85546875" style="1098" customWidth="1"/>
    <col min="775" max="775" width="13.85546875" style="1098" customWidth="1"/>
    <col min="776" max="776" width="8.5703125" style="1098" customWidth="1"/>
    <col min="777" max="777" width="9.140625" style="1098"/>
    <col min="778" max="780" width="16" style="1098" bestFit="1" customWidth="1"/>
    <col min="781" max="1024" width="9.140625" style="1098"/>
    <col min="1025" max="1025" width="5.7109375" style="1098" customWidth="1"/>
    <col min="1026" max="1026" width="6.7109375" style="1098" customWidth="1"/>
    <col min="1027" max="1027" width="10.28515625" style="1098" customWidth="1"/>
    <col min="1028" max="1028" width="46.42578125" style="1098" customWidth="1"/>
    <col min="1029" max="1029" width="13.85546875" style="1098" customWidth="1"/>
    <col min="1030" max="1030" width="14.85546875" style="1098" customWidth="1"/>
    <col min="1031" max="1031" width="13.85546875" style="1098" customWidth="1"/>
    <col min="1032" max="1032" width="8.5703125" style="1098" customWidth="1"/>
    <col min="1033" max="1033" width="9.140625" style="1098"/>
    <col min="1034" max="1036" width="16" style="1098" bestFit="1" customWidth="1"/>
    <col min="1037" max="1280" width="9.140625" style="1098"/>
    <col min="1281" max="1281" width="5.7109375" style="1098" customWidth="1"/>
    <col min="1282" max="1282" width="6.7109375" style="1098" customWidth="1"/>
    <col min="1283" max="1283" width="10.28515625" style="1098" customWidth="1"/>
    <col min="1284" max="1284" width="46.42578125" style="1098" customWidth="1"/>
    <col min="1285" max="1285" width="13.85546875" style="1098" customWidth="1"/>
    <col min="1286" max="1286" width="14.85546875" style="1098" customWidth="1"/>
    <col min="1287" max="1287" width="13.85546875" style="1098" customWidth="1"/>
    <col min="1288" max="1288" width="8.5703125" style="1098" customWidth="1"/>
    <col min="1289" max="1289" width="9.140625" style="1098"/>
    <col min="1290" max="1292" width="16" style="1098" bestFit="1" customWidth="1"/>
    <col min="1293" max="1536" width="9.140625" style="1098"/>
    <col min="1537" max="1537" width="5.7109375" style="1098" customWidth="1"/>
    <col min="1538" max="1538" width="6.7109375" style="1098" customWidth="1"/>
    <col min="1539" max="1539" width="10.28515625" style="1098" customWidth="1"/>
    <col min="1540" max="1540" width="46.42578125" style="1098" customWidth="1"/>
    <col min="1541" max="1541" width="13.85546875" style="1098" customWidth="1"/>
    <col min="1542" max="1542" width="14.85546875" style="1098" customWidth="1"/>
    <col min="1543" max="1543" width="13.85546875" style="1098" customWidth="1"/>
    <col min="1544" max="1544" width="8.5703125" style="1098" customWidth="1"/>
    <col min="1545" max="1545" width="9.140625" style="1098"/>
    <col min="1546" max="1548" width="16" style="1098" bestFit="1" customWidth="1"/>
    <col min="1549" max="1792" width="9.140625" style="1098"/>
    <col min="1793" max="1793" width="5.7109375" style="1098" customWidth="1"/>
    <col min="1794" max="1794" width="6.7109375" style="1098" customWidth="1"/>
    <col min="1795" max="1795" width="10.28515625" style="1098" customWidth="1"/>
    <col min="1796" max="1796" width="46.42578125" style="1098" customWidth="1"/>
    <col min="1797" max="1797" width="13.85546875" style="1098" customWidth="1"/>
    <col min="1798" max="1798" width="14.85546875" style="1098" customWidth="1"/>
    <col min="1799" max="1799" width="13.85546875" style="1098" customWidth="1"/>
    <col min="1800" max="1800" width="8.5703125" style="1098" customWidth="1"/>
    <col min="1801" max="1801" width="9.140625" style="1098"/>
    <col min="1802" max="1804" width="16" style="1098" bestFit="1" customWidth="1"/>
    <col min="1805" max="2048" width="9.140625" style="1098"/>
    <col min="2049" max="2049" width="5.7109375" style="1098" customWidth="1"/>
    <col min="2050" max="2050" width="6.7109375" style="1098" customWidth="1"/>
    <col min="2051" max="2051" width="10.28515625" style="1098" customWidth="1"/>
    <col min="2052" max="2052" width="46.42578125" style="1098" customWidth="1"/>
    <col min="2053" max="2053" width="13.85546875" style="1098" customWidth="1"/>
    <col min="2054" max="2054" width="14.85546875" style="1098" customWidth="1"/>
    <col min="2055" max="2055" width="13.85546875" style="1098" customWidth="1"/>
    <col min="2056" max="2056" width="8.5703125" style="1098" customWidth="1"/>
    <col min="2057" max="2057" width="9.140625" style="1098"/>
    <col min="2058" max="2060" width="16" style="1098" bestFit="1" customWidth="1"/>
    <col min="2061" max="2304" width="9.140625" style="1098"/>
    <col min="2305" max="2305" width="5.7109375" style="1098" customWidth="1"/>
    <col min="2306" max="2306" width="6.7109375" style="1098" customWidth="1"/>
    <col min="2307" max="2307" width="10.28515625" style="1098" customWidth="1"/>
    <col min="2308" max="2308" width="46.42578125" style="1098" customWidth="1"/>
    <col min="2309" max="2309" width="13.85546875" style="1098" customWidth="1"/>
    <col min="2310" max="2310" width="14.85546875" style="1098" customWidth="1"/>
    <col min="2311" max="2311" width="13.85546875" style="1098" customWidth="1"/>
    <col min="2312" max="2312" width="8.5703125" style="1098" customWidth="1"/>
    <col min="2313" max="2313" width="9.140625" style="1098"/>
    <col min="2314" max="2316" width="16" style="1098" bestFit="1" customWidth="1"/>
    <col min="2317" max="2560" width="9.140625" style="1098"/>
    <col min="2561" max="2561" width="5.7109375" style="1098" customWidth="1"/>
    <col min="2562" max="2562" width="6.7109375" style="1098" customWidth="1"/>
    <col min="2563" max="2563" width="10.28515625" style="1098" customWidth="1"/>
    <col min="2564" max="2564" width="46.42578125" style="1098" customWidth="1"/>
    <col min="2565" max="2565" width="13.85546875" style="1098" customWidth="1"/>
    <col min="2566" max="2566" width="14.85546875" style="1098" customWidth="1"/>
    <col min="2567" max="2567" width="13.85546875" style="1098" customWidth="1"/>
    <col min="2568" max="2568" width="8.5703125" style="1098" customWidth="1"/>
    <col min="2569" max="2569" width="9.140625" style="1098"/>
    <col min="2570" max="2572" width="16" style="1098" bestFit="1" customWidth="1"/>
    <col min="2573" max="2816" width="9.140625" style="1098"/>
    <col min="2817" max="2817" width="5.7109375" style="1098" customWidth="1"/>
    <col min="2818" max="2818" width="6.7109375" style="1098" customWidth="1"/>
    <col min="2819" max="2819" width="10.28515625" style="1098" customWidth="1"/>
    <col min="2820" max="2820" width="46.42578125" style="1098" customWidth="1"/>
    <col min="2821" max="2821" width="13.85546875" style="1098" customWidth="1"/>
    <col min="2822" max="2822" width="14.85546875" style="1098" customWidth="1"/>
    <col min="2823" max="2823" width="13.85546875" style="1098" customWidth="1"/>
    <col min="2824" max="2824" width="8.5703125" style="1098" customWidth="1"/>
    <col min="2825" max="2825" width="9.140625" style="1098"/>
    <col min="2826" max="2828" width="16" style="1098" bestFit="1" customWidth="1"/>
    <col min="2829" max="3072" width="9.140625" style="1098"/>
    <col min="3073" max="3073" width="5.7109375" style="1098" customWidth="1"/>
    <col min="3074" max="3074" width="6.7109375" style="1098" customWidth="1"/>
    <col min="3075" max="3075" width="10.28515625" style="1098" customWidth="1"/>
    <col min="3076" max="3076" width="46.42578125" style="1098" customWidth="1"/>
    <col min="3077" max="3077" width="13.85546875" style="1098" customWidth="1"/>
    <col min="3078" max="3078" width="14.85546875" style="1098" customWidth="1"/>
    <col min="3079" max="3079" width="13.85546875" style="1098" customWidth="1"/>
    <col min="3080" max="3080" width="8.5703125" style="1098" customWidth="1"/>
    <col min="3081" max="3081" width="9.140625" style="1098"/>
    <col min="3082" max="3084" width="16" style="1098" bestFit="1" customWidth="1"/>
    <col min="3085" max="3328" width="9.140625" style="1098"/>
    <col min="3329" max="3329" width="5.7109375" style="1098" customWidth="1"/>
    <col min="3330" max="3330" width="6.7109375" style="1098" customWidth="1"/>
    <col min="3331" max="3331" width="10.28515625" style="1098" customWidth="1"/>
    <col min="3332" max="3332" width="46.42578125" style="1098" customWidth="1"/>
    <col min="3333" max="3333" width="13.85546875" style="1098" customWidth="1"/>
    <col min="3334" max="3334" width="14.85546875" style="1098" customWidth="1"/>
    <col min="3335" max="3335" width="13.85546875" style="1098" customWidth="1"/>
    <col min="3336" max="3336" width="8.5703125" style="1098" customWidth="1"/>
    <col min="3337" max="3337" width="9.140625" style="1098"/>
    <col min="3338" max="3340" width="16" style="1098" bestFit="1" customWidth="1"/>
    <col min="3341" max="3584" width="9.140625" style="1098"/>
    <col min="3585" max="3585" width="5.7109375" style="1098" customWidth="1"/>
    <col min="3586" max="3586" width="6.7109375" style="1098" customWidth="1"/>
    <col min="3587" max="3587" width="10.28515625" style="1098" customWidth="1"/>
    <col min="3588" max="3588" width="46.42578125" style="1098" customWidth="1"/>
    <col min="3589" max="3589" width="13.85546875" style="1098" customWidth="1"/>
    <col min="3590" max="3590" width="14.85546875" style="1098" customWidth="1"/>
    <col min="3591" max="3591" width="13.85546875" style="1098" customWidth="1"/>
    <col min="3592" max="3592" width="8.5703125" style="1098" customWidth="1"/>
    <col min="3593" max="3593" width="9.140625" style="1098"/>
    <col min="3594" max="3596" width="16" style="1098" bestFit="1" customWidth="1"/>
    <col min="3597" max="3840" width="9.140625" style="1098"/>
    <col min="3841" max="3841" width="5.7109375" style="1098" customWidth="1"/>
    <col min="3842" max="3842" width="6.7109375" style="1098" customWidth="1"/>
    <col min="3843" max="3843" width="10.28515625" style="1098" customWidth="1"/>
    <col min="3844" max="3844" width="46.42578125" style="1098" customWidth="1"/>
    <col min="3845" max="3845" width="13.85546875" style="1098" customWidth="1"/>
    <col min="3846" max="3846" width="14.85546875" style="1098" customWidth="1"/>
    <col min="3847" max="3847" width="13.85546875" style="1098" customWidth="1"/>
    <col min="3848" max="3848" width="8.5703125" style="1098" customWidth="1"/>
    <col min="3849" max="3849" width="9.140625" style="1098"/>
    <col min="3850" max="3852" width="16" style="1098" bestFit="1" customWidth="1"/>
    <col min="3853" max="4096" width="9.140625" style="1098"/>
    <col min="4097" max="4097" width="5.7109375" style="1098" customWidth="1"/>
    <col min="4098" max="4098" width="6.7109375" style="1098" customWidth="1"/>
    <col min="4099" max="4099" width="10.28515625" style="1098" customWidth="1"/>
    <col min="4100" max="4100" width="46.42578125" style="1098" customWidth="1"/>
    <col min="4101" max="4101" width="13.85546875" style="1098" customWidth="1"/>
    <col min="4102" max="4102" width="14.85546875" style="1098" customWidth="1"/>
    <col min="4103" max="4103" width="13.85546875" style="1098" customWidth="1"/>
    <col min="4104" max="4104" width="8.5703125" style="1098" customWidth="1"/>
    <col min="4105" max="4105" width="9.140625" style="1098"/>
    <col min="4106" max="4108" width="16" style="1098" bestFit="1" customWidth="1"/>
    <col min="4109" max="4352" width="9.140625" style="1098"/>
    <col min="4353" max="4353" width="5.7109375" style="1098" customWidth="1"/>
    <col min="4354" max="4354" width="6.7109375" style="1098" customWidth="1"/>
    <col min="4355" max="4355" width="10.28515625" style="1098" customWidth="1"/>
    <col min="4356" max="4356" width="46.42578125" style="1098" customWidth="1"/>
    <col min="4357" max="4357" width="13.85546875" style="1098" customWidth="1"/>
    <col min="4358" max="4358" width="14.85546875" style="1098" customWidth="1"/>
    <col min="4359" max="4359" width="13.85546875" style="1098" customWidth="1"/>
    <col min="4360" max="4360" width="8.5703125" style="1098" customWidth="1"/>
    <col min="4361" max="4361" width="9.140625" style="1098"/>
    <col min="4362" max="4364" width="16" style="1098" bestFit="1" customWidth="1"/>
    <col min="4365" max="4608" width="9.140625" style="1098"/>
    <col min="4609" max="4609" width="5.7109375" style="1098" customWidth="1"/>
    <col min="4610" max="4610" width="6.7109375" style="1098" customWidth="1"/>
    <col min="4611" max="4611" width="10.28515625" style="1098" customWidth="1"/>
    <col min="4612" max="4612" width="46.42578125" style="1098" customWidth="1"/>
    <col min="4613" max="4613" width="13.85546875" style="1098" customWidth="1"/>
    <col min="4614" max="4614" width="14.85546875" style="1098" customWidth="1"/>
    <col min="4615" max="4615" width="13.85546875" style="1098" customWidth="1"/>
    <col min="4616" max="4616" width="8.5703125" style="1098" customWidth="1"/>
    <col min="4617" max="4617" width="9.140625" style="1098"/>
    <col min="4618" max="4620" width="16" style="1098" bestFit="1" customWidth="1"/>
    <col min="4621" max="4864" width="9.140625" style="1098"/>
    <col min="4865" max="4865" width="5.7109375" style="1098" customWidth="1"/>
    <col min="4866" max="4866" width="6.7109375" style="1098" customWidth="1"/>
    <col min="4867" max="4867" width="10.28515625" style="1098" customWidth="1"/>
    <col min="4868" max="4868" width="46.42578125" style="1098" customWidth="1"/>
    <col min="4869" max="4869" width="13.85546875" style="1098" customWidth="1"/>
    <col min="4870" max="4870" width="14.85546875" style="1098" customWidth="1"/>
    <col min="4871" max="4871" width="13.85546875" style="1098" customWidth="1"/>
    <col min="4872" max="4872" width="8.5703125" style="1098" customWidth="1"/>
    <col min="4873" max="4873" width="9.140625" style="1098"/>
    <col min="4874" max="4876" width="16" style="1098" bestFit="1" customWidth="1"/>
    <col min="4877" max="5120" width="9.140625" style="1098"/>
    <col min="5121" max="5121" width="5.7109375" style="1098" customWidth="1"/>
    <col min="5122" max="5122" width="6.7109375" style="1098" customWidth="1"/>
    <col min="5123" max="5123" width="10.28515625" style="1098" customWidth="1"/>
    <col min="5124" max="5124" width="46.42578125" style="1098" customWidth="1"/>
    <col min="5125" max="5125" width="13.85546875" style="1098" customWidth="1"/>
    <col min="5126" max="5126" width="14.85546875" style="1098" customWidth="1"/>
    <col min="5127" max="5127" width="13.85546875" style="1098" customWidth="1"/>
    <col min="5128" max="5128" width="8.5703125" style="1098" customWidth="1"/>
    <col min="5129" max="5129" width="9.140625" style="1098"/>
    <col min="5130" max="5132" width="16" style="1098" bestFit="1" customWidth="1"/>
    <col min="5133" max="5376" width="9.140625" style="1098"/>
    <col min="5377" max="5377" width="5.7109375" style="1098" customWidth="1"/>
    <col min="5378" max="5378" width="6.7109375" style="1098" customWidth="1"/>
    <col min="5379" max="5379" width="10.28515625" style="1098" customWidth="1"/>
    <col min="5380" max="5380" width="46.42578125" style="1098" customWidth="1"/>
    <col min="5381" max="5381" width="13.85546875" style="1098" customWidth="1"/>
    <col min="5382" max="5382" width="14.85546875" style="1098" customWidth="1"/>
    <col min="5383" max="5383" width="13.85546875" style="1098" customWidth="1"/>
    <col min="5384" max="5384" width="8.5703125" style="1098" customWidth="1"/>
    <col min="5385" max="5385" width="9.140625" style="1098"/>
    <col min="5386" max="5388" width="16" style="1098" bestFit="1" customWidth="1"/>
    <col min="5389" max="5632" width="9.140625" style="1098"/>
    <col min="5633" max="5633" width="5.7109375" style="1098" customWidth="1"/>
    <col min="5634" max="5634" width="6.7109375" style="1098" customWidth="1"/>
    <col min="5635" max="5635" width="10.28515625" style="1098" customWidth="1"/>
    <col min="5636" max="5636" width="46.42578125" style="1098" customWidth="1"/>
    <col min="5637" max="5637" width="13.85546875" style="1098" customWidth="1"/>
    <col min="5638" max="5638" width="14.85546875" style="1098" customWidth="1"/>
    <col min="5639" max="5639" width="13.85546875" style="1098" customWidth="1"/>
    <col min="5640" max="5640" width="8.5703125" style="1098" customWidth="1"/>
    <col min="5641" max="5641" width="9.140625" style="1098"/>
    <col min="5642" max="5644" width="16" style="1098" bestFit="1" customWidth="1"/>
    <col min="5645" max="5888" width="9.140625" style="1098"/>
    <col min="5889" max="5889" width="5.7109375" style="1098" customWidth="1"/>
    <col min="5890" max="5890" width="6.7109375" style="1098" customWidth="1"/>
    <col min="5891" max="5891" width="10.28515625" style="1098" customWidth="1"/>
    <col min="5892" max="5892" width="46.42578125" style="1098" customWidth="1"/>
    <col min="5893" max="5893" width="13.85546875" style="1098" customWidth="1"/>
    <col min="5894" max="5894" width="14.85546875" style="1098" customWidth="1"/>
    <col min="5895" max="5895" width="13.85546875" style="1098" customWidth="1"/>
    <col min="5896" max="5896" width="8.5703125" style="1098" customWidth="1"/>
    <col min="5897" max="5897" width="9.140625" style="1098"/>
    <col min="5898" max="5900" width="16" style="1098" bestFit="1" customWidth="1"/>
    <col min="5901" max="6144" width="9.140625" style="1098"/>
    <col min="6145" max="6145" width="5.7109375" style="1098" customWidth="1"/>
    <col min="6146" max="6146" width="6.7109375" style="1098" customWidth="1"/>
    <col min="6147" max="6147" width="10.28515625" style="1098" customWidth="1"/>
    <col min="6148" max="6148" width="46.42578125" style="1098" customWidth="1"/>
    <col min="6149" max="6149" width="13.85546875" style="1098" customWidth="1"/>
    <col min="6150" max="6150" width="14.85546875" style="1098" customWidth="1"/>
    <col min="6151" max="6151" width="13.85546875" style="1098" customWidth="1"/>
    <col min="6152" max="6152" width="8.5703125" style="1098" customWidth="1"/>
    <col min="6153" max="6153" width="9.140625" style="1098"/>
    <col min="6154" max="6156" width="16" style="1098" bestFit="1" customWidth="1"/>
    <col min="6157" max="6400" width="9.140625" style="1098"/>
    <col min="6401" max="6401" width="5.7109375" style="1098" customWidth="1"/>
    <col min="6402" max="6402" width="6.7109375" style="1098" customWidth="1"/>
    <col min="6403" max="6403" width="10.28515625" style="1098" customWidth="1"/>
    <col min="6404" max="6404" width="46.42578125" style="1098" customWidth="1"/>
    <col min="6405" max="6405" width="13.85546875" style="1098" customWidth="1"/>
    <col min="6406" max="6406" width="14.85546875" style="1098" customWidth="1"/>
    <col min="6407" max="6407" width="13.85546875" style="1098" customWidth="1"/>
    <col min="6408" max="6408" width="8.5703125" style="1098" customWidth="1"/>
    <col min="6409" max="6409" width="9.140625" style="1098"/>
    <col min="6410" max="6412" width="16" style="1098" bestFit="1" customWidth="1"/>
    <col min="6413" max="6656" width="9.140625" style="1098"/>
    <col min="6657" max="6657" width="5.7109375" style="1098" customWidth="1"/>
    <col min="6658" max="6658" width="6.7109375" style="1098" customWidth="1"/>
    <col min="6659" max="6659" width="10.28515625" style="1098" customWidth="1"/>
    <col min="6660" max="6660" width="46.42578125" style="1098" customWidth="1"/>
    <col min="6661" max="6661" width="13.85546875" style="1098" customWidth="1"/>
    <col min="6662" max="6662" width="14.85546875" style="1098" customWidth="1"/>
    <col min="6663" max="6663" width="13.85546875" style="1098" customWidth="1"/>
    <col min="6664" max="6664" width="8.5703125" style="1098" customWidth="1"/>
    <col min="6665" max="6665" width="9.140625" style="1098"/>
    <col min="6666" max="6668" width="16" style="1098" bestFit="1" customWidth="1"/>
    <col min="6669" max="6912" width="9.140625" style="1098"/>
    <col min="6913" max="6913" width="5.7109375" style="1098" customWidth="1"/>
    <col min="6914" max="6914" width="6.7109375" style="1098" customWidth="1"/>
    <col min="6915" max="6915" width="10.28515625" style="1098" customWidth="1"/>
    <col min="6916" max="6916" width="46.42578125" style="1098" customWidth="1"/>
    <col min="6917" max="6917" width="13.85546875" style="1098" customWidth="1"/>
    <col min="6918" max="6918" width="14.85546875" style="1098" customWidth="1"/>
    <col min="6919" max="6919" width="13.85546875" style="1098" customWidth="1"/>
    <col min="6920" max="6920" width="8.5703125" style="1098" customWidth="1"/>
    <col min="6921" max="6921" width="9.140625" style="1098"/>
    <col min="6922" max="6924" width="16" style="1098" bestFit="1" customWidth="1"/>
    <col min="6925" max="7168" width="9.140625" style="1098"/>
    <col min="7169" max="7169" width="5.7109375" style="1098" customWidth="1"/>
    <col min="7170" max="7170" width="6.7109375" style="1098" customWidth="1"/>
    <col min="7171" max="7171" width="10.28515625" style="1098" customWidth="1"/>
    <col min="7172" max="7172" width="46.42578125" style="1098" customWidth="1"/>
    <col min="7173" max="7173" width="13.85546875" style="1098" customWidth="1"/>
    <col min="7174" max="7174" width="14.85546875" style="1098" customWidth="1"/>
    <col min="7175" max="7175" width="13.85546875" style="1098" customWidth="1"/>
    <col min="7176" max="7176" width="8.5703125" style="1098" customWidth="1"/>
    <col min="7177" max="7177" width="9.140625" style="1098"/>
    <col min="7178" max="7180" width="16" style="1098" bestFit="1" customWidth="1"/>
    <col min="7181" max="7424" width="9.140625" style="1098"/>
    <col min="7425" max="7425" width="5.7109375" style="1098" customWidth="1"/>
    <col min="7426" max="7426" width="6.7109375" style="1098" customWidth="1"/>
    <col min="7427" max="7427" width="10.28515625" style="1098" customWidth="1"/>
    <col min="7428" max="7428" width="46.42578125" style="1098" customWidth="1"/>
    <col min="7429" max="7429" width="13.85546875" style="1098" customWidth="1"/>
    <col min="7430" max="7430" width="14.85546875" style="1098" customWidth="1"/>
    <col min="7431" max="7431" width="13.85546875" style="1098" customWidth="1"/>
    <col min="7432" max="7432" width="8.5703125" style="1098" customWidth="1"/>
    <col min="7433" max="7433" width="9.140625" style="1098"/>
    <col min="7434" max="7436" width="16" style="1098" bestFit="1" customWidth="1"/>
    <col min="7437" max="7680" width="9.140625" style="1098"/>
    <col min="7681" max="7681" width="5.7109375" style="1098" customWidth="1"/>
    <col min="7682" max="7682" width="6.7109375" style="1098" customWidth="1"/>
    <col min="7683" max="7683" width="10.28515625" style="1098" customWidth="1"/>
    <col min="7684" max="7684" width="46.42578125" style="1098" customWidth="1"/>
    <col min="7685" max="7685" width="13.85546875" style="1098" customWidth="1"/>
    <col min="7686" max="7686" width="14.85546875" style="1098" customWidth="1"/>
    <col min="7687" max="7687" width="13.85546875" style="1098" customWidth="1"/>
    <col min="7688" max="7688" width="8.5703125" style="1098" customWidth="1"/>
    <col min="7689" max="7689" width="9.140625" style="1098"/>
    <col min="7690" max="7692" width="16" style="1098" bestFit="1" customWidth="1"/>
    <col min="7693" max="7936" width="9.140625" style="1098"/>
    <col min="7937" max="7937" width="5.7109375" style="1098" customWidth="1"/>
    <col min="7938" max="7938" width="6.7109375" style="1098" customWidth="1"/>
    <col min="7939" max="7939" width="10.28515625" style="1098" customWidth="1"/>
    <col min="7940" max="7940" width="46.42578125" style="1098" customWidth="1"/>
    <col min="7941" max="7941" width="13.85546875" style="1098" customWidth="1"/>
    <col min="7942" max="7942" width="14.85546875" style="1098" customWidth="1"/>
    <col min="7943" max="7943" width="13.85546875" style="1098" customWidth="1"/>
    <col min="7944" max="7944" width="8.5703125" style="1098" customWidth="1"/>
    <col min="7945" max="7945" width="9.140625" style="1098"/>
    <col min="7946" max="7948" width="16" style="1098" bestFit="1" customWidth="1"/>
    <col min="7949" max="8192" width="9.140625" style="1098"/>
    <col min="8193" max="8193" width="5.7109375" style="1098" customWidth="1"/>
    <col min="8194" max="8194" width="6.7109375" style="1098" customWidth="1"/>
    <col min="8195" max="8195" width="10.28515625" style="1098" customWidth="1"/>
    <col min="8196" max="8196" width="46.42578125" style="1098" customWidth="1"/>
    <col min="8197" max="8197" width="13.85546875" style="1098" customWidth="1"/>
    <col min="8198" max="8198" width="14.85546875" style="1098" customWidth="1"/>
    <col min="8199" max="8199" width="13.85546875" style="1098" customWidth="1"/>
    <col min="8200" max="8200" width="8.5703125" style="1098" customWidth="1"/>
    <col min="8201" max="8201" width="9.140625" style="1098"/>
    <col min="8202" max="8204" width="16" style="1098" bestFit="1" customWidth="1"/>
    <col min="8205" max="8448" width="9.140625" style="1098"/>
    <col min="8449" max="8449" width="5.7109375" style="1098" customWidth="1"/>
    <col min="8450" max="8450" width="6.7109375" style="1098" customWidth="1"/>
    <col min="8451" max="8451" width="10.28515625" style="1098" customWidth="1"/>
    <col min="8452" max="8452" width="46.42578125" style="1098" customWidth="1"/>
    <col min="8453" max="8453" width="13.85546875" style="1098" customWidth="1"/>
    <col min="8454" max="8454" width="14.85546875" style="1098" customWidth="1"/>
    <col min="8455" max="8455" width="13.85546875" style="1098" customWidth="1"/>
    <col min="8456" max="8456" width="8.5703125" style="1098" customWidth="1"/>
    <col min="8457" max="8457" width="9.140625" style="1098"/>
    <col min="8458" max="8460" width="16" style="1098" bestFit="1" customWidth="1"/>
    <col min="8461" max="8704" width="9.140625" style="1098"/>
    <col min="8705" max="8705" width="5.7109375" style="1098" customWidth="1"/>
    <col min="8706" max="8706" width="6.7109375" style="1098" customWidth="1"/>
    <col min="8707" max="8707" width="10.28515625" style="1098" customWidth="1"/>
    <col min="8708" max="8708" width="46.42578125" style="1098" customWidth="1"/>
    <col min="8709" max="8709" width="13.85546875" style="1098" customWidth="1"/>
    <col min="8710" max="8710" width="14.85546875" style="1098" customWidth="1"/>
    <col min="8711" max="8711" width="13.85546875" style="1098" customWidth="1"/>
    <col min="8712" max="8712" width="8.5703125" style="1098" customWidth="1"/>
    <col min="8713" max="8713" width="9.140625" style="1098"/>
    <col min="8714" max="8716" width="16" style="1098" bestFit="1" customWidth="1"/>
    <col min="8717" max="8960" width="9.140625" style="1098"/>
    <col min="8961" max="8961" width="5.7109375" style="1098" customWidth="1"/>
    <col min="8962" max="8962" width="6.7109375" style="1098" customWidth="1"/>
    <col min="8963" max="8963" width="10.28515625" style="1098" customWidth="1"/>
    <col min="8964" max="8964" width="46.42578125" style="1098" customWidth="1"/>
    <col min="8965" max="8965" width="13.85546875" style="1098" customWidth="1"/>
    <col min="8966" max="8966" width="14.85546875" style="1098" customWidth="1"/>
    <col min="8967" max="8967" width="13.85546875" style="1098" customWidth="1"/>
    <col min="8968" max="8968" width="8.5703125" style="1098" customWidth="1"/>
    <col min="8969" max="8969" width="9.140625" style="1098"/>
    <col min="8970" max="8972" width="16" style="1098" bestFit="1" customWidth="1"/>
    <col min="8973" max="9216" width="9.140625" style="1098"/>
    <col min="9217" max="9217" width="5.7109375" style="1098" customWidth="1"/>
    <col min="9218" max="9218" width="6.7109375" style="1098" customWidth="1"/>
    <col min="9219" max="9219" width="10.28515625" style="1098" customWidth="1"/>
    <col min="9220" max="9220" width="46.42578125" style="1098" customWidth="1"/>
    <col min="9221" max="9221" width="13.85546875" style="1098" customWidth="1"/>
    <col min="9222" max="9222" width="14.85546875" style="1098" customWidth="1"/>
    <col min="9223" max="9223" width="13.85546875" style="1098" customWidth="1"/>
    <col min="9224" max="9224" width="8.5703125" style="1098" customWidth="1"/>
    <col min="9225" max="9225" width="9.140625" style="1098"/>
    <col min="9226" max="9228" width="16" style="1098" bestFit="1" customWidth="1"/>
    <col min="9229" max="9472" width="9.140625" style="1098"/>
    <col min="9473" max="9473" width="5.7109375" style="1098" customWidth="1"/>
    <col min="9474" max="9474" width="6.7109375" style="1098" customWidth="1"/>
    <col min="9475" max="9475" width="10.28515625" style="1098" customWidth="1"/>
    <col min="9476" max="9476" width="46.42578125" style="1098" customWidth="1"/>
    <col min="9477" max="9477" width="13.85546875" style="1098" customWidth="1"/>
    <col min="9478" max="9478" width="14.85546875" style="1098" customWidth="1"/>
    <col min="9479" max="9479" width="13.85546875" style="1098" customWidth="1"/>
    <col min="9480" max="9480" width="8.5703125" style="1098" customWidth="1"/>
    <col min="9481" max="9481" width="9.140625" style="1098"/>
    <col min="9482" max="9484" width="16" style="1098" bestFit="1" customWidth="1"/>
    <col min="9485" max="9728" width="9.140625" style="1098"/>
    <col min="9729" max="9729" width="5.7109375" style="1098" customWidth="1"/>
    <col min="9730" max="9730" width="6.7109375" style="1098" customWidth="1"/>
    <col min="9731" max="9731" width="10.28515625" style="1098" customWidth="1"/>
    <col min="9732" max="9732" width="46.42578125" style="1098" customWidth="1"/>
    <col min="9733" max="9733" width="13.85546875" style="1098" customWidth="1"/>
    <col min="9734" max="9734" width="14.85546875" style="1098" customWidth="1"/>
    <col min="9735" max="9735" width="13.85546875" style="1098" customWidth="1"/>
    <col min="9736" max="9736" width="8.5703125" style="1098" customWidth="1"/>
    <col min="9737" max="9737" width="9.140625" style="1098"/>
    <col min="9738" max="9740" width="16" style="1098" bestFit="1" customWidth="1"/>
    <col min="9741" max="9984" width="9.140625" style="1098"/>
    <col min="9985" max="9985" width="5.7109375" style="1098" customWidth="1"/>
    <col min="9986" max="9986" width="6.7109375" style="1098" customWidth="1"/>
    <col min="9987" max="9987" width="10.28515625" style="1098" customWidth="1"/>
    <col min="9988" max="9988" width="46.42578125" style="1098" customWidth="1"/>
    <col min="9989" max="9989" width="13.85546875" style="1098" customWidth="1"/>
    <col min="9990" max="9990" width="14.85546875" style="1098" customWidth="1"/>
    <col min="9991" max="9991" width="13.85546875" style="1098" customWidth="1"/>
    <col min="9992" max="9992" width="8.5703125" style="1098" customWidth="1"/>
    <col min="9993" max="9993" width="9.140625" style="1098"/>
    <col min="9994" max="9996" width="16" style="1098" bestFit="1" customWidth="1"/>
    <col min="9997" max="10240" width="9.140625" style="1098"/>
    <col min="10241" max="10241" width="5.7109375" style="1098" customWidth="1"/>
    <col min="10242" max="10242" width="6.7109375" style="1098" customWidth="1"/>
    <col min="10243" max="10243" width="10.28515625" style="1098" customWidth="1"/>
    <col min="10244" max="10244" width="46.42578125" style="1098" customWidth="1"/>
    <col min="10245" max="10245" width="13.85546875" style="1098" customWidth="1"/>
    <col min="10246" max="10246" width="14.85546875" style="1098" customWidth="1"/>
    <col min="10247" max="10247" width="13.85546875" style="1098" customWidth="1"/>
    <col min="10248" max="10248" width="8.5703125" style="1098" customWidth="1"/>
    <col min="10249" max="10249" width="9.140625" style="1098"/>
    <col min="10250" max="10252" width="16" style="1098" bestFit="1" customWidth="1"/>
    <col min="10253" max="10496" width="9.140625" style="1098"/>
    <col min="10497" max="10497" width="5.7109375" style="1098" customWidth="1"/>
    <col min="10498" max="10498" width="6.7109375" style="1098" customWidth="1"/>
    <col min="10499" max="10499" width="10.28515625" style="1098" customWidth="1"/>
    <col min="10500" max="10500" width="46.42578125" style="1098" customWidth="1"/>
    <col min="10501" max="10501" width="13.85546875" style="1098" customWidth="1"/>
    <col min="10502" max="10502" width="14.85546875" style="1098" customWidth="1"/>
    <col min="10503" max="10503" width="13.85546875" style="1098" customWidth="1"/>
    <col min="10504" max="10504" width="8.5703125" style="1098" customWidth="1"/>
    <col min="10505" max="10505" width="9.140625" style="1098"/>
    <col min="10506" max="10508" width="16" style="1098" bestFit="1" customWidth="1"/>
    <col min="10509" max="10752" width="9.140625" style="1098"/>
    <col min="10753" max="10753" width="5.7109375" style="1098" customWidth="1"/>
    <col min="10754" max="10754" width="6.7109375" style="1098" customWidth="1"/>
    <col min="10755" max="10755" width="10.28515625" style="1098" customWidth="1"/>
    <col min="10756" max="10756" width="46.42578125" style="1098" customWidth="1"/>
    <col min="10757" max="10757" width="13.85546875" style="1098" customWidth="1"/>
    <col min="10758" max="10758" width="14.85546875" style="1098" customWidth="1"/>
    <col min="10759" max="10759" width="13.85546875" style="1098" customWidth="1"/>
    <col min="10760" max="10760" width="8.5703125" style="1098" customWidth="1"/>
    <col min="10761" max="10761" width="9.140625" style="1098"/>
    <col min="10762" max="10764" width="16" style="1098" bestFit="1" customWidth="1"/>
    <col min="10765" max="11008" width="9.140625" style="1098"/>
    <col min="11009" max="11009" width="5.7109375" style="1098" customWidth="1"/>
    <col min="11010" max="11010" width="6.7109375" style="1098" customWidth="1"/>
    <col min="11011" max="11011" width="10.28515625" style="1098" customWidth="1"/>
    <col min="11012" max="11012" width="46.42578125" style="1098" customWidth="1"/>
    <col min="11013" max="11013" width="13.85546875" style="1098" customWidth="1"/>
    <col min="11014" max="11014" width="14.85546875" style="1098" customWidth="1"/>
    <col min="11015" max="11015" width="13.85546875" style="1098" customWidth="1"/>
    <col min="11016" max="11016" width="8.5703125" style="1098" customWidth="1"/>
    <col min="11017" max="11017" width="9.140625" style="1098"/>
    <col min="11018" max="11020" width="16" style="1098" bestFit="1" customWidth="1"/>
    <col min="11021" max="11264" width="9.140625" style="1098"/>
    <col min="11265" max="11265" width="5.7109375" style="1098" customWidth="1"/>
    <col min="11266" max="11266" width="6.7109375" style="1098" customWidth="1"/>
    <col min="11267" max="11267" width="10.28515625" style="1098" customWidth="1"/>
    <col min="11268" max="11268" width="46.42578125" style="1098" customWidth="1"/>
    <col min="11269" max="11269" width="13.85546875" style="1098" customWidth="1"/>
    <col min="11270" max="11270" width="14.85546875" style="1098" customWidth="1"/>
    <col min="11271" max="11271" width="13.85546875" style="1098" customWidth="1"/>
    <col min="11272" max="11272" width="8.5703125" style="1098" customWidth="1"/>
    <col min="11273" max="11273" width="9.140625" style="1098"/>
    <col min="11274" max="11276" width="16" style="1098" bestFit="1" customWidth="1"/>
    <col min="11277" max="11520" width="9.140625" style="1098"/>
    <col min="11521" max="11521" width="5.7109375" style="1098" customWidth="1"/>
    <col min="11522" max="11522" width="6.7109375" style="1098" customWidth="1"/>
    <col min="11523" max="11523" width="10.28515625" style="1098" customWidth="1"/>
    <col min="11524" max="11524" width="46.42578125" style="1098" customWidth="1"/>
    <col min="11525" max="11525" width="13.85546875" style="1098" customWidth="1"/>
    <col min="11526" max="11526" width="14.85546875" style="1098" customWidth="1"/>
    <col min="11527" max="11527" width="13.85546875" style="1098" customWidth="1"/>
    <col min="11528" max="11528" width="8.5703125" style="1098" customWidth="1"/>
    <col min="11529" max="11529" width="9.140625" style="1098"/>
    <col min="11530" max="11532" width="16" style="1098" bestFit="1" customWidth="1"/>
    <col min="11533" max="11776" width="9.140625" style="1098"/>
    <col min="11777" max="11777" width="5.7109375" style="1098" customWidth="1"/>
    <col min="11778" max="11778" width="6.7109375" style="1098" customWidth="1"/>
    <col min="11779" max="11779" width="10.28515625" style="1098" customWidth="1"/>
    <col min="11780" max="11780" width="46.42578125" style="1098" customWidth="1"/>
    <col min="11781" max="11781" width="13.85546875" style="1098" customWidth="1"/>
    <col min="11782" max="11782" width="14.85546875" style="1098" customWidth="1"/>
    <col min="11783" max="11783" width="13.85546875" style="1098" customWidth="1"/>
    <col min="11784" max="11784" width="8.5703125" style="1098" customWidth="1"/>
    <col min="11785" max="11785" width="9.140625" style="1098"/>
    <col min="11786" max="11788" width="16" style="1098" bestFit="1" customWidth="1"/>
    <col min="11789" max="12032" width="9.140625" style="1098"/>
    <col min="12033" max="12033" width="5.7109375" style="1098" customWidth="1"/>
    <col min="12034" max="12034" width="6.7109375" style="1098" customWidth="1"/>
    <col min="12035" max="12035" width="10.28515625" style="1098" customWidth="1"/>
    <col min="12036" max="12036" width="46.42578125" style="1098" customWidth="1"/>
    <col min="12037" max="12037" width="13.85546875" style="1098" customWidth="1"/>
    <col min="12038" max="12038" width="14.85546875" style="1098" customWidth="1"/>
    <col min="12039" max="12039" width="13.85546875" style="1098" customWidth="1"/>
    <col min="12040" max="12040" width="8.5703125" style="1098" customWidth="1"/>
    <col min="12041" max="12041" width="9.140625" style="1098"/>
    <col min="12042" max="12044" width="16" style="1098" bestFit="1" customWidth="1"/>
    <col min="12045" max="12288" width="9.140625" style="1098"/>
    <col min="12289" max="12289" width="5.7109375" style="1098" customWidth="1"/>
    <col min="12290" max="12290" width="6.7109375" style="1098" customWidth="1"/>
    <col min="12291" max="12291" width="10.28515625" style="1098" customWidth="1"/>
    <col min="12292" max="12292" width="46.42578125" style="1098" customWidth="1"/>
    <col min="12293" max="12293" width="13.85546875" style="1098" customWidth="1"/>
    <col min="12294" max="12294" width="14.85546875" style="1098" customWidth="1"/>
    <col min="12295" max="12295" width="13.85546875" style="1098" customWidth="1"/>
    <col min="12296" max="12296" width="8.5703125" style="1098" customWidth="1"/>
    <col min="12297" max="12297" width="9.140625" style="1098"/>
    <col min="12298" max="12300" width="16" style="1098" bestFit="1" customWidth="1"/>
    <col min="12301" max="12544" width="9.140625" style="1098"/>
    <col min="12545" max="12545" width="5.7109375" style="1098" customWidth="1"/>
    <col min="12546" max="12546" width="6.7109375" style="1098" customWidth="1"/>
    <col min="12547" max="12547" width="10.28515625" style="1098" customWidth="1"/>
    <col min="12548" max="12548" width="46.42578125" style="1098" customWidth="1"/>
    <col min="12549" max="12549" width="13.85546875" style="1098" customWidth="1"/>
    <col min="12550" max="12550" width="14.85546875" style="1098" customWidth="1"/>
    <col min="12551" max="12551" width="13.85546875" style="1098" customWidth="1"/>
    <col min="12552" max="12552" width="8.5703125" style="1098" customWidth="1"/>
    <col min="12553" max="12553" width="9.140625" style="1098"/>
    <col min="12554" max="12556" width="16" style="1098" bestFit="1" customWidth="1"/>
    <col min="12557" max="12800" width="9.140625" style="1098"/>
    <col min="12801" max="12801" width="5.7109375" style="1098" customWidth="1"/>
    <col min="12802" max="12802" width="6.7109375" style="1098" customWidth="1"/>
    <col min="12803" max="12803" width="10.28515625" style="1098" customWidth="1"/>
    <col min="12804" max="12804" width="46.42578125" style="1098" customWidth="1"/>
    <col min="12805" max="12805" width="13.85546875" style="1098" customWidth="1"/>
    <col min="12806" max="12806" width="14.85546875" style="1098" customWidth="1"/>
    <col min="12807" max="12807" width="13.85546875" style="1098" customWidth="1"/>
    <col min="12808" max="12808" width="8.5703125" style="1098" customWidth="1"/>
    <col min="12809" max="12809" width="9.140625" style="1098"/>
    <col min="12810" max="12812" width="16" style="1098" bestFit="1" customWidth="1"/>
    <col min="12813" max="13056" width="9.140625" style="1098"/>
    <col min="13057" max="13057" width="5.7109375" style="1098" customWidth="1"/>
    <col min="13058" max="13058" width="6.7109375" style="1098" customWidth="1"/>
    <col min="13059" max="13059" width="10.28515625" style="1098" customWidth="1"/>
    <col min="13060" max="13060" width="46.42578125" style="1098" customWidth="1"/>
    <col min="13061" max="13061" width="13.85546875" style="1098" customWidth="1"/>
    <col min="13062" max="13062" width="14.85546875" style="1098" customWidth="1"/>
    <col min="13063" max="13063" width="13.85546875" style="1098" customWidth="1"/>
    <col min="13064" max="13064" width="8.5703125" style="1098" customWidth="1"/>
    <col min="13065" max="13065" width="9.140625" style="1098"/>
    <col min="13066" max="13068" width="16" style="1098" bestFit="1" customWidth="1"/>
    <col min="13069" max="13312" width="9.140625" style="1098"/>
    <col min="13313" max="13313" width="5.7109375" style="1098" customWidth="1"/>
    <col min="13314" max="13314" width="6.7109375" style="1098" customWidth="1"/>
    <col min="13315" max="13315" width="10.28515625" style="1098" customWidth="1"/>
    <col min="13316" max="13316" width="46.42578125" style="1098" customWidth="1"/>
    <col min="13317" max="13317" width="13.85546875" style="1098" customWidth="1"/>
    <col min="13318" max="13318" width="14.85546875" style="1098" customWidth="1"/>
    <col min="13319" max="13319" width="13.85546875" style="1098" customWidth="1"/>
    <col min="13320" max="13320" width="8.5703125" style="1098" customWidth="1"/>
    <col min="13321" max="13321" width="9.140625" style="1098"/>
    <col min="13322" max="13324" width="16" style="1098" bestFit="1" customWidth="1"/>
    <col min="13325" max="13568" width="9.140625" style="1098"/>
    <col min="13569" max="13569" width="5.7109375" style="1098" customWidth="1"/>
    <col min="13570" max="13570" width="6.7109375" style="1098" customWidth="1"/>
    <col min="13571" max="13571" width="10.28515625" style="1098" customWidth="1"/>
    <col min="13572" max="13572" width="46.42578125" style="1098" customWidth="1"/>
    <col min="13573" max="13573" width="13.85546875" style="1098" customWidth="1"/>
    <col min="13574" max="13574" width="14.85546875" style="1098" customWidth="1"/>
    <col min="13575" max="13575" width="13.85546875" style="1098" customWidth="1"/>
    <col min="13576" max="13576" width="8.5703125" style="1098" customWidth="1"/>
    <col min="13577" max="13577" width="9.140625" style="1098"/>
    <col min="13578" max="13580" width="16" style="1098" bestFit="1" customWidth="1"/>
    <col min="13581" max="13824" width="9.140625" style="1098"/>
    <col min="13825" max="13825" width="5.7109375" style="1098" customWidth="1"/>
    <col min="13826" max="13826" width="6.7109375" style="1098" customWidth="1"/>
    <col min="13827" max="13827" width="10.28515625" style="1098" customWidth="1"/>
    <col min="13828" max="13828" width="46.42578125" style="1098" customWidth="1"/>
    <col min="13829" max="13829" width="13.85546875" style="1098" customWidth="1"/>
    <col min="13830" max="13830" width="14.85546875" style="1098" customWidth="1"/>
    <col min="13831" max="13831" width="13.85546875" style="1098" customWidth="1"/>
    <col min="13832" max="13832" width="8.5703125" style="1098" customWidth="1"/>
    <col min="13833" max="13833" width="9.140625" style="1098"/>
    <col min="13834" max="13836" width="16" style="1098" bestFit="1" customWidth="1"/>
    <col min="13837" max="14080" width="9.140625" style="1098"/>
    <col min="14081" max="14081" width="5.7109375" style="1098" customWidth="1"/>
    <col min="14082" max="14082" width="6.7109375" style="1098" customWidth="1"/>
    <col min="14083" max="14083" width="10.28515625" style="1098" customWidth="1"/>
    <col min="14084" max="14084" width="46.42578125" style="1098" customWidth="1"/>
    <col min="14085" max="14085" width="13.85546875" style="1098" customWidth="1"/>
    <col min="14086" max="14086" width="14.85546875" style="1098" customWidth="1"/>
    <col min="14087" max="14087" width="13.85546875" style="1098" customWidth="1"/>
    <col min="14088" max="14088" width="8.5703125" style="1098" customWidth="1"/>
    <col min="14089" max="14089" width="9.140625" style="1098"/>
    <col min="14090" max="14092" width="16" style="1098" bestFit="1" customWidth="1"/>
    <col min="14093" max="14336" width="9.140625" style="1098"/>
    <col min="14337" max="14337" width="5.7109375" style="1098" customWidth="1"/>
    <col min="14338" max="14338" width="6.7109375" style="1098" customWidth="1"/>
    <col min="14339" max="14339" width="10.28515625" style="1098" customWidth="1"/>
    <col min="14340" max="14340" width="46.42578125" style="1098" customWidth="1"/>
    <col min="14341" max="14341" width="13.85546875" style="1098" customWidth="1"/>
    <col min="14342" max="14342" width="14.85546875" style="1098" customWidth="1"/>
    <col min="14343" max="14343" width="13.85546875" style="1098" customWidth="1"/>
    <col min="14344" max="14344" width="8.5703125" style="1098" customWidth="1"/>
    <col min="14345" max="14345" width="9.140625" style="1098"/>
    <col min="14346" max="14348" width="16" style="1098" bestFit="1" customWidth="1"/>
    <col min="14349" max="14592" width="9.140625" style="1098"/>
    <col min="14593" max="14593" width="5.7109375" style="1098" customWidth="1"/>
    <col min="14594" max="14594" width="6.7109375" style="1098" customWidth="1"/>
    <col min="14595" max="14595" width="10.28515625" style="1098" customWidth="1"/>
    <col min="14596" max="14596" width="46.42578125" style="1098" customWidth="1"/>
    <col min="14597" max="14597" width="13.85546875" style="1098" customWidth="1"/>
    <col min="14598" max="14598" width="14.85546875" style="1098" customWidth="1"/>
    <col min="14599" max="14599" width="13.85546875" style="1098" customWidth="1"/>
    <col min="14600" max="14600" width="8.5703125" style="1098" customWidth="1"/>
    <col min="14601" max="14601" width="9.140625" style="1098"/>
    <col min="14602" max="14604" width="16" style="1098" bestFit="1" customWidth="1"/>
    <col min="14605" max="14848" width="9.140625" style="1098"/>
    <col min="14849" max="14849" width="5.7109375" style="1098" customWidth="1"/>
    <col min="14850" max="14850" width="6.7109375" style="1098" customWidth="1"/>
    <col min="14851" max="14851" width="10.28515625" style="1098" customWidth="1"/>
    <col min="14852" max="14852" width="46.42578125" style="1098" customWidth="1"/>
    <col min="14853" max="14853" width="13.85546875" style="1098" customWidth="1"/>
    <col min="14854" max="14854" width="14.85546875" style="1098" customWidth="1"/>
    <col min="14855" max="14855" width="13.85546875" style="1098" customWidth="1"/>
    <col min="14856" max="14856" width="8.5703125" style="1098" customWidth="1"/>
    <col min="14857" max="14857" width="9.140625" style="1098"/>
    <col min="14858" max="14860" width="16" style="1098" bestFit="1" customWidth="1"/>
    <col min="14861" max="15104" width="9.140625" style="1098"/>
    <col min="15105" max="15105" width="5.7109375" style="1098" customWidth="1"/>
    <col min="15106" max="15106" width="6.7109375" style="1098" customWidth="1"/>
    <col min="15107" max="15107" width="10.28515625" style="1098" customWidth="1"/>
    <col min="15108" max="15108" width="46.42578125" style="1098" customWidth="1"/>
    <col min="15109" max="15109" width="13.85546875" style="1098" customWidth="1"/>
    <col min="15110" max="15110" width="14.85546875" style="1098" customWidth="1"/>
    <col min="15111" max="15111" width="13.85546875" style="1098" customWidth="1"/>
    <col min="15112" max="15112" width="8.5703125" style="1098" customWidth="1"/>
    <col min="15113" max="15113" width="9.140625" style="1098"/>
    <col min="15114" max="15116" width="16" style="1098" bestFit="1" customWidth="1"/>
    <col min="15117" max="15360" width="9.140625" style="1098"/>
    <col min="15361" max="15361" width="5.7109375" style="1098" customWidth="1"/>
    <col min="15362" max="15362" width="6.7109375" style="1098" customWidth="1"/>
    <col min="15363" max="15363" width="10.28515625" style="1098" customWidth="1"/>
    <col min="15364" max="15364" width="46.42578125" style="1098" customWidth="1"/>
    <col min="15365" max="15365" width="13.85546875" style="1098" customWidth="1"/>
    <col min="15366" max="15366" width="14.85546875" style="1098" customWidth="1"/>
    <col min="15367" max="15367" width="13.85546875" style="1098" customWidth="1"/>
    <col min="15368" max="15368" width="8.5703125" style="1098" customWidth="1"/>
    <col min="15369" max="15369" width="9.140625" style="1098"/>
    <col min="15370" max="15372" width="16" style="1098" bestFit="1" customWidth="1"/>
    <col min="15373" max="15616" width="9.140625" style="1098"/>
    <col min="15617" max="15617" width="5.7109375" style="1098" customWidth="1"/>
    <col min="15618" max="15618" width="6.7109375" style="1098" customWidth="1"/>
    <col min="15619" max="15619" width="10.28515625" style="1098" customWidth="1"/>
    <col min="15620" max="15620" width="46.42578125" style="1098" customWidth="1"/>
    <col min="15621" max="15621" width="13.85546875" style="1098" customWidth="1"/>
    <col min="15622" max="15622" width="14.85546875" style="1098" customWidth="1"/>
    <col min="15623" max="15623" width="13.85546875" style="1098" customWidth="1"/>
    <col min="15624" max="15624" width="8.5703125" style="1098" customWidth="1"/>
    <col min="15625" max="15625" width="9.140625" style="1098"/>
    <col min="15626" max="15628" width="16" style="1098" bestFit="1" customWidth="1"/>
    <col min="15629" max="15872" width="9.140625" style="1098"/>
    <col min="15873" max="15873" width="5.7109375" style="1098" customWidth="1"/>
    <col min="15874" max="15874" width="6.7109375" style="1098" customWidth="1"/>
    <col min="15875" max="15875" width="10.28515625" style="1098" customWidth="1"/>
    <col min="15876" max="15876" width="46.42578125" style="1098" customWidth="1"/>
    <col min="15877" max="15877" width="13.85546875" style="1098" customWidth="1"/>
    <col min="15878" max="15878" width="14.85546875" style="1098" customWidth="1"/>
    <col min="15879" max="15879" width="13.85546875" style="1098" customWidth="1"/>
    <col min="15880" max="15880" width="8.5703125" style="1098" customWidth="1"/>
    <col min="15881" max="15881" width="9.140625" style="1098"/>
    <col min="15882" max="15884" width="16" style="1098" bestFit="1" customWidth="1"/>
    <col min="15885" max="16128" width="9.140625" style="1098"/>
    <col min="16129" max="16129" width="5.7109375" style="1098" customWidth="1"/>
    <col min="16130" max="16130" width="6.7109375" style="1098" customWidth="1"/>
    <col min="16131" max="16131" width="10.28515625" style="1098" customWidth="1"/>
    <col min="16132" max="16132" width="46.42578125" style="1098" customWidth="1"/>
    <col min="16133" max="16133" width="13.85546875" style="1098" customWidth="1"/>
    <col min="16134" max="16134" width="14.85546875" style="1098" customWidth="1"/>
    <col min="16135" max="16135" width="13.85546875" style="1098" customWidth="1"/>
    <col min="16136" max="16136" width="8.5703125" style="1098" customWidth="1"/>
    <col min="16137" max="16137" width="9.140625" style="1098"/>
    <col min="16138" max="16140" width="16" style="1098" bestFit="1" customWidth="1"/>
    <col min="16141" max="16384" width="9.140625" style="1098"/>
  </cols>
  <sheetData>
    <row r="1" spans="1:9" s="997" customFormat="1" ht="18.75" thickBot="1" x14ac:dyDescent="0.3">
      <c r="A1" s="1082" t="s">
        <v>418</v>
      </c>
      <c r="B1" s="1081"/>
      <c r="C1" s="1093"/>
      <c r="D1" s="1080"/>
      <c r="E1" s="1079"/>
      <c r="F1" s="1078"/>
      <c r="G1" s="3331"/>
      <c r="H1" s="3332"/>
      <c r="I1" s="1002"/>
    </row>
    <row r="2" spans="1:9" s="997" customFormat="1" ht="41.25" customHeight="1" x14ac:dyDescent="0.25">
      <c r="A2" s="1075"/>
      <c r="B2" s="1056"/>
      <c r="C2" s="1094"/>
      <c r="D2" s="1074"/>
      <c r="E2" s="1053"/>
      <c r="F2" s="1053"/>
      <c r="G2" s="3331" t="s">
        <v>68</v>
      </c>
      <c r="H2" s="3332"/>
      <c r="I2" s="1002"/>
    </row>
    <row r="3" spans="1:9" s="997" customFormat="1" ht="12.75" customHeight="1" x14ac:dyDescent="0.25">
      <c r="A3" s="1077" t="s">
        <v>201</v>
      </c>
      <c r="B3" s="1056"/>
      <c r="C3" s="1096" t="s">
        <v>121</v>
      </c>
      <c r="D3" s="1076"/>
      <c r="E3" s="1053"/>
      <c r="F3" s="1668"/>
      <c r="G3" s="1052"/>
      <c r="H3" s="1095"/>
    </row>
    <row r="4" spans="1:9" s="997" customFormat="1" ht="12.75" customHeight="1" x14ac:dyDescent="0.25">
      <c r="A4" s="1075"/>
      <c r="B4" s="1056"/>
      <c r="C4" s="1096" t="s">
        <v>781</v>
      </c>
      <c r="D4" s="1002"/>
      <c r="E4" s="1053"/>
      <c r="F4" s="1668"/>
      <c r="G4" s="1052"/>
      <c r="H4" s="1095"/>
    </row>
    <row r="5" spans="1:9" hidden="1" x14ac:dyDescent="0.2"/>
    <row r="6" spans="1:9" ht="18" x14ac:dyDescent="0.25">
      <c r="A6" s="1101" t="s">
        <v>391</v>
      </c>
    </row>
    <row r="7" spans="1:9" ht="12" customHeight="1" x14ac:dyDescent="0.25">
      <c r="A7" s="1102"/>
    </row>
    <row r="8" spans="1:9" ht="15" x14ac:dyDescent="0.25">
      <c r="A8" s="1137"/>
      <c r="B8" s="1137"/>
      <c r="C8" s="1137"/>
      <c r="D8" s="1137"/>
      <c r="E8" s="1119"/>
      <c r="F8" s="1119"/>
      <c r="G8" s="1119"/>
      <c r="H8" s="1138"/>
    </row>
    <row r="9" spans="1:9" ht="13.5" customHeight="1" thickBot="1" x14ac:dyDescent="0.3">
      <c r="A9" s="1103" t="s">
        <v>137</v>
      </c>
      <c r="B9" s="1125"/>
      <c r="C9" s="1125"/>
      <c r="D9" s="1125"/>
      <c r="E9" s="1125"/>
      <c r="F9" s="1125"/>
      <c r="G9" s="1125"/>
      <c r="H9" s="1125" t="s">
        <v>92</v>
      </c>
      <c r="I9" s="1125"/>
    </row>
    <row r="10" spans="1:9" ht="15.75" hidden="1" thickBot="1" x14ac:dyDescent="0.3">
      <c r="A10" s="1103"/>
      <c r="D10" s="1097"/>
      <c r="E10" s="1098"/>
      <c r="F10" s="1123"/>
      <c r="G10" s="1123"/>
      <c r="H10" s="1098" t="s">
        <v>92</v>
      </c>
    </row>
    <row r="11" spans="1:9" ht="25.5" thickTop="1" thickBot="1" x14ac:dyDescent="0.25">
      <c r="A11" s="1104" t="s">
        <v>93</v>
      </c>
      <c r="B11" s="1105" t="s">
        <v>392</v>
      </c>
      <c r="C11" s="1105" t="s">
        <v>209</v>
      </c>
      <c r="D11" s="1106" t="s">
        <v>95</v>
      </c>
      <c r="E11" s="1127" t="s">
        <v>328</v>
      </c>
      <c r="F11" s="1127" t="s">
        <v>329</v>
      </c>
      <c r="G11" s="1128" t="s">
        <v>448</v>
      </c>
      <c r="H11" s="1129" t="s">
        <v>449</v>
      </c>
    </row>
    <row r="12" spans="1:9" s="1037" customFormat="1" ht="13.5" thickTop="1" thickBot="1" x14ac:dyDescent="0.25">
      <c r="A12" s="1042">
        <v>1</v>
      </c>
      <c r="B12" s="1041">
        <v>2</v>
      </c>
      <c r="C12" s="1041">
        <v>3</v>
      </c>
      <c r="D12" s="1041">
        <v>4</v>
      </c>
      <c r="E12" s="1107">
        <v>5</v>
      </c>
      <c r="F12" s="1107">
        <v>6</v>
      </c>
      <c r="G12" s="1108">
        <v>7</v>
      </c>
      <c r="H12" s="1109" t="s">
        <v>33</v>
      </c>
    </row>
    <row r="13" spans="1:9" s="1037" customFormat="1" ht="15.75" hidden="1" thickTop="1" x14ac:dyDescent="0.25">
      <c r="A13" s="1140">
        <v>3636</v>
      </c>
      <c r="B13" s="1111">
        <v>5166</v>
      </c>
      <c r="C13" s="1111"/>
      <c r="D13" s="1130" t="s">
        <v>317</v>
      </c>
      <c r="E13" s="1115">
        <v>0</v>
      </c>
      <c r="F13" s="1142">
        <v>0</v>
      </c>
      <c r="G13" s="1142">
        <v>0</v>
      </c>
      <c r="H13" s="1116">
        <v>0</v>
      </c>
    </row>
    <row r="14" spans="1:9" ht="15.75" thickTop="1" x14ac:dyDescent="0.25">
      <c r="A14" s="1140">
        <v>3636</v>
      </c>
      <c r="B14" s="1111">
        <v>5166</v>
      </c>
      <c r="C14" s="1216" t="s">
        <v>872</v>
      </c>
      <c r="D14" s="1130" t="s">
        <v>317</v>
      </c>
      <c r="E14" s="1115">
        <v>100</v>
      </c>
      <c r="F14" s="1142">
        <v>0</v>
      </c>
      <c r="G14" s="1142">
        <v>0</v>
      </c>
      <c r="H14" s="3050">
        <v>0</v>
      </c>
    </row>
    <row r="15" spans="1:9" ht="15" hidden="1" x14ac:dyDescent="0.25">
      <c r="A15" s="1144">
        <v>6330</v>
      </c>
      <c r="B15" s="1111">
        <v>5345</v>
      </c>
      <c r="C15" s="1216" t="s">
        <v>891</v>
      </c>
      <c r="D15" s="1130" t="s">
        <v>397</v>
      </c>
      <c r="E15" s="1115"/>
      <c r="F15" s="1142"/>
      <c r="G15" s="1142"/>
      <c r="H15" s="3050">
        <v>0</v>
      </c>
    </row>
    <row r="16" spans="1:9" ht="15" hidden="1" x14ac:dyDescent="0.25">
      <c r="A16" s="1144">
        <v>3636</v>
      </c>
      <c r="B16" s="1111">
        <v>5167</v>
      </c>
      <c r="C16" s="1216" t="s">
        <v>892</v>
      </c>
      <c r="D16" s="1130" t="s">
        <v>455</v>
      </c>
      <c r="E16" s="1115"/>
      <c r="F16" s="1142"/>
      <c r="G16" s="1142"/>
      <c r="H16" s="3050" t="e">
        <f>G16/F16*100</f>
        <v>#DIV/0!</v>
      </c>
    </row>
    <row r="17" spans="1:8" ht="15" hidden="1" x14ac:dyDescent="0.25">
      <c r="A17" s="1144">
        <v>3122</v>
      </c>
      <c r="B17" s="1111">
        <v>5169</v>
      </c>
      <c r="C17" s="1216" t="s">
        <v>1003</v>
      </c>
      <c r="D17" s="1130" t="s">
        <v>430</v>
      </c>
      <c r="E17" s="1115"/>
      <c r="F17" s="1142"/>
      <c r="G17" s="1142"/>
      <c r="H17" s="3050">
        <v>0</v>
      </c>
    </row>
    <row r="18" spans="1:8" ht="15.75" thickBot="1" x14ac:dyDescent="0.3">
      <c r="A18" s="1144">
        <v>3636</v>
      </c>
      <c r="B18" s="1111">
        <v>5169</v>
      </c>
      <c r="C18" s="1216" t="s">
        <v>872</v>
      </c>
      <c r="D18" s="1130" t="s">
        <v>430</v>
      </c>
      <c r="E18" s="1115">
        <v>1050</v>
      </c>
      <c r="F18" s="1142">
        <v>37</v>
      </c>
      <c r="G18" s="1142">
        <v>0</v>
      </c>
      <c r="H18" s="1384">
        <f>G18/F18*100</f>
        <v>0</v>
      </c>
    </row>
    <row r="19" spans="1:8" ht="16.5" hidden="1" thickTop="1" thickBot="1" x14ac:dyDescent="0.3">
      <c r="A19" s="1144">
        <v>3636</v>
      </c>
      <c r="B19" s="1111">
        <v>5169</v>
      </c>
      <c r="C19" s="1216" t="s">
        <v>872</v>
      </c>
      <c r="D19" s="1130" t="s">
        <v>430</v>
      </c>
      <c r="E19" s="1115"/>
      <c r="F19" s="1142"/>
      <c r="G19" s="1142"/>
      <c r="H19" s="3050" t="e">
        <f>G19/F19*100</f>
        <v>#DIV/0!</v>
      </c>
    </row>
    <row r="20" spans="1:8" ht="16.5" hidden="1" thickTop="1" thickBot="1" x14ac:dyDescent="0.3">
      <c r="A20" s="1144">
        <v>4399</v>
      </c>
      <c r="B20" s="1211">
        <v>5363</v>
      </c>
      <c r="C20" s="1216" t="s">
        <v>971</v>
      </c>
      <c r="D20" s="1130" t="s">
        <v>739</v>
      </c>
      <c r="E20" s="1115"/>
      <c r="F20" s="1142"/>
      <c r="G20" s="1142"/>
      <c r="H20" s="3050">
        <v>0</v>
      </c>
    </row>
    <row r="21" spans="1:8" ht="16.5" hidden="1" thickTop="1" thickBot="1" x14ac:dyDescent="0.3">
      <c r="A21" s="1144">
        <v>6330</v>
      </c>
      <c r="B21" s="1146">
        <v>5345</v>
      </c>
      <c r="C21" s="1216" t="s">
        <v>871</v>
      </c>
      <c r="D21" s="1132" t="s">
        <v>397</v>
      </c>
      <c r="E21" s="1115"/>
      <c r="F21" s="1142"/>
      <c r="G21" s="1142"/>
      <c r="H21" s="3050">
        <v>0</v>
      </c>
    </row>
    <row r="22" spans="1:8" ht="16.5" thickTop="1" thickBot="1" x14ac:dyDescent="0.3">
      <c r="A22" s="2568" t="s">
        <v>394</v>
      </c>
      <c r="B22" s="2569"/>
      <c r="C22" s="2569"/>
      <c r="D22" s="2570"/>
      <c r="E22" s="1113">
        <f>SUM(E13:E21)</f>
        <v>1150</v>
      </c>
      <c r="F22" s="1113">
        <f>SUM(F13:F21)</f>
        <v>37</v>
      </c>
      <c r="G22" s="1113">
        <f>SUM(G13:G21)</f>
        <v>0</v>
      </c>
      <c r="H22" s="1381">
        <f>G22/F22*100</f>
        <v>0</v>
      </c>
    </row>
    <row r="23" spans="1:8" ht="15.75" thickTop="1" x14ac:dyDescent="0.25">
      <c r="A23" s="1137"/>
      <c r="B23" s="1137"/>
      <c r="C23" s="1137"/>
      <c r="D23" s="1137"/>
      <c r="E23" s="1119"/>
      <c r="F23" s="1119"/>
      <c r="G23" s="1119"/>
      <c r="H23" s="1138"/>
    </row>
    <row r="24" spans="1:8" ht="15" hidden="1" x14ac:dyDescent="0.25">
      <c r="A24" s="1103" t="s">
        <v>1422</v>
      </c>
      <c r="B24" s="1125"/>
      <c r="C24" s="1125"/>
      <c r="D24" s="1125"/>
      <c r="E24" s="1125"/>
      <c r="F24" s="1125"/>
      <c r="G24" s="1125"/>
      <c r="H24" s="1125" t="s">
        <v>92</v>
      </c>
    </row>
    <row r="25" spans="1:8" ht="15.75" hidden="1" thickBot="1" x14ac:dyDescent="0.3">
      <c r="A25" s="1103" t="s">
        <v>1421</v>
      </c>
      <c r="D25" s="1097"/>
      <c r="E25" s="1098"/>
      <c r="F25" s="1123"/>
      <c r="G25" s="1123"/>
      <c r="H25" s="1098" t="s">
        <v>92</v>
      </c>
    </row>
    <row r="26" spans="1:8" ht="25.5" hidden="1" thickTop="1" thickBot="1" x14ac:dyDescent="0.25">
      <c r="A26" s="1104" t="s">
        <v>93</v>
      </c>
      <c r="B26" s="1105" t="s">
        <v>392</v>
      </c>
      <c r="C26" s="1105" t="s">
        <v>209</v>
      </c>
      <c r="D26" s="1106" t="s">
        <v>95</v>
      </c>
      <c r="E26" s="1127" t="s">
        <v>328</v>
      </c>
      <c r="F26" s="1127" t="s">
        <v>329</v>
      </c>
      <c r="G26" s="1128" t="s">
        <v>448</v>
      </c>
      <c r="H26" s="1129" t="s">
        <v>449</v>
      </c>
    </row>
    <row r="27" spans="1:8" ht="14.25" hidden="1" thickTop="1" thickBot="1" x14ac:dyDescent="0.25">
      <c r="A27" s="1042">
        <v>1</v>
      </c>
      <c r="B27" s="1041">
        <v>2</v>
      </c>
      <c r="C27" s="1041">
        <v>3</v>
      </c>
      <c r="D27" s="1041">
        <v>4</v>
      </c>
      <c r="E27" s="1107">
        <v>5</v>
      </c>
      <c r="F27" s="1107">
        <v>6</v>
      </c>
      <c r="G27" s="1108">
        <v>7</v>
      </c>
      <c r="H27" s="1109" t="s">
        <v>33</v>
      </c>
    </row>
    <row r="28" spans="1:8" ht="15.75" hidden="1" thickTop="1" x14ac:dyDescent="0.25">
      <c r="A28" s="1140">
        <v>3636</v>
      </c>
      <c r="B28" s="1111">
        <v>5166</v>
      </c>
      <c r="C28" s="1111"/>
      <c r="D28" s="1130" t="s">
        <v>317</v>
      </c>
      <c r="E28" s="1115">
        <v>0</v>
      </c>
      <c r="F28" s="1142">
        <v>0</v>
      </c>
      <c r="G28" s="1142">
        <v>0</v>
      </c>
      <c r="H28" s="1116">
        <v>0</v>
      </c>
    </row>
    <row r="29" spans="1:8" ht="15.75" hidden="1" thickTop="1" x14ac:dyDescent="0.25">
      <c r="A29" s="1140">
        <v>3636</v>
      </c>
      <c r="B29" s="1111">
        <v>5166</v>
      </c>
      <c r="C29" s="1216" t="s">
        <v>970</v>
      </c>
      <c r="D29" s="1130" t="s">
        <v>317</v>
      </c>
      <c r="E29" s="1115">
        <v>0</v>
      </c>
      <c r="F29" s="1142">
        <v>0</v>
      </c>
      <c r="G29" s="1142">
        <v>0</v>
      </c>
      <c r="H29" s="1116">
        <v>0</v>
      </c>
    </row>
    <row r="30" spans="1:8" ht="15.75" hidden="1" thickTop="1" x14ac:dyDescent="0.25">
      <c r="A30" s="1144">
        <v>6330</v>
      </c>
      <c r="B30" s="1111">
        <v>5345</v>
      </c>
      <c r="C30" s="1216" t="s">
        <v>891</v>
      </c>
      <c r="D30" s="1130" t="s">
        <v>397</v>
      </c>
      <c r="E30" s="1115"/>
      <c r="F30" s="1142"/>
      <c r="G30" s="1142"/>
      <c r="H30" s="1116">
        <v>0</v>
      </c>
    </row>
    <row r="31" spans="1:8" ht="15.75" hidden="1" thickTop="1" x14ac:dyDescent="0.25">
      <c r="A31" s="1144">
        <v>3636</v>
      </c>
      <c r="B31" s="1111">
        <v>5167</v>
      </c>
      <c r="C31" s="1216" t="s">
        <v>892</v>
      </c>
      <c r="D31" s="1130" t="s">
        <v>455</v>
      </c>
      <c r="E31" s="1115"/>
      <c r="F31" s="1142"/>
      <c r="G31" s="1142"/>
      <c r="H31" s="1116" t="e">
        <f>G31/F31*100</f>
        <v>#DIV/0!</v>
      </c>
    </row>
    <row r="32" spans="1:8" ht="15.75" hidden="1" thickTop="1" x14ac:dyDescent="0.25">
      <c r="A32" s="1144">
        <v>3122</v>
      </c>
      <c r="B32" s="1111">
        <v>5169</v>
      </c>
      <c r="C32" s="1216" t="s">
        <v>1003</v>
      </c>
      <c r="D32" s="1130" t="s">
        <v>430</v>
      </c>
      <c r="E32" s="1115"/>
      <c r="F32" s="1142"/>
      <c r="G32" s="1142"/>
      <c r="H32" s="1116">
        <v>0</v>
      </c>
    </row>
    <row r="33" spans="1:13" ht="16.5" hidden="1" thickTop="1" thickBot="1" x14ac:dyDescent="0.3">
      <c r="A33" s="1144">
        <v>3636</v>
      </c>
      <c r="B33" s="1111">
        <v>5169</v>
      </c>
      <c r="C33" s="1216" t="s">
        <v>971</v>
      </c>
      <c r="D33" s="1130" t="s">
        <v>430</v>
      </c>
      <c r="E33" s="1115"/>
      <c r="F33" s="1142"/>
      <c r="G33" s="1142"/>
      <c r="H33" s="1116" t="e">
        <f>G33/F33*100</f>
        <v>#DIV/0!</v>
      </c>
    </row>
    <row r="34" spans="1:13" ht="15.75" hidden="1" thickBot="1" x14ac:dyDescent="0.3">
      <c r="A34" s="1144">
        <v>3719</v>
      </c>
      <c r="B34" s="1111">
        <v>5169</v>
      </c>
      <c r="C34" s="1216" t="s">
        <v>872</v>
      </c>
      <c r="D34" s="1130" t="s">
        <v>430</v>
      </c>
      <c r="E34" s="1115">
        <v>0</v>
      </c>
      <c r="F34" s="1142">
        <v>0</v>
      </c>
      <c r="G34" s="1142">
        <v>0</v>
      </c>
      <c r="H34" s="1116" t="e">
        <f>G34/F34*100</f>
        <v>#DIV/0!</v>
      </c>
    </row>
    <row r="35" spans="1:13" ht="15.75" hidden="1" thickBot="1" x14ac:dyDescent="0.3">
      <c r="A35" s="1144">
        <v>4399</v>
      </c>
      <c r="B35" s="1211">
        <v>5363</v>
      </c>
      <c r="C35" s="1216" t="s">
        <v>971</v>
      </c>
      <c r="D35" s="1130" t="s">
        <v>739</v>
      </c>
      <c r="E35" s="1115">
        <v>0</v>
      </c>
      <c r="F35" s="1142">
        <v>0</v>
      </c>
      <c r="G35" s="1142">
        <v>0</v>
      </c>
      <c r="H35" s="1116">
        <v>0</v>
      </c>
    </row>
    <row r="36" spans="1:13" ht="15.75" hidden="1" thickBot="1" x14ac:dyDescent="0.3">
      <c r="A36" s="1144">
        <v>6330</v>
      </c>
      <c r="B36" s="1146">
        <v>5345</v>
      </c>
      <c r="C36" s="1216" t="s">
        <v>871</v>
      </c>
      <c r="D36" s="1132" t="s">
        <v>397</v>
      </c>
      <c r="E36" s="1115">
        <v>0</v>
      </c>
      <c r="F36" s="1142">
        <v>0</v>
      </c>
      <c r="G36" s="1142">
        <v>0</v>
      </c>
      <c r="H36" s="1116">
        <v>0</v>
      </c>
    </row>
    <row r="37" spans="1:13" ht="16.5" hidden="1" thickTop="1" thickBot="1" x14ac:dyDescent="0.3">
      <c r="A37" s="2568" t="s">
        <v>394</v>
      </c>
      <c r="B37" s="2569"/>
      <c r="C37" s="2569"/>
      <c r="D37" s="2570"/>
      <c r="E37" s="1113">
        <f>SUM(E28:E36)</f>
        <v>0</v>
      </c>
      <c r="F37" s="1113">
        <f>SUM(F28:F36)</f>
        <v>0</v>
      </c>
      <c r="G37" s="1113">
        <f>SUM(G28:G36)</f>
        <v>0</v>
      </c>
      <c r="H37" s="1117" t="e">
        <f>G37/F37*100</f>
        <v>#DIV/0!</v>
      </c>
    </row>
    <row r="38" spans="1:13" ht="15" x14ac:dyDescent="0.25">
      <c r="A38" s="1137"/>
      <c r="B38" s="1137"/>
      <c r="C38" s="1137"/>
      <c r="D38" s="1137"/>
      <c r="E38" s="1119"/>
      <c r="F38" s="1119"/>
      <c r="G38" s="1119"/>
      <c r="H38" s="1138"/>
    </row>
    <row r="39" spans="1:13" ht="15" hidden="1" x14ac:dyDescent="0.25">
      <c r="A39" s="1137"/>
      <c r="B39" s="1137"/>
      <c r="C39" s="1137"/>
      <c r="D39" s="1137"/>
      <c r="E39" s="1119"/>
      <c r="F39" s="1119"/>
      <c r="G39" s="1119"/>
      <c r="H39" s="1138"/>
    </row>
    <row r="40" spans="1:13" ht="15" hidden="1" x14ac:dyDescent="0.25">
      <c r="A40" s="1137"/>
      <c r="B40" s="1137"/>
      <c r="C40" s="1137"/>
      <c r="D40" s="1137"/>
      <c r="E40" s="1119"/>
      <c r="F40" s="1119"/>
      <c r="G40" s="1119"/>
      <c r="H40" s="1138"/>
    </row>
    <row r="41" spans="1:13" ht="15" hidden="1" x14ac:dyDescent="0.25">
      <c r="A41" s="1137"/>
      <c r="B41" s="1137"/>
      <c r="C41" s="1137"/>
      <c r="D41" s="1137"/>
      <c r="E41" s="1119"/>
      <c r="F41" s="1119"/>
      <c r="G41" s="1119"/>
      <c r="H41" s="1138"/>
    </row>
    <row r="42" spans="1:13" ht="15" hidden="1" x14ac:dyDescent="0.25">
      <c r="A42" s="1137"/>
      <c r="B42" s="1137"/>
      <c r="C42" s="1137"/>
      <c r="D42" s="1137"/>
      <c r="E42" s="1119"/>
      <c r="F42" s="1119"/>
      <c r="G42" s="1119"/>
      <c r="H42" s="1138"/>
    </row>
    <row r="43" spans="1:13" ht="18" x14ac:dyDescent="0.25">
      <c r="A43" s="1101"/>
      <c r="D43" s="1097"/>
      <c r="E43" s="1098"/>
      <c r="F43" s="1123"/>
      <c r="G43" s="1123"/>
      <c r="H43" s="1123"/>
    </row>
    <row r="44" spans="1:13" ht="16.5" x14ac:dyDescent="0.25">
      <c r="A44" s="1147" t="s">
        <v>251</v>
      </c>
      <c r="B44" s="1148"/>
      <c r="C44" s="1149"/>
      <c r="D44" s="1150"/>
      <c r="E44" s="1151">
        <f>SUM(E45:E47)</f>
        <v>1150</v>
      </c>
      <c r="F44" s="1151">
        <f>SUM(F45:F47)</f>
        <v>37</v>
      </c>
      <c r="G44" s="1151">
        <f>SUM(G45:G47)</f>
        <v>0</v>
      </c>
      <c r="H44" s="2183">
        <f>G44/F44*100</f>
        <v>0</v>
      </c>
      <c r="J44" s="1153">
        <f>J45+J46+J47</f>
        <v>1150000</v>
      </c>
      <c r="K44" s="1153">
        <f>K45+K46+K47</f>
        <v>37100</v>
      </c>
      <c r="L44" s="1153">
        <f>L45+L46+L47</f>
        <v>343</v>
      </c>
    </row>
    <row r="45" spans="1:13" ht="15" x14ac:dyDescent="0.2">
      <c r="A45" s="1011" t="s">
        <v>147</v>
      </c>
      <c r="B45" s="1013"/>
      <c r="C45" s="1009"/>
      <c r="D45" s="1154"/>
      <c r="E45" s="1012">
        <f>E13+E14+E17+E18+E16+E19+E20+E33</f>
        <v>1150</v>
      </c>
      <c r="F45" s="1012">
        <f>F13+F14+F17+F18+F16+F19+F20+F33</f>
        <v>37</v>
      </c>
      <c r="G45" s="1012">
        <f>G13+G14+G17+G18+G16+G19+G20+G33</f>
        <v>0</v>
      </c>
      <c r="H45" s="1152">
        <f>G45/F45*100</f>
        <v>0</v>
      </c>
      <c r="J45" s="1155">
        <v>1150000</v>
      </c>
      <c r="K45" s="1155">
        <v>37100</v>
      </c>
      <c r="L45" s="1155">
        <v>343</v>
      </c>
    </row>
    <row r="46" spans="1:13" ht="15" x14ac:dyDescent="0.2">
      <c r="A46" s="1011" t="s">
        <v>148</v>
      </c>
      <c r="B46" s="1010"/>
      <c r="C46" s="1009"/>
      <c r="D46" s="1156"/>
      <c r="E46" s="1012">
        <v>0</v>
      </c>
      <c r="F46" s="1012">
        <v>0</v>
      </c>
      <c r="G46" s="1012">
        <v>0</v>
      </c>
      <c r="H46" s="1152">
        <v>0</v>
      </c>
      <c r="J46" s="1155">
        <v>0</v>
      </c>
      <c r="K46" s="1155">
        <v>0</v>
      </c>
      <c r="L46" s="1155">
        <v>0</v>
      </c>
      <c r="M46" s="1099"/>
    </row>
    <row r="47" spans="1:13" ht="15" x14ac:dyDescent="0.2">
      <c r="A47" s="1011" t="s">
        <v>252</v>
      </c>
      <c r="B47" s="1010"/>
      <c r="C47" s="1009"/>
      <c r="D47" s="1156"/>
      <c r="E47" s="1012">
        <f>E21</f>
        <v>0</v>
      </c>
      <c r="F47" s="1012">
        <f>F21</f>
        <v>0</v>
      </c>
      <c r="G47" s="1012">
        <f>G21</f>
        <v>0</v>
      </c>
      <c r="H47" s="1152">
        <v>0</v>
      </c>
      <c r="J47" s="1155">
        <v>0</v>
      </c>
      <c r="K47" s="1155">
        <v>0</v>
      </c>
      <c r="L47" s="1155">
        <v>0</v>
      </c>
    </row>
    <row r="48" spans="1:13" ht="15" x14ac:dyDescent="0.2">
      <c r="A48" s="1011"/>
      <c r="B48" s="1010"/>
      <c r="C48" s="1009"/>
      <c r="D48" s="1156"/>
      <c r="E48" s="1012"/>
      <c r="F48" s="1012"/>
      <c r="G48" s="1012"/>
      <c r="H48" s="1157"/>
      <c r="J48" s="1099"/>
      <c r="K48" s="1099"/>
      <c r="L48" s="1099"/>
    </row>
    <row r="49" spans="1:12" ht="24" thickBot="1" x14ac:dyDescent="0.4">
      <c r="A49" s="3264" t="s">
        <v>738</v>
      </c>
      <c r="B49" s="3319"/>
      <c r="C49" s="3319"/>
      <c r="D49" s="3319"/>
      <c r="E49" s="1006">
        <f>SUM(E44)</f>
        <v>1150</v>
      </c>
      <c r="F49" s="1006">
        <f>SUM(F44)</f>
        <v>37</v>
      </c>
      <c r="G49" s="1006">
        <f>SUM(G44)</f>
        <v>0</v>
      </c>
      <c r="H49" s="1158">
        <f>(G49/F49)*100</f>
        <v>0</v>
      </c>
      <c r="J49" s="1099"/>
      <c r="K49" s="1099"/>
      <c r="L49" s="1099"/>
    </row>
    <row r="50" spans="1:12" s="1159" customFormat="1" ht="13.5" thickTop="1" x14ac:dyDescent="0.2">
      <c r="A50" s="1097"/>
      <c r="B50" s="1097"/>
      <c r="C50" s="1097"/>
      <c r="D50" s="1098"/>
      <c r="E50" s="1099"/>
      <c r="F50" s="1099"/>
      <c r="G50" s="1099"/>
      <c r="H50" s="1100"/>
      <c r="J50" s="1160"/>
      <c r="K50" s="1160"/>
      <c r="L50" s="1160"/>
    </row>
    <row r="51" spans="1:12" s="997" customFormat="1" x14ac:dyDescent="0.2">
      <c r="A51" s="1097"/>
      <c r="B51" s="1097"/>
      <c r="C51" s="1097"/>
      <c r="D51" s="1098"/>
      <c r="E51" s="1099"/>
      <c r="F51" s="1099"/>
      <c r="G51" s="1099"/>
      <c r="H51" s="1100"/>
    </row>
    <row r="52" spans="1:12" s="997" customFormat="1" x14ac:dyDescent="0.2">
      <c r="A52" s="1097"/>
      <c r="B52" s="1097"/>
      <c r="C52" s="1097"/>
      <c r="D52" s="1098"/>
      <c r="E52" s="1099"/>
      <c r="F52" s="1099"/>
      <c r="G52" s="1099"/>
      <c r="H52" s="1100"/>
    </row>
    <row r="53" spans="1:12" s="997" customFormat="1" x14ac:dyDescent="0.2">
      <c r="A53" s="1097"/>
      <c r="B53" s="1097"/>
      <c r="C53" s="1097"/>
      <c r="D53" s="1098"/>
      <c r="E53" s="1099"/>
      <c r="F53" s="1099"/>
      <c r="G53" s="1099"/>
      <c r="H53" s="1100"/>
    </row>
    <row r="54" spans="1:12" s="997" customFormat="1" x14ac:dyDescent="0.2">
      <c r="A54" s="1097"/>
      <c r="B54" s="1097"/>
      <c r="C54" s="1097"/>
      <c r="D54" s="1098"/>
      <c r="E54" s="1099"/>
      <c r="F54" s="1099"/>
      <c r="G54" s="1099"/>
      <c r="H54" s="1100"/>
    </row>
    <row r="55" spans="1:12" s="1004" customFormat="1" ht="31.5" customHeight="1" x14ac:dyDescent="0.35">
      <c r="A55" s="1097"/>
      <c r="B55" s="1097"/>
      <c r="C55" s="1097"/>
      <c r="D55" s="1098"/>
      <c r="E55" s="1099"/>
      <c r="F55" s="1099"/>
      <c r="G55" s="1099"/>
      <c r="H55" s="1100"/>
    </row>
  </sheetData>
  <mergeCells count="3">
    <mergeCell ref="G1:H1"/>
    <mergeCell ref="A49:D49"/>
    <mergeCell ref="G2:H2"/>
  </mergeCells>
  <pageMargins left="0.98425196850393704" right="0.98425196850393704" top="0.98425196850393704" bottom="0.98425196850393704" header="0.51181102362204722" footer="0.51181102362204722"/>
  <pageSetup paperSize="9" scale="65" firstPageNumber="129" orientation="portrait" useFirstPageNumber="1" r:id="rId1"/>
  <headerFooter alignWithMargins="0">
    <oddFooter>&amp;L&amp;"Arial,Kurzíva"Zastupitelstvo Olomouckého kraje 25. 6. 2018
5. - Rozpočet Olomouckého kraje 2017 - závěrečný  účet 
Příloha č. 3: Plnění rozpočtu výdajů Olomouckého kraje k 31. 12. 2017&amp;R&amp;"Arial,Kurzíva"Strana &amp;P (celkem 478)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">
    <tabColor rgb="FFCCFFFF"/>
  </sheetPr>
  <dimension ref="A1:T299"/>
  <sheetViews>
    <sheetView showGridLines="0" view="pageBreakPreview" topLeftCell="A266" zoomScaleNormal="100" zoomScaleSheetLayoutView="100" workbookViewId="0">
      <selection activeCell="H50" sqref="H50"/>
    </sheetView>
  </sheetViews>
  <sheetFormatPr defaultColWidth="9.140625" defaultRowHeight="12.75" x14ac:dyDescent="0.2"/>
  <cols>
    <col min="1" max="1" width="5.28515625" style="584" customWidth="1"/>
    <col min="2" max="2" width="4.85546875" style="1360" customWidth="1"/>
    <col min="3" max="3" width="9.7109375" style="648" customWidth="1"/>
    <col min="4" max="4" width="46.5703125" style="372" customWidth="1"/>
    <col min="5" max="5" width="14.5703125" style="373" customWidth="1"/>
    <col min="6" max="6" width="14" style="373" customWidth="1"/>
    <col min="7" max="7" width="14.42578125" style="373" customWidth="1"/>
    <col min="8" max="8" width="8.140625" style="1568" customWidth="1"/>
    <col min="9" max="9" width="9.140625" style="372"/>
    <col min="10" max="10" width="17.85546875" style="372" bestFit="1" customWidth="1"/>
    <col min="11" max="11" width="17.5703125" style="372" customWidth="1"/>
    <col min="12" max="12" width="18.140625" style="372" customWidth="1"/>
    <col min="13" max="15" width="9.140625" style="372"/>
    <col min="16" max="16" width="12.7109375" style="372" bestFit="1" customWidth="1"/>
    <col min="17" max="17" width="13.85546875" style="372" customWidth="1"/>
    <col min="18" max="18" width="13.28515625" style="372" customWidth="1"/>
    <col min="19" max="16384" width="9.140625" style="372"/>
  </cols>
  <sheetData>
    <row r="1" spans="1:9" ht="18.75" thickBot="1" x14ac:dyDescent="0.3">
      <c r="A1" s="441" t="s">
        <v>886</v>
      </c>
      <c r="B1" s="442"/>
      <c r="C1" s="454"/>
      <c r="D1" s="453"/>
      <c r="E1" s="444"/>
      <c r="F1" s="445" t="s">
        <v>581</v>
      </c>
      <c r="I1" s="17"/>
    </row>
    <row r="2" spans="1:9" ht="12.75" customHeight="1" x14ac:dyDescent="0.25">
      <c r="A2" s="6"/>
      <c r="B2" s="28"/>
      <c r="C2" s="57"/>
      <c r="D2" s="10"/>
      <c r="E2" s="302"/>
      <c r="F2" s="302"/>
      <c r="G2" s="16"/>
      <c r="H2" s="364"/>
      <c r="I2" s="17"/>
    </row>
    <row r="3" spans="1:9" ht="12.75" customHeight="1" x14ac:dyDescent="0.25">
      <c r="A3" s="67" t="s">
        <v>201</v>
      </c>
      <c r="B3" s="28"/>
      <c r="C3" s="483" t="s">
        <v>944</v>
      </c>
      <c r="D3" s="569"/>
      <c r="E3" s="302"/>
      <c r="F3" s="16"/>
      <c r="G3" s="17"/>
      <c r="H3" s="364"/>
    </row>
    <row r="4" spans="1:9" ht="14.25" customHeight="1" x14ac:dyDescent="0.25">
      <c r="A4" s="6"/>
      <c r="B4" s="28"/>
      <c r="C4" s="483" t="s">
        <v>1092</v>
      </c>
      <c r="D4" s="373"/>
      <c r="E4" s="302"/>
      <c r="F4" s="16"/>
      <c r="G4" s="17"/>
      <c r="H4" s="364"/>
    </row>
    <row r="5" spans="1:9" ht="12.75" customHeight="1" x14ac:dyDescent="0.25">
      <c r="A5" s="6"/>
      <c r="B5" s="28"/>
      <c r="C5" s="483"/>
      <c r="D5" s="373"/>
      <c r="E5" s="302"/>
      <c r="F5" s="16"/>
      <c r="G5" s="17"/>
      <c r="H5" s="364"/>
    </row>
    <row r="6" spans="1:9" ht="18" x14ac:dyDescent="0.25">
      <c r="A6" s="33" t="s">
        <v>1150</v>
      </c>
      <c r="B6" s="28"/>
      <c r="C6" s="57"/>
      <c r="D6" s="10"/>
      <c r="E6" s="302"/>
      <c r="F6" s="302"/>
      <c r="G6" s="16"/>
      <c r="H6" s="364"/>
      <c r="I6" s="17"/>
    </row>
    <row r="7" spans="1:9" ht="13.5" thickBot="1" x14ac:dyDescent="0.25">
      <c r="A7" s="570"/>
      <c r="B7" s="570"/>
      <c r="C7" s="649"/>
      <c r="D7" s="571"/>
      <c r="G7" s="560"/>
      <c r="H7" s="1568" t="s">
        <v>92</v>
      </c>
    </row>
    <row r="8" spans="1:9" s="106" customFormat="1" ht="20.25" customHeight="1" thickTop="1" thickBot="1" x14ac:dyDescent="0.25">
      <c r="A8" s="572" t="s">
        <v>93</v>
      </c>
      <c r="B8" s="573" t="s">
        <v>94</v>
      </c>
      <c r="C8" s="575" t="s">
        <v>364</v>
      </c>
      <c r="D8" s="575" t="s">
        <v>95</v>
      </c>
      <c r="E8" s="1649" t="s">
        <v>328</v>
      </c>
      <c r="F8" s="1649" t="s">
        <v>329</v>
      </c>
      <c r="G8" s="575" t="s">
        <v>448</v>
      </c>
      <c r="H8" s="576" t="s">
        <v>449</v>
      </c>
    </row>
    <row r="9" spans="1:9" s="374" customFormat="1" ht="13.5" thickTop="1" thickBot="1" x14ac:dyDescent="0.25">
      <c r="A9" s="511">
        <v>1</v>
      </c>
      <c r="B9" s="512">
        <v>2</v>
      </c>
      <c r="C9" s="512">
        <v>3</v>
      </c>
      <c r="D9" s="512">
        <v>4</v>
      </c>
      <c r="E9" s="512">
        <v>5</v>
      </c>
      <c r="F9" s="499">
        <v>6</v>
      </c>
      <c r="G9" s="499">
        <v>7</v>
      </c>
      <c r="H9" s="577" t="s">
        <v>33</v>
      </c>
      <c r="I9" s="106"/>
    </row>
    <row r="10" spans="1:9" s="374" customFormat="1" ht="15.75" thickTop="1" x14ac:dyDescent="0.25">
      <c r="A10" s="921">
        <v>3341</v>
      </c>
      <c r="B10" s="2332">
        <v>5169</v>
      </c>
      <c r="D10" s="1850" t="s">
        <v>430</v>
      </c>
      <c r="E10" s="689">
        <v>0</v>
      </c>
      <c r="F10" s="689">
        <f>F11</f>
        <v>252</v>
      </c>
      <c r="G10" s="689">
        <f>G11</f>
        <v>252</v>
      </c>
      <c r="H10" s="2333">
        <f>(G10/F10)*100</f>
        <v>100</v>
      </c>
      <c r="I10" s="106"/>
    </row>
    <row r="11" spans="1:9" s="374" customFormat="1" ht="25.5" x14ac:dyDescent="0.2">
      <c r="A11" s="921"/>
      <c r="B11" s="1550"/>
      <c r="C11" s="633" t="s">
        <v>1091</v>
      </c>
      <c r="D11" s="2527" t="s">
        <v>1604</v>
      </c>
      <c r="E11" s="2482">
        <v>0</v>
      </c>
      <c r="F11" s="2485">
        <v>252</v>
      </c>
      <c r="G11" s="2482">
        <v>252</v>
      </c>
      <c r="H11" s="2700">
        <f t="shared" ref="H11:H38" si="0">(G11/F11)*100</f>
        <v>100</v>
      </c>
      <c r="I11" s="106"/>
    </row>
    <row r="12" spans="1:9" s="374" customFormat="1" ht="30" x14ac:dyDescent="0.2">
      <c r="A12" s="921">
        <v>4339</v>
      </c>
      <c r="B12" s="2522">
        <v>5223</v>
      </c>
      <c r="D12" s="2905" t="s">
        <v>1820</v>
      </c>
      <c r="E12" s="2822">
        <f>E13</f>
        <v>0</v>
      </c>
      <c r="F12" s="2997">
        <f t="shared" ref="F12:G12" si="1">F13</f>
        <v>40</v>
      </c>
      <c r="G12" s="929">
        <f t="shared" si="1"/>
        <v>40</v>
      </c>
      <c r="H12" s="995">
        <f t="shared" si="0"/>
        <v>100</v>
      </c>
      <c r="I12" s="106"/>
    </row>
    <row r="13" spans="1:9" s="374" customFormat="1" ht="25.5" x14ac:dyDescent="0.2">
      <c r="A13" s="921"/>
      <c r="B13" s="3139"/>
      <c r="C13" s="633" t="s">
        <v>1091</v>
      </c>
      <c r="D13" s="3138" t="s">
        <v>1604</v>
      </c>
      <c r="E13" s="2482">
        <v>0</v>
      </c>
      <c r="F13" s="2485">
        <v>40</v>
      </c>
      <c r="G13" s="2482">
        <v>40</v>
      </c>
      <c r="H13" s="2700">
        <f t="shared" si="0"/>
        <v>100</v>
      </c>
      <c r="I13" s="106"/>
    </row>
    <row r="14" spans="1:9" s="374" customFormat="1" ht="15" x14ac:dyDescent="0.25">
      <c r="A14" s="921">
        <v>5272</v>
      </c>
      <c r="B14" s="1550">
        <v>5168</v>
      </c>
      <c r="C14" s="1033"/>
      <c r="D14" s="3183" t="s">
        <v>1153</v>
      </c>
      <c r="E14" s="428">
        <v>30</v>
      </c>
      <c r="F14" s="2997">
        <v>30</v>
      </c>
      <c r="G14" s="929">
        <v>0</v>
      </c>
      <c r="H14" s="804">
        <f t="shared" si="0"/>
        <v>0</v>
      </c>
      <c r="I14" s="106"/>
    </row>
    <row r="15" spans="1:9" s="374" customFormat="1" ht="15" x14ac:dyDescent="0.25">
      <c r="A15" s="921"/>
      <c r="B15" s="1550"/>
      <c r="C15" s="1033"/>
      <c r="D15" s="3184"/>
      <c r="E15" s="879"/>
      <c r="F15" s="1549"/>
      <c r="G15" s="948"/>
      <c r="H15" s="804"/>
      <c r="I15" s="106"/>
    </row>
    <row r="16" spans="1:9" s="374" customFormat="1" ht="15" hidden="1" x14ac:dyDescent="0.25">
      <c r="A16" s="2608">
        <v>5273</v>
      </c>
      <c r="B16" s="1550">
        <v>5041</v>
      </c>
      <c r="C16" s="505"/>
      <c r="D16" s="2004" t="s">
        <v>995</v>
      </c>
      <c r="E16" s="879"/>
      <c r="F16" s="929">
        <f>F17</f>
        <v>0</v>
      </c>
      <c r="G16" s="929">
        <f>G17</f>
        <v>0</v>
      </c>
      <c r="H16" s="2334" t="e">
        <f>(G16/F16)*100</f>
        <v>#DIV/0!</v>
      </c>
      <c r="I16" s="106"/>
    </row>
    <row r="17" spans="1:9" s="374" customFormat="1" ht="25.5" hidden="1" x14ac:dyDescent="0.2">
      <c r="A17" s="921"/>
      <c r="B17" s="1550"/>
      <c r="C17" s="633" t="s">
        <v>1091</v>
      </c>
      <c r="D17" s="2527" t="s">
        <v>1604</v>
      </c>
      <c r="E17" s="879"/>
      <c r="F17" s="2485"/>
      <c r="G17" s="2482"/>
      <c r="H17" s="2700" t="e">
        <f t="shared" ref="H17" si="2">(G17/F17)*100</f>
        <v>#DIV/0!</v>
      </c>
      <c r="I17" s="106"/>
    </row>
    <row r="18" spans="1:9" s="374" customFormat="1" ht="15" x14ac:dyDescent="0.25">
      <c r="A18" s="921">
        <v>5273</v>
      </c>
      <c r="B18" s="1550">
        <v>5134</v>
      </c>
      <c r="C18" s="1067"/>
      <c r="D18" s="1060" t="s">
        <v>315</v>
      </c>
      <c r="E18" s="428">
        <v>80</v>
      </c>
      <c r="F18" s="2997">
        <v>80</v>
      </c>
      <c r="G18" s="929">
        <v>56</v>
      </c>
      <c r="H18" s="804">
        <f t="shared" si="0"/>
        <v>70</v>
      </c>
      <c r="I18" s="106"/>
    </row>
    <row r="19" spans="1:9" s="374" customFormat="1" ht="15" x14ac:dyDescent="0.25">
      <c r="A19" s="921">
        <v>5273</v>
      </c>
      <c r="B19" s="1550">
        <v>5136</v>
      </c>
      <c r="C19" s="1067"/>
      <c r="D19" s="1060" t="s">
        <v>316</v>
      </c>
      <c r="E19" s="428">
        <v>1</v>
      </c>
      <c r="F19" s="2997">
        <v>1</v>
      </c>
      <c r="G19" s="929">
        <v>0</v>
      </c>
      <c r="H19" s="804">
        <f t="shared" si="0"/>
        <v>0</v>
      </c>
      <c r="I19" s="106"/>
    </row>
    <row r="20" spans="1:9" s="374" customFormat="1" ht="15" x14ac:dyDescent="0.25">
      <c r="A20" s="2343">
        <v>5273</v>
      </c>
      <c r="B20" s="1073">
        <v>5137</v>
      </c>
      <c r="C20" s="1067"/>
      <c r="D20" s="1060" t="s">
        <v>88</v>
      </c>
      <c r="E20" s="428">
        <f>E21+E22</f>
        <v>5</v>
      </c>
      <c r="F20" s="428">
        <f t="shared" ref="F20:G20" si="3">F21+F22</f>
        <v>35</v>
      </c>
      <c r="G20" s="428">
        <f t="shared" si="3"/>
        <v>33</v>
      </c>
      <c r="H20" s="804">
        <f t="shared" si="0"/>
        <v>94.285714285714278</v>
      </c>
      <c r="I20" s="106"/>
    </row>
    <row r="21" spans="1:9" s="374" customFormat="1" ht="14.25" x14ac:dyDescent="0.2">
      <c r="A21" s="2343"/>
      <c r="B21" s="1073"/>
      <c r="C21" s="1028" t="s">
        <v>871</v>
      </c>
      <c r="D21" s="1034" t="s">
        <v>600</v>
      </c>
      <c r="E21" s="432">
        <v>5</v>
      </c>
      <c r="F21" s="1549">
        <v>5</v>
      </c>
      <c r="G21" s="948">
        <v>3</v>
      </c>
      <c r="H21" s="807">
        <f t="shared" si="0"/>
        <v>60</v>
      </c>
      <c r="I21" s="106"/>
    </row>
    <row r="22" spans="1:9" s="374" customFormat="1" ht="25.5" x14ac:dyDescent="0.2">
      <c r="A22" s="2343"/>
      <c r="B22" s="1073"/>
      <c r="C22" s="633" t="s">
        <v>1091</v>
      </c>
      <c r="D22" s="2527" t="s">
        <v>1604</v>
      </c>
      <c r="E22" s="3000">
        <v>0</v>
      </c>
      <c r="F22" s="3000">
        <v>30</v>
      </c>
      <c r="G22" s="3000">
        <v>30</v>
      </c>
      <c r="H22" s="2916">
        <f t="shared" si="0"/>
        <v>100</v>
      </c>
      <c r="I22" s="106"/>
    </row>
    <row r="23" spans="1:9" s="374" customFormat="1" ht="15" x14ac:dyDescent="0.25">
      <c r="A23" s="2343">
        <v>5273</v>
      </c>
      <c r="B23" s="1073">
        <v>5139</v>
      </c>
      <c r="C23" s="1067"/>
      <c r="D23" s="1032" t="s">
        <v>396</v>
      </c>
      <c r="E23" s="1065">
        <f>E24+E25</f>
        <v>70</v>
      </c>
      <c r="F23" s="1065">
        <f>F24+F25</f>
        <v>170</v>
      </c>
      <c r="G23" s="1065">
        <f>G24+G25</f>
        <v>149</v>
      </c>
      <c r="H23" s="1064">
        <f t="shared" si="0"/>
        <v>87.647058823529406</v>
      </c>
      <c r="I23" s="106"/>
    </row>
    <row r="24" spans="1:9" s="374" customFormat="1" ht="14.25" x14ac:dyDescent="0.2">
      <c r="A24" s="2343"/>
      <c r="B24" s="1073"/>
      <c r="C24" s="1028" t="s">
        <v>871</v>
      </c>
      <c r="D24" s="1034" t="s">
        <v>600</v>
      </c>
      <c r="E24" s="1022">
        <v>70</v>
      </c>
      <c r="F24" s="1023">
        <v>70</v>
      </c>
      <c r="G24" s="1022">
        <v>70</v>
      </c>
      <c r="H24" s="1061">
        <f t="shared" si="0"/>
        <v>100</v>
      </c>
      <c r="I24" s="106"/>
    </row>
    <row r="25" spans="1:9" s="374" customFormat="1" ht="25.5" x14ac:dyDescent="0.2">
      <c r="A25" s="2344"/>
      <c r="B25" s="1026"/>
      <c r="C25" s="633" t="s">
        <v>1091</v>
      </c>
      <c r="D25" s="2527" t="s">
        <v>1604</v>
      </c>
      <c r="E25" s="2482">
        <v>0</v>
      </c>
      <c r="F25" s="2485">
        <v>100</v>
      </c>
      <c r="G25" s="2482">
        <v>79</v>
      </c>
      <c r="H25" s="2700">
        <f t="shared" ref="H25" si="4">(G25/F25)*100</f>
        <v>79</v>
      </c>
      <c r="I25" s="106"/>
    </row>
    <row r="26" spans="1:9" s="374" customFormat="1" ht="15" hidden="1" x14ac:dyDescent="0.25">
      <c r="A26" s="2608">
        <v>5273</v>
      </c>
      <c r="B26" s="1026">
        <v>5151</v>
      </c>
      <c r="C26" s="505"/>
      <c r="D26" s="907" t="s">
        <v>435</v>
      </c>
      <c r="E26" s="1022"/>
      <c r="F26" s="1065">
        <f>F27</f>
        <v>0</v>
      </c>
      <c r="G26" s="1065">
        <f>G27</f>
        <v>0</v>
      </c>
      <c r="H26" s="2335" t="e">
        <f>(G26/F26)*100</f>
        <v>#DIV/0!</v>
      </c>
      <c r="I26" s="106"/>
    </row>
    <row r="27" spans="1:9" s="374" customFormat="1" ht="25.5" hidden="1" x14ac:dyDescent="0.2">
      <c r="A27" s="2344"/>
      <c r="B27" s="1026"/>
      <c r="C27" s="633" t="s">
        <v>1091</v>
      </c>
      <c r="D27" s="2527" t="s">
        <v>1604</v>
      </c>
      <c r="E27" s="1022"/>
      <c r="F27" s="2485"/>
      <c r="G27" s="2482"/>
      <c r="H27" s="2700" t="e">
        <f t="shared" ref="H27" si="5">(G27/F27)*100</f>
        <v>#DIV/0!</v>
      </c>
      <c r="I27" s="106"/>
    </row>
    <row r="28" spans="1:9" s="374" customFormat="1" ht="15" x14ac:dyDescent="0.25">
      <c r="A28" s="2344">
        <v>5273</v>
      </c>
      <c r="B28" s="1026">
        <v>5153</v>
      </c>
      <c r="C28" s="1028"/>
      <c r="D28" s="1068" t="s">
        <v>582</v>
      </c>
      <c r="E28" s="1030">
        <v>0</v>
      </c>
      <c r="F28" s="1031">
        <v>3</v>
      </c>
      <c r="G28" s="1030">
        <v>3</v>
      </c>
      <c r="H28" s="1058">
        <f t="shared" si="0"/>
        <v>100</v>
      </c>
      <c r="I28" s="106"/>
    </row>
    <row r="29" spans="1:9" s="374" customFormat="1" ht="15" hidden="1" x14ac:dyDescent="0.25">
      <c r="A29" s="2608">
        <v>5273</v>
      </c>
      <c r="B29" s="1026">
        <v>5154</v>
      </c>
      <c r="C29" s="505"/>
      <c r="D29" s="907" t="s">
        <v>159</v>
      </c>
      <c r="E29" s="1030"/>
      <c r="F29" s="1030">
        <f>F30</f>
        <v>0</v>
      </c>
      <c r="G29" s="1030">
        <f>G30</f>
        <v>0</v>
      </c>
      <c r="H29" s="2335" t="e">
        <f>(G29/F29)*100</f>
        <v>#DIV/0!</v>
      </c>
      <c r="I29" s="106"/>
    </row>
    <row r="30" spans="1:9" s="374" customFormat="1" ht="25.5" hidden="1" x14ac:dyDescent="0.2">
      <c r="A30" s="2344"/>
      <c r="B30" s="1026"/>
      <c r="C30" s="633" t="s">
        <v>1091</v>
      </c>
      <c r="D30" s="2527" t="s">
        <v>1604</v>
      </c>
      <c r="E30" s="1022"/>
      <c r="F30" s="2485"/>
      <c r="G30" s="2482"/>
      <c r="H30" s="2700" t="e">
        <f t="shared" ref="H30" si="6">(G30/F30)*100</f>
        <v>#DIV/0!</v>
      </c>
      <c r="I30" s="106"/>
    </row>
    <row r="31" spans="1:9" s="374" customFormat="1" ht="15" x14ac:dyDescent="0.25">
      <c r="A31" s="2344">
        <v>5273</v>
      </c>
      <c r="B31" s="1026">
        <v>5164</v>
      </c>
      <c r="C31" s="1067"/>
      <c r="D31" s="1060" t="s">
        <v>101</v>
      </c>
      <c r="E31" s="1065">
        <f>E32+E33</f>
        <v>10</v>
      </c>
      <c r="F31" s="1065">
        <f t="shared" ref="F31:G31" si="7">F32+F33</f>
        <v>41</v>
      </c>
      <c r="G31" s="1065">
        <f t="shared" si="7"/>
        <v>26</v>
      </c>
      <c r="H31" s="1064">
        <f t="shared" si="0"/>
        <v>63.414634146341463</v>
      </c>
      <c r="I31" s="106"/>
    </row>
    <row r="32" spans="1:9" s="374" customFormat="1" ht="14.25" x14ac:dyDescent="0.2">
      <c r="A32" s="2343"/>
      <c r="B32" s="1073"/>
      <c r="C32" s="1028" t="s">
        <v>871</v>
      </c>
      <c r="D32" s="1034" t="s">
        <v>600</v>
      </c>
      <c r="E32" s="1022">
        <v>10</v>
      </c>
      <c r="F32" s="1023">
        <v>7</v>
      </c>
      <c r="G32" s="1022">
        <v>0</v>
      </c>
      <c r="H32" s="1061">
        <f t="shared" si="0"/>
        <v>0</v>
      </c>
      <c r="I32" s="106"/>
    </row>
    <row r="33" spans="1:9" s="374" customFormat="1" ht="25.5" x14ac:dyDescent="0.2">
      <c r="A33" s="2344"/>
      <c r="B33" s="1026"/>
      <c r="C33" s="633" t="s">
        <v>1091</v>
      </c>
      <c r="D33" s="2527" t="s">
        <v>1604</v>
      </c>
      <c r="E33" s="2482">
        <v>0</v>
      </c>
      <c r="F33" s="2485">
        <v>34</v>
      </c>
      <c r="G33" s="2482">
        <v>26</v>
      </c>
      <c r="H33" s="2700">
        <f t="shared" ref="H33" si="8">(G33/F33)*100</f>
        <v>76.470588235294116</v>
      </c>
      <c r="I33" s="106"/>
    </row>
    <row r="34" spans="1:9" s="374" customFormat="1" ht="15" x14ac:dyDescent="0.25">
      <c r="A34" s="2344">
        <v>5273</v>
      </c>
      <c r="B34" s="1026">
        <v>5169</v>
      </c>
      <c r="C34" s="1067"/>
      <c r="D34" s="1060" t="s">
        <v>430</v>
      </c>
      <c r="E34" s="1065">
        <f>E35+E36</f>
        <v>150</v>
      </c>
      <c r="F34" s="1065">
        <f t="shared" ref="F34:G34" si="9">F35+F36</f>
        <v>450</v>
      </c>
      <c r="G34" s="1065">
        <f t="shared" si="9"/>
        <v>410</v>
      </c>
      <c r="H34" s="1064">
        <f t="shared" si="0"/>
        <v>91.111111111111114</v>
      </c>
      <c r="I34" s="106"/>
    </row>
    <row r="35" spans="1:9" s="374" customFormat="1" ht="14.25" x14ac:dyDescent="0.2">
      <c r="A35" s="2344"/>
      <c r="B35" s="1026"/>
      <c r="C35" s="1028" t="s">
        <v>871</v>
      </c>
      <c r="D35" s="1034" t="s">
        <v>600</v>
      </c>
      <c r="E35" s="1022">
        <v>150</v>
      </c>
      <c r="F35" s="1023">
        <v>250</v>
      </c>
      <c r="G35" s="1022">
        <v>231</v>
      </c>
      <c r="H35" s="1061">
        <f t="shared" si="0"/>
        <v>92.4</v>
      </c>
      <c r="I35" s="106"/>
    </row>
    <row r="36" spans="1:9" s="374" customFormat="1" ht="25.5" x14ac:dyDescent="0.2">
      <c r="A36" s="2344"/>
      <c r="B36" s="1026"/>
      <c r="C36" s="633" t="s">
        <v>1091</v>
      </c>
      <c r="D36" s="2527" t="s">
        <v>1604</v>
      </c>
      <c r="E36" s="2482">
        <v>0</v>
      </c>
      <c r="F36" s="2485">
        <v>200</v>
      </c>
      <c r="G36" s="2482">
        <v>179</v>
      </c>
      <c r="H36" s="2700">
        <f t="shared" ref="H36" si="10">(G36/F36)*100</f>
        <v>89.5</v>
      </c>
      <c r="I36" s="975"/>
    </row>
    <row r="37" spans="1:9" s="374" customFormat="1" ht="15" x14ac:dyDescent="0.25">
      <c r="A37" s="2344">
        <v>5273</v>
      </c>
      <c r="B37" s="1026">
        <v>5175</v>
      </c>
      <c r="C37" s="1028"/>
      <c r="D37" s="1036" t="s">
        <v>352</v>
      </c>
      <c r="E37" s="1065">
        <f>E38+E39</f>
        <v>150</v>
      </c>
      <c r="F37" s="1065">
        <f t="shared" ref="F37:G37" si="11">F38+F39</f>
        <v>266</v>
      </c>
      <c r="G37" s="1065">
        <f t="shared" si="11"/>
        <v>231</v>
      </c>
      <c r="H37" s="1058">
        <f t="shared" si="0"/>
        <v>86.842105263157904</v>
      </c>
      <c r="I37" s="106"/>
    </row>
    <row r="38" spans="1:9" s="374" customFormat="1" ht="14.25" x14ac:dyDescent="0.2">
      <c r="A38" s="2344"/>
      <c r="B38" s="1026"/>
      <c r="C38" s="1028" t="s">
        <v>871</v>
      </c>
      <c r="D38" s="1034" t="s">
        <v>600</v>
      </c>
      <c r="E38" s="1022">
        <v>150</v>
      </c>
      <c r="F38" s="1023">
        <v>50</v>
      </c>
      <c r="G38" s="1022">
        <v>50</v>
      </c>
      <c r="H38" s="1061">
        <f t="shared" si="0"/>
        <v>100</v>
      </c>
      <c r="I38" s="106"/>
    </row>
    <row r="39" spans="1:9" s="374" customFormat="1" ht="25.5" x14ac:dyDescent="0.2">
      <c r="A39" s="2344"/>
      <c r="B39" s="1026"/>
      <c r="C39" s="633" t="s">
        <v>1091</v>
      </c>
      <c r="D39" s="2527" t="s">
        <v>1604</v>
      </c>
      <c r="E39" s="2482">
        <v>0</v>
      </c>
      <c r="F39" s="2485">
        <v>216</v>
      </c>
      <c r="G39" s="2482">
        <v>181</v>
      </c>
      <c r="H39" s="2700">
        <f t="shared" ref="H39" si="12">(G39/F39)*100</f>
        <v>83.796296296296291</v>
      </c>
      <c r="I39" s="106"/>
    </row>
    <row r="40" spans="1:9" s="374" customFormat="1" ht="15" x14ac:dyDescent="0.25">
      <c r="A40" s="2344">
        <v>5273</v>
      </c>
      <c r="B40" s="1026">
        <v>5194</v>
      </c>
      <c r="C40" s="1028"/>
      <c r="D40" s="644" t="s">
        <v>309</v>
      </c>
      <c r="E40" s="1065">
        <f>E41</f>
        <v>0</v>
      </c>
      <c r="F40" s="1065">
        <f>F41</f>
        <v>70</v>
      </c>
      <c r="G40" s="1065">
        <f>G41</f>
        <v>65</v>
      </c>
      <c r="H40" s="1064">
        <f t="shared" ref="H40:H43" si="13">(G40/F40)*100</f>
        <v>92.857142857142861</v>
      </c>
      <c r="I40" s="106"/>
    </row>
    <row r="41" spans="1:9" s="374" customFormat="1" ht="14.25" x14ac:dyDescent="0.2">
      <c r="A41" s="2344"/>
      <c r="B41" s="1026"/>
      <c r="C41" s="1033" t="s">
        <v>1086</v>
      </c>
      <c r="D41" s="2329" t="s">
        <v>1090</v>
      </c>
      <c r="E41" s="1022">
        <v>0</v>
      </c>
      <c r="F41" s="1063">
        <v>70</v>
      </c>
      <c r="G41" s="1062">
        <v>65</v>
      </c>
      <c r="H41" s="1061">
        <f t="shared" si="13"/>
        <v>92.857142857142861</v>
      </c>
      <c r="I41" s="106"/>
    </row>
    <row r="42" spans="1:9" s="374" customFormat="1" ht="15" x14ac:dyDescent="0.25">
      <c r="A42" s="2344">
        <v>5299</v>
      </c>
      <c r="B42" s="1026">
        <v>5492</v>
      </c>
      <c r="C42" s="1028"/>
      <c r="D42" s="644" t="s">
        <v>429</v>
      </c>
      <c r="E42" s="2998">
        <f>E43</f>
        <v>0</v>
      </c>
      <c r="F42" s="2998">
        <f t="shared" ref="F42:G42" si="14">F43</f>
        <v>50</v>
      </c>
      <c r="G42" s="2998">
        <f t="shared" si="14"/>
        <v>50</v>
      </c>
      <c r="H42" s="2904">
        <f t="shared" si="13"/>
        <v>100</v>
      </c>
      <c r="I42" s="106"/>
    </row>
    <row r="43" spans="1:9" s="374" customFormat="1" ht="14.25" x14ac:dyDescent="0.2">
      <c r="A43" s="2344"/>
      <c r="B43" s="1026"/>
      <c r="C43" s="1033" t="s">
        <v>1087</v>
      </c>
      <c r="D43" s="2329" t="s">
        <v>1818</v>
      </c>
      <c r="E43" s="2482">
        <v>0</v>
      </c>
      <c r="F43" s="2701">
        <v>50</v>
      </c>
      <c r="G43" s="2702">
        <v>50</v>
      </c>
      <c r="H43" s="2700">
        <f t="shared" si="13"/>
        <v>100</v>
      </c>
      <c r="I43" s="106"/>
    </row>
    <row r="44" spans="1:9" s="374" customFormat="1" ht="15" x14ac:dyDescent="0.25">
      <c r="A44" s="2344">
        <v>5511</v>
      </c>
      <c r="B44" s="1026">
        <v>5311</v>
      </c>
      <c r="C44" s="1028"/>
      <c r="D44" s="644" t="s">
        <v>831</v>
      </c>
      <c r="E44" s="2998">
        <f>E45</f>
        <v>0</v>
      </c>
      <c r="F44" s="2998">
        <f t="shared" ref="F44" si="15">F45</f>
        <v>1360</v>
      </c>
      <c r="G44" s="2998">
        <f t="shared" ref="G44" si="16">G45</f>
        <v>1336</v>
      </c>
      <c r="H44" s="2904">
        <f t="shared" ref="H44:H45" si="17">(G44/F44)*100</f>
        <v>98.235294117647058</v>
      </c>
      <c r="I44" s="106"/>
    </row>
    <row r="45" spans="1:9" s="374" customFormat="1" ht="14.25" x14ac:dyDescent="0.2">
      <c r="A45" s="2344"/>
      <c r="B45" s="1026"/>
      <c r="C45" s="1033" t="s">
        <v>1087</v>
      </c>
      <c r="D45" s="2329" t="s">
        <v>1818</v>
      </c>
      <c r="E45" s="2482">
        <v>0</v>
      </c>
      <c r="F45" s="2701">
        <v>1360</v>
      </c>
      <c r="G45" s="2702">
        <v>1336</v>
      </c>
      <c r="H45" s="2700">
        <f t="shared" si="17"/>
        <v>98.235294117647058</v>
      </c>
      <c r="I45" s="106"/>
    </row>
    <row r="46" spans="1:9" s="374" customFormat="1" ht="15" hidden="1" x14ac:dyDescent="0.25">
      <c r="A46" s="2609">
        <v>5512</v>
      </c>
      <c r="B46" s="2079">
        <v>5139</v>
      </c>
      <c r="D46" s="1869" t="s">
        <v>396</v>
      </c>
      <c r="E46" s="879"/>
      <c r="F46" s="1065">
        <f>F47</f>
        <v>0</v>
      </c>
      <c r="G46" s="1065">
        <f>G47</f>
        <v>0</v>
      </c>
      <c r="H46" s="2338" t="e">
        <f>(G46/F46)*100</f>
        <v>#DIV/0!</v>
      </c>
      <c r="I46" s="106"/>
    </row>
    <row r="47" spans="1:9" s="374" customFormat="1" ht="25.5" hidden="1" x14ac:dyDescent="0.2">
      <c r="A47" s="2344"/>
      <c r="B47" s="1026"/>
      <c r="C47" s="633" t="s">
        <v>1091</v>
      </c>
      <c r="D47" s="2527" t="s">
        <v>1604</v>
      </c>
      <c r="E47" s="2482"/>
      <c r="F47" s="2701"/>
      <c r="G47" s="2702"/>
      <c r="H47" s="2700" t="e">
        <f>(G47/F47)*100</f>
        <v>#DIV/0!</v>
      </c>
      <c r="I47" s="106"/>
    </row>
    <row r="48" spans="1:9" s="374" customFormat="1" ht="15" hidden="1" x14ac:dyDescent="0.25">
      <c r="A48" s="2345">
        <v>5512</v>
      </c>
      <c r="B48" s="2079">
        <v>5492</v>
      </c>
      <c r="C48" s="1724"/>
      <c r="D48" s="985" t="s">
        <v>429</v>
      </c>
      <c r="E48" s="1065"/>
      <c r="F48" s="1065">
        <f>F49</f>
        <v>0</v>
      </c>
      <c r="G48" s="1065">
        <f>G49</f>
        <v>0</v>
      </c>
      <c r="H48" s="2305" t="e">
        <f t="shared" ref="H48:H50" si="18">(G48/F48)*100</f>
        <v>#DIV/0!</v>
      </c>
      <c r="I48" s="106"/>
    </row>
    <row r="49" spans="1:9" s="374" customFormat="1" ht="15" hidden="1" x14ac:dyDescent="0.25">
      <c r="A49" s="2345"/>
      <c r="B49" s="2079"/>
      <c r="C49" s="2302" t="s">
        <v>1087</v>
      </c>
      <c r="D49" s="1654" t="s">
        <v>1088</v>
      </c>
      <c r="E49" s="1030"/>
      <c r="F49" s="1063"/>
      <c r="G49" s="1062"/>
      <c r="H49" s="2304" t="e">
        <f t="shared" si="18"/>
        <v>#DIV/0!</v>
      </c>
      <c r="I49" s="106"/>
    </row>
    <row r="50" spans="1:9" s="374" customFormat="1" ht="15" x14ac:dyDescent="0.25">
      <c r="A50" s="2345">
        <v>5529</v>
      </c>
      <c r="B50" s="2079">
        <v>5169</v>
      </c>
      <c r="C50" s="2301"/>
      <c r="D50" s="1894" t="s">
        <v>430</v>
      </c>
      <c r="E50" s="1065">
        <v>40</v>
      </c>
      <c r="F50" s="1059">
        <v>40</v>
      </c>
      <c r="G50" s="1065">
        <v>33</v>
      </c>
      <c r="H50" s="2303">
        <f t="shared" si="18"/>
        <v>82.5</v>
      </c>
      <c r="I50" s="106"/>
    </row>
    <row r="51" spans="1:9" s="374" customFormat="1" ht="15" x14ac:dyDescent="0.25">
      <c r="A51" s="2909">
        <v>6114</v>
      </c>
      <c r="B51" s="1975">
        <v>5011</v>
      </c>
      <c r="C51" s="2301"/>
      <c r="D51" s="800" t="s">
        <v>117</v>
      </c>
      <c r="E51" s="1065">
        <f>E52</f>
        <v>0</v>
      </c>
      <c r="F51" s="1065">
        <f>F52</f>
        <v>17</v>
      </c>
      <c r="G51" s="1065">
        <f>G52</f>
        <v>17</v>
      </c>
      <c r="H51" s="2305">
        <f t="shared" ref="H51:H52" si="19">(G51/F51)*100</f>
        <v>100</v>
      </c>
      <c r="I51" s="106"/>
    </row>
    <row r="52" spans="1:9" s="374" customFormat="1" ht="25.5" x14ac:dyDescent="0.2">
      <c r="A52" s="2909"/>
      <c r="B52" s="1975"/>
      <c r="C52" s="2302" t="s">
        <v>1824</v>
      </c>
      <c r="D52" s="2910" t="s">
        <v>1825</v>
      </c>
      <c r="E52" s="2482">
        <v>0</v>
      </c>
      <c r="F52" s="2485">
        <v>17</v>
      </c>
      <c r="G52" s="2482">
        <v>17</v>
      </c>
      <c r="H52" s="2475">
        <f t="shared" si="19"/>
        <v>100</v>
      </c>
      <c r="I52" s="106"/>
    </row>
    <row r="53" spans="1:9" s="374" customFormat="1" ht="30" x14ac:dyDescent="0.2">
      <c r="A53" s="2989">
        <v>6114</v>
      </c>
      <c r="B53" s="2990">
        <v>5031</v>
      </c>
      <c r="C53" s="2301"/>
      <c r="D53" s="985" t="s">
        <v>1826</v>
      </c>
      <c r="E53" s="2991">
        <f>E54</f>
        <v>0</v>
      </c>
      <c r="F53" s="2991">
        <f>F54</f>
        <v>4</v>
      </c>
      <c r="G53" s="2991">
        <f>G54</f>
        <v>4</v>
      </c>
      <c r="H53" s="2992">
        <f t="shared" ref="H53:H54" si="20">(G53/F53)*100</f>
        <v>100</v>
      </c>
      <c r="I53" s="106"/>
    </row>
    <row r="54" spans="1:9" s="374" customFormat="1" ht="25.5" x14ac:dyDescent="0.2">
      <c r="A54" s="2909"/>
      <c r="B54" s="1975"/>
      <c r="C54" s="2302" t="s">
        <v>1824</v>
      </c>
      <c r="D54" s="2910" t="s">
        <v>1825</v>
      </c>
      <c r="E54" s="2482">
        <v>0</v>
      </c>
      <c r="F54" s="2485">
        <v>4</v>
      </c>
      <c r="G54" s="2482">
        <v>4</v>
      </c>
      <c r="H54" s="2475">
        <f t="shared" si="20"/>
        <v>100</v>
      </c>
      <c r="I54" s="106"/>
    </row>
    <row r="55" spans="1:9" s="374" customFormat="1" ht="15" x14ac:dyDescent="0.25">
      <c r="A55" s="2909">
        <v>6114</v>
      </c>
      <c r="B55" s="1975">
        <v>5032</v>
      </c>
      <c r="C55" s="2301"/>
      <c r="D55" s="370" t="s">
        <v>1624</v>
      </c>
      <c r="E55" s="1065">
        <f>E56</f>
        <v>0</v>
      </c>
      <c r="F55" s="1065">
        <f>F56</f>
        <v>2</v>
      </c>
      <c r="G55" s="1065">
        <f>G56</f>
        <v>2</v>
      </c>
      <c r="H55" s="2305">
        <f t="shared" ref="H55:H56" si="21">(G55/F55)*100</f>
        <v>100</v>
      </c>
      <c r="I55" s="106"/>
    </row>
    <row r="56" spans="1:9" s="374" customFormat="1" ht="25.5" x14ac:dyDescent="0.2">
      <c r="A56" s="2909"/>
      <c r="B56" s="1975"/>
      <c r="C56" s="2302" t="s">
        <v>1824</v>
      </c>
      <c r="D56" s="2910" t="s">
        <v>1825</v>
      </c>
      <c r="E56" s="2482">
        <v>0</v>
      </c>
      <c r="F56" s="2485">
        <v>2</v>
      </c>
      <c r="G56" s="2482">
        <v>2</v>
      </c>
      <c r="H56" s="2475">
        <f t="shared" si="21"/>
        <v>100</v>
      </c>
      <c r="I56" s="106"/>
    </row>
    <row r="57" spans="1:9" s="374" customFormat="1" ht="15" x14ac:dyDescent="0.25">
      <c r="A57" s="2909">
        <v>6114</v>
      </c>
      <c r="B57" s="1975">
        <v>5139</v>
      </c>
      <c r="C57" s="2301"/>
      <c r="D57" s="1869" t="s">
        <v>396</v>
      </c>
      <c r="E57" s="1065">
        <f>E58</f>
        <v>0</v>
      </c>
      <c r="F57" s="1065">
        <f>F58</f>
        <v>2</v>
      </c>
      <c r="G57" s="1065">
        <f>G58</f>
        <v>2</v>
      </c>
      <c r="H57" s="2305">
        <f t="shared" ref="H57:H58" si="22">(G57/F57)*100</f>
        <v>100</v>
      </c>
      <c r="I57" s="106"/>
    </row>
    <row r="58" spans="1:9" s="374" customFormat="1" ht="25.5" x14ac:dyDescent="0.2">
      <c r="A58" s="2909"/>
      <c r="B58" s="1975"/>
      <c r="C58" s="2302" t="s">
        <v>1824</v>
      </c>
      <c r="D58" s="2910" t="s">
        <v>1825</v>
      </c>
      <c r="E58" s="2482">
        <v>0</v>
      </c>
      <c r="F58" s="2485">
        <v>2</v>
      </c>
      <c r="G58" s="2482">
        <v>2</v>
      </c>
      <c r="H58" s="2475">
        <f t="shared" si="22"/>
        <v>100</v>
      </c>
      <c r="I58" s="106"/>
    </row>
    <row r="59" spans="1:9" s="374" customFormat="1" ht="15" x14ac:dyDescent="0.25">
      <c r="A59" s="2909">
        <v>6114</v>
      </c>
      <c r="B59" s="1975">
        <v>5156</v>
      </c>
      <c r="C59" s="2301"/>
      <c r="D59" s="985" t="s">
        <v>1827</v>
      </c>
      <c r="E59" s="2993">
        <f>E60</f>
        <v>0</v>
      </c>
      <c r="F59" s="2993">
        <f>F60</f>
        <v>5</v>
      </c>
      <c r="G59" s="1065">
        <f>G60</f>
        <v>5</v>
      </c>
      <c r="H59" s="2305">
        <f t="shared" ref="H59:H60" si="23">(G59/F59)*100</f>
        <v>100</v>
      </c>
      <c r="I59" s="106"/>
    </row>
    <row r="60" spans="1:9" s="374" customFormat="1" ht="25.5" x14ac:dyDescent="0.2">
      <c r="A60" s="2909"/>
      <c r="B60" s="1975"/>
      <c r="C60" s="2302" t="s">
        <v>1824</v>
      </c>
      <c r="D60" s="2910" t="s">
        <v>1825</v>
      </c>
      <c r="E60" s="2482">
        <v>0</v>
      </c>
      <c r="F60" s="2485">
        <v>5</v>
      </c>
      <c r="G60" s="2482">
        <v>5</v>
      </c>
      <c r="H60" s="2475">
        <f t="shared" si="23"/>
        <v>100</v>
      </c>
      <c r="I60" s="106"/>
    </row>
    <row r="61" spans="1:9" s="374" customFormat="1" ht="15" x14ac:dyDescent="0.25">
      <c r="A61" s="2909">
        <v>6114</v>
      </c>
      <c r="B61" s="1975">
        <v>5169</v>
      </c>
      <c r="C61" s="2301"/>
      <c r="D61" s="985" t="s">
        <v>430</v>
      </c>
      <c r="E61" s="2993">
        <f>E62</f>
        <v>0</v>
      </c>
      <c r="F61" s="2993">
        <f>F62</f>
        <v>65</v>
      </c>
      <c r="G61" s="1065">
        <f>G62</f>
        <v>0</v>
      </c>
      <c r="H61" s="2305">
        <f t="shared" ref="H61:H62" si="24">(G61/F61)*100</f>
        <v>0</v>
      </c>
      <c r="I61" s="106"/>
    </row>
    <row r="62" spans="1:9" s="374" customFormat="1" ht="25.5" x14ac:dyDescent="0.2">
      <c r="A62" s="2909"/>
      <c r="B62" s="1975"/>
      <c r="C62" s="2302" t="s">
        <v>1824</v>
      </c>
      <c r="D62" s="2910" t="s">
        <v>1825</v>
      </c>
      <c r="E62" s="2482">
        <v>0</v>
      </c>
      <c r="F62" s="2485">
        <v>65</v>
      </c>
      <c r="G62" s="2482">
        <v>0</v>
      </c>
      <c r="H62" s="2992">
        <f t="shared" si="24"/>
        <v>0</v>
      </c>
      <c r="I62" s="106"/>
    </row>
    <row r="63" spans="1:9" s="374" customFormat="1" ht="15" x14ac:dyDescent="0.25">
      <c r="A63" s="2909">
        <v>6114</v>
      </c>
      <c r="B63" s="1975">
        <v>5173</v>
      </c>
      <c r="C63" s="2301"/>
      <c r="D63" s="985" t="s">
        <v>541</v>
      </c>
      <c r="E63" s="2993">
        <f>E64</f>
        <v>0</v>
      </c>
      <c r="F63" s="2993">
        <f>F64</f>
        <v>5</v>
      </c>
      <c r="G63" s="1065">
        <f>G64</f>
        <v>5</v>
      </c>
      <c r="H63" s="2305">
        <f t="shared" ref="H63:H64" si="25">(G63/F63)*100</f>
        <v>100</v>
      </c>
      <c r="I63" s="106"/>
    </row>
    <row r="64" spans="1:9" s="374" customFormat="1" ht="25.5" x14ac:dyDescent="0.2">
      <c r="A64" s="2909"/>
      <c r="B64" s="1975"/>
      <c r="C64" s="2302" t="s">
        <v>1824</v>
      </c>
      <c r="D64" s="2910" t="s">
        <v>1825</v>
      </c>
      <c r="E64" s="2482">
        <v>0</v>
      </c>
      <c r="F64" s="2485">
        <v>5</v>
      </c>
      <c r="G64" s="2482">
        <v>5</v>
      </c>
      <c r="H64" s="2475">
        <f t="shared" si="25"/>
        <v>100</v>
      </c>
      <c r="I64" s="106"/>
    </row>
    <row r="65" spans="1:11" s="374" customFormat="1" ht="15" x14ac:dyDescent="0.25">
      <c r="A65" s="2336">
        <v>6115</v>
      </c>
      <c r="B65" s="793">
        <v>5011</v>
      </c>
      <c r="C65" s="505"/>
      <c r="D65" s="370" t="s">
        <v>117</v>
      </c>
      <c r="E65" s="310">
        <f>E66</f>
        <v>0</v>
      </c>
      <c r="F65" s="308">
        <f>F66</f>
        <v>15</v>
      </c>
      <c r="G65" s="310">
        <f>G66</f>
        <v>15</v>
      </c>
      <c r="H65" s="913">
        <f>(G65/F65)*100</f>
        <v>100</v>
      </c>
      <c r="I65" s="106"/>
    </row>
    <row r="66" spans="1:11" s="374" customFormat="1" ht="14.25" x14ac:dyDescent="0.2">
      <c r="A66" s="2336"/>
      <c r="B66" s="2308"/>
      <c r="C66" s="3186" t="s">
        <v>873</v>
      </c>
      <c r="D66" s="3188" t="s">
        <v>823</v>
      </c>
      <c r="E66" s="2482">
        <v>0</v>
      </c>
      <c r="F66" s="309">
        <v>15</v>
      </c>
      <c r="G66" s="311">
        <v>15</v>
      </c>
      <c r="H66" s="506">
        <f>(G66/F66)*100</f>
        <v>100</v>
      </c>
      <c r="I66" s="106"/>
    </row>
    <row r="67" spans="1:11" s="374" customFormat="1" ht="15" thickBot="1" x14ac:dyDescent="0.25">
      <c r="A67" s="2827"/>
      <c r="B67" s="2828"/>
      <c r="C67" s="3195"/>
      <c r="D67" s="3194"/>
      <c r="E67" s="2829"/>
      <c r="F67" s="2995"/>
      <c r="G67" s="2994"/>
      <c r="H67" s="2996"/>
      <c r="I67" s="106"/>
    </row>
    <row r="68" spans="1:11" ht="13.5" thickTop="1" x14ac:dyDescent="0.2"/>
    <row r="69" spans="1:11" s="425" customFormat="1" ht="13.5" thickBot="1" x14ac:dyDescent="0.25">
      <c r="A69" s="570"/>
      <c r="B69" s="570"/>
      <c r="C69" s="649"/>
      <c r="D69" s="571"/>
      <c r="E69" s="373"/>
      <c r="F69" s="373"/>
      <c r="G69" s="560"/>
      <c r="H69" s="1568" t="s">
        <v>92</v>
      </c>
      <c r="J69" s="2307"/>
      <c r="K69" s="2307"/>
    </row>
    <row r="70" spans="1:11" s="425" customFormat="1" ht="24" thickTop="1" thickBot="1" x14ac:dyDescent="0.25">
      <c r="A70" s="572" t="s">
        <v>93</v>
      </c>
      <c r="B70" s="573" t="s">
        <v>94</v>
      </c>
      <c r="C70" s="575" t="s">
        <v>364</v>
      </c>
      <c r="D70" s="575" t="s">
        <v>95</v>
      </c>
      <c r="E70" s="1649" t="s">
        <v>328</v>
      </c>
      <c r="F70" s="1649" t="s">
        <v>329</v>
      </c>
      <c r="G70" s="575" t="s">
        <v>448</v>
      </c>
      <c r="H70" s="576" t="s">
        <v>449</v>
      </c>
      <c r="J70" s="2307"/>
      <c r="K70" s="2307"/>
    </row>
    <row r="71" spans="1:11" s="425" customFormat="1" ht="14.25" thickTop="1" thickBot="1" x14ac:dyDescent="0.25">
      <c r="A71" s="511">
        <v>1</v>
      </c>
      <c r="B71" s="512">
        <v>2</v>
      </c>
      <c r="C71" s="512">
        <v>3</v>
      </c>
      <c r="D71" s="512">
        <v>4</v>
      </c>
      <c r="E71" s="512">
        <v>5</v>
      </c>
      <c r="F71" s="499">
        <v>6</v>
      </c>
      <c r="G71" s="499">
        <v>7</v>
      </c>
      <c r="H71" s="577" t="s">
        <v>33</v>
      </c>
      <c r="J71" s="2307"/>
      <c r="K71" s="2307"/>
    </row>
    <row r="72" spans="1:11" s="425" customFormat="1" ht="15.75" hidden="1" thickTop="1" x14ac:dyDescent="0.25">
      <c r="A72" s="2336">
        <v>6115</v>
      </c>
      <c r="B72" s="793">
        <v>5139</v>
      </c>
      <c r="C72" s="505"/>
      <c r="D72" s="370" t="s">
        <v>396</v>
      </c>
      <c r="E72" s="2306"/>
      <c r="F72" s="308">
        <f>F73+F75</f>
        <v>0</v>
      </c>
      <c r="G72" s="310">
        <f>G73+G75</f>
        <v>0</v>
      </c>
      <c r="H72" s="504" t="e">
        <f t="shared" ref="H72:H86" si="26">(G72/F72)*100</f>
        <v>#DIV/0!</v>
      </c>
    </row>
    <row r="73" spans="1:11" s="425" customFormat="1" ht="14.25" hidden="1" x14ac:dyDescent="0.2">
      <c r="A73" s="2336"/>
      <c r="B73" s="2308"/>
      <c r="C73" s="3186" t="s">
        <v>873</v>
      </c>
      <c r="D73" s="3188" t="s">
        <v>823</v>
      </c>
      <c r="E73" s="2306"/>
      <c r="F73" s="309"/>
      <c r="G73" s="311"/>
      <c r="H73" s="506" t="e">
        <f t="shared" si="26"/>
        <v>#DIV/0!</v>
      </c>
    </row>
    <row r="74" spans="1:11" s="425" customFormat="1" ht="14.25" hidden="1" x14ac:dyDescent="0.2">
      <c r="A74" s="2336"/>
      <c r="B74" s="2308"/>
      <c r="C74" s="3187"/>
      <c r="D74" s="3189"/>
      <c r="E74" s="2306"/>
      <c r="F74" s="309"/>
      <c r="G74" s="311"/>
      <c r="H74" s="506"/>
    </row>
    <row r="75" spans="1:11" s="425" customFormat="1" ht="25.5" hidden="1" x14ac:dyDescent="0.2">
      <c r="A75" s="2336"/>
      <c r="B75" s="2308"/>
      <c r="C75" s="2302" t="s">
        <v>1096</v>
      </c>
      <c r="D75" s="2353" t="s">
        <v>1158</v>
      </c>
      <c r="E75" s="2306"/>
      <c r="F75" s="894"/>
      <c r="G75" s="893"/>
      <c r="H75" s="2354" t="e">
        <f t="shared" si="26"/>
        <v>#DIV/0!</v>
      </c>
    </row>
    <row r="76" spans="1:11" s="374" customFormat="1" ht="15.75" thickTop="1" x14ac:dyDescent="0.25">
      <c r="A76" s="2336">
        <v>6115</v>
      </c>
      <c r="B76" s="793">
        <v>5031</v>
      </c>
      <c r="C76" s="505"/>
      <c r="D76" s="370" t="s">
        <v>1233</v>
      </c>
      <c r="E76" s="310">
        <f>E78</f>
        <v>0</v>
      </c>
      <c r="F76" s="308">
        <f>F78</f>
        <v>4</v>
      </c>
      <c r="G76" s="310">
        <f>G78</f>
        <v>4</v>
      </c>
      <c r="H76" s="913">
        <f>(G76/F76)*100</f>
        <v>100</v>
      </c>
      <c r="I76" s="106"/>
    </row>
    <row r="77" spans="1:11" s="374" customFormat="1" ht="15" x14ac:dyDescent="0.25">
      <c r="A77" s="2336"/>
      <c r="B77" s="793"/>
      <c r="C77" s="505"/>
      <c r="D77" s="370" t="s">
        <v>1234</v>
      </c>
      <c r="E77" s="2306"/>
      <c r="F77" s="309"/>
      <c r="G77" s="311"/>
      <c r="H77" s="506"/>
      <c r="I77" s="106"/>
    </row>
    <row r="78" spans="1:11" s="374" customFormat="1" ht="14.25" x14ac:dyDescent="0.2">
      <c r="A78" s="2336"/>
      <c r="B78" s="793"/>
      <c r="C78" s="3186" t="s">
        <v>873</v>
      </c>
      <c r="D78" s="3188" t="s">
        <v>823</v>
      </c>
      <c r="E78" s="2482">
        <v>0</v>
      </c>
      <c r="F78" s="309">
        <v>4</v>
      </c>
      <c r="G78" s="311">
        <v>4</v>
      </c>
      <c r="H78" s="506">
        <f>(G78/F78)*100</f>
        <v>100</v>
      </c>
      <c r="I78" s="106"/>
    </row>
    <row r="79" spans="1:11" s="374" customFormat="1" ht="14.25" x14ac:dyDescent="0.2">
      <c r="A79" s="2336"/>
      <c r="B79" s="2308"/>
      <c r="C79" s="3187"/>
      <c r="D79" s="3189"/>
      <c r="E79" s="2306"/>
      <c r="F79" s="309"/>
      <c r="G79" s="311"/>
      <c r="H79" s="506"/>
      <c r="I79" s="106"/>
    </row>
    <row r="80" spans="1:11" s="374" customFormat="1" ht="15" x14ac:dyDescent="0.25">
      <c r="A80" s="2336">
        <v>6115</v>
      </c>
      <c r="B80" s="793">
        <v>5032</v>
      </c>
      <c r="C80" s="505"/>
      <c r="D80" s="370" t="s">
        <v>1624</v>
      </c>
      <c r="E80" s="310">
        <f>E81</f>
        <v>0</v>
      </c>
      <c r="F80" s="308">
        <f>F81</f>
        <v>1</v>
      </c>
      <c r="G80" s="310">
        <f>G81</f>
        <v>1</v>
      </c>
      <c r="H80" s="504">
        <f>(G80/F80)*100</f>
        <v>100</v>
      </c>
      <c r="I80" s="106"/>
    </row>
    <row r="81" spans="1:9" s="374" customFormat="1" ht="14.25" x14ac:dyDescent="0.2">
      <c r="A81" s="2336"/>
      <c r="B81" s="793"/>
      <c r="C81" s="3186" t="s">
        <v>873</v>
      </c>
      <c r="D81" s="3188" t="s">
        <v>823</v>
      </c>
      <c r="E81" s="2306">
        <v>0</v>
      </c>
      <c r="F81" s="309">
        <v>1</v>
      </c>
      <c r="G81" s="311">
        <v>1</v>
      </c>
      <c r="H81" s="506">
        <f>(G81/F81)*100</f>
        <v>100</v>
      </c>
      <c r="I81" s="106"/>
    </row>
    <row r="82" spans="1:9" s="374" customFormat="1" ht="14.25" x14ac:dyDescent="0.2">
      <c r="A82" s="2336"/>
      <c r="B82" s="2308"/>
      <c r="C82" s="3187"/>
      <c r="D82" s="3189"/>
      <c r="E82" s="2306"/>
      <c r="F82" s="309"/>
      <c r="G82" s="311"/>
      <c r="H82" s="506"/>
      <c r="I82" s="106"/>
    </row>
    <row r="83" spans="1:9" s="425" customFormat="1" ht="15" x14ac:dyDescent="0.25">
      <c r="A83" s="2336">
        <v>6115</v>
      </c>
      <c r="B83" s="2308">
        <v>5156</v>
      </c>
      <c r="C83" s="505"/>
      <c r="D83" s="370" t="s">
        <v>160</v>
      </c>
      <c r="E83" s="310">
        <f>E84</f>
        <v>0</v>
      </c>
      <c r="F83" s="310">
        <f>F84</f>
        <v>1</v>
      </c>
      <c r="G83" s="310">
        <f>G84</f>
        <v>1</v>
      </c>
      <c r="H83" s="504">
        <f t="shared" si="26"/>
        <v>100</v>
      </c>
    </row>
    <row r="84" spans="1:9" s="425" customFormat="1" ht="14.25" customHeight="1" x14ac:dyDescent="0.2">
      <c r="A84" s="2346"/>
      <c r="B84" s="1552"/>
      <c r="C84" s="3190" t="s">
        <v>873</v>
      </c>
      <c r="D84" s="3192" t="s">
        <v>823</v>
      </c>
      <c r="E84" s="311">
        <v>0</v>
      </c>
      <c r="F84" s="311">
        <v>1</v>
      </c>
      <c r="G84" s="311">
        <v>1</v>
      </c>
      <c r="H84" s="807">
        <f t="shared" si="26"/>
        <v>100</v>
      </c>
    </row>
    <row r="85" spans="1:9" s="425" customFormat="1" ht="14.25" x14ac:dyDescent="0.2">
      <c r="A85" s="2346"/>
      <c r="B85" s="1552"/>
      <c r="C85" s="3191"/>
      <c r="D85" s="3193"/>
      <c r="E85" s="2306"/>
      <c r="F85" s="311"/>
      <c r="G85" s="311"/>
      <c r="H85" s="807"/>
    </row>
    <row r="86" spans="1:9" s="425" customFormat="1" ht="15" x14ac:dyDescent="0.25">
      <c r="A86" s="2346">
        <v>6115</v>
      </c>
      <c r="B86" s="1552">
        <v>5169</v>
      </c>
      <c r="C86" s="2968"/>
      <c r="D86" s="800" t="s">
        <v>540</v>
      </c>
      <c r="E86" s="310">
        <f>E87</f>
        <v>0</v>
      </c>
      <c r="F86" s="310">
        <f>F87</f>
        <v>10</v>
      </c>
      <c r="G86" s="310">
        <f>G87</f>
        <v>0</v>
      </c>
      <c r="H86" s="199">
        <f t="shared" si="26"/>
        <v>0</v>
      </c>
    </row>
    <row r="87" spans="1:9" s="425" customFormat="1" ht="25.5" x14ac:dyDescent="0.2">
      <c r="A87" s="2346"/>
      <c r="B87" s="1552"/>
      <c r="C87" s="810" t="s">
        <v>873</v>
      </c>
      <c r="D87" s="3001" t="s">
        <v>823</v>
      </c>
      <c r="E87" s="893">
        <v>0</v>
      </c>
      <c r="F87" s="893">
        <v>10</v>
      </c>
      <c r="G87" s="893">
        <v>0</v>
      </c>
      <c r="H87" s="904">
        <v>0</v>
      </c>
    </row>
    <row r="88" spans="1:9" s="425" customFormat="1" ht="15" x14ac:dyDescent="0.25">
      <c r="A88" s="2346">
        <v>6115</v>
      </c>
      <c r="B88" s="1552">
        <v>5173</v>
      </c>
      <c r="C88" s="2968"/>
      <c r="D88" s="985" t="s">
        <v>541</v>
      </c>
      <c r="E88" s="310">
        <f>E89</f>
        <v>0</v>
      </c>
      <c r="F88" s="310">
        <f>F89</f>
        <v>0</v>
      </c>
      <c r="G88" s="310">
        <f>G89</f>
        <v>0</v>
      </c>
      <c r="H88" s="199">
        <v>0</v>
      </c>
    </row>
    <row r="89" spans="1:9" s="425" customFormat="1" ht="25.5" x14ac:dyDescent="0.2">
      <c r="A89" s="2346"/>
      <c r="B89" s="1552"/>
      <c r="C89" s="810" t="s">
        <v>873</v>
      </c>
      <c r="D89" s="2355" t="s">
        <v>1159</v>
      </c>
      <c r="E89" s="893">
        <v>0</v>
      </c>
      <c r="F89" s="893">
        <v>0</v>
      </c>
      <c r="G89" s="893">
        <v>0</v>
      </c>
      <c r="H89" s="904">
        <v>0</v>
      </c>
    </row>
    <row r="90" spans="1:9" s="425" customFormat="1" ht="15" x14ac:dyDescent="0.25">
      <c r="A90" s="2346">
        <v>6118</v>
      </c>
      <c r="B90" s="1552">
        <v>5139</v>
      </c>
      <c r="C90" s="1072"/>
      <c r="D90" s="2060" t="s">
        <v>396</v>
      </c>
      <c r="E90" s="310">
        <f t="shared" ref="E90:G90" si="27">E91</f>
        <v>0</v>
      </c>
      <c r="F90" s="310">
        <f t="shared" si="27"/>
        <v>3</v>
      </c>
      <c r="G90" s="310">
        <f t="shared" si="27"/>
        <v>0</v>
      </c>
      <c r="H90" s="804">
        <f>(G90/F90)*100</f>
        <v>0</v>
      </c>
    </row>
    <row r="91" spans="1:9" s="425" customFormat="1" ht="25.5" x14ac:dyDescent="0.2">
      <c r="A91" s="2346"/>
      <c r="B91" s="1552"/>
      <c r="C91" s="1072" t="s">
        <v>1822</v>
      </c>
      <c r="D91" s="2353" t="s">
        <v>1823</v>
      </c>
      <c r="E91" s="893">
        <v>0</v>
      </c>
      <c r="F91" s="893">
        <v>3</v>
      </c>
      <c r="G91" s="893">
        <v>0</v>
      </c>
      <c r="H91" s="904">
        <f>(G91/F91)*100</f>
        <v>0</v>
      </c>
    </row>
    <row r="92" spans="1:9" s="425" customFormat="1" ht="15" x14ac:dyDescent="0.25">
      <c r="A92" s="2346">
        <v>6118</v>
      </c>
      <c r="B92" s="1552">
        <v>5156</v>
      </c>
      <c r="C92" s="1072"/>
      <c r="D92" s="2060" t="s">
        <v>160</v>
      </c>
      <c r="E92" s="429">
        <f>E93</f>
        <v>0</v>
      </c>
      <c r="F92" s="429">
        <f>F93</f>
        <v>1</v>
      </c>
      <c r="G92" s="429">
        <f>G93</f>
        <v>0</v>
      </c>
      <c r="H92" s="2908">
        <f t="shared" ref="H92:H93" si="28">(G92/F92)*100</f>
        <v>0</v>
      </c>
    </row>
    <row r="93" spans="1:9" s="425" customFormat="1" ht="25.5" x14ac:dyDescent="0.2">
      <c r="A93" s="2346"/>
      <c r="B93" s="1552"/>
      <c r="C93" s="1072" t="s">
        <v>1822</v>
      </c>
      <c r="D93" s="2353" t="s">
        <v>1823</v>
      </c>
      <c r="E93" s="893">
        <v>0</v>
      </c>
      <c r="F93" s="893">
        <v>1</v>
      </c>
      <c r="G93" s="893">
        <v>0</v>
      </c>
      <c r="H93" s="904">
        <f t="shared" si="28"/>
        <v>0</v>
      </c>
    </row>
    <row r="94" spans="1:9" s="425" customFormat="1" ht="15" x14ac:dyDescent="0.25">
      <c r="A94" s="2346">
        <v>6118</v>
      </c>
      <c r="B94" s="1552">
        <v>5169</v>
      </c>
      <c r="C94" s="1072"/>
      <c r="D94" s="2060" t="s">
        <v>540</v>
      </c>
      <c r="E94" s="429">
        <f>E95</f>
        <v>0</v>
      </c>
      <c r="F94" s="429">
        <f>F95</f>
        <v>26</v>
      </c>
      <c r="G94" s="429">
        <f>G95</f>
        <v>0</v>
      </c>
      <c r="H94" s="2908">
        <f t="shared" ref="H94" si="29">(G94/F94)*100</f>
        <v>0</v>
      </c>
    </row>
    <row r="95" spans="1:9" s="425" customFormat="1" ht="25.5" x14ac:dyDescent="0.2">
      <c r="A95" s="2346"/>
      <c r="B95" s="1552"/>
      <c r="C95" s="1072" t="s">
        <v>1822</v>
      </c>
      <c r="D95" s="2353" t="s">
        <v>1823</v>
      </c>
      <c r="E95" s="893">
        <v>0</v>
      </c>
      <c r="F95" s="893">
        <v>26</v>
      </c>
      <c r="G95" s="893">
        <v>0</v>
      </c>
      <c r="H95" s="904">
        <f>(G95/F95)*100</f>
        <v>0</v>
      </c>
    </row>
    <row r="96" spans="1:9" s="425" customFormat="1" ht="15" x14ac:dyDescent="0.25">
      <c r="A96" s="2346">
        <v>6118</v>
      </c>
      <c r="B96" s="1552">
        <v>5173</v>
      </c>
      <c r="C96" s="1072"/>
      <c r="D96" s="2060" t="s">
        <v>541</v>
      </c>
      <c r="E96" s="429">
        <f>E97</f>
        <v>0</v>
      </c>
      <c r="F96" s="429">
        <f>F97</f>
        <v>1</v>
      </c>
      <c r="G96" s="429">
        <f>G97</f>
        <v>0</v>
      </c>
      <c r="H96" s="2908">
        <f t="shared" ref="H96" si="30">(G96/F96)*100</f>
        <v>0</v>
      </c>
    </row>
    <row r="97" spans="1:8" s="425" customFormat="1" ht="25.5" x14ac:dyDescent="0.2">
      <c r="A97" s="2346"/>
      <c r="B97" s="1552"/>
      <c r="C97" s="1072" t="s">
        <v>1822</v>
      </c>
      <c r="D97" s="2353" t="s">
        <v>1823</v>
      </c>
      <c r="E97" s="893">
        <v>0</v>
      </c>
      <c r="F97" s="893">
        <v>1</v>
      </c>
      <c r="G97" s="893">
        <v>0</v>
      </c>
      <c r="H97" s="904">
        <f>(G97/F97)*100</f>
        <v>0</v>
      </c>
    </row>
    <row r="98" spans="1:8" s="425" customFormat="1" ht="14.25" customHeight="1" x14ac:dyDescent="0.25">
      <c r="A98" s="2346">
        <v>6172</v>
      </c>
      <c r="B98" s="1551">
        <v>5011</v>
      </c>
      <c r="C98" s="809"/>
      <c r="D98" s="800" t="s">
        <v>117</v>
      </c>
      <c r="E98" s="428">
        <f>E99</f>
        <v>192879</v>
      </c>
      <c r="F98" s="428">
        <f>F99+F100+F101+F102+F103+F104</f>
        <v>197797</v>
      </c>
      <c r="G98" s="428">
        <f>G99+G100+G101+G102+G103+G104</f>
        <v>194911</v>
      </c>
      <c r="H98" s="804">
        <f>(G98/F98)*100</f>
        <v>98.540928325505433</v>
      </c>
    </row>
    <row r="99" spans="1:8" s="425" customFormat="1" ht="14.25" customHeight="1" x14ac:dyDescent="0.2">
      <c r="A99" s="2346"/>
      <c r="B99" s="1551"/>
      <c r="C99" s="811" t="s">
        <v>871</v>
      </c>
      <c r="D99" s="805" t="s">
        <v>600</v>
      </c>
      <c r="E99" s="311">
        <v>192879</v>
      </c>
      <c r="F99" s="309">
        <v>196396</v>
      </c>
      <c r="G99" s="311">
        <v>193572</v>
      </c>
      <c r="H99" s="807">
        <f t="shared" ref="H99:H108" si="31">(G99/F99)*100</f>
        <v>98.562088840913248</v>
      </c>
    </row>
    <row r="100" spans="1:8" s="425" customFormat="1" ht="14.25" x14ac:dyDescent="0.2">
      <c r="A100" s="2346"/>
      <c r="B100" s="1551"/>
      <c r="C100" s="811" t="s">
        <v>874</v>
      </c>
      <c r="D100" s="806" t="s">
        <v>420</v>
      </c>
      <c r="E100" s="311">
        <v>0</v>
      </c>
      <c r="F100" s="309">
        <v>317</v>
      </c>
      <c r="G100" s="311">
        <v>317</v>
      </c>
      <c r="H100" s="807">
        <f t="shared" si="31"/>
        <v>100</v>
      </c>
    </row>
    <row r="101" spans="1:8" s="799" customFormat="1" ht="15" customHeight="1" x14ac:dyDescent="0.2">
      <c r="A101" s="2346"/>
      <c r="B101" s="1551"/>
      <c r="C101" s="811" t="s">
        <v>875</v>
      </c>
      <c r="D101" s="806" t="s">
        <v>887</v>
      </c>
      <c r="E101" s="311">
        <v>0</v>
      </c>
      <c r="F101" s="309">
        <v>744</v>
      </c>
      <c r="G101" s="311">
        <v>729</v>
      </c>
      <c r="H101" s="807">
        <f t="shared" si="31"/>
        <v>97.983870967741936</v>
      </c>
    </row>
    <row r="102" spans="1:8" s="799" customFormat="1" ht="14.25" x14ac:dyDescent="0.2">
      <c r="A102" s="2346"/>
      <c r="B102" s="1551"/>
      <c r="C102" s="811" t="s">
        <v>878</v>
      </c>
      <c r="D102" s="1613" t="s">
        <v>715</v>
      </c>
      <c r="E102" s="311">
        <v>0</v>
      </c>
      <c r="F102" s="309">
        <v>34</v>
      </c>
      <c r="G102" s="311">
        <v>29</v>
      </c>
      <c r="H102" s="807">
        <f t="shared" si="31"/>
        <v>85.294117647058826</v>
      </c>
    </row>
    <row r="103" spans="1:8" s="799" customFormat="1" ht="14.25" x14ac:dyDescent="0.2">
      <c r="A103" s="2346"/>
      <c r="B103" s="1551"/>
      <c r="C103" s="811" t="s">
        <v>879</v>
      </c>
      <c r="D103" s="1613" t="s">
        <v>716</v>
      </c>
      <c r="E103" s="311">
        <v>0</v>
      </c>
      <c r="F103" s="309">
        <v>17</v>
      </c>
      <c r="G103" s="311">
        <v>15</v>
      </c>
      <c r="H103" s="807">
        <f t="shared" si="31"/>
        <v>88.235294117647058</v>
      </c>
    </row>
    <row r="104" spans="1:8" s="799" customFormat="1" ht="14.25" x14ac:dyDescent="0.2">
      <c r="A104" s="2346"/>
      <c r="B104" s="1551"/>
      <c r="C104" s="811" t="s">
        <v>880</v>
      </c>
      <c r="D104" s="118" t="s">
        <v>717</v>
      </c>
      <c r="E104" s="311">
        <v>0</v>
      </c>
      <c r="F104" s="309">
        <v>289</v>
      </c>
      <c r="G104" s="311">
        <v>249</v>
      </c>
      <c r="H104" s="807">
        <f t="shared" si="31"/>
        <v>86.159169550173004</v>
      </c>
    </row>
    <row r="105" spans="1:8" s="799" customFormat="1" ht="15" x14ac:dyDescent="0.25">
      <c r="A105" s="2346">
        <v>6172</v>
      </c>
      <c r="B105" s="1551">
        <v>5021</v>
      </c>
      <c r="C105" s="809"/>
      <c r="D105" s="800" t="s">
        <v>217</v>
      </c>
      <c r="E105" s="428">
        <f>E106</f>
        <v>1500</v>
      </c>
      <c r="F105" s="428">
        <f>F106</f>
        <v>1858</v>
      </c>
      <c r="G105" s="428">
        <f>G106</f>
        <v>1734</v>
      </c>
      <c r="H105" s="804">
        <f>(G105/F105)*100</f>
        <v>93.326157158234651</v>
      </c>
    </row>
    <row r="106" spans="1:8" s="799" customFormat="1" ht="14.25" x14ac:dyDescent="0.2">
      <c r="A106" s="2346"/>
      <c r="B106" s="1551"/>
      <c r="C106" s="811" t="s">
        <v>871</v>
      </c>
      <c r="D106" s="805" t="s">
        <v>600</v>
      </c>
      <c r="E106" s="311">
        <v>1500</v>
      </c>
      <c r="F106" s="309">
        <v>1858</v>
      </c>
      <c r="G106" s="311">
        <v>1734</v>
      </c>
      <c r="H106" s="807">
        <f t="shared" si="31"/>
        <v>93.326157158234651</v>
      </c>
    </row>
    <row r="107" spans="1:8" s="799" customFormat="1" ht="15" hidden="1" x14ac:dyDescent="0.25">
      <c r="A107" s="2346">
        <v>6172</v>
      </c>
      <c r="B107" s="1551">
        <v>5024</v>
      </c>
      <c r="C107" s="1083"/>
      <c r="D107" s="817" t="s">
        <v>824</v>
      </c>
      <c r="E107" s="428"/>
      <c r="F107" s="308"/>
      <c r="G107" s="310"/>
      <c r="H107" s="199" t="e">
        <f t="shared" si="31"/>
        <v>#DIV/0!</v>
      </c>
    </row>
    <row r="108" spans="1:8" s="799" customFormat="1" ht="15" x14ac:dyDescent="0.25">
      <c r="A108" s="2346">
        <v>6172</v>
      </c>
      <c r="B108" s="1551">
        <v>5029</v>
      </c>
      <c r="C108" s="811"/>
      <c r="D108" s="800" t="s">
        <v>1625</v>
      </c>
      <c r="E108" s="428">
        <v>100</v>
      </c>
      <c r="F108" s="165">
        <v>62</v>
      </c>
      <c r="G108" s="310">
        <v>0</v>
      </c>
      <c r="H108" s="804">
        <f t="shared" si="31"/>
        <v>0</v>
      </c>
    </row>
    <row r="109" spans="1:8" s="799" customFormat="1" ht="15" x14ac:dyDescent="0.25">
      <c r="A109" s="2346">
        <v>6172</v>
      </c>
      <c r="B109" s="1551">
        <v>5031</v>
      </c>
      <c r="C109" s="811"/>
      <c r="D109" s="800" t="s">
        <v>1233</v>
      </c>
      <c r="E109" s="428">
        <f>E111</f>
        <v>48220</v>
      </c>
      <c r="F109" s="428">
        <f>F111+F112+F113+F114+F115+F116</f>
        <v>49805</v>
      </c>
      <c r="G109" s="428">
        <f>G111+G112+G113+G114+G115+G116</f>
        <v>49331</v>
      </c>
      <c r="H109" s="804">
        <f>(G109/F109)*100</f>
        <v>99.048288324465418</v>
      </c>
    </row>
    <row r="110" spans="1:8" s="799" customFormat="1" ht="15" x14ac:dyDescent="0.25">
      <c r="A110" s="2346"/>
      <c r="B110" s="1551"/>
      <c r="C110" s="811"/>
      <c r="D110" s="800" t="s">
        <v>1234</v>
      </c>
      <c r="E110" s="428"/>
      <c r="F110" s="165"/>
      <c r="G110" s="311"/>
      <c r="H110" s="804"/>
    </row>
    <row r="111" spans="1:8" s="799" customFormat="1" ht="14.25" x14ac:dyDescent="0.2">
      <c r="A111" s="2346"/>
      <c r="B111" s="1551"/>
      <c r="C111" s="811" t="s">
        <v>871</v>
      </c>
      <c r="D111" s="805" t="s">
        <v>600</v>
      </c>
      <c r="E111" s="311">
        <v>48220</v>
      </c>
      <c r="F111" s="309">
        <v>49450</v>
      </c>
      <c r="G111" s="311">
        <v>48997</v>
      </c>
      <c r="H111" s="807">
        <f t="shared" ref="H111:H123" si="32">(G111/F111)*100</f>
        <v>99.083923154701708</v>
      </c>
    </row>
    <row r="112" spans="1:8" s="799" customFormat="1" ht="14.25" x14ac:dyDescent="0.2">
      <c r="A112" s="2346"/>
      <c r="B112" s="1551"/>
      <c r="C112" s="811" t="s">
        <v>874</v>
      </c>
      <c r="D112" s="806" t="s">
        <v>420</v>
      </c>
      <c r="E112" s="311">
        <v>0</v>
      </c>
      <c r="F112" s="309">
        <v>79</v>
      </c>
      <c r="G112" s="311">
        <v>79</v>
      </c>
      <c r="H112" s="807">
        <f t="shared" si="32"/>
        <v>100</v>
      </c>
    </row>
    <row r="113" spans="1:12" s="799" customFormat="1" ht="14.25" x14ac:dyDescent="0.2">
      <c r="A113" s="2346"/>
      <c r="B113" s="1551"/>
      <c r="C113" s="811" t="s">
        <v>875</v>
      </c>
      <c r="D113" s="806" t="s">
        <v>887</v>
      </c>
      <c r="E113" s="311">
        <v>0</v>
      </c>
      <c r="F113" s="309">
        <v>186</v>
      </c>
      <c r="G113" s="311">
        <v>182</v>
      </c>
      <c r="H113" s="807">
        <f t="shared" si="32"/>
        <v>97.849462365591393</v>
      </c>
    </row>
    <row r="114" spans="1:12" s="799" customFormat="1" ht="14.25" x14ac:dyDescent="0.2">
      <c r="A114" s="2346"/>
      <c r="B114" s="1551"/>
      <c r="C114" s="811" t="s">
        <v>878</v>
      </c>
      <c r="D114" s="1613" t="s">
        <v>715</v>
      </c>
      <c r="E114" s="311">
        <v>0</v>
      </c>
      <c r="F114" s="309">
        <v>9</v>
      </c>
      <c r="G114" s="311">
        <v>7</v>
      </c>
      <c r="H114" s="807">
        <f t="shared" si="32"/>
        <v>77.777777777777786</v>
      </c>
    </row>
    <row r="115" spans="1:12" s="799" customFormat="1" ht="14.25" x14ac:dyDescent="0.2">
      <c r="A115" s="2346"/>
      <c r="B115" s="1551"/>
      <c r="C115" s="811" t="s">
        <v>879</v>
      </c>
      <c r="D115" s="1613" t="s">
        <v>716</v>
      </c>
      <c r="E115" s="311">
        <v>0</v>
      </c>
      <c r="F115" s="309">
        <v>5</v>
      </c>
      <c r="G115" s="311">
        <v>4</v>
      </c>
      <c r="H115" s="807">
        <f t="shared" si="32"/>
        <v>80</v>
      </c>
    </row>
    <row r="116" spans="1:12" s="799" customFormat="1" ht="14.25" x14ac:dyDescent="0.2">
      <c r="A116" s="2346"/>
      <c r="B116" s="1551"/>
      <c r="C116" s="811" t="s">
        <v>880</v>
      </c>
      <c r="D116" s="118" t="s">
        <v>717</v>
      </c>
      <c r="E116" s="311">
        <v>0</v>
      </c>
      <c r="F116" s="309">
        <v>76</v>
      </c>
      <c r="G116" s="311">
        <v>62</v>
      </c>
      <c r="H116" s="807">
        <f t="shared" si="32"/>
        <v>81.578947368421055</v>
      </c>
    </row>
    <row r="117" spans="1:12" s="799" customFormat="1" ht="15" x14ac:dyDescent="0.25">
      <c r="A117" s="2346">
        <v>6172</v>
      </c>
      <c r="B117" s="1551">
        <v>5032</v>
      </c>
      <c r="C117" s="811"/>
      <c r="D117" s="800" t="s">
        <v>1624</v>
      </c>
      <c r="E117" s="428">
        <f>E118</f>
        <v>17360</v>
      </c>
      <c r="F117" s="428">
        <f>F118+F119+F120+F121+F122+F123</f>
        <v>17923</v>
      </c>
      <c r="G117" s="428">
        <f>G118+G119+G120+G121+G122+G123</f>
        <v>17756</v>
      </c>
      <c r="H117" s="804">
        <f>(G117/F117)*100</f>
        <v>99.068236344361992</v>
      </c>
    </row>
    <row r="118" spans="1:12" s="799" customFormat="1" ht="14.25" x14ac:dyDescent="0.2">
      <c r="A118" s="2346"/>
      <c r="B118" s="1551"/>
      <c r="C118" s="811" t="s">
        <v>871</v>
      </c>
      <c r="D118" s="805" t="s">
        <v>600</v>
      </c>
      <c r="E118" s="311">
        <v>17360</v>
      </c>
      <c r="F118" s="309">
        <v>17797</v>
      </c>
      <c r="G118" s="311">
        <v>17635</v>
      </c>
      <c r="H118" s="807">
        <f t="shared" si="32"/>
        <v>99.08973422486936</v>
      </c>
    </row>
    <row r="119" spans="1:12" s="799" customFormat="1" ht="14.25" x14ac:dyDescent="0.2">
      <c r="A119" s="2346"/>
      <c r="B119" s="1551"/>
      <c r="C119" s="811" t="s">
        <v>874</v>
      </c>
      <c r="D119" s="806" t="s">
        <v>420</v>
      </c>
      <c r="E119" s="311">
        <v>0</v>
      </c>
      <c r="F119" s="309">
        <v>29</v>
      </c>
      <c r="G119" s="311">
        <v>29</v>
      </c>
      <c r="H119" s="807">
        <f t="shared" si="32"/>
        <v>100</v>
      </c>
      <c r="J119" s="2911"/>
      <c r="K119" s="2912"/>
    </row>
    <row r="120" spans="1:12" s="799" customFormat="1" ht="14.25" x14ac:dyDescent="0.2">
      <c r="A120" s="2346"/>
      <c r="B120" s="1551"/>
      <c r="C120" s="811" t="s">
        <v>875</v>
      </c>
      <c r="D120" s="806" t="s">
        <v>887</v>
      </c>
      <c r="E120" s="311">
        <v>0</v>
      </c>
      <c r="F120" s="309">
        <v>67</v>
      </c>
      <c r="G120" s="311">
        <v>66</v>
      </c>
      <c r="H120" s="807">
        <f t="shared" si="32"/>
        <v>98.507462686567166</v>
      </c>
      <c r="J120" s="2913"/>
      <c r="K120" s="2913"/>
      <c r="L120" s="1570"/>
    </row>
    <row r="121" spans="1:12" s="799" customFormat="1" ht="14.25" x14ac:dyDescent="0.2">
      <c r="A121" s="2346"/>
      <c r="B121" s="1551"/>
      <c r="C121" s="811" t="s">
        <v>878</v>
      </c>
      <c r="D121" s="1613" t="s">
        <v>715</v>
      </c>
      <c r="E121" s="311">
        <v>0</v>
      </c>
      <c r="F121" s="309">
        <v>3</v>
      </c>
      <c r="G121" s="311">
        <v>3</v>
      </c>
      <c r="H121" s="807">
        <f t="shared" si="32"/>
        <v>100</v>
      </c>
      <c r="J121" s="2912"/>
      <c r="K121" s="2912"/>
    </row>
    <row r="122" spans="1:12" s="799" customFormat="1" ht="14.25" x14ac:dyDescent="0.2">
      <c r="A122" s="2346"/>
      <c r="B122" s="1551"/>
      <c r="C122" s="811" t="s">
        <v>879</v>
      </c>
      <c r="D122" s="1613" t="s">
        <v>716</v>
      </c>
      <c r="E122" s="311">
        <v>0</v>
      </c>
      <c r="F122" s="309">
        <v>2</v>
      </c>
      <c r="G122" s="311">
        <v>1</v>
      </c>
      <c r="H122" s="807">
        <f t="shared" si="32"/>
        <v>50</v>
      </c>
      <c r="J122" s="2912"/>
      <c r="K122" s="2912"/>
    </row>
    <row r="123" spans="1:12" s="799" customFormat="1" ht="14.25" x14ac:dyDescent="0.2">
      <c r="A123" s="2346"/>
      <c r="B123" s="1551"/>
      <c r="C123" s="811" t="s">
        <v>880</v>
      </c>
      <c r="D123" s="118" t="s">
        <v>717</v>
      </c>
      <c r="E123" s="311">
        <v>0</v>
      </c>
      <c r="F123" s="309">
        <v>25</v>
      </c>
      <c r="G123" s="311">
        <v>22</v>
      </c>
      <c r="H123" s="807">
        <f t="shared" si="32"/>
        <v>88</v>
      </c>
      <c r="J123" s="2912"/>
      <c r="K123" s="2912"/>
    </row>
    <row r="124" spans="1:12" s="799" customFormat="1" ht="15" x14ac:dyDescent="0.25">
      <c r="A124" s="2346">
        <v>6172</v>
      </c>
      <c r="B124" s="1551">
        <v>5038</v>
      </c>
      <c r="C124" s="811"/>
      <c r="D124" s="800" t="s">
        <v>1626</v>
      </c>
      <c r="E124" s="428">
        <v>834</v>
      </c>
      <c r="F124" s="428">
        <v>872</v>
      </c>
      <c r="G124" s="428">
        <v>872</v>
      </c>
      <c r="H124" s="804">
        <f>(G124/F124)*100</f>
        <v>100</v>
      </c>
    </row>
    <row r="125" spans="1:12" s="799" customFormat="1" ht="15" x14ac:dyDescent="0.25">
      <c r="A125" s="2346">
        <v>6172</v>
      </c>
      <c r="B125" s="1551">
        <v>5039</v>
      </c>
      <c r="C125" s="811"/>
      <c r="D125" s="800" t="s">
        <v>1627</v>
      </c>
      <c r="E125" s="428">
        <v>50</v>
      </c>
      <c r="F125" s="165">
        <v>50</v>
      </c>
      <c r="G125" s="310">
        <v>0</v>
      </c>
      <c r="H125" s="804">
        <f t="shared" ref="H125:H127" si="33">(G125/F125)*100</f>
        <v>0</v>
      </c>
    </row>
    <row r="126" spans="1:12" s="799" customFormat="1" ht="15" x14ac:dyDescent="0.25">
      <c r="A126" s="2346">
        <v>6172</v>
      </c>
      <c r="B126" s="1551">
        <v>5041</v>
      </c>
      <c r="C126" s="811"/>
      <c r="D126" s="800" t="s">
        <v>1623</v>
      </c>
      <c r="E126" s="428">
        <v>0</v>
      </c>
      <c r="F126" s="165">
        <v>56</v>
      </c>
      <c r="G126" s="310">
        <v>56</v>
      </c>
      <c r="H126" s="804">
        <f t="shared" si="33"/>
        <v>100</v>
      </c>
    </row>
    <row r="127" spans="1:12" s="799" customFormat="1" ht="15" x14ac:dyDescent="0.25">
      <c r="A127" s="2346">
        <v>6172</v>
      </c>
      <c r="B127" s="1551">
        <v>5051</v>
      </c>
      <c r="C127" s="811"/>
      <c r="D127" s="800" t="s">
        <v>1817</v>
      </c>
      <c r="E127" s="428">
        <v>0</v>
      </c>
      <c r="F127" s="165">
        <v>595</v>
      </c>
      <c r="G127" s="310">
        <v>595</v>
      </c>
      <c r="H127" s="804">
        <f t="shared" si="33"/>
        <v>100</v>
      </c>
    </row>
    <row r="128" spans="1:12" s="799" customFormat="1" ht="15" x14ac:dyDescent="0.25">
      <c r="A128" s="2346">
        <v>6172</v>
      </c>
      <c r="B128" s="1551">
        <v>5132</v>
      </c>
      <c r="C128" s="811"/>
      <c r="D128" s="800" t="s">
        <v>825</v>
      </c>
      <c r="E128" s="428">
        <v>60</v>
      </c>
      <c r="F128" s="165">
        <v>60</v>
      </c>
      <c r="G128" s="310">
        <v>27</v>
      </c>
      <c r="H128" s="804">
        <f>(G128/F128)*100</f>
        <v>45</v>
      </c>
    </row>
    <row r="129" spans="1:8" s="799" customFormat="1" ht="15" x14ac:dyDescent="0.25">
      <c r="A129" s="2346">
        <v>6172</v>
      </c>
      <c r="B129" s="1551">
        <v>5133</v>
      </c>
      <c r="C129" s="811"/>
      <c r="D129" s="800" t="s">
        <v>881</v>
      </c>
      <c r="E129" s="428">
        <v>20</v>
      </c>
      <c r="F129" s="165">
        <v>20</v>
      </c>
      <c r="G129" s="310">
        <v>5</v>
      </c>
      <c r="H129" s="804">
        <f>(G129/F129)*100</f>
        <v>25</v>
      </c>
    </row>
    <row r="130" spans="1:8" s="799" customFormat="1" ht="15" x14ac:dyDescent="0.25">
      <c r="A130" s="2346">
        <v>6172</v>
      </c>
      <c r="B130" s="1551">
        <v>5136</v>
      </c>
      <c r="C130" s="811"/>
      <c r="D130" s="907" t="s">
        <v>129</v>
      </c>
      <c r="E130" s="165">
        <f>E131+E132+E133</f>
        <v>500</v>
      </c>
      <c r="F130" s="428">
        <f>F131+F132+F133</f>
        <v>508</v>
      </c>
      <c r="G130" s="428">
        <f>G131+G132+G133</f>
        <v>268</v>
      </c>
      <c r="H130" s="804">
        <f t="shared" ref="H130:H156" si="34">(G130/F130)*100</f>
        <v>52.755905511811022</v>
      </c>
    </row>
    <row r="131" spans="1:8" s="799" customFormat="1" ht="14.25" x14ac:dyDescent="0.2">
      <c r="A131" s="2346"/>
      <c r="B131" s="1551"/>
      <c r="C131" s="811" t="s">
        <v>871</v>
      </c>
      <c r="D131" s="805" t="s">
        <v>600</v>
      </c>
      <c r="E131" s="311">
        <v>500</v>
      </c>
      <c r="F131" s="309">
        <v>500</v>
      </c>
      <c r="G131" s="311">
        <v>261</v>
      </c>
      <c r="H131" s="807">
        <f t="shared" si="34"/>
        <v>52.2</v>
      </c>
    </row>
    <row r="132" spans="1:8" s="799" customFormat="1" ht="14.25" x14ac:dyDescent="0.2">
      <c r="A132" s="2346"/>
      <c r="B132" s="1551"/>
      <c r="C132" s="811" t="s">
        <v>874</v>
      </c>
      <c r="D132" s="806" t="s">
        <v>420</v>
      </c>
      <c r="E132" s="311">
        <v>0</v>
      </c>
      <c r="F132" s="309">
        <v>2</v>
      </c>
      <c r="G132" s="311">
        <v>1</v>
      </c>
      <c r="H132" s="807">
        <f t="shared" si="34"/>
        <v>50</v>
      </c>
    </row>
    <row r="133" spans="1:8" s="799" customFormat="1" ht="14.25" x14ac:dyDescent="0.2">
      <c r="A133" s="2346"/>
      <c r="B133" s="1553"/>
      <c r="C133" s="811" t="s">
        <v>875</v>
      </c>
      <c r="D133" s="806" t="s">
        <v>887</v>
      </c>
      <c r="E133" s="311">
        <v>0</v>
      </c>
      <c r="F133" s="309">
        <v>6</v>
      </c>
      <c r="G133" s="311">
        <v>6</v>
      </c>
      <c r="H133" s="807">
        <f t="shared" si="34"/>
        <v>100</v>
      </c>
    </row>
    <row r="134" spans="1:8" s="799" customFormat="1" ht="15" x14ac:dyDescent="0.25">
      <c r="A134" s="2346">
        <v>6172</v>
      </c>
      <c r="B134" s="1551">
        <v>5137</v>
      </c>
      <c r="C134" s="811"/>
      <c r="D134" s="907" t="s">
        <v>88</v>
      </c>
      <c r="E134" s="165">
        <f>E135+E136</f>
        <v>2410</v>
      </c>
      <c r="F134" s="428">
        <f>F135+F136</f>
        <v>4992</v>
      </c>
      <c r="G134" s="310">
        <f>G135+G136</f>
        <v>4341</v>
      </c>
      <c r="H134" s="804">
        <f t="shared" si="34"/>
        <v>86.959134615384613</v>
      </c>
    </row>
    <row r="135" spans="1:8" s="799" customFormat="1" ht="14.25" x14ac:dyDescent="0.2">
      <c r="A135" s="2346"/>
      <c r="B135" s="1551"/>
      <c r="C135" s="811" t="s">
        <v>871</v>
      </c>
      <c r="D135" s="805" t="s">
        <v>600</v>
      </c>
      <c r="E135" s="311">
        <v>2410</v>
      </c>
      <c r="F135" s="309">
        <v>4973</v>
      </c>
      <c r="G135" s="311">
        <v>4326</v>
      </c>
      <c r="H135" s="807">
        <f t="shared" si="34"/>
        <v>86.989744620953147</v>
      </c>
    </row>
    <row r="136" spans="1:8" s="799" customFormat="1" ht="14.25" x14ac:dyDescent="0.2">
      <c r="A136" s="2346"/>
      <c r="B136" s="1551"/>
      <c r="C136" s="811" t="s">
        <v>875</v>
      </c>
      <c r="D136" s="806" t="s">
        <v>887</v>
      </c>
      <c r="E136" s="311">
        <v>0</v>
      </c>
      <c r="F136" s="309">
        <v>19</v>
      </c>
      <c r="G136" s="311">
        <v>15</v>
      </c>
      <c r="H136" s="807">
        <f t="shared" si="34"/>
        <v>78.94736842105263</v>
      </c>
    </row>
    <row r="137" spans="1:8" s="799" customFormat="1" ht="15" x14ac:dyDescent="0.25">
      <c r="A137" s="2346">
        <v>6172</v>
      </c>
      <c r="B137" s="1551">
        <v>5139</v>
      </c>
      <c r="C137" s="811"/>
      <c r="D137" s="800" t="s">
        <v>396</v>
      </c>
      <c r="E137" s="428">
        <f>E138+E139</f>
        <v>2500</v>
      </c>
      <c r="F137" s="428">
        <f t="shared" ref="F137:G137" si="35">F138+F139</f>
        <v>2721</v>
      </c>
      <c r="G137" s="428">
        <f t="shared" si="35"/>
        <v>2329</v>
      </c>
      <c r="H137" s="804">
        <f t="shared" si="34"/>
        <v>85.593531789783171</v>
      </c>
    </row>
    <row r="138" spans="1:8" s="799" customFormat="1" ht="14.25" x14ac:dyDescent="0.2">
      <c r="A138" s="2346"/>
      <c r="B138" s="1551"/>
      <c r="C138" s="811" t="s">
        <v>871</v>
      </c>
      <c r="D138" s="805" t="s">
        <v>600</v>
      </c>
      <c r="E138" s="311">
        <v>2500</v>
      </c>
      <c r="F138" s="309">
        <v>2715</v>
      </c>
      <c r="G138" s="311">
        <v>2329</v>
      </c>
      <c r="H138" s="807">
        <f t="shared" si="34"/>
        <v>85.782688766114177</v>
      </c>
    </row>
    <row r="139" spans="1:8" s="799" customFormat="1" ht="15" thickBot="1" x14ac:dyDescent="0.25">
      <c r="A139" s="2830"/>
      <c r="B139" s="2831"/>
      <c r="C139" s="2636" t="s">
        <v>875</v>
      </c>
      <c r="D139" s="2832" t="s">
        <v>887</v>
      </c>
      <c r="E139" s="2994">
        <v>0</v>
      </c>
      <c r="F139" s="2995">
        <v>6</v>
      </c>
      <c r="G139" s="2994">
        <v>0</v>
      </c>
      <c r="H139" s="2833">
        <f t="shared" si="34"/>
        <v>0</v>
      </c>
    </row>
    <row r="140" spans="1:8" s="799" customFormat="1" ht="15" thickTop="1" x14ac:dyDescent="0.2">
      <c r="A140" s="1551"/>
      <c r="B140" s="1551"/>
      <c r="C140" s="802"/>
      <c r="D140" s="806"/>
      <c r="E140" s="309"/>
      <c r="F140" s="309"/>
      <c r="G140" s="309"/>
      <c r="H140" s="416"/>
    </row>
    <row r="141" spans="1:8" s="799" customFormat="1" ht="13.5" thickBot="1" x14ac:dyDescent="0.25">
      <c r="A141" s="570"/>
      <c r="B141" s="570"/>
      <c r="C141" s="649"/>
      <c r="D141" s="571"/>
      <c r="E141" s="373"/>
      <c r="F141" s="373"/>
      <c r="G141" s="560"/>
      <c r="H141" s="1568" t="s">
        <v>92</v>
      </c>
    </row>
    <row r="142" spans="1:8" s="799" customFormat="1" ht="24" thickTop="1" thickBot="1" x14ac:dyDescent="0.25">
      <c r="A142" s="572" t="s">
        <v>93</v>
      </c>
      <c r="B142" s="573" t="s">
        <v>94</v>
      </c>
      <c r="C142" s="575" t="s">
        <v>364</v>
      </c>
      <c r="D142" s="575" t="s">
        <v>95</v>
      </c>
      <c r="E142" s="1649" t="s">
        <v>328</v>
      </c>
      <c r="F142" s="1649" t="s">
        <v>329</v>
      </c>
      <c r="G142" s="575" t="s">
        <v>448</v>
      </c>
      <c r="H142" s="576" t="s">
        <v>449</v>
      </c>
    </row>
    <row r="143" spans="1:8" s="799" customFormat="1" ht="14.25" thickTop="1" thickBot="1" x14ac:dyDescent="0.25">
      <c r="A143" s="511">
        <v>1</v>
      </c>
      <c r="B143" s="512">
        <v>2</v>
      </c>
      <c r="C143" s="512">
        <v>3</v>
      </c>
      <c r="D143" s="512">
        <v>4</v>
      </c>
      <c r="E143" s="512">
        <v>5</v>
      </c>
      <c r="F143" s="499">
        <v>6</v>
      </c>
      <c r="G143" s="499">
        <v>7</v>
      </c>
      <c r="H143" s="577" t="s">
        <v>33</v>
      </c>
    </row>
    <row r="144" spans="1:8" s="799" customFormat="1" ht="15.75" thickTop="1" x14ac:dyDescent="0.25">
      <c r="A144" s="2347">
        <v>6172</v>
      </c>
      <c r="B144" s="1553">
        <v>5151</v>
      </c>
      <c r="C144" s="811"/>
      <c r="D144" s="800" t="s">
        <v>435</v>
      </c>
      <c r="E144" s="428">
        <f>E145</f>
        <v>440</v>
      </c>
      <c r="F144" s="428">
        <f t="shared" ref="F144:G144" si="36">F145</f>
        <v>407</v>
      </c>
      <c r="G144" s="428">
        <f t="shared" si="36"/>
        <v>379</v>
      </c>
      <c r="H144" s="804">
        <f t="shared" si="34"/>
        <v>93.120393120393118</v>
      </c>
    </row>
    <row r="145" spans="1:12" s="799" customFormat="1" ht="14.25" x14ac:dyDescent="0.2">
      <c r="A145" s="2347"/>
      <c r="B145" s="1553"/>
      <c r="C145" s="811" t="s">
        <v>871</v>
      </c>
      <c r="D145" s="805" t="s">
        <v>600</v>
      </c>
      <c r="E145" s="311">
        <v>440</v>
      </c>
      <c r="F145" s="309">
        <v>407</v>
      </c>
      <c r="G145" s="311">
        <v>379</v>
      </c>
      <c r="H145" s="807">
        <f t="shared" si="34"/>
        <v>93.120393120393118</v>
      </c>
    </row>
    <row r="146" spans="1:12" s="799" customFormat="1" ht="15" x14ac:dyDescent="0.25">
      <c r="A146" s="2347">
        <v>6172</v>
      </c>
      <c r="B146" s="1553">
        <v>5152</v>
      </c>
      <c r="C146" s="811"/>
      <c r="D146" s="2903" t="s">
        <v>438</v>
      </c>
      <c r="E146" s="428">
        <v>2600</v>
      </c>
      <c r="F146" s="165">
        <v>2698</v>
      </c>
      <c r="G146" s="310">
        <v>2679</v>
      </c>
      <c r="H146" s="804">
        <f t="shared" si="34"/>
        <v>99.295774647887328</v>
      </c>
    </row>
    <row r="147" spans="1:12" s="799" customFormat="1" ht="15" x14ac:dyDescent="0.25">
      <c r="A147" s="2347">
        <v>6172</v>
      </c>
      <c r="B147" s="1553">
        <v>5153</v>
      </c>
      <c r="C147" s="811"/>
      <c r="D147" s="800" t="s">
        <v>582</v>
      </c>
      <c r="E147" s="428">
        <f>E148</f>
        <v>0</v>
      </c>
      <c r="F147" s="428">
        <f t="shared" ref="F147:G147" si="37">F148</f>
        <v>19</v>
      </c>
      <c r="G147" s="428">
        <f t="shared" si="37"/>
        <v>18</v>
      </c>
      <c r="H147" s="804">
        <f t="shared" si="34"/>
        <v>94.73684210526315</v>
      </c>
    </row>
    <row r="148" spans="1:12" s="799" customFormat="1" ht="14.25" x14ac:dyDescent="0.2">
      <c r="A148" s="2347"/>
      <c r="B148" s="1553"/>
      <c r="C148" s="811" t="s">
        <v>871</v>
      </c>
      <c r="D148" s="805" t="s">
        <v>600</v>
      </c>
      <c r="E148" s="311">
        <v>0</v>
      </c>
      <c r="F148" s="309">
        <v>19</v>
      </c>
      <c r="G148" s="311">
        <v>18</v>
      </c>
      <c r="H148" s="807">
        <f t="shared" si="34"/>
        <v>94.73684210526315</v>
      </c>
    </row>
    <row r="149" spans="1:12" s="799" customFormat="1" ht="15" x14ac:dyDescent="0.25">
      <c r="A149" s="2347">
        <v>6172</v>
      </c>
      <c r="B149" s="1553">
        <v>5154</v>
      </c>
      <c r="C149" s="811"/>
      <c r="D149" s="800" t="s">
        <v>159</v>
      </c>
      <c r="E149" s="428">
        <f>E150</f>
        <v>3300</v>
      </c>
      <c r="F149" s="428">
        <f t="shared" ref="F149:G149" si="38">F150</f>
        <v>3386</v>
      </c>
      <c r="G149" s="428">
        <f t="shared" si="38"/>
        <v>2013</v>
      </c>
      <c r="H149" s="804">
        <f t="shared" si="34"/>
        <v>59.450679267572362</v>
      </c>
    </row>
    <row r="150" spans="1:12" s="799" customFormat="1" ht="14.25" x14ac:dyDescent="0.2">
      <c r="A150" s="2347"/>
      <c r="B150" s="1553"/>
      <c r="C150" s="811" t="s">
        <v>871</v>
      </c>
      <c r="D150" s="805" t="s">
        <v>600</v>
      </c>
      <c r="E150" s="311">
        <v>3300</v>
      </c>
      <c r="F150" s="309">
        <v>3386</v>
      </c>
      <c r="G150" s="311">
        <v>2013</v>
      </c>
      <c r="H150" s="807">
        <f t="shared" si="34"/>
        <v>59.450679267572362</v>
      </c>
    </row>
    <row r="151" spans="1:12" s="799" customFormat="1" ht="15" x14ac:dyDescent="0.25">
      <c r="A151" s="2347">
        <v>6172</v>
      </c>
      <c r="B151" s="1553">
        <v>5156</v>
      </c>
      <c r="C151" s="811"/>
      <c r="D151" s="800" t="s">
        <v>160</v>
      </c>
      <c r="E151" s="428">
        <f>E152+E153+E154+E155+E156</f>
        <v>1000</v>
      </c>
      <c r="F151" s="428">
        <f t="shared" ref="F151:G151" si="39">F152+F153+F154+F155+F156</f>
        <v>1021</v>
      </c>
      <c r="G151" s="428">
        <f t="shared" si="39"/>
        <v>795</v>
      </c>
      <c r="H151" s="804">
        <f t="shared" si="34"/>
        <v>77.864838393731645</v>
      </c>
    </row>
    <row r="152" spans="1:12" s="799" customFormat="1" ht="14.25" x14ac:dyDescent="0.2">
      <c r="A152" s="2347"/>
      <c r="B152" s="1553"/>
      <c r="C152" s="811" t="s">
        <v>871</v>
      </c>
      <c r="D152" s="805" t="s">
        <v>600</v>
      </c>
      <c r="E152" s="311">
        <v>1000</v>
      </c>
      <c r="F152" s="309">
        <v>1000</v>
      </c>
      <c r="G152" s="311">
        <v>788</v>
      </c>
      <c r="H152" s="807">
        <f t="shared" si="34"/>
        <v>78.8</v>
      </c>
    </row>
    <row r="153" spans="1:12" s="799" customFormat="1" ht="14.25" x14ac:dyDescent="0.2">
      <c r="A153" s="2347"/>
      <c r="B153" s="1553"/>
      <c r="C153" s="811" t="s">
        <v>875</v>
      </c>
      <c r="D153" s="806" t="s">
        <v>887</v>
      </c>
      <c r="E153" s="311">
        <v>0</v>
      </c>
      <c r="F153" s="309">
        <v>6</v>
      </c>
      <c r="G153" s="311">
        <v>5</v>
      </c>
      <c r="H153" s="807">
        <f t="shared" si="34"/>
        <v>83.333333333333343</v>
      </c>
    </row>
    <row r="154" spans="1:12" s="799" customFormat="1" ht="14.25" x14ac:dyDescent="0.2">
      <c r="A154" s="2347"/>
      <c r="B154" s="1553"/>
      <c r="C154" s="811" t="s">
        <v>878</v>
      </c>
      <c r="D154" s="1613" t="s">
        <v>715</v>
      </c>
      <c r="E154" s="311">
        <v>0</v>
      </c>
      <c r="F154" s="309">
        <v>2</v>
      </c>
      <c r="G154" s="311">
        <v>0</v>
      </c>
      <c r="H154" s="807">
        <f t="shared" si="34"/>
        <v>0</v>
      </c>
    </row>
    <row r="155" spans="1:12" s="799" customFormat="1" ht="14.25" x14ac:dyDescent="0.2">
      <c r="A155" s="2347"/>
      <c r="B155" s="1553"/>
      <c r="C155" s="811" t="s">
        <v>879</v>
      </c>
      <c r="D155" s="1613" t="s">
        <v>716</v>
      </c>
      <c r="E155" s="311">
        <v>0</v>
      </c>
      <c r="F155" s="309">
        <v>1</v>
      </c>
      <c r="G155" s="311">
        <v>0</v>
      </c>
      <c r="H155" s="807">
        <f t="shared" si="34"/>
        <v>0</v>
      </c>
    </row>
    <row r="156" spans="1:12" s="799" customFormat="1" ht="14.25" x14ac:dyDescent="0.2">
      <c r="A156" s="2347"/>
      <c r="B156" s="1553"/>
      <c r="C156" s="811" t="s">
        <v>880</v>
      </c>
      <c r="D156" s="118" t="s">
        <v>717</v>
      </c>
      <c r="E156" s="311">
        <v>0</v>
      </c>
      <c r="F156" s="309">
        <v>12</v>
      </c>
      <c r="G156" s="311">
        <v>2</v>
      </c>
      <c r="H156" s="807">
        <f t="shared" si="34"/>
        <v>16.666666666666664</v>
      </c>
      <c r="J156" s="826"/>
      <c r="K156" s="826"/>
      <c r="L156" s="826"/>
    </row>
    <row r="157" spans="1:12" s="799" customFormat="1" ht="15" x14ac:dyDescent="0.25">
      <c r="A157" s="2346">
        <v>6172</v>
      </c>
      <c r="B157" s="1553">
        <v>5157</v>
      </c>
      <c r="C157" s="811"/>
      <c r="D157" s="800" t="s">
        <v>211</v>
      </c>
      <c r="E157" s="428">
        <f>E158</f>
        <v>150</v>
      </c>
      <c r="F157" s="428">
        <f t="shared" ref="F157:G157" si="40">F158</f>
        <v>150</v>
      </c>
      <c r="G157" s="428">
        <f t="shared" si="40"/>
        <v>124</v>
      </c>
      <c r="H157" s="804">
        <f t="shared" ref="H157:H165" si="41">(G157/F157)*100</f>
        <v>82.666666666666671</v>
      </c>
    </row>
    <row r="158" spans="1:12" s="799" customFormat="1" ht="14.25" x14ac:dyDescent="0.2">
      <c r="A158" s="2347"/>
      <c r="B158" s="1553"/>
      <c r="C158" s="811" t="s">
        <v>871</v>
      </c>
      <c r="D158" s="805" t="s">
        <v>600</v>
      </c>
      <c r="E158" s="311">
        <v>150</v>
      </c>
      <c r="F158" s="309">
        <v>150</v>
      </c>
      <c r="G158" s="311">
        <v>124</v>
      </c>
      <c r="H158" s="807">
        <f t="shared" si="41"/>
        <v>82.666666666666671</v>
      </c>
    </row>
    <row r="159" spans="1:12" s="799" customFormat="1" ht="15" x14ac:dyDescent="0.25">
      <c r="A159" s="2347">
        <v>6172</v>
      </c>
      <c r="B159" s="1553">
        <v>5159</v>
      </c>
      <c r="C159" s="811"/>
      <c r="D159" s="800" t="s">
        <v>263</v>
      </c>
      <c r="E159" s="428">
        <v>25</v>
      </c>
      <c r="F159" s="165">
        <v>25</v>
      </c>
      <c r="G159" s="310">
        <v>0</v>
      </c>
      <c r="H159" s="804">
        <f t="shared" si="41"/>
        <v>0</v>
      </c>
    </row>
    <row r="160" spans="1:12" s="799" customFormat="1" ht="15" x14ac:dyDescent="0.25">
      <c r="A160" s="2347">
        <v>6172</v>
      </c>
      <c r="B160" s="1553">
        <v>5161</v>
      </c>
      <c r="C160" s="811"/>
      <c r="D160" s="1571" t="s">
        <v>822</v>
      </c>
      <c r="E160" s="428">
        <v>1240</v>
      </c>
      <c r="F160" s="428">
        <v>1240</v>
      </c>
      <c r="G160" s="428">
        <v>1119</v>
      </c>
      <c r="H160" s="804">
        <f t="shared" si="41"/>
        <v>90.241935483870975</v>
      </c>
    </row>
    <row r="161" spans="1:12" s="799" customFormat="1" ht="15" x14ac:dyDescent="0.25">
      <c r="A161" s="2347">
        <v>6172</v>
      </c>
      <c r="B161" s="1553">
        <v>5162</v>
      </c>
      <c r="C161" s="811"/>
      <c r="D161" s="800" t="s">
        <v>439</v>
      </c>
      <c r="E161" s="428">
        <f>E162+E163</f>
        <v>1663</v>
      </c>
      <c r="F161" s="428">
        <f t="shared" ref="F161:G161" si="42">F162+F163</f>
        <v>1667</v>
      </c>
      <c r="G161" s="428">
        <f t="shared" si="42"/>
        <v>1076</v>
      </c>
      <c r="H161" s="804">
        <f t="shared" si="41"/>
        <v>64.547090581883623</v>
      </c>
    </row>
    <row r="162" spans="1:12" s="799" customFormat="1" ht="14.25" x14ac:dyDescent="0.2">
      <c r="A162" s="2347"/>
      <c r="B162" s="1553"/>
      <c r="C162" s="811" t="s">
        <v>871</v>
      </c>
      <c r="D162" s="805" t="s">
        <v>600</v>
      </c>
      <c r="E162" s="311">
        <v>1663</v>
      </c>
      <c r="F162" s="309">
        <v>1663</v>
      </c>
      <c r="G162" s="311">
        <v>1075</v>
      </c>
      <c r="H162" s="807">
        <f t="shared" si="41"/>
        <v>64.642212868310281</v>
      </c>
    </row>
    <row r="163" spans="1:12" s="799" customFormat="1" ht="14.25" x14ac:dyDescent="0.2">
      <c r="A163" s="2348"/>
      <c r="B163" s="2229"/>
      <c r="C163" s="505" t="s">
        <v>875</v>
      </c>
      <c r="D163" s="118" t="s">
        <v>887</v>
      </c>
      <c r="E163" s="311">
        <v>0</v>
      </c>
      <c r="F163" s="309">
        <v>4</v>
      </c>
      <c r="G163" s="311">
        <v>1</v>
      </c>
      <c r="H163" s="506">
        <f t="shared" si="41"/>
        <v>25</v>
      </c>
    </row>
    <row r="164" spans="1:12" s="799" customFormat="1" ht="15" x14ac:dyDescent="0.25">
      <c r="A164" s="2347">
        <v>6172</v>
      </c>
      <c r="B164" s="1553">
        <v>5163</v>
      </c>
      <c r="C164" s="811"/>
      <c r="D164" s="800" t="s">
        <v>452</v>
      </c>
      <c r="E164" s="428">
        <f>E165</f>
        <v>20</v>
      </c>
      <c r="F164" s="428">
        <f t="shared" ref="F164:G164" si="43">F165</f>
        <v>20</v>
      </c>
      <c r="G164" s="428">
        <f t="shared" si="43"/>
        <v>6</v>
      </c>
      <c r="H164" s="804">
        <f t="shared" si="41"/>
        <v>30</v>
      </c>
    </row>
    <row r="165" spans="1:12" s="799" customFormat="1" ht="14.25" x14ac:dyDescent="0.2">
      <c r="A165" s="2347"/>
      <c r="B165" s="1553"/>
      <c r="C165" s="811" t="s">
        <v>871</v>
      </c>
      <c r="D165" s="805" t="s">
        <v>600</v>
      </c>
      <c r="E165" s="311">
        <v>20</v>
      </c>
      <c r="F165" s="309">
        <v>20</v>
      </c>
      <c r="G165" s="311">
        <v>6</v>
      </c>
      <c r="H165" s="807">
        <f t="shared" si="41"/>
        <v>30</v>
      </c>
    </row>
    <row r="166" spans="1:12" s="799" customFormat="1" ht="15" x14ac:dyDescent="0.25">
      <c r="A166" s="2347">
        <v>6172</v>
      </c>
      <c r="B166" s="1553">
        <v>5164</v>
      </c>
      <c r="C166" s="811"/>
      <c r="D166" s="800" t="s">
        <v>453</v>
      </c>
      <c r="E166" s="428">
        <f>E167+E168</f>
        <v>19190</v>
      </c>
      <c r="F166" s="428">
        <f t="shared" ref="F166:G166" si="44">F167+F168</f>
        <v>19228</v>
      </c>
      <c r="G166" s="428">
        <f t="shared" si="44"/>
        <v>18719</v>
      </c>
      <c r="H166" s="804">
        <f t="shared" ref="H166:H184" si="45">(G166/F166)*100</f>
        <v>97.352818805908043</v>
      </c>
    </row>
    <row r="167" spans="1:12" s="799" customFormat="1" ht="14.25" x14ac:dyDescent="0.2">
      <c r="A167" s="2347"/>
      <c r="B167" s="1553"/>
      <c r="C167" s="811" t="s">
        <v>871</v>
      </c>
      <c r="D167" s="805" t="s">
        <v>600</v>
      </c>
      <c r="E167" s="311">
        <v>19190</v>
      </c>
      <c r="F167" s="309">
        <v>19190</v>
      </c>
      <c r="G167" s="311">
        <v>18681</v>
      </c>
      <c r="H167" s="807">
        <f t="shared" si="45"/>
        <v>97.347576862949452</v>
      </c>
      <c r="J167" s="826"/>
      <c r="K167" s="826"/>
      <c r="L167" s="826"/>
    </row>
    <row r="168" spans="1:12" s="799" customFormat="1" ht="14.25" x14ac:dyDescent="0.2">
      <c r="A168" s="2347"/>
      <c r="B168" s="1553"/>
      <c r="C168" s="505" t="s">
        <v>875</v>
      </c>
      <c r="D168" s="118" t="s">
        <v>887</v>
      </c>
      <c r="E168" s="311">
        <v>0</v>
      </c>
      <c r="F168" s="309">
        <v>38</v>
      </c>
      <c r="G168" s="311">
        <v>38</v>
      </c>
      <c r="H168" s="807">
        <f t="shared" si="45"/>
        <v>100</v>
      </c>
      <c r="J168" s="826"/>
      <c r="K168" s="826"/>
      <c r="L168" s="826"/>
    </row>
    <row r="169" spans="1:12" s="799" customFormat="1" ht="15" x14ac:dyDescent="0.25">
      <c r="A169" s="2347">
        <v>6172</v>
      </c>
      <c r="B169" s="1553">
        <v>5166</v>
      </c>
      <c r="C169" s="811"/>
      <c r="D169" s="127" t="s">
        <v>317</v>
      </c>
      <c r="E169" s="310">
        <v>460</v>
      </c>
      <c r="F169" s="308">
        <v>627</v>
      </c>
      <c r="G169" s="310">
        <v>364</v>
      </c>
      <c r="H169" s="804">
        <f t="shared" si="45"/>
        <v>58.054226475279101</v>
      </c>
      <c r="J169" s="826"/>
      <c r="K169" s="826"/>
      <c r="L169" s="826"/>
    </row>
    <row r="170" spans="1:12" s="799" customFormat="1" ht="15" x14ac:dyDescent="0.25">
      <c r="A170" s="2347">
        <v>6172</v>
      </c>
      <c r="B170" s="1553">
        <v>5167</v>
      </c>
      <c r="C170" s="811"/>
      <c r="D170" s="800" t="s">
        <v>455</v>
      </c>
      <c r="E170" s="428">
        <f>E171+E173</f>
        <v>2000</v>
      </c>
      <c r="F170" s="165">
        <f>F171+F173</f>
        <v>2160</v>
      </c>
      <c r="G170" s="310">
        <f>G171+G173</f>
        <v>1844</v>
      </c>
      <c r="H170" s="804">
        <f t="shared" si="45"/>
        <v>85.370370370370381</v>
      </c>
    </row>
    <row r="171" spans="1:12" s="799" customFormat="1" ht="14.25" x14ac:dyDescent="0.2">
      <c r="A171" s="2347"/>
      <c r="B171" s="1553"/>
      <c r="C171" s="811" t="s">
        <v>871</v>
      </c>
      <c r="D171" s="805" t="s">
        <v>600</v>
      </c>
      <c r="E171" s="311">
        <v>2000</v>
      </c>
      <c r="F171" s="309">
        <v>2090</v>
      </c>
      <c r="G171" s="311">
        <v>1819</v>
      </c>
      <c r="H171" s="807">
        <f t="shared" si="45"/>
        <v>87.033492822966508</v>
      </c>
    </row>
    <row r="172" spans="1:12" s="799" customFormat="1" ht="14.25" x14ac:dyDescent="0.2">
      <c r="A172" s="2347"/>
      <c r="B172" s="1553"/>
      <c r="C172" s="811" t="s">
        <v>874</v>
      </c>
      <c r="D172" s="806" t="s">
        <v>420</v>
      </c>
      <c r="E172" s="311">
        <v>0</v>
      </c>
      <c r="F172" s="309">
        <v>1</v>
      </c>
      <c r="G172" s="311">
        <v>1</v>
      </c>
      <c r="H172" s="807">
        <f t="shared" si="45"/>
        <v>100</v>
      </c>
    </row>
    <row r="173" spans="1:12" s="799" customFormat="1" ht="14.25" x14ac:dyDescent="0.2">
      <c r="A173" s="2347"/>
      <c r="B173" s="1553"/>
      <c r="C173" s="811" t="s">
        <v>875</v>
      </c>
      <c r="D173" s="806" t="s">
        <v>887</v>
      </c>
      <c r="E173" s="311">
        <v>0</v>
      </c>
      <c r="F173" s="309">
        <v>70</v>
      </c>
      <c r="G173" s="311">
        <v>25</v>
      </c>
      <c r="H173" s="807">
        <f t="shared" si="45"/>
        <v>35.714285714285715</v>
      </c>
    </row>
    <row r="174" spans="1:12" s="799" customFormat="1" ht="15" x14ac:dyDescent="0.25">
      <c r="A174" s="2347">
        <v>6172</v>
      </c>
      <c r="B174" s="1553">
        <v>5168</v>
      </c>
      <c r="C174" s="811"/>
      <c r="D174" s="3185" t="s">
        <v>1153</v>
      </c>
      <c r="E174" s="428">
        <v>26318</v>
      </c>
      <c r="F174" s="165">
        <v>24964</v>
      </c>
      <c r="G174" s="310">
        <v>24287</v>
      </c>
      <c r="H174" s="804">
        <f t="shared" si="45"/>
        <v>97.288094856593503</v>
      </c>
      <c r="J174" s="826"/>
    </row>
    <row r="175" spans="1:12" s="425" customFormat="1" ht="15" x14ac:dyDescent="0.25">
      <c r="A175" s="2347"/>
      <c r="B175" s="1553"/>
      <c r="C175" s="811"/>
      <c r="D175" s="3184"/>
      <c r="E175" s="428"/>
      <c r="F175" s="165"/>
      <c r="G175" s="310"/>
      <c r="H175" s="804"/>
      <c r="J175" s="2307"/>
    </row>
    <row r="176" spans="1:12" s="799" customFormat="1" ht="15.75" customHeight="1" x14ac:dyDescent="0.25">
      <c r="A176" s="2347">
        <v>6172</v>
      </c>
      <c r="B176" s="1553">
        <v>5169</v>
      </c>
      <c r="C176" s="811"/>
      <c r="D176" s="800" t="s">
        <v>540</v>
      </c>
      <c r="E176" s="428">
        <f>E177+E178+E179</f>
        <v>13994</v>
      </c>
      <c r="F176" s="428">
        <f t="shared" ref="F176:G176" si="46">F177+F178+F179</f>
        <v>14018</v>
      </c>
      <c r="G176" s="428">
        <f t="shared" si="46"/>
        <v>12439</v>
      </c>
      <c r="H176" s="804">
        <f t="shared" si="45"/>
        <v>88.735910971607936</v>
      </c>
      <c r="J176" s="826"/>
      <c r="K176" s="826"/>
      <c r="L176" s="826"/>
    </row>
    <row r="177" spans="1:12" s="799" customFormat="1" ht="15.75" customHeight="1" x14ac:dyDescent="0.2">
      <c r="A177" s="2347"/>
      <c r="B177" s="1553"/>
      <c r="C177" s="811" t="s">
        <v>871</v>
      </c>
      <c r="D177" s="805" t="s">
        <v>600</v>
      </c>
      <c r="E177" s="311">
        <v>13994</v>
      </c>
      <c r="F177" s="311">
        <v>13958</v>
      </c>
      <c r="G177" s="311">
        <v>12410</v>
      </c>
      <c r="H177" s="807">
        <f t="shared" si="45"/>
        <v>88.909585900558824</v>
      </c>
      <c r="J177" s="826"/>
      <c r="K177" s="826"/>
      <c r="L177" s="826"/>
    </row>
    <row r="178" spans="1:12" s="799" customFormat="1" ht="15.75" customHeight="1" x14ac:dyDescent="0.2">
      <c r="A178" s="2347"/>
      <c r="B178" s="1553"/>
      <c r="C178" s="811" t="s">
        <v>874</v>
      </c>
      <c r="D178" s="806" t="s">
        <v>420</v>
      </c>
      <c r="E178" s="311">
        <v>0</v>
      </c>
      <c r="F178" s="311">
        <v>10</v>
      </c>
      <c r="G178" s="311">
        <v>10</v>
      </c>
      <c r="H178" s="807">
        <f t="shared" si="45"/>
        <v>100</v>
      </c>
      <c r="J178" s="826"/>
      <c r="K178" s="826"/>
      <c r="L178" s="826"/>
    </row>
    <row r="179" spans="1:12" s="799" customFormat="1" ht="15.75" customHeight="1" x14ac:dyDescent="0.2">
      <c r="A179" s="2347"/>
      <c r="B179" s="1553"/>
      <c r="C179" s="811" t="s">
        <v>875</v>
      </c>
      <c r="D179" s="806" t="s">
        <v>887</v>
      </c>
      <c r="E179" s="311">
        <v>0</v>
      </c>
      <c r="F179" s="311">
        <v>50</v>
      </c>
      <c r="G179" s="311">
        <v>19</v>
      </c>
      <c r="H179" s="807">
        <f t="shared" si="45"/>
        <v>38</v>
      </c>
      <c r="J179" s="826"/>
      <c r="K179" s="826"/>
      <c r="L179" s="826"/>
    </row>
    <row r="180" spans="1:12" s="799" customFormat="1" ht="15.75" customHeight="1" x14ac:dyDescent="0.25">
      <c r="A180" s="2347">
        <v>6172</v>
      </c>
      <c r="B180" s="1553">
        <v>5171</v>
      </c>
      <c r="C180" s="811"/>
      <c r="D180" s="800" t="s">
        <v>585</v>
      </c>
      <c r="E180" s="428">
        <f>E181+E182</f>
        <v>5796</v>
      </c>
      <c r="F180" s="428">
        <f>F181+F182</f>
        <v>11744</v>
      </c>
      <c r="G180" s="428">
        <f>G181+G182</f>
        <v>9173</v>
      </c>
      <c r="H180" s="804">
        <f t="shared" si="45"/>
        <v>78.107970027247958</v>
      </c>
      <c r="J180" s="826"/>
      <c r="K180" s="826"/>
      <c r="L180" s="826"/>
    </row>
    <row r="181" spans="1:12" s="799" customFormat="1" ht="14.25" x14ac:dyDescent="0.2">
      <c r="A181" s="2347"/>
      <c r="B181" s="1553"/>
      <c r="C181" s="811" t="s">
        <v>871</v>
      </c>
      <c r="D181" s="805" t="s">
        <v>600</v>
      </c>
      <c r="E181" s="311">
        <v>5796</v>
      </c>
      <c r="F181" s="309">
        <v>11743</v>
      </c>
      <c r="G181" s="311">
        <v>9173</v>
      </c>
      <c r="H181" s="807">
        <f t="shared" si="45"/>
        <v>78.114621476624365</v>
      </c>
    </row>
    <row r="182" spans="1:12" s="799" customFormat="1" ht="14.25" x14ac:dyDescent="0.2">
      <c r="A182" s="2347"/>
      <c r="B182" s="1553"/>
      <c r="C182" s="811" t="s">
        <v>953</v>
      </c>
      <c r="D182" s="806" t="s">
        <v>1103</v>
      </c>
      <c r="E182" s="311">
        <v>0</v>
      </c>
      <c r="F182" s="309">
        <v>1</v>
      </c>
      <c r="G182" s="311">
        <v>0</v>
      </c>
      <c r="H182" s="807">
        <f t="shared" si="45"/>
        <v>0</v>
      </c>
    </row>
    <row r="183" spans="1:12" s="799" customFormat="1" ht="15" x14ac:dyDescent="0.25">
      <c r="A183" s="2347">
        <v>6172</v>
      </c>
      <c r="B183" s="1553">
        <v>5172</v>
      </c>
      <c r="C183" s="811"/>
      <c r="D183" s="800" t="s">
        <v>457</v>
      </c>
      <c r="E183" s="428">
        <v>750</v>
      </c>
      <c r="F183" s="428">
        <v>543</v>
      </c>
      <c r="G183" s="428">
        <v>273</v>
      </c>
      <c r="H183" s="199">
        <f t="shared" si="45"/>
        <v>50.276243093922659</v>
      </c>
    </row>
    <row r="184" spans="1:12" s="799" customFormat="1" ht="15" x14ac:dyDescent="0.25">
      <c r="A184" s="2347">
        <v>6172</v>
      </c>
      <c r="B184" s="1553">
        <v>5173</v>
      </c>
      <c r="C184" s="811"/>
      <c r="D184" s="800" t="s">
        <v>541</v>
      </c>
      <c r="E184" s="428">
        <f>E185+E186+E189+E190+E187+E188</f>
        <v>3000</v>
      </c>
      <c r="F184" s="428">
        <f>F185+F186+F189+F190+F187+F188</f>
        <v>2961</v>
      </c>
      <c r="G184" s="428">
        <f>G185+G186+G189+G190+G188+G187</f>
        <v>2003</v>
      </c>
      <c r="H184" s="804">
        <f t="shared" si="45"/>
        <v>67.646065518405933</v>
      </c>
    </row>
    <row r="185" spans="1:12" s="799" customFormat="1" ht="14.25" x14ac:dyDescent="0.2">
      <c r="A185" s="2347"/>
      <c r="B185" s="1553"/>
      <c r="C185" s="811" t="s">
        <v>871</v>
      </c>
      <c r="D185" s="805" t="s">
        <v>600</v>
      </c>
      <c r="E185" s="311">
        <v>3000</v>
      </c>
      <c r="F185" s="309">
        <v>2902</v>
      </c>
      <c r="G185" s="311">
        <v>1982</v>
      </c>
      <c r="H185" s="807">
        <f t="shared" ref="H185:H194" si="47">(G185/F185)*100</f>
        <v>68.297725706409381</v>
      </c>
    </row>
    <row r="186" spans="1:12" s="799" customFormat="1" ht="14.25" x14ac:dyDescent="0.2">
      <c r="A186" s="2347"/>
      <c r="B186" s="1553"/>
      <c r="C186" s="811" t="s">
        <v>874</v>
      </c>
      <c r="D186" s="806" t="s">
        <v>420</v>
      </c>
      <c r="E186" s="311">
        <v>0</v>
      </c>
      <c r="F186" s="309">
        <v>9</v>
      </c>
      <c r="G186" s="311">
        <v>9</v>
      </c>
      <c r="H186" s="807">
        <f t="shared" si="47"/>
        <v>100</v>
      </c>
    </row>
    <row r="187" spans="1:12" s="799" customFormat="1" ht="14.25" x14ac:dyDescent="0.2">
      <c r="A187" s="2347"/>
      <c r="B187" s="1553"/>
      <c r="C187" s="811" t="s">
        <v>875</v>
      </c>
      <c r="D187" s="806" t="s">
        <v>887</v>
      </c>
      <c r="E187" s="311">
        <v>0</v>
      </c>
      <c r="F187" s="309">
        <v>20</v>
      </c>
      <c r="G187" s="311">
        <v>8</v>
      </c>
      <c r="H187" s="807">
        <f t="shared" si="47"/>
        <v>40</v>
      </c>
    </row>
    <row r="188" spans="1:12" s="799" customFormat="1" ht="14.25" x14ac:dyDescent="0.2">
      <c r="A188" s="2347"/>
      <c r="B188" s="1553"/>
      <c r="C188" s="811" t="s">
        <v>878</v>
      </c>
      <c r="D188" s="1613" t="s">
        <v>715</v>
      </c>
      <c r="E188" s="311">
        <v>0</v>
      </c>
      <c r="F188" s="309">
        <v>3</v>
      </c>
      <c r="G188" s="311">
        <v>0</v>
      </c>
      <c r="H188" s="807">
        <v>0</v>
      </c>
    </row>
    <row r="189" spans="1:12" s="799" customFormat="1" ht="14.25" x14ac:dyDescent="0.2">
      <c r="A189" s="2347"/>
      <c r="B189" s="1553"/>
      <c r="C189" s="811" t="s">
        <v>879</v>
      </c>
      <c r="D189" s="1613" t="s">
        <v>716</v>
      </c>
      <c r="E189" s="311">
        <v>0</v>
      </c>
      <c r="F189" s="309">
        <v>2</v>
      </c>
      <c r="G189" s="311">
        <v>0</v>
      </c>
      <c r="H189" s="807">
        <f t="shared" si="47"/>
        <v>0</v>
      </c>
    </row>
    <row r="190" spans="1:12" s="799" customFormat="1" ht="14.25" x14ac:dyDescent="0.2">
      <c r="A190" s="2347"/>
      <c r="B190" s="1553"/>
      <c r="C190" s="811" t="s">
        <v>880</v>
      </c>
      <c r="D190" s="118" t="s">
        <v>717</v>
      </c>
      <c r="E190" s="311">
        <v>0</v>
      </c>
      <c r="F190" s="309">
        <v>25</v>
      </c>
      <c r="G190" s="311">
        <v>4</v>
      </c>
      <c r="H190" s="807">
        <f t="shared" si="47"/>
        <v>16</v>
      </c>
    </row>
    <row r="191" spans="1:12" s="799" customFormat="1" ht="15" x14ac:dyDescent="0.25">
      <c r="A191" s="2347">
        <v>6172</v>
      </c>
      <c r="B191" s="1553">
        <v>5175</v>
      </c>
      <c r="C191" s="811"/>
      <c r="D191" s="821" t="s">
        <v>352</v>
      </c>
      <c r="E191" s="310">
        <v>500</v>
      </c>
      <c r="F191" s="308">
        <v>500</v>
      </c>
      <c r="G191" s="310">
        <v>429</v>
      </c>
      <c r="H191" s="804">
        <f t="shared" si="47"/>
        <v>85.8</v>
      </c>
    </row>
    <row r="192" spans="1:12" s="799" customFormat="1" ht="15" x14ac:dyDescent="0.25">
      <c r="A192" s="2347">
        <v>6172</v>
      </c>
      <c r="B192" s="1553">
        <v>5176</v>
      </c>
      <c r="C192" s="811"/>
      <c r="D192" s="821" t="s">
        <v>593</v>
      </c>
      <c r="E192" s="310">
        <f>E193</f>
        <v>200</v>
      </c>
      <c r="F192" s="310">
        <f t="shared" ref="F192:G192" si="48">F193</f>
        <v>210</v>
      </c>
      <c r="G192" s="310">
        <f t="shared" si="48"/>
        <v>187</v>
      </c>
      <c r="H192" s="804">
        <f t="shared" si="47"/>
        <v>89.047619047619037</v>
      </c>
    </row>
    <row r="193" spans="1:11" s="799" customFormat="1" ht="14.25" x14ac:dyDescent="0.2">
      <c r="A193" s="2347"/>
      <c r="B193" s="1553"/>
      <c r="C193" s="811" t="s">
        <v>871</v>
      </c>
      <c r="D193" s="805" t="s">
        <v>600</v>
      </c>
      <c r="E193" s="311">
        <v>200</v>
      </c>
      <c r="F193" s="309">
        <v>210</v>
      </c>
      <c r="G193" s="311">
        <v>187</v>
      </c>
      <c r="H193" s="807">
        <f t="shared" si="47"/>
        <v>89.047619047619037</v>
      </c>
    </row>
    <row r="194" spans="1:11" s="799" customFormat="1" ht="15" hidden="1" x14ac:dyDescent="0.25">
      <c r="A194" s="2347">
        <v>6172</v>
      </c>
      <c r="B194" s="1553">
        <v>5179</v>
      </c>
      <c r="C194" s="811"/>
      <c r="D194" s="845" t="s">
        <v>1130</v>
      </c>
      <c r="E194" s="428"/>
      <c r="F194" s="165"/>
      <c r="G194" s="310"/>
      <c r="H194" s="804" t="e">
        <f t="shared" si="47"/>
        <v>#DIV/0!</v>
      </c>
    </row>
    <row r="195" spans="1:11" s="799" customFormat="1" ht="15" x14ac:dyDescent="0.25">
      <c r="A195" s="2347">
        <v>6172</v>
      </c>
      <c r="B195" s="1553">
        <v>5192</v>
      </c>
      <c r="C195" s="811"/>
      <c r="D195" s="800" t="s">
        <v>826</v>
      </c>
      <c r="E195" s="428">
        <v>100</v>
      </c>
      <c r="F195" s="165">
        <v>100</v>
      </c>
      <c r="G195" s="310">
        <v>55</v>
      </c>
      <c r="H195" s="804">
        <f t="shared" ref="H195:H206" si="49">(G195/F195)*100</f>
        <v>55.000000000000007</v>
      </c>
      <c r="J195" s="826"/>
      <c r="K195" s="826"/>
    </row>
    <row r="196" spans="1:11" s="799" customFormat="1" ht="30" hidden="1" x14ac:dyDescent="0.25">
      <c r="A196" s="2349">
        <v>6172</v>
      </c>
      <c r="B196" s="1615">
        <v>5195</v>
      </c>
      <c r="C196" s="811"/>
      <c r="D196" s="838" t="s">
        <v>883</v>
      </c>
      <c r="E196" s="428"/>
      <c r="F196" s="897"/>
      <c r="G196" s="429"/>
      <c r="H196" s="898" t="e">
        <f t="shared" ref="H196" si="50">(G196/F196)*100</f>
        <v>#DIV/0!</v>
      </c>
    </row>
    <row r="197" spans="1:11" s="799" customFormat="1" ht="15" x14ac:dyDescent="0.25">
      <c r="A197" s="2347">
        <v>6172</v>
      </c>
      <c r="B197" s="1553">
        <v>5361</v>
      </c>
      <c r="C197" s="811"/>
      <c r="D197" s="800" t="s">
        <v>310</v>
      </c>
      <c r="E197" s="428">
        <v>100</v>
      </c>
      <c r="F197" s="165">
        <v>89</v>
      </c>
      <c r="G197" s="310">
        <v>52</v>
      </c>
      <c r="H197" s="804">
        <f t="shared" si="49"/>
        <v>58.426966292134829</v>
      </c>
    </row>
    <row r="198" spans="1:11" s="799" customFormat="1" ht="15" x14ac:dyDescent="0.25">
      <c r="A198" s="2347">
        <v>6172</v>
      </c>
      <c r="B198" s="1553">
        <v>5362</v>
      </c>
      <c r="C198" s="811"/>
      <c r="D198" s="800" t="s">
        <v>712</v>
      </c>
      <c r="E198" s="428">
        <v>52</v>
      </c>
      <c r="F198" s="165">
        <v>63</v>
      </c>
      <c r="G198" s="310">
        <v>13</v>
      </c>
      <c r="H198" s="804">
        <f t="shared" si="49"/>
        <v>20.634920634920633</v>
      </c>
    </row>
    <row r="199" spans="1:11" s="799" customFormat="1" ht="15" hidden="1" x14ac:dyDescent="0.25">
      <c r="A199" s="2347">
        <v>6172</v>
      </c>
      <c r="B199" s="1553">
        <v>5363</v>
      </c>
      <c r="C199" s="811"/>
      <c r="D199" s="1130" t="s">
        <v>739</v>
      </c>
      <c r="E199" s="428"/>
      <c r="F199" s="165"/>
      <c r="G199" s="310"/>
      <c r="H199" s="804" t="e">
        <f t="shared" ref="H199" si="51">(G199/F199)*100</f>
        <v>#DIV/0!</v>
      </c>
    </row>
    <row r="200" spans="1:11" s="799" customFormat="1" ht="15" x14ac:dyDescent="0.25">
      <c r="A200" s="2347">
        <v>6172</v>
      </c>
      <c r="B200" s="1553">
        <v>5424</v>
      </c>
      <c r="C200" s="811"/>
      <c r="D200" s="800" t="s">
        <v>343</v>
      </c>
      <c r="E200" s="428">
        <f>E201+E202+E203+E204</f>
        <v>1000</v>
      </c>
      <c r="F200" s="428">
        <f t="shared" ref="F200:G200" si="52">F201+F202+F203+F204</f>
        <v>1020</v>
      </c>
      <c r="G200" s="428">
        <f t="shared" si="52"/>
        <v>960</v>
      </c>
      <c r="H200" s="804">
        <f t="shared" si="49"/>
        <v>94.117647058823522</v>
      </c>
    </row>
    <row r="201" spans="1:11" s="799" customFormat="1" ht="14.25" x14ac:dyDescent="0.2">
      <c r="A201" s="2347"/>
      <c r="B201" s="1553"/>
      <c r="C201" s="811" t="s">
        <v>871</v>
      </c>
      <c r="D201" s="805" t="s">
        <v>600</v>
      </c>
      <c r="E201" s="311">
        <v>1000</v>
      </c>
      <c r="F201" s="309">
        <v>1000</v>
      </c>
      <c r="G201" s="311">
        <v>960</v>
      </c>
      <c r="H201" s="807">
        <f t="shared" si="49"/>
        <v>96</v>
      </c>
    </row>
    <row r="202" spans="1:11" s="799" customFormat="1" ht="14.25" x14ac:dyDescent="0.2">
      <c r="A202" s="2347"/>
      <c r="B202" s="1553"/>
      <c r="C202" s="811" t="s">
        <v>878</v>
      </c>
      <c r="D202" s="1613" t="s">
        <v>715</v>
      </c>
      <c r="E202" s="311">
        <v>0</v>
      </c>
      <c r="F202" s="309">
        <v>2</v>
      </c>
      <c r="G202" s="311">
        <v>0</v>
      </c>
      <c r="H202" s="807">
        <f t="shared" si="49"/>
        <v>0</v>
      </c>
    </row>
    <row r="203" spans="1:11" s="799" customFormat="1" ht="14.25" x14ac:dyDescent="0.2">
      <c r="A203" s="2347"/>
      <c r="B203" s="1553"/>
      <c r="C203" s="811" t="s">
        <v>879</v>
      </c>
      <c r="D203" s="1613" t="s">
        <v>716</v>
      </c>
      <c r="E203" s="311">
        <v>0</v>
      </c>
      <c r="F203" s="309">
        <v>1</v>
      </c>
      <c r="G203" s="311">
        <v>0</v>
      </c>
      <c r="H203" s="807">
        <f t="shared" si="49"/>
        <v>0</v>
      </c>
    </row>
    <row r="204" spans="1:11" s="799" customFormat="1" ht="14.25" x14ac:dyDescent="0.2">
      <c r="A204" s="2347"/>
      <c r="B204" s="1553"/>
      <c r="C204" s="811" t="s">
        <v>880</v>
      </c>
      <c r="D204" s="118" t="s">
        <v>717</v>
      </c>
      <c r="E204" s="311">
        <v>0</v>
      </c>
      <c r="F204" s="309">
        <v>17</v>
      </c>
      <c r="G204" s="311">
        <v>0</v>
      </c>
      <c r="H204" s="807">
        <f t="shared" si="49"/>
        <v>0</v>
      </c>
    </row>
    <row r="205" spans="1:11" s="799" customFormat="1" ht="15" x14ac:dyDescent="0.25">
      <c r="A205" s="2347">
        <v>6172</v>
      </c>
      <c r="B205" s="19">
        <v>5492</v>
      </c>
      <c r="C205" s="811"/>
      <c r="D205" s="985" t="s">
        <v>429</v>
      </c>
      <c r="E205" s="428">
        <f>E206</f>
        <v>0</v>
      </c>
      <c r="F205" s="165">
        <f>F206</f>
        <v>100</v>
      </c>
      <c r="G205" s="428">
        <f>G206</f>
        <v>100</v>
      </c>
      <c r="H205" s="804">
        <f t="shared" si="49"/>
        <v>100</v>
      </c>
    </row>
    <row r="206" spans="1:11" s="799" customFormat="1" ht="14.25" x14ac:dyDescent="0.2">
      <c r="A206" s="2348"/>
      <c r="B206" s="603"/>
      <c r="C206" s="505" t="s">
        <v>1087</v>
      </c>
      <c r="D206" s="307" t="s">
        <v>1088</v>
      </c>
      <c r="E206" s="311">
        <v>0</v>
      </c>
      <c r="F206" s="309">
        <v>100</v>
      </c>
      <c r="G206" s="311">
        <v>100</v>
      </c>
      <c r="H206" s="506">
        <f t="shared" si="49"/>
        <v>100</v>
      </c>
    </row>
    <row r="207" spans="1:11" s="799" customFormat="1" ht="15" x14ac:dyDescent="0.25">
      <c r="A207" s="2348">
        <v>6172</v>
      </c>
      <c r="B207" s="603">
        <v>5499</v>
      </c>
      <c r="C207" s="505"/>
      <c r="D207" s="1557" t="s">
        <v>207</v>
      </c>
      <c r="E207" s="428">
        <v>0</v>
      </c>
      <c r="F207" s="428">
        <v>0</v>
      </c>
      <c r="G207" s="428">
        <v>197</v>
      </c>
      <c r="H207" s="913">
        <v>0</v>
      </c>
    </row>
    <row r="208" spans="1:11" s="799" customFormat="1" ht="15" hidden="1" x14ac:dyDescent="0.25">
      <c r="A208" s="2348">
        <v>6172</v>
      </c>
      <c r="B208" s="2229">
        <v>5909</v>
      </c>
      <c r="C208" s="505"/>
      <c r="D208" s="370" t="s">
        <v>406</v>
      </c>
      <c r="E208" s="428"/>
      <c r="F208" s="165"/>
      <c r="G208" s="310"/>
      <c r="H208" s="913">
        <v>0</v>
      </c>
    </row>
    <row r="209" spans="1:8" s="799" customFormat="1" ht="15.75" thickBot="1" x14ac:dyDescent="0.3">
      <c r="A209" s="2350">
        <v>6330</v>
      </c>
      <c r="B209" s="2309">
        <v>5342</v>
      </c>
      <c r="C209" s="624"/>
      <c r="D209" s="2310" t="s">
        <v>186</v>
      </c>
      <c r="E209" s="1656">
        <v>7934</v>
      </c>
      <c r="F209" s="427">
        <v>8030</v>
      </c>
      <c r="G209" s="426">
        <v>7421</v>
      </c>
      <c r="H209" s="2311">
        <f>(G209/F209)*100</f>
        <v>92.415940224159399</v>
      </c>
    </row>
    <row r="210" spans="1:8" s="799" customFormat="1" ht="19.5" thickTop="1" thickBot="1" x14ac:dyDescent="0.3">
      <c r="A210" s="616" t="s">
        <v>134</v>
      </c>
      <c r="B210" s="1554"/>
      <c r="C210" s="812"/>
      <c r="D210" s="617"/>
      <c r="E210" s="618">
        <f>E10+E14+E16+E18+E19+E20+E23+E26+E28+E29+E31+E34+E37+E40+E42+E44+E46+E48+E50+E51+E53+E55+E57+E59+E61+E63+E65+E76+E80+E72+E83+E86+E88+E90+E92+E94+E96+E98+E105+E107+E108+E109+E117+E124+E125+E126+E127+E128+E129+E130+E134+E137+E144+E146+E147+E149+E151+E157+E159+E160+E161+E164+E166+E169+E170+E174+E176+E180+E183+E184+E191+E192+E194+E195+E196+E197+E198+E199+E200+E205+E207+E208+E209+E12</f>
        <v>358801</v>
      </c>
      <c r="F210" s="618">
        <f t="shared" ref="F210:G210" si="53">F10+F14+F16+F18+F19+F20+F23+F26+F28+F29+F31+F34+F37+F40+F42+F44+F46+F48+F50+F51+F53+F55+F57+F59+F61+F63+F65+F76+F80+F72+F83+F86+F88+F90+F92+F94+F96+F98+F105+F107+F108+F109+F117+F124+F125+F126+F127+F128+F129+F130+F134+F137+F144+F146+F147+F149+F151+F157+F159+F160+F161+F164+F166+F169+F170+F174+F176+F180+F183+F184+F191+F192+F194+F195+F196+F197+F198+F199+F200+F205+F207+F208+F209+F12</f>
        <v>377359</v>
      </c>
      <c r="G210" s="618">
        <f t="shared" si="53"/>
        <v>361690</v>
      </c>
      <c r="H210" s="781">
        <f>(G210/F210)*100</f>
        <v>95.84772060557718</v>
      </c>
    </row>
    <row r="211" spans="1:8" s="799" customFormat="1" ht="15.75" thickTop="1" x14ac:dyDescent="0.25">
      <c r="A211" s="631"/>
      <c r="B211" s="1567"/>
      <c r="C211" s="782"/>
      <c r="D211" s="631"/>
      <c r="E211" s="177"/>
      <c r="F211" s="700"/>
      <c r="G211" s="165"/>
      <c r="H211" s="766"/>
    </row>
    <row r="212" spans="1:8" s="799" customFormat="1" ht="15" x14ac:dyDescent="0.25">
      <c r="A212" s="631"/>
      <c r="B212" s="1567"/>
      <c r="C212" s="782"/>
      <c r="D212" s="631"/>
      <c r="E212" s="177"/>
      <c r="F212" s="700"/>
      <c r="G212" s="165"/>
      <c r="H212" s="766"/>
    </row>
    <row r="213" spans="1:8" s="799" customFormat="1" ht="15" x14ac:dyDescent="0.25">
      <c r="A213" s="631"/>
      <c r="B213" s="1567"/>
      <c r="C213" s="782"/>
      <c r="D213" s="631"/>
      <c r="E213" s="177"/>
      <c r="F213" s="700"/>
      <c r="G213" s="165"/>
      <c r="H213" s="766"/>
    </row>
    <row r="214" spans="1:8" s="799" customFormat="1" ht="15" x14ac:dyDescent="0.25">
      <c r="A214" s="631"/>
      <c r="B214" s="1567"/>
      <c r="C214" s="782"/>
      <c r="D214" s="631"/>
      <c r="E214" s="177"/>
      <c r="F214" s="700"/>
      <c r="G214" s="165"/>
      <c r="H214" s="766"/>
    </row>
    <row r="215" spans="1:8" s="799" customFormat="1" ht="15" x14ac:dyDescent="0.25">
      <c r="A215" s="631"/>
      <c r="B215" s="1567"/>
      <c r="C215" s="782"/>
      <c r="D215" s="631"/>
      <c r="E215" s="177"/>
      <c r="F215" s="177"/>
      <c r="G215" s="177"/>
      <c r="H215" s="766"/>
    </row>
    <row r="216" spans="1:8" s="799" customFormat="1" ht="18" x14ac:dyDescent="0.25">
      <c r="A216" s="33" t="s">
        <v>1154</v>
      </c>
      <c r="B216" s="28"/>
      <c r="C216" s="10"/>
      <c r="D216" s="920"/>
      <c r="E216" s="302"/>
      <c r="F216" s="16"/>
      <c r="G216" s="17"/>
      <c r="H216" s="364"/>
    </row>
    <row r="217" spans="1:8" s="799" customFormat="1" ht="13.5" thickBot="1" x14ac:dyDescent="0.25">
      <c r="A217" s="570"/>
      <c r="B217" s="570"/>
      <c r="C217" s="571"/>
      <c r="D217" s="372"/>
      <c r="E217" s="373"/>
      <c r="F217" s="560"/>
      <c r="G217" s="373"/>
      <c r="H217" s="1568" t="s">
        <v>92</v>
      </c>
    </row>
    <row r="218" spans="1:8" s="799" customFormat="1" ht="14.25" thickTop="1" thickBot="1" x14ac:dyDescent="0.25">
      <c r="A218" s="572" t="s">
        <v>93</v>
      </c>
      <c r="B218" s="573" t="s">
        <v>94</v>
      </c>
      <c r="C218" s="575" t="s">
        <v>364</v>
      </c>
      <c r="D218" s="639" t="s">
        <v>95</v>
      </c>
      <c r="E218" s="639" t="s">
        <v>328</v>
      </c>
      <c r="F218" s="639" t="s">
        <v>329</v>
      </c>
      <c r="G218" s="639" t="s">
        <v>448</v>
      </c>
      <c r="H218" s="576" t="s">
        <v>449</v>
      </c>
    </row>
    <row r="219" spans="1:8" s="425" customFormat="1" ht="14.25" thickTop="1" thickBot="1" x14ac:dyDescent="0.25">
      <c r="A219" s="511">
        <v>1</v>
      </c>
      <c r="B219" s="512">
        <v>2</v>
      </c>
      <c r="C219" s="512">
        <v>3</v>
      </c>
      <c r="D219" s="512">
        <v>4</v>
      </c>
      <c r="E219" s="512">
        <v>5</v>
      </c>
      <c r="F219" s="499">
        <v>6</v>
      </c>
      <c r="G219" s="499">
        <v>7</v>
      </c>
      <c r="H219" s="577" t="s">
        <v>33</v>
      </c>
    </row>
    <row r="220" spans="1:8" ht="15.75" thickTop="1" x14ac:dyDescent="0.25">
      <c r="A220" s="50">
        <v>5511</v>
      </c>
      <c r="B220" s="1553">
        <v>6122</v>
      </c>
      <c r="C220" s="811"/>
      <c r="D220" s="800" t="s">
        <v>313</v>
      </c>
      <c r="E220" s="428">
        <v>0</v>
      </c>
      <c r="F220" s="428">
        <v>6643</v>
      </c>
      <c r="G220" s="428">
        <v>6643</v>
      </c>
      <c r="H220" s="804">
        <f t="shared" ref="H220:H223" si="54">(G220/F220)*100</f>
        <v>100</v>
      </c>
    </row>
    <row r="221" spans="1:8" ht="15" x14ac:dyDescent="0.25">
      <c r="A221" s="50">
        <v>5511</v>
      </c>
      <c r="B221" s="1553">
        <v>6123</v>
      </c>
      <c r="C221" s="811"/>
      <c r="D221" s="800" t="s">
        <v>586</v>
      </c>
      <c r="E221" s="428">
        <v>0</v>
      </c>
      <c r="F221" s="428">
        <v>7514</v>
      </c>
      <c r="G221" s="428">
        <v>7514</v>
      </c>
      <c r="H221" s="804">
        <f t="shared" si="54"/>
        <v>100</v>
      </c>
    </row>
    <row r="222" spans="1:8" ht="15" x14ac:dyDescent="0.25">
      <c r="A222" s="50">
        <v>5511</v>
      </c>
      <c r="B222" s="1553">
        <v>6331</v>
      </c>
      <c r="C222" s="811"/>
      <c r="D222" s="800" t="s">
        <v>1819</v>
      </c>
      <c r="E222" s="428">
        <v>0</v>
      </c>
      <c r="F222" s="428">
        <v>600</v>
      </c>
      <c r="G222" s="428">
        <v>588</v>
      </c>
      <c r="H222" s="804">
        <f t="shared" si="54"/>
        <v>98</v>
      </c>
    </row>
    <row r="223" spans="1:8" ht="15" x14ac:dyDescent="0.25">
      <c r="A223" s="50">
        <v>6172</v>
      </c>
      <c r="B223" s="1553">
        <v>6111</v>
      </c>
      <c r="C223" s="811"/>
      <c r="D223" s="800" t="s">
        <v>457</v>
      </c>
      <c r="E223" s="428">
        <v>560</v>
      </c>
      <c r="F223" s="428">
        <v>2460</v>
      </c>
      <c r="G223" s="428">
        <v>2273</v>
      </c>
      <c r="H223" s="804">
        <f t="shared" si="54"/>
        <v>92.39837398373983</v>
      </c>
    </row>
    <row r="224" spans="1:8" ht="15" x14ac:dyDescent="0.25">
      <c r="A224" s="50">
        <v>6172</v>
      </c>
      <c r="B224" s="1553">
        <v>6121</v>
      </c>
      <c r="C224" s="811"/>
      <c r="D224" s="800" t="s">
        <v>312</v>
      </c>
      <c r="E224" s="428">
        <v>0</v>
      </c>
      <c r="F224" s="428">
        <v>1940</v>
      </c>
      <c r="G224" s="428">
        <v>310</v>
      </c>
      <c r="H224" s="804">
        <f>(G224/F224)*100</f>
        <v>15.979381443298967</v>
      </c>
    </row>
    <row r="225" spans="1:9" ht="15" x14ac:dyDescent="0.25">
      <c r="A225" s="50">
        <v>6172</v>
      </c>
      <c r="B225" s="1553">
        <v>6122</v>
      </c>
      <c r="C225" s="811"/>
      <c r="D225" s="800" t="s">
        <v>313</v>
      </c>
      <c r="E225" s="428">
        <v>0</v>
      </c>
      <c r="F225" s="428">
        <v>973</v>
      </c>
      <c r="G225" s="428">
        <v>273</v>
      </c>
      <c r="H225" s="804">
        <f>(G225/F225)*100</f>
        <v>28.057553956834528</v>
      </c>
    </row>
    <row r="226" spans="1:9" ht="15" x14ac:dyDescent="0.25">
      <c r="A226" s="50">
        <v>6172</v>
      </c>
      <c r="B226" s="1553">
        <v>6123</v>
      </c>
      <c r="C226" s="811"/>
      <c r="D226" s="800" t="s">
        <v>586</v>
      </c>
      <c r="E226" s="428">
        <v>0</v>
      </c>
      <c r="F226" s="428">
        <v>815</v>
      </c>
      <c r="G226" s="428">
        <v>815</v>
      </c>
      <c r="H226" s="804">
        <f>(G226/F226)*100</f>
        <v>100</v>
      </c>
    </row>
    <row r="227" spans="1:9" ht="15.75" thickBot="1" x14ac:dyDescent="0.3">
      <c r="A227" s="50">
        <v>6172</v>
      </c>
      <c r="B227" s="1553">
        <v>6125</v>
      </c>
      <c r="C227" s="811"/>
      <c r="D227" s="800" t="s">
        <v>103</v>
      </c>
      <c r="E227" s="428">
        <v>0</v>
      </c>
      <c r="F227" s="428">
        <v>4971</v>
      </c>
      <c r="G227" s="428">
        <v>2939</v>
      </c>
      <c r="H227" s="804">
        <f>(G227/F227)*100</f>
        <v>59.122912894789778</v>
      </c>
    </row>
    <row r="228" spans="1:9" s="106" customFormat="1" ht="20.25" customHeight="1" thickTop="1" thickBot="1" x14ac:dyDescent="0.3">
      <c r="A228" s="578" t="s">
        <v>133</v>
      </c>
      <c r="B228" s="744"/>
      <c r="C228" s="580"/>
      <c r="D228" s="581"/>
      <c r="E228" s="582">
        <f>E226+E224+E223+E225+E221+E220+E227+E222</f>
        <v>560</v>
      </c>
      <c r="F228" s="582">
        <f t="shared" ref="F228:G228" si="55">F226+F224+F223+F225+F221+F220+F227+F222</f>
        <v>25916</v>
      </c>
      <c r="G228" s="582">
        <f t="shared" si="55"/>
        <v>21355</v>
      </c>
      <c r="H228" s="783">
        <f>(G228/F228)*100</f>
        <v>82.400833461954008</v>
      </c>
    </row>
    <row r="229" spans="1:9" s="374" customFormat="1" ht="13.5" thickTop="1" x14ac:dyDescent="0.2">
      <c r="A229" s="570"/>
      <c r="B229" s="1360"/>
      <c r="C229" s="770"/>
      <c r="D229" s="372"/>
      <c r="E229" s="373"/>
      <c r="F229" s="373"/>
      <c r="G229" s="373"/>
      <c r="H229" s="1568"/>
      <c r="I229" s="106"/>
    </row>
    <row r="230" spans="1:9" s="374" customFormat="1" x14ac:dyDescent="0.2">
      <c r="A230" s="570"/>
      <c r="B230" s="1360"/>
      <c r="C230" s="770"/>
      <c r="D230" s="372"/>
      <c r="E230" s="373"/>
      <c r="F230" s="373"/>
      <c r="G230" s="373"/>
      <c r="H230" s="1568"/>
      <c r="I230" s="106"/>
    </row>
    <row r="231" spans="1:9" s="374" customFormat="1" x14ac:dyDescent="0.2">
      <c r="A231" s="570"/>
      <c r="B231" s="1360"/>
      <c r="C231" s="770"/>
      <c r="D231" s="372"/>
      <c r="E231" s="373"/>
      <c r="F231" s="373"/>
      <c r="G231" s="373"/>
      <c r="H231" s="1568"/>
      <c r="I231" s="106"/>
    </row>
    <row r="232" spans="1:9" s="374" customFormat="1" ht="15.75" x14ac:dyDescent="0.2">
      <c r="A232" s="3181" t="s">
        <v>1151</v>
      </c>
      <c r="B232" s="3181"/>
      <c r="C232" s="3181"/>
      <c r="D232" s="3181"/>
      <c r="E232" s="3181"/>
      <c r="F232" s="3181"/>
      <c r="G232" s="3181"/>
      <c r="H232" s="3181"/>
      <c r="I232" s="106"/>
    </row>
    <row r="233" spans="1:9" s="374" customFormat="1" x14ac:dyDescent="0.2">
      <c r="A233" s="3182" t="s">
        <v>1163</v>
      </c>
      <c r="B233" s="3182"/>
      <c r="C233" s="3182"/>
      <c r="D233" s="3182"/>
      <c r="E233" s="3182"/>
      <c r="F233" s="3182"/>
      <c r="G233" s="3182"/>
      <c r="H233" s="3182"/>
      <c r="I233" s="106"/>
    </row>
    <row r="234" spans="1:9" s="374" customFormat="1" ht="16.5" thickBot="1" x14ac:dyDescent="0.3">
      <c r="A234" s="33"/>
      <c r="B234" s="570"/>
      <c r="C234" s="571"/>
      <c r="D234" s="372"/>
      <c r="E234" s="373"/>
      <c r="F234" s="560"/>
      <c r="G234" s="373"/>
      <c r="H234" s="1568" t="s">
        <v>92</v>
      </c>
      <c r="I234" s="106"/>
    </row>
    <row r="235" spans="1:9" s="374" customFormat="1" ht="13.5" thickTop="1" thickBot="1" x14ac:dyDescent="0.25">
      <c r="A235" s="572" t="s">
        <v>93</v>
      </c>
      <c r="B235" s="573" t="s">
        <v>94</v>
      </c>
      <c r="C235" s="575" t="s">
        <v>364</v>
      </c>
      <c r="D235" s="639" t="s">
        <v>95</v>
      </c>
      <c r="E235" s="639" t="s">
        <v>328</v>
      </c>
      <c r="F235" s="639" t="s">
        <v>329</v>
      </c>
      <c r="G235" s="639" t="s">
        <v>448</v>
      </c>
      <c r="H235" s="576" t="s">
        <v>449</v>
      </c>
      <c r="I235" s="106"/>
    </row>
    <row r="236" spans="1:9" s="374" customFormat="1" ht="13.5" thickTop="1" thickBot="1" x14ac:dyDescent="0.25">
      <c r="A236" s="511">
        <v>1</v>
      </c>
      <c r="B236" s="512">
        <v>2</v>
      </c>
      <c r="C236" s="512">
        <v>3</v>
      </c>
      <c r="D236" s="512">
        <v>4</v>
      </c>
      <c r="E236" s="512">
        <v>5</v>
      </c>
      <c r="F236" s="499">
        <v>6</v>
      </c>
      <c r="G236" s="499">
        <v>7</v>
      </c>
      <c r="H236" s="577" t="s">
        <v>33</v>
      </c>
      <c r="I236" s="106"/>
    </row>
    <row r="237" spans="1:9" s="374" customFormat="1" ht="15.75" hidden="1" thickTop="1" x14ac:dyDescent="0.25">
      <c r="A237" s="2300">
        <v>5512</v>
      </c>
      <c r="B237" s="2079">
        <v>5321</v>
      </c>
      <c r="C237" s="505" t="s">
        <v>1095</v>
      </c>
      <c r="D237" s="2096" t="s">
        <v>566</v>
      </c>
      <c r="E237" s="1065"/>
      <c r="F237" s="1065"/>
      <c r="G237" s="1065"/>
      <c r="H237" s="2339" t="e">
        <f>(G237/F237)*100</f>
        <v>#DIV/0!</v>
      </c>
      <c r="I237" s="106"/>
    </row>
    <row r="238" spans="1:9" s="374" customFormat="1" ht="16.5" thickTop="1" thickBot="1" x14ac:dyDescent="0.3">
      <c r="A238" s="2300">
        <v>5512</v>
      </c>
      <c r="B238" s="2079">
        <v>6322</v>
      </c>
      <c r="C238" s="505" t="s">
        <v>1097</v>
      </c>
      <c r="D238" s="1869" t="s">
        <v>1645</v>
      </c>
      <c r="E238" s="1030">
        <v>0</v>
      </c>
      <c r="F238" s="1030">
        <v>300</v>
      </c>
      <c r="G238" s="1030">
        <v>300</v>
      </c>
      <c r="H238" s="2342">
        <f t="shared" ref="H238" si="56">(G238/F238)*100</f>
        <v>100</v>
      </c>
      <c r="I238" s="106"/>
    </row>
    <row r="239" spans="1:9" s="374" customFormat="1" ht="19.5" thickTop="1" thickBot="1" x14ac:dyDescent="0.3">
      <c r="A239" s="578" t="s">
        <v>1152</v>
      </c>
      <c r="B239" s="744"/>
      <c r="C239" s="580"/>
      <c r="D239" s="581"/>
      <c r="E239" s="582">
        <f>SUM(E237:E238)</f>
        <v>0</v>
      </c>
      <c r="F239" s="582">
        <f t="shared" ref="F239:G239" si="57">SUM(F237:F238)</f>
        <v>300</v>
      </c>
      <c r="G239" s="582">
        <f t="shared" si="57"/>
        <v>300</v>
      </c>
      <c r="H239" s="783">
        <f>(G239/F239)*100</f>
        <v>100</v>
      </c>
      <c r="I239" s="106"/>
    </row>
    <row r="240" spans="1:9" s="374" customFormat="1" ht="13.5" thickTop="1" x14ac:dyDescent="0.2">
      <c r="A240" s="570"/>
      <c r="B240" s="1360"/>
      <c r="C240" s="770"/>
      <c r="D240" s="372"/>
      <c r="E240" s="373"/>
      <c r="F240" s="373"/>
      <c r="G240" s="373"/>
      <c r="H240" s="1568"/>
      <c r="I240" s="106"/>
    </row>
    <row r="241" spans="1:9" s="374" customFormat="1" x14ac:dyDescent="0.2">
      <c r="A241" s="570"/>
      <c r="B241" s="1360"/>
      <c r="C241" s="770"/>
      <c r="D241" s="372"/>
      <c r="E241" s="373"/>
      <c r="F241" s="373"/>
      <c r="G241" s="373"/>
      <c r="H241" s="1568"/>
      <c r="I241" s="106"/>
    </row>
    <row r="242" spans="1:9" s="374" customFormat="1" ht="15.75" x14ac:dyDescent="0.2">
      <c r="A242" s="3181" t="s">
        <v>1151</v>
      </c>
      <c r="B242" s="3181"/>
      <c r="C242" s="3181"/>
      <c r="D242" s="3181"/>
      <c r="E242" s="3181"/>
      <c r="F242" s="3181"/>
      <c r="G242" s="3181"/>
      <c r="H242" s="3181"/>
      <c r="I242" s="106"/>
    </row>
    <row r="243" spans="1:9" s="374" customFormat="1" x14ac:dyDescent="0.2">
      <c r="A243" s="3182" t="s">
        <v>1160</v>
      </c>
      <c r="B243" s="3182"/>
      <c r="C243" s="3182"/>
      <c r="D243" s="3182"/>
      <c r="E243" s="3182"/>
      <c r="F243" s="3182"/>
      <c r="G243" s="3182"/>
      <c r="H243" s="3182"/>
      <c r="I243" s="106"/>
    </row>
    <row r="244" spans="1:9" s="374" customFormat="1" ht="16.5" thickBot="1" x14ac:dyDescent="0.3">
      <c r="A244" s="33"/>
      <c r="B244" s="570"/>
      <c r="C244" s="571"/>
      <c r="D244" s="372"/>
      <c r="E244" s="373"/>
      <c r="F244" s="560"/>
      <c r="G244" s="373"/>
      <c r="H244" s="1568" t="s">
        <v>92</v>
      </c>
      <c r="I244" s="106"/>
    </row>
    <row r="245" spans="1:9" s="374" customFormat="1" ht="13.5" thickTop="1" thickBot="1" x14ac:dyDescent="0.25">
      <c r="A245" s="572" t="s">
        <v>93</v>
      </c>
      <c r="B245" s="573" t="s">
        <v>94</v>
      </c>
      <c r="C245" s="575" t="s">
        <v>364</v>
      </c>
      <c r="D245" s="639" t="s">
        <v>95</v>
      </c>
      <c r="E245" s="639" t="s">
        <v>328</v>
      </c>
      <c r="F245" s="639" t="s">
        <v>329</v>
      </c>
      <c r="G245" s="639" t="s">
        <v>448</v>
      </c>
      <c r="H245" s="576" t="s">
        <v>449</v>
      </c>
      <c r="I245" s="106"/>
    </row>
    <row r="246" spans="1:9" s="374" customFormat="1" ht="13.5" thickTop="1" thickBot="1" x14ac:dyDescent="0.25">
      <c r="A246" s="511">
        <v>1</v>
      </c>
      <c r="B246" s="512">
        <v>2</v>
      </c>
      <c r="C246" s="512">
        <v>3</v>
      </c>
      <c r="D246" s="512">
        <v>4</v>
      </c>
      <c r="E246" s="512">
        <v>5</v>
      </c>
      <c r="F246" s="499">
        <v>6</v>
      </c>
      <c r="G246" s="499">
        <v>7</v>
      </c>
      <c r="H246" s="577" t="s">
        <v>33</v>
      </c>
      <c r="I246" s="106"/>
    </row>
    <row r="247" spans="1:9" ht="15.75" thickTop="1" x14ac:dyDescent="0.25">
      <c r="A247" s="2300">
        <v>5512</v>
      </c>
      <c r="B247" s="2079">
        <v>5321</v>
      </c>
      <c r="C247" s="505" t="s">
        <v>1095</v>
      </c>
      <c r="D247" s="2096" t="s">
        <v>566</v>
      </c>
      <c r="E247" s="1065">
        <v>5000</v>
      </c>
      <c r="F247" s="1065">
        <v>3898</v>
      </c>
      <c r="G247" s="1065">
        <v>3780</v>
      </c>
      <c r="H247" s="2339">
        <f>(G247/F247)*100</f>
        <v>96.972806567470499</v>
      </c>
    </row>
    <row r="248" spans="1:9" ht="15.75" thickBot="1" x14ac:dyDescent="0.3">
      <c r="A248" s="2300">
        <v>5512</v>
      </c>
      <c r="B248" s="2079">
        <v>6341</v>
      </c>
      <c r="C248" s="505" t="s">
        <v>1095</v>
      </c>
      <c r="D248" s="1869" t="s">
        <v>136</v>
      </c>
      <c r="E248" s="1030">
        <v>0</v>
      </c>
      <c r="F248" s="1030">
        <v>1876</v>
      </c>
      <c r="G248" s="1030">
        <v>1822</v>
      </c>
      <c r="H248" s="2342">
        <f t="shared" ref="H248" si="58">(G248/F248)*100</f>
        <v>97.121535181236681</v>
      </c>
    </row>
    <row r="249" spans="1:9" ht="19.5" thickTop="1" thickBot="1" x14ac:dyDescent="0.3">
      <c r="A249" s="578" t="s">
        <v>1152</v>
      </c>
      <c r="B249" s="744"/>
      <c r="C249" s="580"/>
      <c r="D249" s="581"/>
      <c r="E249" s="582">
        <f>SUM(E247:E248)</f>
        <v>5000</v>
      </c>
      <c r="F249" s="582">
        <f t="shared" ref="F249:G249" si="59">SUM(F247:F248)</f>
        <v>5774</v>
      </c>
      <c r="G249" s="582">
        <f t="shared" si="59"/>
        <v>5602</v>
      </c>
      <c r="H249" s="783">
        <f>(G249/F249)*100</f>
        <v>97.021129199861448</v>
      </c>
    </row>
    <row r="250" spans="1:9" ht="18.75" thickTop="1" x14ac:dyDescent="0.25">
      <c r="A250" s="353"/>
      <c r="B250" s="2351"/>
      <c r="C250" s="57"/>
      <c r="D250" s="354"/>
      <c r="E250" s="17"/>
      <c r="F250" s="17"/>
      <c r="G250" s="17"/>
      <c r="H250" s="2352"/>
    </row>
    <row r="251" spans="1:9" x14ac:dyDescent="0.2">
      <c r="A251" s="3182" t="s">
        <v>1161</v>
      </c>
      <c r="B251" s="3182"/>
      <c r="C251" s="3182"/>
      <c r="D251" s="3182"/>
      <c r="E251" s="3182"/>
      <c r="F251" s="3182"/>
      <c r="G251" s="3182"/>
      <c r="H251" s="3182"/>
    </row>
    <row r="252" spans="1:9" ht="13.5" thickBot="1" x14ac:dyDescent="0.25">
      <c r="A252" s="570"/>
      <c r="B252" s="570"/>
      <c r="C252" s="571"/>
      <c r="F252" s="560"/>
      <c r="H252" s="1568" t="s">
        <v>92</v>
      </c>
    </row>
    <row r="253" spans="1:9" ht="14.25" thickTop="1" thickBot="1" x14ac:dyDescent="0.25">
      <c r="A253" s="572" t="s">
        <v>93</v>
      </c>
      <c r="B253" s="573" t="s">
        <v>94</v>
      </c>
      <c r="C253" s="575" t="s">
        <v>364</v>
      </c>
      <c r="D253" s="639" t="s">
        <v>95</v>
      </c>
      <c r="E253" s="639" t="s">
        <v>328</v>
      </c>
      <c r="F253" s="639" t="s">
        <v>329</v>
      </c>
      <c r="G253" s="639" t="s">
        <v>448</v>
      </c>
      <c r="H253" s="576" t="s">
        <v>449</v>
      </c>
    </row>
    <row r="254" spans="1:9" ht="14.25" thickTop="1" thickBot="1" x14ac:dyDescent="0.25">
      <c r="A254" s="511">
        <v>1</v>
      </c>
      <c r="B254" s="512">
        <v>2</v>
      </c>
      <c r="C254" s="512">
        <v>3</v>
      </c>
      <c r="D254" s="512">
        <v>4</v>
      </c>
      <c r="E254" s="512">
        <v>5</v>
      </c>
      <c r="F254" s="499">
        <v>6</v>
      </c>
      <c r="G254" s="499">
        <v>7</v>
      </c>
      <c r="H254" s="577" t="s">
        <v>33</v>
      </c>
    </row>
    <row r="255" spans="1:9" ht="15.75" hidden="1" thickTop="1" x14ac:dyDescent="0.25">
      <c r="A255" s="2608">
        <v>5512</v>
      </c>
      <c r="B255" s="1026">
        <v>5222</v>
      </c>
      <c r="C255" s="505" t="s">
        <v>1094</v>
      </c>
      <c r="D255" s="1869" t="s">
        <v>800</v>
      </c>
      <c r="E255" s="1035"/>
      <c r="F255" s="1035"/>
      <c r="G255" s="1035"/>
      <c r="H255" s="2335">
        <v>0</v>
      </c>
    </row>
    <row r="256" spans="1:9" ht="16.5" thickTop="1" thickBot="1" x14ac:dyDescent="0.3">
      <c r="A256" s="2609">
        <v>5512</v>
      </c>
      <c r="B256" s="2079">
        <v>6341</v>
      </c>
      <c r="C256" s="505" t="s">
        <v>1094</v>
      </c>
      <c r="D256" s="1869" t="s">
        <v>136</v>
      </c>
      <c r="E256" s="1030">
        <v>2000</v>
      </c>
      <c r="F256" s="1030">
        <v>1300</v>
      </c>
      <c r="G256" s="1030">
        <v>1300</v>
      </c>
      <c r="H256" s="2342">
        <f t="shared" ref="H256" si="60">(G256/F256)*100</f>
        <v>100</v>
      </c>
    </row>
    <row r="257" spans="1:8" ht="19.5" thickTop="1" thickBot="1" x14ac:dyDescent="0.3">
      <c r="A257" s="578" t="s">
        <v>1152</v>
      </c>
      <c r="B257" s="744"/>
      <c r="C257" s="580"/>
      <c r="D257" s="581"/>
      <c r="E257" s="582">
        <f>E256+E255</f>
        <v>2000</v>
      </c>
      <c r="F257" s="582">
        <f>F256+F255</f>
        <v>1300</v>
      </c>
      <c r="G257" s="582">
        <f>G256+G255</f>
        <v>1300</v>
      </c>
      <c r="H257" s="783">
        <f>(G257/F257)*100</f>
        <v>100</v>
      </c>
    </row>
    <row r="258" spans="1:8" ht="18.75" thickTop="1" x14ac:dyDescent="0.25">
      <c r="A258" s="353"/>
      <c r="B258" s="2351"/>
      <c r="C258" s="57"/>
      <c r="D258" s="354"/>
      <c r="E258" s="17"/>
      <c r="F258" s="17"/>
      <c r="G258" s="17"/>
      <c r="H258" s="2352"/>
    </row>
    <row r="259" spans="1:8" x14ac:dyDescent="0.2">
      <c r="A259" s="3182" t="s">
        <v>1162</v>
      </c>
      <c r="B259" s="3182"/>
      <c r="C259" s="3182"/>
      <c r="D259" s="3182"/>
      <c r="E259" s="3182"/>
      <c r="F259" s="3182"/>
      <c r="G259" s="3182"/>
      <c r="H259" s="3182"/>
    </row>
    <row r="260" spans="1:8" ht="13.5" thickBot="1" x14ac:dyDescent="0.25">
      <c r="A260" s="570"/>
      <c r="B260" s="570"/>
      <c r="C260" s="571"/>
      <c r="F260" s="560"/>
      <c r="H260" s="1568" t="s">
        <v>92</v>
      </c>
    </row>
    <row r="261" spans="1:8" ht="14.25" thickTop="1" thickBot="1" x14ac:dyDescent="0.25">
      <c r="A261" s="572" t="s">
        <v>93</v>
      </c>
      <c r="B261" s="573" t="s">
        <v>94</v>
      </c>
      <c r="C261" s="575" t="s">
        <v>364</v>
      </c>
      <c r="D261" s="639" t="s">
        <v>95</v>
      </c>
      <c r="E261" s="639" t="s">
        <v>328</v>
      </c>
      <c r="F261" s="639" t="s">
        <v>329</v>
      </c>
      <c r="G261" s="639" t="s">
        <v>448</v>
      </c>
      <c r="H261" s="576" t="s">
        <v>449</v>
      </c>
    </row>
    <row r="262" spans="1:8" ht="14.25" thickTop="1" thickBot="1" x14ac:dyDescent="0.25">
      <c r="A262" s="511">
        <v>1</v>
      </c>
      <c r="B262" s="512">
        <v>2</v>
      </c>
      <c r="C262" s="512">
        <v>3</v>
      </c>
      <c r="D262" s="512">
        <v>4</v>
      </c>
      <c r="E262" s="512">
        <v>5</v>
      </c>
      <c r="F262" s="499">
        <v>6</v>
      </c>
      <c r="G262" s="499">
        <v>7</v>
      </c>
      <c r="H262" s="577" t="s">
        <v>33</v>
      </c>
    </row>
    <row r="263" spans="1:8" ht="15.75" thickTop="1" x14ac:dyDescent="0.25">
      <c r="A263" s="2608">
        <v>3900</v>
      </c>
      <c r="B263" s="1550">
        <v>5222</v>
      </c>
      <c r="C263" s="505" t="s">
        <v>1091</v>
      </c>
      <c r="D263" s="1869" t="s">
        <v>800</v>
      </c>
      <c r="E263" s="929">
        <v>0</v>
      </c>
      <c r="F263" s="929">
        <v>210</v>
      </c>
      <c r="G263" s="929">
        <v>210</v>
      </c>
      <c r="H263" s="2334">
        <f>(G263/F263)*100</f>
        <v>100</v>
      </c>
    </row>
    <row r="264" spans="1:8" ht="15" x14ac:dyDescent="0.25">
      <c r="A264" s="2608">
        <v>3900</v>
      </c>
      <c r="B264" s="1550">
        <v>6322</v>
      </c>
      <c r="C264" s="505" t="s">
        <v>1091</v>
      </c>
      <c r="D264" s="1869" t="s">
        <v>1645</v>
      </c>
      <c r="E264" s="929">
        <v>0</v>
      </c>
      <c r="F264" s="929">
        <v>30</v>
      </c>
      <c r="G264" s="929">
        <v>30</v>
      </c>
      <c r="H264" s="2334">
        <f t="shared" ref="H264:H266" si="61">(G264/F264)*100</f>
        <v>100</v>
      </c>
    </row>
    <row r="265" spans="1:8" ht="15" x14ac:dyDescent="0.25">
      <c r="A265" s="2608">
        <v>5273</v>
      </c>
      <c r="B265" s="2498">
        <v>5901</v>
      </c>
      <c r="C265" s="876" t="s">
        <v>1091</v>
      </c>
      <c r="D265" s="1863" t="s">
        <v>410</v>
      </c>
      <c r="E265" s="929">
        <v>6000</v>
      </c>
      <c r="F265" s="929">
        <v>1391</v>
      </c>
      <c r="G265" s="929">
        <v>0</v>
      </c>
      <c r="H265" s="929">
        <f t="shared" si="61"/>
        <v>0</v>
      </c>
    </row>
    <row r="266" spans="1:8" ht="15" x14ac:dyDescent="0.2">
      <c r="A266" s="2608">
        <v>5299</v>
      </c>
      <c r="B266" s="2498">
        <v>5321</v>
      </c>
      <c r="C266" s="876" t="s">
        <v>1091</v>
      </c>
      <c r="D266" s="2905" t="s">
        <v>566</v>
      </c>
      <c r="E266" s="929">
        <v>0</v>
      </c>
      <c r="F266" s="929">
        <v>36</v>
      </c>
      <c r="G266" s="929">
        <v>18</v>
      </c>
      <c r="H266" s="929">
        <f t="shared" si="61"/>
        <v>50</v>
      </c>
    </row>
    <row r="267" spans="1:8" ht="15" hidden="1" x14ac:dyDescent="0.25">
      <c r="A267" s="2608">
        <v>5511</v>
      </c>
      <c r="B267" s="1026">
        <v>5311</v>
      </c>
      <c r="C267" s="505" t="s">
        <v>1091</v>
      </c>
      <c r="D267" s="2337" t="s">
        <v>831</v>
      </c>
      <c r="E267" s="1065"/>
      <c r="F267" s="1065"/>
      <c r="G267" s="1065"/>
      <c r="H267" s="1865" t="e">
        <f t="shared" ref="H267:H272" si="62">(G267/F267)*100</f>
        <v>#DIV/0!</v>
      </c>
    </row>
    <row r="268" spans="1:8" ht="15" hidden="1" x14ac:dyDescent="0.25">
      <c r="A268" s="2608">
        <v>5512</v>
      </c>
      <c r="B268" s="1026">
        <v>5222</v>
      </c>
      <c r="C268" s="505" t="s">
        <v>1091</v>
      </c>
      <c r="D268" s="1869" t="s">
        <v>800</v>
      </c>
      <c r="E268" s="1065"/>
      <c r="F268" s="1065"/>
      <c r="G268" s="1065"/>
      <c r="H268" s="1064" t="e">
        <f t="shared" si="62"/>
        <v>#DIV/0!</v>
      </c>
    </row>
    <row r="269" spans="1:8" ht="30" x14ac:dyDescent="0.2">
      <c r="A269" s="2608">
        <v>5512</v>
      </c>
      <c r="B269" s="2907">
        <v>5493</v>
      </c>
      <c r="C269" s="876" t="s">
        <v>1091</v>
      </c>
      <c r="D269" s="2905" t="s">
        <v>1821</v>
      </c>
      <c r="E269" s="2999">
        <v>0</v>
      </c>
      <c r="F269" s="2999">
        <v>10</v>
      </c>
      <c r="G269" s="2999">
        <v>10</v>
      </c>
      <c r="H269" s="2906">
        <f t="shared" si="62"/>
        <v>100</v>
      </c>
    </row>
    <row r="270" spans="1:8" ht="15" hidden="1" x14ac:dyDescent="0.25">
      <c r="A270" s="2609">
        <v>5511</v>
      </c>
      <c r="B270" s="2079">
        <v>6331</v>
      </c>
      <c r="C270" s="505" t="s">
        <v>1091</v>
      </c>
      <c r="D270" s="2340" t="s">
        <v>870</v>
      </c>
      <c r="E270" s="1030"/>
      <c r="F270" s="1030"/>
      <c r="G270" s="1030"/>
      <c r="H270" s="2341" t="e">
        <f t="shared" si="62"/>
        <v>#DIV/0!</v>
      </c>
    </row>
    <row r="271" spans="1:8" ht="15.75" thickBot="1" x14ac:dyDescent="0.3">
      <c r="A271" s="2609">
        <v>5512</v>
      </c>
      <c r="B271" s="2079">
        <v>6341</v>
      </c>
      <c r="C271" s="505" t="s">
        <v>1091</v>
      </c>
      <c r="D271" s="1869" t="s">
        <v>136</v>
      </c>
      <c r="E271" s="1065">
        <v>0</v>
      </c>
      <c r="F271" s="1065">
        <v>1398</v>
      </c>
      <c r="G271" s="1065">
        <v>1398</v>
      </c>
      <c r="H271" s="1064">
        <f t="shared" si="62"/>
        <v>100</v>
      </c>
    </row>
    <row r="272" spans="1:8" ht="19.5" thickTop="1" thickBot="1" x14ac:dyDescent="0.3">
      <c r="A272" s="578" t="s">
        <v>1152</v>
      </c>
      <c r="B272" s="744"/>
      <c r="C272" s="580"/>
      <c r="D272" s="581"/>
      <c r="E272" s="582">
        <f>SUM(E263:E271)</f>
        <v>6000</v>
      </c>
      <c r="F272" s="582">
        <f>SUM(F263:F271)</f>
        <v>3075</v>
      </c>
      <c r="G272" s="582">
        <f>SUM(G263:G271)</f>
        <v>1666</v>
      </c>
      <c r="H272" s="783">
        <f t="shared" si="62"/>
        <v>54.17886178861788</v>
      </c>
    </row>
    <row r="273" spans="1:20" ht="18.75" thickTop="1" x14ac:dyDescent="0.25">
      <c r="A273" s="353"/>
      <c r="B273" s="2351"/>
      <c r="C273" s="57"/>
      <c r="D273" s="354"/>
      <c r="E273" s="17"/>
      <c r="F273" s="17"/>
      <c r="G273" s="17"/>
      <c r="H273" s="2352"/>
    </row>
    <row r="274" spans="1:20" x14ac:dyDescent="0.2">
      <c r="A274" s="3182" t="s">
        <v>1157</v>
      </c>
      <c r="B274" s="3182"/>
      <c r="C274" s="3182"/>
      <c r="D274" s="3182"/>
      <c r="E274" s="3182"/>
      <c r="F274" s="3182"/>
      <c r="G274" s="3182"/>
      <c r="H274" s="3182"/>
    </row>
    <row r="275" spans="1:20" ht="16.5" thickBot="1" x14ac:dyDescent="0.3">
      <c r="A275" s="33"/>
      <c r="B275" s="570"/>
      <c r="C275" s="571"/>
      <c r="F275" s="560"/>
      <c r="H275" s="1568" t="s">
        <v>92</v>
      </c>
    </row>
    <row r="276" spans="1:20" ht="14.25" thickTop="1" thickBot="1" x14ac:dyDescent="0.25">
      <c r="A276" s="572" t="s">
        <v>93</v>
      </c>
      <c r="B276" s="573" t="s">
        <v>94</v>
      </c>
      <c r="C276" s="575" t="s">
        <v>364</v>
      </c>
      <c r="D276" s="639" t="s">
        <v>95</v>
      </c>
      <c r="E276" s="639" t="s">
        <v>328</v>
      </c>
      <c r="F276" s="639" t="s">
        <v>329</v>
      </c>
      <c r="G276" s="639" t="s">
        <v>448</v>
      </c>
      <c r="H276" s="576" t="s">
        <v>449</v>
      </c>
    </row>
    <row r="277" spans="1:20" ht="14.25" thickTop="1" thickBot="1" x14ac:dyDescent="0.25">
      <c r="A277" s="511">
        <v>1</v>
      </c>
      <c r="B277" s="512">
        <v>2</v>
      </c>
      <c r="C277" s="512">
        <v>3</v>
      </c>
      <c r="D277" s="512">
        <v>4</v>
      </c>
      <c r="E277" s="512">
        <v>5</v>
      </c>
      <c r="F277" s="499">
        <v>6</v>
      </c>
      <c r="G277" s="499">
        <v>7</v>
      </c>
      <c r="H277" s="577" t="s">
        <v>33</v>
      </c>
    </row>
    <row r="278" spans="1:20" ht="15.75" hidden="1" thickTop="1" x14ac:dyDescent="0.25">
      <c r="A278" s="2608">
        <v>3429</v>
      </c>
      <c r="B278" s="1550">
        <v>5222</v>
      </c>
      <c r="C278" s="505" t="s">
        <v>1093</v>
      </c>
      <c r="D278" s="1869" t="s">
        <v>800</v>
      </c>
      <c r="E278" s="879"/>
      <c r="F278" s="929"/>
      <c r="G278" s="929"/>
      <c r="H278" s="2334" t="e">
        <f t="shared" ref="H278" si="63">(G278/F278)*100</f>
        <v>#DIV/0!</v>
      </c>
      <c r="S278" s="2230"/>
      <c r="T278" s="2230"/>
    </row>
    <row r="279" spans="1:20" ht="17.25" thickTop="1" thickBot="1" x14ac:dyDescent="0.3">
      <c r="A279" s="2608">
        <v>5512</v>
      </c>
      <c r="B279" s="1026">
        <v>5222</v>
      </c>
      <c r="C279" s="505" t="s">
        <v>1093</v>
      </c>
      <c r="D279" s="1869" t="s">
        <v>800</v>
      </c>
      <c r="E279" s="1030">
        <v>3500</v>
      </c>
      <c r="F279" s="1030">
        <v>3200</v>
      </c>
      <c r="G279" s="1030">
        <v>3137</v>
      </c>
      <c r="H279" s="2335">
        <f>(G279/F279)*100</f>
        <v>98.03125</v>
      </c>
      <c r="I279" s="1155"/>
      <c r="S279" s="2230"/>
      <c r="T279" s="2230"/>
    </row>
    <row r="280" spans="1:20" ht="16.5" hidden="1" thickBot="1" x14ac:dyDescent="0.3">
      <c r="A280" s="2609">
        <v>5512</v>
      </c>
      <c r="B280" s="2079">
        <v>6341</v>
      </c>
      <c r="C280" s="505" t="s">
        <v>1093</v>
      </c>
      <c r="D280" s="1869" t="s">
        <v>136</v>
      </c>
      <c r="E280" s="1030"/>
      <c r="F280" s="1030"/>
      <c r="G280" s="1030"/>
      <c r="H280" s="2342">
        <v>0</v>
      </c>
      <c r="I280" s="1155"/>
      <c r="S280" s="2230"/>
      <c r="T280" s="2230"/>
    </row>
    <row r="281" spans="1:20" ht="19.5" thickTop="1" thickBot="1" x14ac:dyDescent="0.3">
      <c r="A281" s="578" t="s">
        <v>1152</v>
      </c>
      <c r="B281" s="744"/>
      <c r="C281" s="580"/>
      <c r="D281" s="581"/>
      <c r="E281" s="582">
        <f>SUM(E278:E280)</f>
        <v>3500</v>
      </c>
      <c r="F281" s="582">
        <f t="shared" ref="F281:G281" si="64">SUM(F278:F280)</f>
        <v>3200</v>
      </c>
      <c r="G281" s="582">
        <f t="shared" si="64"/>
        <v>3137</v>
      </c>
      <c r="H281" s="783">
        <f>(G281/F281)*100</f>
        <v>98.03125</v>
      </c>
      <c r="I281" s="1155"/>
      <c r="J281" s="1155"/>
      <c r="K281" s="372" t="s">
        <v>1512</v>
      </c>
      <c r="L281" s="373">
        <f>E279+E278+E268+E267+E263+E255+E247+E266+E269+E265</f>
        <v>14500</v>
      </c>
      <c r="M281" s="373">
        <f t="shared" ref="M281:N281" si="65">F279+F278+F268+F267+F263+F255+F247+F266+F269+F265</f>
        <v>8745</v>
      </c>
      <c r="N281" s="373">
        <f t="shared" si="65"/>
        <v>7155</v>
      </c>
      <c r="P281" s="2230">
        <v>14500000</v>
      </c>
      <c r="Q281" s="2230">
        <f>7393800+1391185-40000</f>
        <v>8744985</v>
      </c>
      <c r="R281" s="2230">
        <f>7195348.85-40000</f>
        <v>7155348.8499999996</v>
      </c>
    </row>
    <row r="282" spans="1:20" ht="19.5" thickTop="1" thickBot="1" x14ac:dyDescent="0.3">
      <c r="A282" s="353"/>
      <c r="B282" s="2351"/>
      <c r="C282" s="57"/>
      <c r="D282" s="354"/>
      <c r="E282" s="17"/>
      <c r="F282" s="17"/>
      <c r="G282" s="17"/>
      <c r="H282" s="2352"/>
      <c r="K282" s="372" t="s">
        <v>1511</v>
      </c>
      <c r="L282" s="373">
        <f>E256+E248+E238+E264+E271</f>
        <v>2000</v>
      </c>
      <c r="M282" s="373">
        <f>F256+F248+F238+F264+F271</f>
        <v>4904</v>
      </c>
      <c r="N282" s="373">
        <f>G256+G248+G238+G264+G271</f>
        <v>4850</v>
      </c>
      <c r="P282" s="2230">
        <v>2000000</v>
      </c>
      <c r="Q282" s="2230">
        <v>4904300</v>
      </c>
      <c r="R282" s="2230">
        <v>4849988</v>
      </c>
    </row>
    <row r="283" spans="1:20" ht="19.5" thickTop="1" thickBot="1" x14ac:dyDescent="0.3">
      <c r="A283" s="578" t="s">
        <v>1152</v>
      </c>
      <c r="B283" s="744"/>
      <c r="C283" s="580"/>
      <c r="D283" s="581"/>
      <c r="E283" s="582">
        <f>E281+E272+E257+E249+E239</f>
        <v>16500</v>
      </c>
      <c r="F283" s="582">
        <f>F281+F272+F257+F249+F239</f>
        <v>13649</v>
      </c>
      <c r="G283" s="582">
        <f>G281+G272+G257+G249+G239</f>
        <v>12005</v>
      </c>
      <c r="H283" s="783">
        <f>(G283/F283)*100</f>
        <v>87.955161550296722</v>
      </c>
      <c r="L283" s="526">
        <f>SUM(L281:L282)</f>
        <v>16500</v>
      </c>
      <c r="M283" s="526">
        <f t="shared" ref="M283:N283" si="66">SUM(M281:M282)</f>
        <v>13649</v>
      </c>
      <c r="N283" s="526">
        <f t="shared" si="66"/>
        <v>12005</v>
      </c>
      <c r="P283" s="1597">
        <f>P281+P282</f>
        <v>16500000</v>
      </c>
      <c r="Q283" s="1597">
        <f t="shared" ref="Q283:R283" si="67">Q281+Q282</f>
        <v>13649285</v>
      </c>
      <c r="R283" s="1597">
        <f t="shared" si="67"/>
        <v>12005336.85</v>
      </c>
    </row>
    <row r="284" spans="1:20" ht="13.5" thickTop="1" x14ac:dyDescent="0.2">
      <c r="A284" s="570"/>
      <c r="C284" s="770"/>
    </row>
    <row r="285" spans="1:20" x14ac:dyDescent="0.2">
      <c r="A285" s="570"/>
      <c r="C285" s="770"/>
    </row>
    <row r="286" spans="1:20" x14ac:dyDescent="0.2">
      <c r="A286" s="570"/>
      <c r="C286" s="770"/>
    </row>
    <row r="287" spans="1:20" x14ac:dyDescent="0.2">
      <c r="A287" s="570"/>
      <c r="C287" s="770"/>
    </row>
    <row r="288" spans="1:20" x14ac:dyDescent="0.2">
      <c r="A288" s="570"/>
      <c r="C288" s="770"/>
    </row>
    <row r="289" spans="1:12" ht="16.5" x14ac:dyDescent="0.25">
      <c r="A289" s="356" t="s">
        <v>1658</v>
      </c>
      <c r="B289" s="357"/>
      <c r="C289" s="358"/>
      <c r="D289" s="358"/>
      <c r="E289" s="780">
        <f>E290+E291+E292+E293+E294</f>
        <v>359361</v>
      </c>
      <c r="F289" s="780">
        <f>F290+F291+F292+F293+F294</f>
        <v>403275</v>
      </c>
      <c r="G289" s="780">
        <f>G290+G291+G292+G293+G294</f>
        <v>383045</v>
      </c>
      <c r="H289" s="784">
        <f>G289/F289*100</f>
        <v>94.983572004215489</v>
      </c>
      <c r="J289" s="1291">
        <f>SUM(J290:J294)</f>
        <v>359361000</v>
      </c>
      <c r="K289" s="1291">
        <f>SUM(K290:K294)</f>
        <v>403274692.58999997</v>
      </c>
      <c r="L289" s="1291">
        <f>SUM(L290:L294)</f>
        <v>383045274.60999995</v>
      </c>
    </row>
    <row r="290" spans="1:12" ht="15" x14ac:dyDescent="0.2">
      <c r="A290" s="507" t="s">
        <v>1155</v>
      </c>
      <c r="B290" s="645"/>
      <c r="C290" s="935"/>
      <c r="D290" s="935"/>
      <c r="E290" s="1572">
        <f>E210-E294</f>
        <v>350867</v>
      </c>
      <c r="F290" s="1572">
        <f>F210-F294-F292</f>
        <v>367508</v>
      </c>
      <c r="G290" s="1572">
        <f>G210-G294-G292</f>
        <v>352674</v>
      </c>
      <c r="H290" s="1573">
        <f>G290/F290*100</f>
        <v>95.96362528162652</v>
      </c>
      <c r="J290" s="1155">
        <f>375861000-J291-J294-J296</f>
        <v>350867000</v>
      </c>
      <c r="K290" s="1155">
        <f>416923977.59-K291-K292-K294-K296</f>
        <v>367507886.58999997</v>
      </c>
      <c r="L290" s="1155">
        <f>394853374.46-L291-L292-L294+197237-L296</f>
        <v>352675373.69</v>
      </c>
    </row>
    <row r="291" spans="1:12" ht="15" x14ac:dyDescent="0.2">
      <c r="A291" s="507" t="s">
        <v>1156</v>
      </c>
      <c r="B291" s="645"/>
      <c r="C291" s="935"/>
      <c r="D291" s="935"/>
      <c r="E291" s="736">
        <f>E228</f>
        <v>560</v>
      </c>
      <c r="F291" s="736">
        <f>F228</f>
        <v>25916</v>
      </c>
      <c r="G291" s="736">
        <f>G228</f>
        <v>21355</v>
      </c>
      <c r="H291" s="1573">
        <f>G291/F291*100</f>
        <v>82.400833461954008</v>
      </c>
      <c r="J291" s="1155">
        <v>560000</v>
      </c>
      <c r="K291" s="1155">
        <v>25915814</v>
      </c>
      <c r="L291" s="1155">
        <v>21354745.719999999</v>
      </c>
    </row>
    <row r="292" spans="1:12" ht="15" x14ac:dyDescent="0.2">
      <c r="A292" s="507" t="s">
        <v>119</v>
      </c>
      <c r="B292" s="645"/>
      <c r="C292" s="935"/>
      <c r="D292" s="935"/>
      <c r="E292" s="531">
        <f>E52+E54+E56+E58+E60+E62+E64+E66+E78+E81+E73+E75+E85+E87+E89+E91+E93+E95+E97+E100+E101+E112+E113+E119+E120+E132+E133+E136+E139+E153+E168+E172+E173+E178+E179+E186+E187</f>
        <v>0</v>
      </c>
      <c r="F292" s="531">
        <f>F52+F54+F56+F58+F60+F62+F64+F66+F78+F81+F73+F75+F84+F87+F89+F91+F93+F95+F97+F100+F101+F112+F113+F119+F120+F132+F133+F136+F139+F153+F168+F172+F173+F178+F179+F186+F187</f>
        <v>1821</v>
      </c>
      <c r="G292" s="531">
        <f>G52+G54+G56+G58+G60+G62+G64+G66+G78+G81+G73+G75+G84+G87+G89+G91+G93+G95+G97+G100+G101+G112+G113+G119+G120+G132+G133+G136+G139+G153+G168+G172+G173+G178+G179+G186+G187</f>
        <v>1595</v>
      </c>
      <c r="H292" s="1573">
        <f>G292/F292*100</f>
        <v>87.589236683141138</v>
      </c>
      <c r="J292" s="1155">
        <v>0</v>
      </c>
      <c r="K292" s="1155">
        <f>445992+1215000+30000+100000+30000</f>
        <v>1820992</v>
      </c>
      <c r="L292" s="1155">
        <f>445694.2+1092559.52+207.27+34701.29+20492.92</f>
        <v>1593655.2</v>
      </c>
    </row>
    <row r="293" spans="1:12" ht="15" x14ac:dyDescent="0.2">
      <c r="A293" s="507" t="s">
        <v>537</v>
      </c>
      <c r="B293" s="645"/>
      <c r="C293" s="935"/>
      <c r="D293" s="935"/>
      <c r="E293" s="535">
        <v>0</v>
      </c>
      <c r="F293" s="535">
        <v>0</v>
      </c>
      <c r="G293" s="535">
        <v>0</v>
      </c>
      <c r="H293" s="1573">
        <v>0</v>
      </c>
      <c r="J293" s="1155">
        <v>0</v>
      </c>
      <c r="K293" s="1155">
        <v>0</v>
      </c>
      <c r="L293" s="1155">
        <v>0</v>
      </c>
    </row>
    <row r="294" spans="1:12" ht="15" x14ac:dyDescent="0.2">
      <c r="A294" s="507" t="s">
        <v>252</v>
      </c>
      <c r="B294" s="645"/>
      <c r="C294" s="935"/>
      <c r="D294" s="935"/>
      <c r="E294" s="535">
        <f>SUM(E209)</f>
        <v>7934</v>
      </c>
      <c r="F294" s="535">
        <f>SUM(F209)</f>
        <v>8030</v>
      </c>
      <c r="G294" s="535">
        <f>SUM(G209)</f>
        <v>7421</v>
      </c>
      <c r="H294" s="1573">
        <f>G294/F294*100</f>
        <v>92.415940224159399</v>
      </c>
      <c r="J294" s="1155">
        <v>7934000</v>
      </c>
      <c r="K294" s="1155">
        <v>8030000</v>
      </c>
      <c r="L294" s="1155">
        <v>7421500</v>
      </c>
    </row>
    <row r="295" spans="1:12" ht="15" x14ac:dyDescent="0.2">
      <c r="A295" s="507"/>
      <c r="B295" s="645"/>
      <c r="C295" s="935"/>
      <c r="D295" s="935"/>
      <c r="E295" s="535"/>
      <c r="F295" s="535"/>
      <c r="G295" s="535"/>
      <c r="H295" s="1573"/>
      <c r="J295" s="1155"/>
      <c r="K295" s="1155"/>
      <c r="L295" s="1155"/>
    </row>
    <row r="296" spans="1:12" s="2868" customFormat="1" ht="16.5" x14ac:dyDescent="0.25">
      <c r="A296" s="356" t="s">
        <v>1151</v>
      </c>
      <c r="B296" s="2864"/>
      <c r="C296" s="2865"/>
      <c r="D296" s="2865"/>
      <c r="E296" s="2866">
        <f>E283</f>
        <v>16500</v>
      </c>
      <c r="F296" s="2866">
        <f t="shared" ref="F296:G296" si="68">F283</f>
        <v>13649</v>
      </c>
      <c r="G296" s="2866">
        <f t="shared" si="68"/>
        <v>12005</v>
      </c>
      <c r="H296" s="2867">
        <f t="shared" ref="H296" si="69">G296/F296*100</f>
        <v>87.955161550296722</v>
      </c>
      <c r="J296" s="2575">
        <v>16500000</v>
      </c>
      <c r="K296" s="2575">
        <f>Q283</f>
        <v>13649285</v>
      </c>
      <c r="L296" s="2575">
        <f>R283</f>
        <v>12005336.85</v>
      </c>
    </row>
    <row r="297" spans="1:12" x14ac:dyDescent="0.2">
      <c r="A297" s="570"/>
      <c r="C297" s="770"/>
    </row>
    <row r="298" spans="1:12" ht="24" thickBot="1" x14ac:dyDescent="0.4">
      <c r="A298" s="589" t="s">
        <v>885</v>
      </c>
      <c r="B298" s="590"/>
      <c r="C298" s="591"/>
      <c r="D298" s="592"/>
      <c r="E298" s="536">
        <f>SUM(E210,E228,E283)</f>
        <v>375861</v>
      </c>
      <c r="F298" s="536">
        <f>SUM(F210,F228,F283)</f>
        <v>416924</v>
      </c>
      <c r="G298" s="536">
        <f>SUM(G210,G228,G283)</f>
        <v>395050</v>
      </c>
      <c r="H298" s="537">
        <f>(G298/F298)*100</f>
        <v>94.753480250597235</v>
      </c>
      <c r="J298" s="2576">
        <f>J296+J289</f>
        <v>375861000</v>
      </c>
      <c r="K298" s="2576">
        <f>K296+K289</f>
        <v>416923977.58999997</v>
      </c>
      <c r="L298" s="2576">
        <f>L296+L289</f>
        <v>395050611.45999998</v>
      </c>
    </row>
    <row r="299" spans="1:12" ht="13.5" thickTop="1" x14ac:dyDescent="0.2"/>
  </sheetData>
  <mergeCells count="19">
    <mergeCell ref="D14:D15"/>
    <mergeCell ref="D174:D175"/>
    <mergeCell ref="C73:C74"/>
    <mergeCell ref="D73:D74"/>
    <mergeCell ref="C84:C85"/>
    <mergeCell ref="D84:D85"/>
    <mergeCell ref="D66:D67"/>
    <mergeCell ref="C66:C67"/>
    <mergeCell ref="C78:C79"/>
    <mergeCell ref="D78:D79"/>
    <mergeCell ref="C81:C82"/>
    <mergeCell ref="D81:D82"/>
    <mergeCell ref="A232:H232"/>
    <mergeCell ref="A233:H233"/>
    <mergeCell ref="A274:H274"/>
    <mergeCell ref="A242:H242"/>
    <mergeCell ref="A243:H243"/>
    <mergeCell ref="A251:H251"/>
    <mergeCell ref="A259:H259"/>
  </mergeCells>
  <phoneticPr fontId="0" type="noConversion"/>
  <pageMargins left="0.6692913385826772" right="0.98425196850393704" top="0.98425196850393704" bottom="0.98425196850393704" header="0.51181102362204722" footer="0.51181102362204722"/>
  <pageSetup paperSize="9" scale="69" firstPageNumber="26" orientation="portrait" useFirstPageNumber="1" r:id="rId1"/>
  <headerFooter alignWithMargins="0">
    <oddFooter>&amp;L&amp;"Arial,Kurzíva"Zastupitelstvo Olomouckého kraje 25. 6. 2018
5. - Rozpočet Olomouckého kraje 2017 - závěrečný  účet 
Příloha č. 3: Plnění rozpočtu výdajů Olomouckého kraje k 31. 12. 2017&amp;R&amp;"Arial,Kurzíva"Strana &amp;P (celkem 478)</oddFooter>
  </headerFooter>
  <rowBreaks count="2" manualBreakCount="2">
    <brk id="68" max="7" man="1"/>
    <brk id="139" max="7" man="1"/>
  </rowBreaks>
  <ignoredErrors>
    <ignoredError sqref="E281:G281 E249:G249" formulaRange="1"/>
  </ignoredErrors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FF"/>
  </sheetPr>
  <dimension ref="A1:L58"/>
  <sheetViews>
    <sheetView showGridLines="0" view="pageBreakPreview" zoomScaleNormal="100" zoomScaleSheetLayoutView="100" workbookViewId="0">
      <selection activeCell="A49" sqref="A49"/>
    </sheetView>
  </sheetViews>
  <sheetFormatPr defaultRowHeight="12.75" x14ac:dyDescent="0.2"/>
  <cols>
    <col min="1" max="1" width="5.5703125" style="1097" customWidth="1"/>
    <col min="2" max="2" width="6.7109375" style="1097" customWidth="1"/>
    <col min="3" max="3" width="9.85546875" style="1097" customWidth="1"/>
    <col min="4" max="4" width="46.42578125" style="1098" customWidth="1"/>
    <col min="5" max="5" width="15.42578125" style="1123" customWidth="1"/>
    <col min="6" max="6" width="15.28515625" style="1123" customWidth="1"/>
    <col min="7" max="7" width="15.85546875" style="1123" customWidth="1"/>
    <col min="8" max="8" width="10" style="1098" customWidth="1"/>
    <col min="9" max="9" width="14.7109375" style="1098" bestFit="1" customWidth="1"/>
    <col min="10" max="10" width="9.140625" style="1098"/>
    <col min="11" max="11" width="14.7109375" style="1098" bestFit="1" customWidth="1"/>
    <col min="12" max="12" width="19.28515625" style="1098" bestFit="1" customWidth="1"/>
    <col min="13" max="256" width="9.140625" style="1098"/>
    <col min="257" max="257" width="5.5703125" style="1098" customWidth="1"/>
    <col min="258" max="258" width="6.7109375" style="1098" customWidth="1"/>
    <col min="259" max="259" width="9" style="1098" bestFit="1" customWidth="1"/>
    <col min="260" max="260" width="46.42578125" style="1098" customWidth="1"/>
    <col min="261" max="261" width="13.85546875" style="1098" customWidth="1"/>
    <col min="262" max="262" width="15.28515625" style="1098" customWidth="1"/>
    <col min="263" max="263" width="15.85546875" style="1098" customWidth="1"/>
    <col min="264" max="264" width="8.85546875" style="1098" customWidth="1"/>
    <col min="265" max="265" width="14.7109375" style="1098" bestFit="1" customWidth="1"/>
    <col min="266" max="512" width="9.140625" style="1098"/>
    <col min="513" max="513" width="5.5703125" style="1098" customWidth="1"/>
    <col min="514" max="514" width="6.7109375" style="1098" customWidth="1"/>
    <col min="515" max="515" width="9" style="1098" bestFit="1" customWidth="1"/>
    <col min="516" max="516" width="46.42578125" style="1098" customWidth="1"/>
    <col min="517" max="517" width="13.85546875" style="1098" customWidth="1"/>
    <col min="518" max="518" width="15.28515625" style="1098" customWidth="1"/>
    <col min="519" max="519" width="15.85546875" style="1098" customWidth="1"/>
    <col min="520" max="520" width="8.85546875" style="1098" customWidth="1"/>
    <col min="521" max="521" width="14.7109375" style="1098" bestFit="1" customWidth="1"/>
    <col min="522" max="768" width="9.140625" style="1098"/>
    <col min="769" max="769" width="5.5703125" style="1098" customWidth="1"/>
    <col min="770" max="770" width="6.7109375" style="1098" customWidth="1"/>
    <col min="771" max="771" width="9" style="1098" bestFit="1" customWidth="1"/>
    <col min="772" max="772" width="46.42578125" style="1098" customWidth="1"/>
    <col min="773" max="773" width="13.85546875" style="1098" customWidth="1"/>
    <col min="774" max="774" width="15.28515625" style="1098" customWidth="1"/>
    <col min="775" max="775" width="15.85546875" style="1098" customWidth="1"/>
    <col min="776" max="776" width="8.85546875" style="1098" customWidth="1"/>
    <col min="777" max="777" width="14.7109375" style="1098" bestFit="1" customWidth="1"/>
    <col min="778" max="1024" width="9.140625" style="1098"/>
    <col min="1025" max="1025" width="5.5703125" style="1098" customWidth="1"/>
    <col min="1026" max="1026" width="6.7109375" style="1098" customWidth="1"/>
    <col min="1027" max="1027" width="9" style="1098" bestFit="1" customWidth="1"/>
    <col min="1028" max="1028" width="46.42578125" style="1098" customWidth="1"/>
    <col min="1029" max="1029" width="13.85546875" style="1098" customWidth="1"/>
    <col min="1030" max="1030" width="15.28515625" style="1098" customWidth="1"/>
    <col min="1031" max="1031" width="15.85546875" style="1098" customWidth="1"/>
    <col min="1032" max="1032" width="8.85546875" style="1098" customWidth="1"/>
    <col min="1033" max="1033" width="14.7109375" style="1098" bestFit="1" customWidth="1"/>
    <col min="1034" max="1280" width="9.140625" style="1098"/>
    <col min="1281" max="1281" width="5.5703125" style="1098" customWidth="1"/>
    <col min="1282" max="1282" width="6.7109375" style="1098" customWidth="1"/>
    <col min="1283" max="1283" width="9" style="1098" bestFit="1" customWidth="1"/>
    <col min="1284" max="1284" width="46.42578125" style="1098" customWidth="1"/>
    <col min="1285" max="1285" width="13.85546875" style="1098" customWidth="1"/>
    <col min="1286" max="1286" width="15.28515625" style="1098" customWidth="1"/>
    <col min="1287" max="1287" width="15.85546875" style="1098" customWidth="1"/>
    <col min="1288" max="1288" width="8.85546875" style="1098" customWidth="1"/>
    <col min="1289" max="1289" width="14.7109375" style="1098" bestFit="1" customWidth="1"/>
    <col min="1290" max="1536" width="9.140625" style="1098"/>
    <col min="1537" max="1537" width="5.5703125" style="1098" customWidth="1"/>
    <col min="1538" max="1538" width="6.7109375" style="1098" customWidth="1"/>
    <col min="1539" max="1539" width="9" style="1098" bestFit="1" customWidth="1"/>
    <col min="1540" max="1540" width="46.42578125" style="1098" customWidth="1"/>
    <col min="1541" max="1541" width="13.85546875" style="1098" customWidth="1"/>
    <col min="1542" max="1542" width="15.28515625" style="1098" customWidth="1"/>
    <col min="1543" max="1543" width="15.85546875" style="1098" customWidth="1"/>
    <col min="1544" max="1544" width="8.85546875" style="1098" customWidth="1"/>
    <col min="1545" max="1545" width="14.7109375" style="1098" bestFit="1" customWidth="1"/>
    <col min="1546" max="1792" width="9.140625" style="1098"/>
    <col min="1793" max="1793" width="5.5703125" style="1098" customWidth="1"/>
    <col min="1794" max="1794" width="6.7109375" style="1098" customWidth="1"/>
    <col min="1795" max="1795" width="9" style="1098" bestFit="1" customWidth="1"/>
    <col min="1796" max="1796" width="46.42578125" style="1098" customWidth="1"/>
    <col min="1797" max="1797" width="13.85546875" style="1098" customWidth="1"/>
    <col min="1798" max="1798" width="15.28515625" style="1098" customWidth="1"/>
    <col min="1799" max="1799" width="15.85546875" style="1098" customWidth="1"/>
    <col min="1800" max="1800" width="8.85546875" style="1098" customWidth="1"/>
    <col min="1801" max="1801" width="14.7109375" style="1098" bestFit="1" customWidth="1"/>
    <col min="1802" max="2048" width="9.140625" style="1098"/>
    <col min="2049" max="2049" width="5.5703125" style="1098" customWidth="1"/>
    <col min="2050" max="2050" width="6.7109375" style="1098" customWidth="1"/>
    <col min="2051" max="2051" width="9" style="1098" bestFit="1" customWidth="1"/>
    <col min="2052" max="2052" width="46.42578125" style="1098" customWidth="1"/>
    <col min="2053" max="2053" width="13.85546875" style="1098" customWidth="1"/>
    <col min="2054" max="2054" width="15.28515625" style="1098" customWidth="1"/>
    <col min="2055" max="2055" width="15.85546875" style="1098" customWidth="1"/>
    <col min="2056" max="2056" width="8.85546875" style="1098" customWidth="1"/>
    <col min="2057" max="2057" width="14.7109375" style="1098" bestFit="1" customWidth="1"/>
    <col min="2058" max="2304" width="9.140625" style="1098"/>
    <col min="2305" max="2305" width="5.5703125" style="1098" customWidth="1"/>
    <col min="2306" max="2306" width="6.7109375" style="1098" customWidth="1"/>
    <col min="2307" max="2307" width="9" style="1098" bestFit="1" customWidth="1"/>
    <col min="2308" max="2308" width="46.42578125" style="1098" customWidth="1"/>
    <col min="2309" max="2309" width="13.85546875" style="1098" customWidth="1"/>
    <col min="2310" max="2310" width="15.28515625" style="1098" customWidth="1"/>
    <col min="2311" max="2311" width="15.85546875" style="1098" customWidth="1"/>
    <col min="2312" max="2312" width="8.85546875" style="1098" customWidth="1"/>
    <col min="2313" max="2313" width="14.7109375" style="1098" bestFit="1" customWidth="1"/>
    <col min="2314" max="2560" width="9.140625" style="1098"/>
    <col min="2561" max="2561" width="5.5703125" style="1098" customWidth="1"/>
    <col min="2562" max="2562" width="6.7109375" style="1098" customWidth="1"/>
    <col min="2563" max="2563" width="9" style="1098" bestFit="1" customWidth="1"/>
    <col min="2564" max="2564" width="46.42578125" style="1098" customWidth="1"/>
    <col min="2565" max="2565" width="13.85546875" style="1098" customWidth="1"/>
    <col min="2566" max="2566" width="15.28515625" style="1098" customWidth="1"/>
    <col min="2567" max="2567" width="15.85546875" style="1098" customWidth="1"/>
    <col min="2568" max="2568" width="8.85546875" style="1098" customWidth="1"/>
    <col min="2569" max="2569" width="14.7109375" style="1098" bestFit="1" customWidth="1"/>
    <col min="2570" max="2816" width="9.140625" style="1098"/>
    <col min="2817" max="2817" width="5.5703125" style="1098" customWidth="1"/>
    <col min="2818" max="2818" width="6.7109375" style="1098" customWidth="1"/>
    <col min="2819" max="2819" width="9" style="1098" bestFit="1" customWidth="1"/>
    <col min="2820" max="2820" width="46.42578125" style="1098" customWidth="1"/>
    <col min="2821" max="2821" width="13.85546875" style="1098" customWidth="1"/>
    <col min="2822" max="2822" width="15.28515625" style="1098" customWidth="1"/>
    <col min="2823" max="2823" width="15.85546875" style="1098" customWidth="1"/>
    <col min="2824" max="2824" width="8.85546875" style="1098" customWidth="1"/>
    <col min="2825" max="2825" width="14.7109375" style="1098" bestFit="1" customWidth="1"/>
    <col min="2826" max="3072" width="9.140625" style="1098"/>
    <col min="3073" max="3073" width="5.5703125" style="1098" customWidth="1"/>
    <col min="3074" max="3074" width="6.7109375" style="1098" customWidth="1"/>
    <col min="3075" max="3075" width="9" style="1098" bestFit="1" customWidth="1"/>
    <col min="3076" max="3076" width="46.42578125" style="1098" customWidth="1"/>
    <col min="3077" max="3077" width="13.85546875" style="1098" customWidth="1"/>
    <col min="3078" max="3078" width="15.28515625" style="1098" customWidth="1"/>
    <col min="3079" max="3079" width="15.85546875" style="1098" customWidth="1"/>
    <col min="3080" max="3080" width="8.85546875" style="1098" customWidth="1"/>
    <col min="3081" max="3081" width="14.7109375" style="1098" bestFit="1" customWidth="1"/>
    <col min="3082" max="3328" width="9.140625" style="1098"/>
    <col min="3329" max="3329" width="5.5703125" style="1098" customWidth="1"/>
    <col min="3330" max="3330" width="6.7109375" style="1098" customWidth="1"/>
    <col min="3331" max="3331" width="9" style="1098" bestFit="1" customWidth="1"/>
    <col min="3332" max="3332" width="46.42578125" style="1098" customWidth="1"/>
    <col min="3333" max="3333" width="13.85546875" style="1098" customWidth="1"/>
    <col min="3334" max="3334" width="15.28515625" style="1098" customWidth="1"/>
    <col min="3335" max="3335" width="15.85546875" style="1098" customWidth="1"/>
    <col min="3336" max="3336" width="8.85546875" style="1098" customWidth="1"/>
    <col min="3337" max="3337" width="14.7109375" style="1098" bestFit="1" customWidth="1"/>
    <col min="3338" max="3584" width="9.140625" style="1098"/>
    <col min="3585" max="3585" width="5.5703125" style="1098" customWidth="1"/>
    <col min="3586" max="3586" width="6.7109375" style="1098" customWidth="1"/>
    <col min="3587" max="3587" width="9" style="1098" bestFit="1" customWidth="1"/>
    <col min="3588" max="3588" width="46.42578125" style="1098" customWidth="1"/>
    <col min="3589" max="3589" width="13.85546875" style="1098" customWidth="1"/>
    <col min="3590" max="3590" width="15.28515625" style="1098" customWidth="1"/>
    <col min="3591" max="3591" width="15.85546875" style="1098" customWidth="1"/>
    <col min="3592" max="3592" width="8.85546875" style="1098" customWidth="1"/>
    <col min="3593" max="3593" width="14.7109375" style="1098" bestFit="1" customWidth="1"/>
    <col min="3594" max="3840" width="9.140625" style="1098"/>
    <col min="3841" max="3841" width="5.5703125" style="1098" customWidth="1"/>
    <col min="3842" max="3842" width="6.7109375" style="1098" customWidth="1"/>
    <col min="3843" max="3843" width="9" style="1098" bestFit="1" customWidth="1"/>
    <col min="3844" max="3844" width="46.42578125" style="1098" customWidth="1"/>
    <col min="3845" max="3845" width="13.85546875" style="1098" customWidth="1"/>
    <col min="3846" max="3846" width="15.28515625" style="1098" customWidth="1"/>
    <col min="3847" max="3847" width="15.85546875" style="1098" customWidth="1"/>
    <col min="3848" max="3848" width="8.85546875" style="1098" customWidth="1"/>
    <col min="3849" max="3849" width="14.7109375" style="1098" bestFit="1" customWidth="1"/>
    <col min="3850" max="4096" width="9.140625" style="1098"/>
    <col min="4097" max="4097" width="5.5703125" style="1098" customWidth="1"/>
    <col min="4098" max="4098" width="6.7109375" style="1098" customWidth="1"/>
    <col min="4099" max="4099" width="9" style="1098" bestFit="1" customWidth="1"/>
    <col min="4100" max="4100" width="46.42578125" style="1098" customWidth="1"/>
    <col min="4101" max="4101" width="13.85546875" style="1098" customWidth="1"/>
    <col min="4102" max="4102" width="15.28515625" style="1098" customWidth="1"/>
    <col min="4103" max="4103" width="15.85546875" style="1098" customWidth="1"/>
    <col min="4104" max="4104" width="8.85546875" style="1098" customWidth="1"/>
    <col min="4105" max="4105" width="14.7109375" style="1098" bestFit="1" customWidth="1"/>
    <col min="4106" max="4352" width="9.140625" style="1098"/>
    <col min="4353" max="4353" width="5.5703125" style="1098" customWidth="1"/>
    <col min="4354" max="4354" width="6.7109375" style="1098" customWidth="1"/>
    <col min="4355" max="4355" width="9" style="1098" bestFit="1" customWidth="1"/>
    <col min="4356" max="4356" width="46.42578125" style="1098" customWidth="1"/>
    <col min="4357" max="4357" width="13.85546875" style="1098" customWidth="1"/>
    <col min="4358" max="4358" width="15.28515625" style="1098" customWidth="1"/>
    <col min="4359" max="4359" width="15.85546875" style="1098" customWidth="1"/>
    <col min="4360" max="4360" width="8.85546875" style="1098" customWidth="1"/>
    <col min="4361" max="4361" width="14.7109375" style="1098" bestFit="1" customWidth="1"/>
    <col min="4362" max="4608" width="9.140625" style="1098"/>
    <col min="4609" max="4609" width="5.5703125" style="1098" customWidth="1"/>
    <col min="4610" max="4610" width="6.7109375" style="1098" customWidth="1"/>
    <col min="4611" max="4611" width="9" style="1098" bestFit="1" customWidth="1"/>
    <col min="4612" max="4612" width="46.42578125" style="1098" customWidth="1"/>
    <col min="4613" max="4613" width="13.85546875" style="1098" customWidth="1"/>
    <col min="4614" max="4614" width="15.28515625" style="1098" customWidth="1"/>
    <col min="4615" max="4615" width="15.85546875" style="1098" customWidth="1"/>
    <col min="4616" max="4616" width="8.85546875" style="1098" customWidth="1"/>
    <col min="4617" max="4617" width="14.7109375" style="1098" bestFit="1" customWidth="1"/>
    <col min="4618" max="4864" width="9.140625" style="1098"/>
    <col min="4865" max="4865" width="5.5703125" style="1098" customWidth="1"/>
    <col min="4866" max="4866" width="6.7109375" style="1098" customWidth="1"/>
    <col min="4867" max="4867" width="9" style="1098" bestFit="1" customWidth="1"/>
    <col min="4868" max="4868" width="46.42578125" style="1098" customWidth="1"/>
    <col min="4869" max="4869" width="13.85546875" style="1098" customWidth="1"/>
    <col min="4870" max="4870" width="15.28515625" style="1098" customWidth="1"/>
    <col min="4871" max="4871" width="15.85546875" style="1098" customWidth="1"/>
    <col min="4872" max="4872" width="8.85546875" style="1098" customWidth="1"/>
    <col min="4873" max="4873" width="14.7109375" style="1098" bestFit="1" customWidth="1"/>
    <col min="4874" max="5120" width="9.140625" style="1098"/>
    <col min="5121" max="5121" width="5.5703125" style="1098" customWidth="1"/>
    <col min="5122" max="5122" width="6.7109375" style="1098" customWidth="1"/>
    <col min="5123" max="5123" width="9" style="1098" bestFit="1" customWidth="1"/>
    <col min="5124" max="5124" width="46.42578125" style="1098" customWidth="1"/>
    <col min="5125" max="5125" width="13.85546875" style="1098" customWidth="1"/>
    <col min="5126" max="5126" width="15.28515625" style="1098" customWidth="1"/>
    <col min="5127" max="5127" width="15.85546875" style="1098" customWidth="1"/>
    <col min="5128" max="5128" width="8.85546875" style="1098" customWidth="1"/>
    <col min="5129" max="5129" width="14.7109375" style="1098" bestFit="1" customWidth="1"/>
    <col min="5130" max="5376" width="9.140625" style="1098"/>
    <col min="5377" max="5377" width="5.5703125" style="1098" customWidth="1"/>
    <col min="5378" max="5378" width="6.7109375" style="1098" customWidth="1"/>
    <col min="5379" max="5379" width="9" style="1098" bestFit="1" customWidth="1"/>
    <col min="5380" max="5380" width="46.42578125" style="1098" customWidth="1"/>
    <col min="5381" max="5381" width="13.85546875" style="1098" customWidth="1"/>
    <col min="5382" max="5382" width="15.28515625" style="1098" customWidth="1"/>
    <col min="5383" max="5383" width="15.85546875" style="1098" customWidth="1"/>
    <col min="5384" max="5384" width="8.85546875" style="1098" customWidth="1"/>
    <col min="5385" max="5385" width="14.7109375" style="1098" bestFit="1" customWidth="1"/>
    <col min="5386" max="5632" width="9.140625" style="1098"/>
    <col min="5633" max="5633" width="5.5703125" style="1098" customWidth="1"/>
    <col min="5634" max="5634" width="6.7109375" style="1098" customWidth="1"/>
    <col min="5635" max="5635" width="9" style="1098" bestFit="1" customWidth="1"/>
    <col min="5636" max="5636" width="46.42578125" style="1098" customWidth="1"/>
    <col min="5637" max="5637" width="13.85546875" style="1098" customWidth="1"/>
    <col min="5638" max="5638" width="15.28515625" style="1098" customWidth="1"/>
    <col min="5639" max="5639" width="15.85546875" style="1098" customWidth="1"/>
    <col min="5640" max="5640" width="8.85546875" style="1098" customWidth="1"/>
    <col min="5641" max="5641" width="14.7109375" style="1098" bestFit="1" customWidth="1"/>
    <col min="5642" max="5888" width="9.140625" style="1098"/>
    <col min="5889" max="5889" width="5.5703125" style="1098" customWidth="1"/>
    <col min="5890" max="5890" width="6.7109375" style="1098" customWidth="1"/>
    <col min="5891" max="5891" width="9" style="1098" bestFit="1" customWidth="1"/>
    <col min="5892" max="5892" width="46.42578125" style="1098" customWidth="1"/>
    <col min="5893" max="5893" width="13.85546875" style="1098" customWidth="1"/>
    <col min="5894" max="5894" width="15.28515625" style="1098" customWidth="1"/>
    <col min="5895" max="5895" width="15.85546875" style="1098" customWidth="1"/>
    <col min="5896" max="5896" width="8.85546875" style="1098" customWidth="1"/>
    <col min="5897" max="5897" width="14.7109375" style="1098" bestFit="1" customWidth="1"/>
    <col min="5898" max="6144" width="9.140625" style="1098"/>
    <col min="6145" max="6145" width="5.5703125" style="1098" customWidth="1"/>
    <col min="6146" max="6146" width="6.7109375" style="1098" customWidth="1"/>
    <col min="6147" max="6147" width="9" style="1098" bestFit="1" customWidth="1"/>
    <col min="6148" max="6148" width="46.42578125" style="1098" customWidth="1"/>
    <col min="6149" max="6149" width="13.85546875" style="1098" customWidth="1"/>
    <col min="6150" max="6150" width="15.28515625" style="1098" customWidth="1"/>
    <col min="6151" max="6151" width="15.85546875" style="1098" customWidth="1"/>
    <col min="6152" max="6152" width="8.85546875" style="1098" customWidth="1"/>
    <col min="6153" max="6153" width="14.7109375" style="1098" bestFit="1" customWidth="1"/>
    <col min="6154" max="6400" width="9.140625" style="1098"/>
    <col min="6401" max="6401" width="5.5703125" style="1098" customWidth="1"/>
    <col min="6402" max="6402" width="6.7109375" style="1098" customWidth="1"/>
    <col min="6403" max="6403" width="9" style="1098" bestFit="1" customWidth="1"/>
    <col min="6404" max="6404" width="46.42578125" style="1098" customWidth="1"/>
    <col min="6405" max="6405" width="13.85546875" style="1098" customWidth="1"/>
    <col min="6406" max="6406" width="15.28515625" style="1098" customWidth="1"/>
    <col min="6407" max="6407" width="15.85546875" style="1098" customWidth="1"/>
    <col min="6408" max="6408" width="8.85546875" style="1098" customWidth="1"/>
    <col min="6409" max="6409" width="14.7109375" style="1098" bestFit="1" customWidth="1"/>
    <col min="6410" max="6656" width="9.140625" style="1098"/>
    <col min="6657" max="6657" width="5.5703125" style="1098" customWidth="1"/>
    <col min="6658" max="6658" width="6.7109375" style="1098" customWidth="1"/>
    <col min="6659" max="6659" width="9" style="1098" bestFit="1" customWidth="1"/>
    <col min="6660" max="6660" width="46.42578125" style="1098" customWidth="1"/>
    <col min="6661" max="6661" width="13.85546875" style="1098" customWidth="1"/>
    <col min="6662" max="6662" width="15.28515625" style="1098" customWidth="1"/>
    <col min="6663" max="6663" width="15.85546875" style="1098" customWidth="1"/>
    <col min="6664" max="6664" width="8.85546875" style="1098" customWidth="1"/>
    <col min="6665" max="6665" width="14.7109375" style="1098" bestFit="1" customWidth="1"/>
    <col min="6666" max="6912" width="9.140625" style="1098"/>
    <col min="6913" max="6913" width="5.5703125" style="1098" customWidth="1"/>
    <col min="6914" max="6914" width="6.7109375" style="1098" customWidth="1"/>
    <col min="6915" max="6915" width="9" style="1098" bestFit="1" customWidth="1"/>
    <col min="6916" max="6916" width="46.42578125" style="1098" customWidth="1"/>
    <col min="6917" max="6917" width="13.85546875" style="1098" customWidth="1"/>
    <col min="6918" max="6918" width="15.28515625" style="1098" customWidth="1"/>
    <col min="6919" max="6919" width="15.85546875" style="1098" customWidth="1"/>
    <col min="6920" max="6920" width="8.85546875" style="1098" customWidth="1"/>
    <col min="6921" max="6921" width="14.7109375" style="1098" bestFit="1" customWidth="1"/>
    <col min="6922" max="7168" width="9.140625" style="1098"/>
    <col min="7169" max="7169" width="5.5703125" style="1098" customWidth="1"/>
    <col min="7170" max="7170" width="6.7109375" style="1098" customWidth="1"/>
    <col min="7171" max="7171" width="9" style="1098" bestFit="1" customWidth="1"/>
    <col min="7172" max="7172" width="46.42578125" style="1098" customWidth="1"/>
    <col min="7173" max="7173" width="13.85546875" style="1098" customWidth="1"/>
    <col min="7174" max="7174" width="15.28515625" style="1098" customWidth="1"/>
    <col min="7175" max="7175" width="15.85546875" style="1098" customWidth="1"/>
    <col min="7176" max="7176" width="8.85546875" style="1098" customWidth="1"/>
    <col min="7177" max="7177" width="14.7109375" style="1098" bestFit="1" customWidth="1"/>
    <col min="7178" max="7424" width="9.140625" style="1098"/>
    <col min="7425" max="7425" width="5.5703125" style="1098" customWidth="1"/>
    <col min="7426" max="7426" width="6.7109375" style="1098" customWidth="1"/>
    <col min="7427" max="7427" width="9" style="1098" bestFit="1" customWidth="1"/>
    <col min="7428" max="7428" width="46.42578125" style="1098" customWidth="1"/>
    <col min="7429" max="7429" width="13.85546875" style="1098" customWidth="1"/>
    <col min="7430" max="7430" width="15.28515625" style="1098" customWidth="1"/>
    <col min="7431" max="7431" width="15.85546875" style="1098" customWidth="1"/>
    <col min="7432" max="7432" width="8.85546875" style="1098" customWidth="1"/>
    <col min="7433" max="7433" width="14.7109375" style="1098" bestFit="1" customWidth="1"/>
    <col min="7434" max="7680" width="9.140625" style="1098"/>
    <col min="7681" max="7681" width="5.5703125" style="1098" customWidth="1"/>
    <col min="7682" max="7682" width="6.7109375" style="1098" customWidth="1"/>
    <col min="7683" max="7683" width="9" style="1098" bestFit="1" customWidth="1"/>
    <col min="7684" max="7684" width="46.42578125" style="1098" customWidth="1"/>
    <col min="7685" max="7685" width="13.85546875" style="1098" customWidth="1"/>
    <col min="7686" max="7686" width="15.28515625" style="1098" customWidth="1"/>
    <col min="7687" max="7687" width="15.85546875" style="1098" customWidth="1"/>
    <col min="7688" max="7688" width="8.85546875" style="1098" customWidth="1"/>
    <col min="7689" max="7689" width="14.7109375" style="1098" bestFit="1" customWidth="1"/>
    <col min="7690" max="7936" width="9.140625" style="1098"/>
    <col min="7937" max="7937" width="5.5703125" style="1098" customWidth="1"/>
    <col min="7938" max="7938" width="6.7109375" style="1098" customWidth="1"/>
    <col min="7939" max="7939" width="9" style="1098" bestFit="1" customWidth="1"/>
    <col min="7940" max="7940" width="46.42578125" style="1098" customWidth="1"/>
    <col min="7941" max="7941" width="13.85546875" style="1098" customWidth="1"/>
    <col min="7942" max="7942" width="15.28515625" style="1098" customWidth="1"/>
    <col min="7943" max="7943" width="15.85546875" style="1098" customWidth="1"/>
    <col min="7944" max="7944" width="8.85546875" style="1098" customWidth="1"/>
    <col min="7945" max="7945" width="14.7109375" style="1098" bestFit="1" customWidth="1"/>
    <col min="7946" max="8192" width="9.140625" style="1098"/>
    <col min="8193" max="8193" width="5.5703125" style="1098" customWidth="1"/>
    <col min="8194" max="8194" width="6.7109375" style="1098" customWidth="1"/>
    <col min="8195" max="8195" width="9" style="1098" bestFit="1" customWidth="1"/>
    <col min="8196" max="8196" width="46.42578125" style="1098" customWidth="1"/>
    <col min="8197" max="8197" width="13.85546875" style="1098" customWidth="1"/>
    <col min="8198" max="8198" width="15.28515625" style="1098" customWidth="1"/>
    <col min="8199" max="8199" width="15.85546875" style="1098" customWidth="1"/>
    <col min="8200" max="8200" width="8.85546875" style="1098" customWidth="1"/>
    <col min="8201" max="8201" width="14.7109375" style="1098" bestFit="1" customWidth="1"/>
    <col min="8202" max="8448" width="9.140625" style="1098"/>
    <col min="8449" max="8449" width="5.5703125" style="1098" customWidth="1"/>
    <col min="8450" max="8450" width="6.7109375" style="1098" customWidth="1"/>
    <col min="8451" max="8451" width="9" style="1098" bestFit="1" customWidth="1"/>
    <col min="8452" max="8452" width="46.42578125" style="1098" customWidth="1"/>
    <col min="8453" max="8453" width="13.85546875" style="1098" customWidth="1"/>
    <col min="8454" max="8454" width="15.28515625" style="1098" customWidth="1"/>
    <col min="8455" max="8455" width="15.85546875" style="1098" customWidth="1"/>
    <col min="8456" max="8456" width="8.85546875" style="1098" customWidth="1"/>
    <col min="8457" max="8457" width="14.7109375" style="1098" bestFit="1" customWidth="1"/>
    <col min="8458" max="8704" width="9.140625" style="1098"/>
    <col min="8705" max="8705" width="5.5703125" style="1098" customWidth="1"/>
    <col min="8706" max="8706" width="6.7109375" style="1098" customWidth="1"/>
    <col min="8707" max="8707" width="9" style="1098" bestFit="1" customWidth="1"/>
    <col min="8708" max="8708" width="46.42578125" style="1098" customWidth="1"/>
    <col min="8709" max="8709" width="13.85546875" style="1098" customWidth="1"/>
    <col min="8710" max="8710" width="15.28515625" style="1098" customWidth="1"/>
    <col min="8711" max="8711" width="15.85546875" style="1098" customWidth="1"/>
    <col min="8712" max="8712" width="8.85546875" style="1098" customWidth="1"/>
    <col min="8713" max="8713" width="14.7109375" style="1098" bestFit="1" customWidth="1"/>
    <col min="8714" max="8960" width="9.140625" style="1098"/>
    <col min="8961" max="8961" width="5.5703125" style="1098" customWidth="1"/>
    <col min="8962" max="8962" width="6.7109375" style="1098" customWidth="1"/>
    <col min="8963" max="8963" width="9" style="1098" bestFit="1" customWidth="1"/>
    <col min="8964" max="8964" width="46.42578125" style="1098" customWidth="1"/>
    <col min="8965" max="8965" width="13.85546875" style="1098" customWidth="1"/>
    <col min="8966" max="8966" width="15.28515625" style="1098" customWidth="1"/>
    <col min="8967" max="8967" width="15.85546875" style="1098" customWidth="1"/>
    <col min="8968" max="8968" width="8.85546875" style="1098" customWidth="1"/>
    <col min="8969" max="8969" width="14.7109375" style="1098" bestFit="1" customWidth="1"/>
    <col min="8970" max="9216" width="9.140625" style="1098"/>
    <col min="9217" max="9217" width="5.5703125" style="1098" customWidth="1"/>
    <col min="9218" max="9218" width="6.7109375" style="1098" customWidth="1"/>
    <col min="9219" max="9219" width="9" style="1098" bestFit="1" customWidth="1"/>
    <col min="9220" max="9220" width="46.42578125" style="1098" customWidth="1"/>
    <col min="9221" max="9221" width="13.85546875" style="1098" customWidth="1"/>
    <col min="9222" max="9222" width="15.28515625" style="1098" customWidth="1"/>
    <col min="9223" max="9223" width="15.85546875" style="1098" customWidth="1"/>
    <col min="9224" max="9224" width="8.85546875" style="1098" customWidth="1"/>
    <col min="9225" max="9225" width="14.7109375" style="1098" bestFit="1" customWidth="1"/>
    <col min="9226" max="9472" width="9.140625" style="1098"/>
    <col min="9473" max="9473" width="5.5703125" style="1098" customWidth="1"/>
    <col min="9474" max="9474" width="6.7109375" style="1098" customWidth="1"/>
    <col min="9475" max="9475" width="9" style="1098" bestFit="1" customWidth="1"/>
    <col min="9476" max="9476" width="46.42578125" style="1098" customWidth="1"/>
    <col min="9477" max="9477" width="13.85546875" style="1098" customWidth="1"/>
    <col min="9478" max="9478" width="15.28515625" style="1098" customWidth="1"/>
    <col min="9479" max="9479" width="15.85546875" style="1098" customWidth="1"/>
    <col min="9480" max="9480" width="8.85546875" style="1098" customWidth="1"/>
    <col min="9481" max="9481" width="14.7109375" style="1098" bestFit="1" customWidth="1"/>
    <col min="9482" max="9728" width="9.140625" style="1098"/>
    <col min="9729" max="9729" width="5.5703125" style="1098" customWidth="1"/>
    <col min="9730" max="9730" width="6.7109375" style="1098" customWidth="1"/>
    <col min="9731" max="9731" width="9" style="1098" bestFit="1" customWidth="1"/>
    <col min="9732" max="9732" width="46.42578125" style="1098" customWidth="1"/>
    <col min="9733" max="9733" width="13.85546875" style="1098" customWidth="1"/>
    <col min="9734" max="9734" width="15.28515625" style="1098" customWidth="1"/>
    <col min="9735" max="9735" width="15.85546875" style="1098" customWidth="1"/>
    <col min="9736" max="9736" width="8.85546875" style="1098" customWidth="1"/>
    <col min="9737" max="9737" width="14.7109375" style="1098" bestFit="1" customWidth="1"/>
    <col min="9738" max="9984" width="9.140625" style="1098"/>
    <col min="9985" max="9985" width="5.5703125" style="1098" customWidth="1"/>
    <col min="9986" max="9986" width="6.7109375" style="1098" customWidth="1"/>
    <col min="9987" max="9987" width="9" style="1098" bestFit="1" customWidth="1"/>
    <col min="9988" max="9988" width="46.42578125" style="1098" customWidth="1"/>
    <col min="9989" max="9989" width="13.85546875" style="1098" customWidth="1"/>
    <col min="9990" max="9990" width="15.28515625" style="1098" customWidth="1"/>
    <col min="9991" max="9991" width="15.85546875" style="1098" customWidth="1"/>
    <col min="9992" max="9992" width="8.85546875" style="1098" customWidth="1"/>
    <col min="9993" max="9993" width="14.7109375" style="1098" bestFit="1" customWidth="1"/>
    <col min="9994" max="10240" width="9.140625" style="1098"/>
    <col min="10241" max="10241" width="5.5703125" style="1098" customWidth="1"/>
    <col min="10242" max="10242" width="6.7109375" style="1098" customWidth="1"/>
    <col min="10243" max="10243" width="9" style="1098" bestFit="1" customWidth="1"/>
    <col min="10244" max="10244" width="46.42578125" style="1098" customWidth="1"/>
    <col min="10245" max="10245" width="13.85546875" style="1098" customWidth="1"/>
    <col min="10246" max="10246" width="15.28515625" style="1098" customWidth="1"/>
    <col min="10247" max="10247" width="15.85546875" style="1098" customWidth="1"/>
    <col min="10248" max="10248" width="8.85546875" style="1098" customWidth="1"/>
    <col min="10249" max="10249" width="14.7109375" style="1098" bestFit="1" customWidth="1"/>
    <col min="10250" max="10496" width="9.140625" style="1098"/>
    <col min="10497" max="10497" width="5.5703125" style="1098" customWidth="1"/>
    <col min="10498" max="10498" width="6.7109375" style="1098" customWidth="1"/>
    <col min="10499" max="10499" width="9" style="1098" bestFit="1" customWidth="1"/>
    <col min="10500" max="10500" width="46.42578125" style="1098" customWidth="1"/>
    <col min="10501" max="10501" width="13.85546875" style="1098" customWidth="1"/>
    <col min="10502" max="10502" width="15.28515625" style="1098" customWidth="1"/>
    <col min="10503" max="10503" width="15.85546875" style="1098" customWidth="1"/>
    <col min="10504" max="10504" width="8.85546875" style="1098" customWidth="1"/>
    <col min="10505" max="10505" width="14.7109375" style="1098" bestFit="1" customWidth="1"/>
    <col min="10506" max="10752" width="9.140625" style="1098"/>
    <col min="10753" max="10753" width="5.5703125" style="1098" customWidth="1"/>
    <col min="10754" max="10754" width="6.7109375" style="1098" customWidth="1"/>
    <col min="10755" max="10755" width="9" style="1098" bestFit="1" customWidth="1"/>
    <col min="10756" max="10756" width="46.42578125" style="1098" customWidth="1"/>
    <col min="10757" max="10757" width="13.85546875" style="1098" customWidth="1"/>
    <col min="10758" max="10758" width="15.28515625" style="1098" customWidth="1"/>
    <col min="10759" max="10759" width="15.85546875" style="1098" customWidth="1"/>
    <col min="10760" max="10760" width="8.85546875" style="1098" customWidth="1"/>
    <col min="10761" max="10761" width="14.7109375" style="1098" bestFit="1" customWidth="1"/>
    <col min="10762" max="11008" width="9.140625" style="1098"/>
    <col min="11009" max="11009" width="5.5703125" style="1098" customWidth="1"/>
    <col min="11010" max="11010" width="6.7109375" style="1098" customWidth="1"/>
    <col min="11011" max="11011" width="9" style="1098" bestFit="1" customWidth="1"/>
    <col min="11012" max="11012" width="46.42578125" style="1098" customWidth="1"/>
    <col min="11013" max="11013" width="13.85546875" style="1098" customWidth="1"/>
    <col min="11014" max="11014" width="15.28515625" style="1098" customWidth="1"/>
    <col min="11015" max="11015" width="15.85546875" style="1098" customWidth="1"/>
    <col min="11016" max="11016" width="8.85546875" style="1098" customWidth="1"/>
    <col min="11017" max="11017" width="14.7109375" style="1098" bestFit="1" customWidth="1"/>
    <col min="11018" max="11264" width="9.140625" style="1098"/>
    <col min="11265" max="11265" width="5.5703125" style="1098" customWidth="1"/>
    <col min="11266" max="11266" width="6.7109375" style="1098" customWidth="1"/>
    <col min="11267" max="11267" width="9" style="1098" bestFit="1" customWidth="1"/>
    <col min="11268" max="11268" width="46.42578125" style="1098" customWidth="1"/>
    <col min="11269" max="11269" width="13.85546875" style="1098" customWidth="1"/>
    <col min="11270" max="11270" width="15.28515625" style="1098" customWidth="1"/>
    <col min="11271" max="11271" width="15.85546875" style="1098" customWidth="1"/>
    <col min="11272" max="11272" width="8.85546875" style="1098" customWidth="1"/>
    <col min="11273" max="11273" width="14.7109375" style="1098" bestFit="1" customWidth="1"/>
    <col min="11274" max="11520" width="9.140625" style="1098"/>
    <col min="11521" max="11521" width="5.5703125" style="1098" customWidth="1"/>
    <col min="11522" max="11522" width="6.7109375" style="1098" customWidth="1"/>
    <col min="11523" max="11523" width="9" style="1098" bestFit="1" customWidth="1"/>
    <col min="11524" max="11524" width="46.42578125" style="1098" customWidth="1"/>
    <col min="11525" max="11525" width="13.85546875" style="1098" customWidth="1"/>
    <col min="11526" max="11526" width="15.28515625" style="1098" customWidth="1"/>
    <col min="11527" max="11527" width="15.85546875" style="1098" customWidth="1"/>
    <col min="11528" max="11528" width="8.85546875" style="1098" customWidth="1"/>
    <col min="11529" max="11529" width="14.7109375" style="1098" bestFit="1" customWidth="1"/>
    <col min="11530" max="11776" width="9.140625" style="1098"/>
    <col min="11777" max="11777" width="5.5703125" style="1098" customWidth="1"/>
    <col min="11778" max="11778" width="6.7109375" style="1098" customWidth="1"/>
    <col min="11779" max="11779" width="9" style="1098" bestFit="1" customWidth="1"/>
    <col min="11780" max="11780" width="46.42578125" style="1098" customWidth="1"/>
    <col min="11781" max="11781" width="13.85546875" style="1098" customWidth="1"/>
    <col min="11782" max="11782" width="15.28515625" style="1098" customWidth="1"/>
    <col min="11783" max="11783" width="15.85546875" style="1098" customWidth="1"/>
    <col min="11784" max="11784" width="8.85546875" style="1098" customWidth="1"/>
    <col min="11785" max="11785" width="14.7109375" style="1098" bestFit="1" customWidth="1"/>
    <col min="11786" max="12032" width="9.140625" style="1098"/>
    <col min="12033" max="12033" width="5.5703125" style="1098" customWidth="1"/>
    <col min="12034" max="12034" width="6.7109375" style="1098" customWidth="1"/>
    <col min="12035" max="12035" width="9" style="1098" bestFit="1" customWidth="1"/>
    <col min="12036" max="12036" width="46.42578125" style="1098" customWidth="1"/>
    <col min="12037" max="12037" width="13.85546875" style="1098" customWidth="1"/>
    <col min="12038" max="12038" width="15.28515625" style="1098" customWidth="1"/>
    <col min="12039" max="12039" width="15.85546875" style="1098" customWidth="1"/>
    <col min="12040" max="12040" width="8.85546875" style="1098" customWidth="1"/>
    <col min="12041" max="12041" width="14.7109375" style="1098" bestFit="1" customWidth="1"/>
    <col min="12042" max="12288" width="9.140625" style="1098"/>
    <col min="12289" max="12289" width="5.5703125" style="1098" customWidth="1"/>
    <col min="12290" max="12290" width="6.7109375" style="1098" customWidth="1"/>
    <col min="12291" max="12291" width="9" style="1098" bestFit="1" customWidth="1"/>
    <col min="12292" max="12292" width="46.42578125" style="1098" customWidth="1"/>
    <col min="12293" max="12293" width="13.85546875" style="1098" customWidth="1"/>
    <col min="12294" max="12294" width="15.28515625" style="1098" customWidth="1"/>
    <col min="12295" max="12295" width="15.85546875" style="1098" customWidth="1"/>
    <col min="12296" max="12296" width="8.85546875" style="1098" customWidth="1"/>
    <col min="12297" max="12297" width="14.7109375" style="1098" bestFit="1" customWidth="1"/>
    <col min="12298" max="12544" width="9.140625" style="1098"/>
    <col min="12545" max="12545" width="5.5703125" style="1098" customWidth="1"/>
    <col min="12546" max="12546" width="6.7109375" style="1098" customWidth="1"/>
    <col min="12547" max="12547" width="9" style="1098" bestFit="1" customWidth="1"/>
    <col min="12548" max="12548" width="46.42578125" style="1098" customWidth="1"/>
    <col min="12549" max="12549" width="13.85546875" style="1098" customWidth="1"/>
    <col min="12550" max="12550" width="15.28515625" style="1098" customWidth="1"/>
    <col min="12551" max="12551" width="15.85546875" style="1098" customWidth="1"/>
    <col min="12552" max="12552" width="8.85546875" style="1098" customWidth="1"/>
    <col min="12553" max="12553" width="14.7109375" style="1098" bestFit="1" customWidth="1"/>
    <col min="12554" max="12800" width="9.140625" style="1098"/>
    <col min="12801" max="12801" width="5.5703125" style="1098" customWidth="1"/>
    <col min="12802" max="12802" width="6.7109375" style="1098" customWidth="1"/>
    <col min="12803" max="12803" width="9" style="1098" bestFit="1" customWidth="1"/>
    <col min="12804" max="12804" width="46.42578125" style="1098" customWidth="1"/>
    <col min="12805" max="12805" width="13.85546875" style="1098" customWidth="1"/>
    <col min="12806" max="12806" width="15.28515625" style="1098" customWidth="1"/>
    <col min="12807" max="12807" width="15.85546875" style="1098" customWidth="1"/>
    <col min="12808" max="12808" width="8.85546875" style="1098" customWidth="1"/>
    <col min="12809" max="12809" width="14.7109375" style="1098" bestFit="1" customWidth="1"/>
    <col min="12810" max="13056" width="9.140625" style="1098"/>
    <col min="13057" max="13057" width="5.5703125" style="1098" customWidth="1"/>
    <col min="13058" max="13058" width="6.7109375" style="1098" customWidth="1"/>
    <col min="13059" max="13059" width="9" style="1098" bestFit="1" customWidth="1"/>
    <col min="13060" max="13060" width="46.42578125" style="1098" customWidth="1"/>
    <col min="13061" max="13061" width="13.85546875" style="1098" customWidth="1"/>
    <col min="13062" max="13062" width="15.28515625" style="1098" customWidth="1"/>
    <col min="13063" max="13063" width="15.85546875" style="1098" customWidth="1"/>
    <col min="13064" max="13064" width="8.85546875" style="1098" customWidth="1"/>
    <col min="13065" max="13065" width="14.7109375" style="1098" bestFit="1" customWidth="1"/>
    <col min="13066" max="13312" width="9.140625" style="1098"/>
    <col min="13313" max="13313" width="5.5703125" style="1098" customWidth="1"/>
    <col min="13314" max="13314" width="6.7109375" style="1098" customWidth="1"/>
    <col min="13315" max="13315" width="9" style="1098" bestFit="1" customWidth="1"/>
    <col min="13316" max="13316" width="46.42578125" style="1098" customWidth="1"/>
    <col min="13317" max="13317" width="13.85546875" style="1098" customWidth="1"/>
    <col min="13318" max="13318" width="15.28515625" style="1098" customWidth="1"/>
    <col min="13319" max="13319" width="15.85546875" style="1098" customWidth="1"/>
    <col min="13320" max="13320" width="8.85546875" style="1098" customWidth="1"/>
    <col min="13321" max="13321" width="14.7109375" style="1098" bestFit="1" customWidth="1"/>
    <col min="13322" max="13568" width="9.140625" style="1098"/>
    <col min="13569" max="13569" width="5.5703125" style="1098" customWidth="1"/>
    <col min="13570" max="13570" width="6.7109375" style="1098" customWidth="1"/>
    <col min="13571" max="13571" width="9" style="1098" bestFit="1" customWidth="1"/>
    <col min="13572" max="13572" width="46.42578125" style="1098" customWidth="1"/>
    <col min="13573" max="13573" width="13.85546875" style="1098" customWidth="1"/>
    <col min="13574" max="13574" width="15.28515625" style="1098" customWidth="1"/>
    <col min="13575" max="13575" width="15.85546875" style="1098" customWidth="1"/>
    <col min="13576" max="13576" width="8.85546875" style="1098" customWidth="1"/>
    <col min="13577" max="13577" width="14.7109375" style="1098" bestFit="1" customWidth="1"/>
    <col min="13578" max="13824" width="9.140625" style="1098"/>
    <col min="13825" max="13825" width="5.5703125" style="1098" customWidth="1"/>
    <col min="13826" max="13826" width="6.7109375" style="1098" customWidth="1"/>
    <col min="13827" max="13827" width="9" style="1098" bestFit="1" customWidth="1"/>
    <col min="13828" max="13828" width="46.42578125" style="1098" customWidth="1"/>
    <col min="13829" max="13829" width="13.85546875" style="1098" customWidth="1"/>
    <col min="13830" max="13830" width="15.28515625" style="1098" customWidth="1"/>
    <col min="13831" max="13831" width="15.85546875" style="1098" customWidth="1"/>
    <col min="13832" max="13832" width="8.85546875" style="1098" customWidth="1"/>
    <col min="13833" max="13833" width="14.7109375" style="1098" bestFit="1" customWidth="1"/>
    <col min="13834" max="14080" width="9.140625" style="1098"/>
    <col min="14081" max="14081" width="5.5703125" style="1098" customWidth="1"/>
    <col min="14082" max="14082" width="6.7109375" style="1098" customWidth="1"/>
    <col min="14083" max="14083" width="9" style="1098" bestFit="1" customWidth="1"/>
    <col min="14084" max="14084" width="46.42578125" style="1098" customWidth="1"/>
    <col min="14085" max="14085" width="13.85546875" style="1098" customWidth="1"/>
    <col min="14086" max="14086" width="15.28515625" style="1098" customWidth="1"/>
    <col min="14087" max="14087" width="15.85546875" style="1098" customWidth="1"/>
    <col min="14088" max="14088" width="8.85546875" style="1098" customWidth="1"/>
    <col min="14089" max="14089" width="14.7109375" style="1098" bestFit="1" customWidth="1"/>
    <col min="14090" max="14336" width="9.140625" style="1098"/>
    <col min="14337" max="14337" width="5.5703125" style="1098" customWidth="1"/>
    <col min="14338" max="14338" width="6.7109375" style="1098" customWidth="1"/>
    <col min="14339" max="14339" width="9" style="1098" bestFit="1" customWidth="1"/>
    <col min="14340" max="14340" width="46.42578125" style="1098" customWidth="1"/>
    <col min="14341" max="14341" width="13.85546875" style="1098" customWidth="1"/>
    <col min="14342" max="14342" width="15.28515625" style="1098" customWidth="1"/>
    <col min="14343" max="14343" width="15.85546875" style="1098" customWidth="1"/>
    <col min="14344" max="14344" width="8.85546875" style="1098" customWidth="1"/>
    <col min="14345" max="14345" width="14.7109375" style="1098" bestFit="1" customWidth="1"/>
    <col min="14346" max="14592" width="9.140625" style="1098"/>
    <col min="14593" max="14593" width="5.5703125" style="1098" customWidth="1"/>
    <col min="14594" max="14594" width="6.7109375" style="1098" customWidth="1"/>
    <col min="14595" max="14595" width="9" style="1098" bestFit="1" customWidth="1"/>
    <col min="14596" max="14596" width="46.42578125" style="1098" customWidth="1"/>
    <col min="14597" max="14597" width="13.85546875" style="1098" customWidth="1"/>
    <col min="14598" max="14598" width="15.28515625" style="1098" customWidth="1"/>
    <col min="14599" max="14599" width="15.85546875" style="1098" customWidth="1"/>
    <col min="14600" max="14600" width="8.85546875" style="1098" customWidth="1"/>
    <col min="14601" max="14601" width="14.7109375" style="1098" bestFit="1" customWidth="1"/>
    <col min="14602" max="14848" width="9.140625" style="1098"/>
    <col min="14849" max="14849" width="5.5703125" style="1098" customWidth="1"/>
    <col min="14850" max="14850" width="6.7109375" style="1098" customWidth="1"/>
    <col min="14851" max="14851" width="9" style="1098" bestFit="1" customWidth="1"/>
    <col min="14852" max="14852" width="46.42578125" style="1098" customWidth="1"/>
    <col min="14853" max="14853" width="13.85546875" style="1098" customWidth="1"/>
    <col min="14854" max="14854" width="15.28515625" style="1098" customWidth="1"/>
    <col min="14855" max="14855" width="15.85546875" style="1098" customWidth="1"/>
    <col min="14856" max="14856" width="8.85546875" style="1098" customWidth="1"/>
    <col min="14857" max="14857" width="14.7109375" style="1098" bestFit="1" customWidth="1"/>
    <col min="14858" max="15104" width="9.140625" style="1098"/>
    <col min="15105" max="15105" width="5.5703125" style="1098" customWidth="1"/>
    <col min="15106" max="15106" width="6.7109375" style="1098" customWidth="1"/>
    <col min="15107" max="15107" width="9" style="1098" bestFit="1" customWidth="1"/>
    <col min="15108" max="15108" width="46.42578125" style="1098" customWidth="1"/>
    <col min="15109" max="15109" width="13.85546875" style="1098" customWidth="1"/>
    <col min="15110" max="15110" width="15.28515625" style="1098" customWidth="1"/>
    <col min="15111" max="15111" width="15.85546875" style="1098" customWidth="1"/>
    <col min="15112" max="15112" width="8.85546875" style="1098" customWidth="1"/>
    <col min="15113" max="15113" width="14.7109375" style="1098" bestFit="1" customWidth="1"/>
    <col min="15114" max="15360" width="9.140625" style="1098"/>
    <col min="15361" max="15361" width="5.5703125" style="1098" customWidth="1"/>
    <col min="15362" max="15362" width="6.7109375" style="1098" customWidth="1"/>
    <col min="15363" max="15363" width="9" style="1098" bestFit="1" customWidth="1"/>
    <col min="15364" max="15364" width="46.42578125" style="1098" customWidth="1"/>
    <col min="15365" max="15365" width="13.85546875" style="1098" customWidth="1"/>
    <col min="15366" max="15366" width="15.28515625" style="1098" customWidth="1"/>
    <col min="15367" max="15367" width="15.85546875" style="1098" customWidth="1"/>
    <col min="15368" max="15368" width="8.85546875" style="1098" customWidth="1"/>
    <col min="15369" max="15369" width="14.7109375" style="1098" bestFit="1" customWidth="1"/>
    <col min="15370" max="15616" width="9.140625" style="1098"/>
    <col min="15617" max="15617" width="5.5703125" style="1098" customWidth="1"/>
    <col min="15618" max="15618" width="6.7109375" style="1098" customWidth="1"/>
    <col min="15619" max="15619" width="9" style="1098" bestFit="1" customWidth="1"/>
    <col min="15620" max="15620" width="46.42578125" style="1098" customWidth="1"/>
    <col min="15621" max="15621" width="13.85546875" style="1098" customWidth="1"/>
    <col min="15622" max="15622" width="15.28515625" style="1098" customWidth="1"/>
    <col min="15623" max="15623" width="15.85546875" style="1098" customWidth="1"/>
    <col min="15624" max="15624" width="8.85546875" style="1098" customWidth="1"/>
    <col min="15625" max="15625" width="14.7109375" style="1098" bestFit="1" customWidth="1"/>
    <col min="15626" max="15872" width="9.140625" style="1098"/>
    <col min="15873" max="15873" width="5.5703125" style="1098" customWidth="1"/>
    <col min="15874" max="15874" width="6.7109375" style="1098" customWidth="1"/>
    <col min="15875" max="15875" width="9" style="1098" bestFit="1" customWidth="1"/>
    <col min="15876" max="15876" width="46.42578125" style="1098" customWidth="1"/>
    <col min="15877" max="15877" width="13.85546875" style="1098" customWidth="1"/>
    <col min="15878" max="15878" width="15.28515625" style="1098" customWidth="1"/>
    <col min="15879" max="15879" width="15.85546875" style="1098" customWidth="1"/>
    <col min="15880" max="15880" width="8.85546875" style="1098" customWidth="1"/>
    <col min="15881" max="15881" width="14.7109375" style="1098" bestFit="1" customWidth="1"/>
    <col min="15882" max="16128" width="9.140625" style="1098"/>
    <col min="16129" max="16129" width="5.5703125" style="1098" customWidth="1"/>
    <col min="16130" max="16130" width="6.7109375" style="1098" customWidth="1"/>
    <col min="16131" max="16131" width="9" style="1098" bestFit="1" customWidth="1"/>
    <col min="16132" max="16132" width="46.42578125" style="1098" customWidth="1"/>
    <col min="16133" max="16133" width="13.85546875" style="1098" customWidth="1"/>
    <col min="16134" max="16134" width="15.28515625" style="1098" customWidth="1"/>
    <col min="16135" max="16135" width="15.85546875" style="1098" customWidth="1"/>
    <col min="16136" max="16136" width="8.85546875" style="1098" customWidth="1"/>
    <col min="16137" max="16137" width="14.7109375" style="1098" bestFit="1" customWidth="1"/>
    <col min="16138" max="16384" width="9.140625" style="1098"/>
  </cols>
  <sheetData>
    <row r="1" spans="1:8" ht="18.75" thickBot="1" x14ac:dyDescent="0.3">
      <c r="A1" s="1161" t="s">
        <v>306</v>
      </c>
      <c r="B1" s="1162"/>
      <c r="C1" s="1162"/>
      <c r="D1" s="1162"/>
      <c r="E1" s="1162"/>
      <c r="F1" s="1162"/>
      <c r="G1" s="1162"/>
      <c r="H1" s="2186"/>
    </row>
    <row r="2" spans="1:8" ht="36.75" customHeight="1" x14ac:dyDescent="0.25">
      <c r="G2" s="2185"/>
      <c r="H2" s="2184" t="s">
        <v>556</v>
      </c>
    </row>
    <row r="3" spans="1:8" s="997" customFormat="1" ht="12.75" customHeight="1" x14ac:dyDescent="0.2">
      <c r="A3" s="1077" t="s">
        <v>201</v>
      </c>
      <c r="B3" s="1056"/>
      <c r="C3" s="1096" t="s">
        <v>432</v>
      </c>
      <c r="G3" s="1054"/>
    </row>
    <row r="4" spans="1:8" s="997" customFormat="1" ht="12.75" customHeight="1" x14ac:dyDescent="0.25">
      <c r="A4" s="1075"/>
      <c r="B4" s="1056"/>
      <c r="C4" s="1096" t="s">
        <v>1102</v>
      </c>
    </row>
    <row r="5" spans="1:8" ht="18" x14ac:dyDescent="0.25">
      <c r="A5" s="1101" t="s">
        <v>619</v>
      </c>
    </row>
    <row r="7" spans="1:8" ht="15.75" thickBot="1" x14ac:dyDescent="0.3">
      <c r="A7" s="1103" t="s">
        <v>137</v>
      </c>
      <c r="H7" s="1120" t="s">
        <v>92</v>
      </c>
    </row>
    <row r="8" spans="1:8" ht="13.5" hidden="1" thickBot="1" x14ac:dyDescent="0.25">
      <c r="H8" s="1120" t="s">
        <v>92</v>
      </c>
    </row>
    <row r="9" spans="1:8" ht="25.5" thickTop="1" thickBot="1" x14ac:dyDescent="0.25">
      <c r="A9" s="1104" t="s">
        <v>93</v>
      </c>
      <c r="B9" s="1105" t="s">
        <v>392</v>
      </c>
      <c r="C9" s="1105" t="s">
        <v>209</v>
      </c>
      <c r="D9" s="1106" t="s">
        <v>95</v>
      </c>
      <c r="E9" s="1127" t="s">
        <v>328</v>
      </c>
      <c r="F9" s="1127" t="s">
        <v>329</v>
      </c>
      <c r="G9" s="1128" t="s">
        <v>448</v>
      </c>
      <c r="H9" s="1129" t="s">
        <v>449</v>
      </c>
    </row>
    <row r="10" spans="1:8" ht="14.25" thickTop="1" thickBot="1" x14ac:dyDescent="0.25">
      <c r="A10" s="1042">
        <v>1</v>
      </c>
      <c r="B10" s="1041">
        <v>2</v>
      </c>
      <c r="C10" s="1041">
        <v>3</v>
      </c>
      <c r="D10" s="1041">
        <v>4</v>
      </c>
      <c r="E10" s="1040">
        <v>5</v>
      </c>
      <c r="F10" s="1040">
        <v>6</v>
      </c>
      <c r="G10" s="1164">
        <v>7</v>
      </c>
      <c r="H10" s="1109" t="s">
        <v>33</v>
      </c>
    </row>
    <row r="11" spans="1:8" ht="15.95" hidden="1" customHeight="1" thickTop="1" x14ac:dyDescent="0.25">
      <c r="A11" s="1110">
        <v>6172</v>
      </c>
      <c r="B11" s="1111">
        <v>5141</v>
      </c>
      <c r="C11" s="1216" t="s">
        <v>895</v>
      </c>
      <c r="D11" s="1130" t="s">
        <v>478</v>
      </c>
      <c r="E11" s="1115">
        <v>0</v>
      </c>
      <c r="F11" s="1115">
        <v>0</v>
      </c>
      <c r="G11" s="1142">
        <v>0</v>
      </c>
      <c r="H11" s="1116" t="e">
        <f>G11/F11*100</f>
        <v>#DIV/0!</v>
      </c>
    </row>
    <row r="12" spans="1:8" ht="15.95" customHeight="1" thickTop="1" x14ac:dyDescent="0.25">
      <c r="A12" s="1110">
        <v>6409</v>
      </c>
      <c r="B12" s="1111">
        <v>5909</v>
      </c>
      <c r="C12" s="1216" t="s">
        <v>871</v>
      </c>
      <c r="D12" s="1130" t="s">
        <v>406</v>
      </c>
      <c r="E12" s="1115">
        <v>0</v>
      </c>
      <c r="F12" s="1115">
        <v>0</v>
      </c>
      <c r="G12" s="1142">
        <v>23</v>
      </c>
      <c r="H12" s="3050">
        <v>0</v>
      </c>
    </row>
    <row r="13" spans="1:8" ht="15.95" customHeight="1" thickBot="1" x14ac:dyDescent="0.3">
      <c r="A13" s="1110">
        <v>6330</v>
      </c>
      <c r="B13" s="1111">
        <v>5345</v>
      </c>
      <c r="C13" s="1216" t="s">
        <v>871</v>
      </c>
      <c r="D13" s="1130" t="s">
        <v>397</v>
      </c>
      <c r="E13" s="1115">
        <v>0</v>
      </c>
      <c r="F13" s="1115">
        <v>0</v>
      </c>
      <c r="G13" s="1142">
        <v>1002200</v>
      </c>
      <c r="H13" s="1384">
        <v>0</v>
      </c>
    </row>
    <row r="14" spans="1:8" ht="15.95" hidden="1" customHeight="1" thickTop="1" thickBot="1" x14ac:dyDescent="0.3">
      <c r="A14" s="1110"/>
      <c r="B14" s="1111"/>
      <c r="C14" s="1216"/>
      <c r="D14" s="1130"/>
      <c r="E14" s="1115"/>
      <c r="F14" s="1115"/>
      <c r="G14" s="1142"/>
      <c r="H14" s="1384"/>
    </row>
    <row r="15" spans="1:8" ht="16.5" thickTop="1" thickBot="1" x14ac:dyDescent="0.3">
      <c r="A15" s="2571" t="s">
        <v>394</v>
      </c>
      <c r="B15" s="2572"/>
      <c r="C15" s="2572"/>
      <c r="D15" s="2572"/>
      <c r="E15" s="1113">
        <f>SUM(E11:E13)</f>
        <v>0</v>
      </c>
      <c r="F15" s="1113">
        <f>SUM(F11:F13)</f>
        <v>0</v>
      </c>
      <c r="G15" s="1113">
        <f>SUM(G11:G13)</f>
        <v>1002223</v>
      </c>
      <c r="H15" s="1384">
        <v>0</v>
      </c>
    </row>
    <row r="16" spans="1:8" ht="13.5" thickTop="1" x14ac:dyDescent="0.2"/>
    <row r="18" spans="1:8" ht="15" x14ac:dyDescent="0.25">
      <c r="A18" s="1103" t="s">
        <v>1423</v>
      </c>
      <c r="D18" s="1097"/>
      <c r="H18" s="1120"/>
    </row>
    <row r="19" spans="1:8" ht="15.75" thickBot="1" x14ac:dyDescent="0.3">
      <c r="A19" s="1103" t="s">
        <v>1007</v>
      </c>
      <c r="D19" s="1097"/>
      <c r="H19" s="1120" t="s">
        <v>92</v>
      </c>
    </row>
    <row r="20" spans="1:8" ht="25.5" thickTop="1" thickBot="1" x14ac:dyDescent="0.25">
      <c r="A20" s="1104" t="s">
        <v>93</v>
      </c>
      <c r="B20" s="1105" t="s">
        <v>392</v>
      </c>
      <c r="C20" s="1105" t="s">
        <v>209</v>
      </c>
      <c r="D20" s="1106" t="s">
        <v>95</v>
      </c>
      <c r="E20" s="1127" t="s">
        <v>328</v>
      </c>
      <c r="F20" s="1127" t="s">
        <v>329</v>
      </c>
      <c r="G20" s="1128" t="s">
        <v>448</v>
      </c>
      <c r="H20" s="1129" t="s">
        <v>449</v>
      </c>
    </row>
    <row r="21" spans="1:8" ht="14.25" thickTop="1" thickBot="1" x14ac:dyDescent="0.25">
      <c r="A21" s="1042">
        <v>1</v>
      </c>
      <c r="B21" s="1041">
        <v>2</v>
      </c>
      <c r="C21" s="1041">
        <v>3</v>
      </c>
      <c r="D21" s="1041">
        <v>4</v>
      </c>
      <c r="E21" s="1040">
        <v>5</v>
      </c>
      <c r="F21" s="1040">
        <v>6</v>
      </c>
      <c r="G21" s="1164">
        <v>7</v>
      </c>
      <c r="H21" s="1109" t="s">
        <v>33</v>
      </c>
    </row>
    <row r="22" spans="1:8" ht="15.75" hidden="1" thickTop="1" x14ac:dyDescent="0.25">
      <c r="A22" s="1110">
        <v>6172</v>
      </c>
      <c r="B22" s="1111">
        <v>5141</v>
      </c>
      <c r="C22" s="1216" t="s">
        <v>895</v>
      </c>
      <c r="D22" s="1130" t="s">
        <v>478</v>
      </c>
      <c r="E22" s="1115">
        <v>0</v>
      </c>
      <c r="F22" s="1115">
        <v>0</v>
      </c>
      <c r="G22" s="1142">
        <v>0</v>
      </c>
      <c r="H22" s="1116" t="e">
        <f>G22/F22*100</f>
        <v>#DIV/0!</v>
      </c>
    </row>
    <row r="23" spans="1:8" ht="30" hidden="1" x14ac:dyDescent="0.25">
      <c r="A23" s="1110">
        <v>6409</v>
      </c>
      <c r="B23" s="1111">
        <v>5909</v>
      </c>
      <c r="C23" s="1216" t="s">
        <v>871</v>
      </c>
      <c r="D23" s="1130" t="s">
        <v>406</v>
      </c>
      <c r="E23" s="1115">
        <v>0</v>
      </c>
      <c r="F23" s="1115">
        <v>0</v>
      </c>
      <c r="G23" s="1142"/>
      <c r="H23" s="1116">
        <v>0</v>
      </c>
    </row>
    <row r="24" spans="1:8" ht="16.5" thickTop="1" thickBot="1" x14ac:dyDescent="0.3">
      <c r="A24" s="1110">
        <v>6330</v>
      </c>
      <c r="B24" s="1111">
        <v>5345</v>
      </c>
      <c r="C24" s="1216" t="s">
        <v>871</v>
      </c>
      <c r="D24" s="1130" t="s">
        <v>397</v>
      </c>
      <c r="E24" s="1115">
        <v>0</v>
      </c>
      <c r="F24" s="1115">
        <v>0</v>
      </c>
      <c r="G24" s="1142">
        <v>4910</v>
      </c>
      <c r="H24" s="1384">
        <v>0</v>
      </c>
    </row>
    <row r="25" spans="1:8" ht="16.5" hidden="1" thickTop="1" thickBot="1" x14ac:dyDescent="0.3">
      <c r="A25" s="1110"/>
      <c r="B25" s="1111"/>
      <c r="C25" s="1216"/>
      <c r="D25" s="1130"/>
      <c r="E25" s="1115"/>
      <c r="F25" s="1115"/>
      <c r="G25" s="1142"/>
      <c r="H25" s="1384"/>
    </row>
    <row r="26" spans="1:8" ht="16.5" thickTop="1" thickBot="1" x14ac:dyDescent="0.3">
      <c r="A26" s="2896" t="s">
        <v>394</v>
      </c>
      <c r="B26" s="2897"/>
      <c r="C26" s="2897"/>
      <c r="D26" s="2897"/>
      <c r="E26" s="1113">
        <f>SUM(E22:E24)</f>
        <v>0</v>
      </c>
      <c r="F26" s="1113">
        <f>SUM(F22:F24)</f>
        <v>0</v>
      </c>
      <c r="G26" s="1113">
        <f>SUM(G22:G24)</f>
        <v>4910</v>
      </c>
      <c r="H26" s="1384">
        <v>0</v>
      </c>
    </row>
    <row r="27" spans="1:8" ht="13.5" thickTop="1" x14ac:dyDescent="0.2"/>
    <row r="29" spans="1:8" ht="13.5" x14ac:dyDescent="0.25">
      <c r="A29" s="3333" t="s">
        <v>1498</v>
      </c>
      <c r="B29" s="3334"/>
      <c r="C29" s="3334"/>
      <c r="D29" s="3334"/>
      <c r="E29" s="3334"/>
      <c r="F29" s="3334"/>
      <c r="G29" s="3334"/>
      <c r="H29" s="3334"/>
    </row>
    <row r="30" spans="1:8" ht="15.75" thickBot="1" x14ac:dyDescent="0.3">
      <c r="A30" s="1229" t="s">
        <v>1497</v>
      </c>
      <c r="B30" s="1243"/>
      <c r="C30" s="1243"/>
      <c r="D30" s="1236"/>
      <c r="E30" s="1244"/>
      <c r="F30" s="1244"/>
      <c r="G30" s="1244"/>
      <c r="H30" s="1245" t="s">
        <v>92</v>
      </c>
    </row>
    <row r="31" spans="1:8" ht="25.5" thickTop="1" thickBot="1" x14ac:dyDescent="0.25">
      <c r="A31" s="1104" t="s">
        <v>93</v>
      </c>
      <c r="B31" s="1105" t="s">
        <v>392</v>
      </c>
      <c r="C31" s="1105" t="s">
        <v>209</v>
      </c>
      <c r="D31" s="1106" t="s">
        <v>95</v>
      </c>
      <c r="E31" s="1127" t="s">
        <v>328</v>
      </c>
      <c r="F31" s="1127" t="s">
        <v>329</v>
      </c>
      <c r="G31" s="1128" t="s">
        <v>448</v>
      </c>
      <c r="H31" s="1129" t="s">
        <v>449</v>
      </c>
    </row>
    <row r="32" spans="1:8" ht="14.25" thickTop="1" thickBot="1" x14ac:dyDescent="0.25">
      <c r="A32" s="1042">
        <v>1</v>
      </c>
      <c r="B32" s="1041">
        <v>2</v>
      </c>
      <c r="C32" s="1041">
        <v>3</v>
      </c>
      <c r="D32" s="1041">
        <v>4</v>
      </c>
      <c r="E32" s="1040">
        <v>5</v>
      </c>
      <c r="F32" s="1040">
        <v>6</v>
      </c>
      <c r="G32" s="1164">
        <v>7</v>
      </c>
      <c r="H32" s="1109" t="s">
        <v>33</v>
      </c>
    </row>
    <row r="33" spans="1:12" ht="15.75" hidden="1" thickTop="1" x14ac:dyDescent="0.25">
      <c r="A33" s="1110">
        <v>6172</v>
      </c>
      <c r="B33" s="1111">
        <v>5141</v>
      </c>
      <c r="C33" s="1216" t="s">
        <v>895</v>
      </c>
      <c r="D33" s="1130" t="s">
        <v>478</v>
      </c>
      <c r="E33" s="1115">
        <v>0</v>
      </c>
      <c r="F33" s="1115">
        <v>0</v>
      </c>
      <c r="G33" s="1142">
        <v>0</v>
      </c>
      <c r="H33" s="1116" t="e">
        <f>G33/F33*100</f>
        <v>#DIV/0!</v>
      </c>
    </row>
    <row r="34" spans="1:12" ht="30" hidden="1" x14ac:dyDescent="0.25">
      <c r="A34" s="1110">
        <v>6409</v>
      </c>
      <c r="B34" s="1111">
        <v>5909</v>
      </c>
      <c r="C34" s="1216" t="s">
        <v>871</v>
      </c>
      <c r="D34" s="1130" t="s">
        <v>406</v>
      </c>
      <c r="E34" s="1115">
        <v>0</v>
      </c>
      <c r="F34" s="1115">
        <v>0</v>
      </c>
      <c r="G34" s="1142"/>
      <c r="H34" s="1116">
        <v>0</v>
      </c>
    </row>
    <row r="35" spans="1:12" ht="16.5" thickTop="1" thickBot="1" x14ac:dyDescent="0.3">
      <c r="A35" s="1110">
        <v>6330</v>
      </c>
      <c r="B35" s="1111">
        <v>5345</v>
      </c>
      <c r="C35" s="1216" t="s">
        <v>871</v>
      </c>
      <c r="D35" s="1130" t="s">
        <v>397</v>
      </c>
      <c r="E35" s="1115">
        <v>0</v>
      </c>
      <c r="F35" s="1115">
        <v>0</v>
      </c>
      <c r="G35" s="1142">
        <v>4</v>
      </c>
      <c r="H35" s="1384">
        <v>0</v>
      </c>
    </row>
    <row r="36" spans="1:12" ht="16.5" hidden="1" thickTop="1" thickBot="1" x14ac:dyDescent="0.3">
      <c r="A36" s="1110"/>
      <c r="B36" s="1111"/>
      <c r="C36" s="1216"/>
      <c r="D36" s="1130"/>
      <c r="E36" s="1115"/>
      <c r="F36" s="1115"/>
      <c r="G36" s="1142"/>
      <c r="H36" s="1384"/>
    </row>
    <row r="37" spans="1:12" ht="16.5" thickTop="1" thickBot="1" x14ac:dyDescent="0.3">
      <c r="A37" s="2896" t="s">
        <v>394</v>
      </c>
      <c r="B37" s="2897"/>
      <c r="C37" s="2897"/>
      <c r="D37" s="2897"/>
      <c r="E37" s="1113">
        <f>SUM(E33:E35)</f>
        <v>0</v>
      </c>
      <c r="F37" s="1113">
        <f>SUM(F33:F35)</f>
        <v>0</v>
      </c>
      <c r="G37" s="1113">
        <f>SUM(G33:G35)</f>
        <v>4</v>
      </c>
      <c r="H37" s="1384">
        <v>0</v>
      </c>
    </row>
    <row r="38" spans="1:12" ht="13.5" thickTop="1" x14ac:dyDescent="0.2"/>
    <row r="42" spans="1:12" s="1165" customFormat="1" x14ac:dyDescent="0.2">
      <c r="A42" s="1097"/>
      <c r="B42" s="1097"/>
      <c r="C42" s="1097"/>
      <c r="D42" s="1098"/>
      <c r="E42" s="1123"/>
      <c r="F42" s="1123"/>
      <c r="G42" s="1123"/>
      <c r="H42" s="1098"/>
    </row>
    <row r="43" spans="1:12" s="1165" customFormat="1" ht="16.5" x14ac:dyDescent="0.25">
      <c r="A43" s="1147" t="s">
        <v>251</v>
      </c>
      <c r="B43" s="1148"/>
      <c r="C43" s="1149"/>
      <c r="D43" s="1150"/>
      <c r="E43" s="1151">
        <f>SUM(E44:E46)</f>
        <v>0</v>
      </c>
      <c r="F43" s="1151">
        <f>F44+F45+F46+F47</f>
        <v>0</v>
      </c>
      <c r="G43" s="1151">
        <f>G44+G45+G46+G47</f>
        <v>1007137</v>
      </c>
      <c r="H43" s="2183">
        <v>0</v>
      </c>
      <c r="J43" s="1167">
        <f>J44+J45+J46</f>
        <v>0</v>
      </c>
      <c r="K43" s="1167">
        <f>K44+K45+K46</f>
        <v>0</v>
      </c>
      <c r="L43" s="1167">
        <f>L44+L45+L46</f>
        <v>1007137387.65</v>
      </c>
    </row>
    <row r="44" spans="1:12" s="1165" customFormat="1" ht="15" x14ac:dyDescent="0.2">
      <c r="A44" s="1011" t="s">
        <v>147</v>
      </c>
      <c r="B44" s="1013"/>
      <c r="C44" s="1009"/>
      <c r="D44" s="1154"/>
      <c r="E44" s="1012">
        <f>E11+E12</f>
        <v>0</v>
      </c>
      <c r="F44" s="1012">
        <f>F11+F12</f>
        <v>0</v>
      </c>
      <c r="G44" s="1012">
        <f>G11+G12</f>
        <v>23</v>
      </c>
      <c r="H44" s="1152">
        <v>0</v>
      </c>
      <c r="J44" s="1168">
        <v>0</v>
      </c>
      <c r="K44" s="1168">
        <v>0</v>
      </c>
      <c r="L44" s="1168">
        <v>23637.93</v>
      </c>
    </row>
    <row r="45" spans="1:12" ht="15" x14ac:dyDescent="0.2">
      <c r="A45" s="1011" t="s">
        <v>148</v>
      </c>
      <c r="B45" s="1010"/>
      <c r="C45" s="1009"/>
      <c r="D45" s="1156"/>
      <c r="E45" s="1012">
        <v>0</v>
      </c>
      <c r="F45" s="1012">
        <v>0</v>
      </c>
      <c r="G45" s="1012">
        <v>0</v>
      </c>
      <c r="H45" s="1152">
        <v>0</v>
      </c>
      <c r="J45" s="1155">
        <v>0</v>
      </c>
      <c r="K45" s="1155">
        <v>0</v>
      </c>
      <c r="L45" s="1155">
        <v>0</v>
      </c>
    </row>
    <row r="46" spans="1:12" ht="15" x14ac:dyDescent="0.2">
      <c r="A46" s="1011" t="s">
        <v>252</v>
      </c>
      <c r="B46" s="1010"/>
      <c r="C46" s="1009"/>
      <c r="D46" s="1156"/>
      <c r="E46" s="1012">
        <f>E13</f>
        <v>0</v>
      </c>
      <c r="F46" s="1012">
        <f>F13</f>
        <v>0</v>
      </c>
      <c r="G46" s="1012">
        <f>G13+G24+G35</f>
        <v>1007114</v>
      </c>
      <c r="H46" s="1152">
        <v>0</v>
      </c>
      <c r="J46" s="1155">
        <v>0</v>
      </c>
      <c r="K46" s="1155">
        <v>0</v>
      </c>
      <c r="L46" s="1155">
        <f>1002200000+4909729.72+4020</f>
        <v>1007113749.72</v>
      </c>
    </row>
    <row r="47" spans="1:12" ht="15" x14ac:dyDescent="0.2">
      <c r="A47" s="1011"/>
      <c r="B47" s="1010"/>
      <c r="C47" s="1009"/>
      <c r="D47" s="1156"/>
      <c r="E47" s="1012"/>
      <c r="F47" s="1012"/>
      <c r="G47" s="1012"/>
      <c r="H47" s="1157"/>
    </row>
    <row r="48" spans="1:12" s="1122" customFormat="1" ht="46.5" customHeight="1" thickBot="1" x14ac:dyDescent="0.4">
      <c r="A48" s="3264" t="s">
        <v>2014</v>
      </c>
      <c r="B48" s="3319"/>
      <c r="C48" s="3319"/>
      <c r="D48" s="3319"/>
      <c r="E48" s="1876">
        <f>SUM(E43)</f>
        <v>0</v>
      </c>
      <c r="F48" s="1876">
        <f>SUM(F43)</f>
        <v>0</v>
      </c>
      <c r="G48" s="1876">
        <f>SUM(G43)</f>
        <v>1007137</v>
      </c>
      <c r="H48" s="1158">
        <v>0</v>
      </c>
    </row>
    <row r="49" spans="1:10" ht="13.5" thickTop="1" x14ac:dyDescent="0.2"/>
    <row r="50" spans="1:10" s="1154" customFormat="1" ht="15" x14ac:dyDescent="0.2">
      <c r="A50" s="1097"/>
      <c r="B50" s="1097"/>
      <c r="C50" s="1097"/>
      <c r="D50" s="1098"/>
      <c r="E50" s="1123"/>
      <c r="F50" s="1123"/>
      <c r="G50" s="1123"/>
      <c r="H50" s="1098"/>
    </row>
    <row r="53" spans="1:10" s="1159" customFormat="1" x14ac:dyDescent="0.2">
      <c r="A53" s="1097"/>
      <c r="B53" s="1097"/>
      <c r="C53" s="1097"/>
      <c r="D53" s="1098"/>
      <c r="E53" s="1123"/>
      <c r="F53" s="1123"/>
      <c r="G53" s="1123"/>
      <c r="H53" s="1098"/>
    </row>
    <row r="54" spans="1:10" s="997" customFormat="1" x14ac:dyDescent="0.2">
      <c r="A54" s="1097"/>
      <c r="B54" s="1097"/>
      <c r="C54" s="1097"/>
      <c r="D54" s="1098"/>
      <c r="E54" s="1123"/>
      <c r="F54" s="1123"/>
      <c r="G54" s="1123"/>
      <c r="H54" s="1098"/>
    </row>
    <row r="55" spans="1:10" s="997" customFormat="1" x14ac:dyDescent="0.2">
      <c r="A55" s="1097"/>
      <c r="B55" s="1097"/>
      <c r="C55" s="1097"/>
      <c r="D55" s="1098"/>
      <c r="E55" s="1123"/>
      <c r="F55" s="1123"/>
      <c r="G55" s="1123"/>
      <c r="H55" s="1098"/>
    </row>
    <row r="56" spans="1:10" s="997" customFormat="1" x14ac:dyDescent="0.2">
      <c r="A56" s="1097"/>
      <c r="B56" s="1097"/>
      <c r="C56" s="1097"/>
      <c r="D56" s="1098"/>
      <c r="E56" s="1123"/>
      <c r="F56" s="1123"/>
      <c r="G56" s="1123"/>
      <c r="H56" s="1098"/>
    </row>
    <row r="57" spans="1:10" s="997" customFormat="1" ht="23.25" x14ac:dyDescent="0.35">
      <c r="A57" s="1097"/>
      <c r="B57" s="1097"/>
      <c r="C57" s="1097"/>
      <c r="D57" s="1098"/>
      <c r="E57" s="1123"/>
      <c r="F57" s="1123"/>
      <c r="G57" s="1123"/>
      <c r="H57" s="1098"/>
      <c r="J57" s="1004"/>
    </row>
    <row r="58" spans="1:10" s="1004" customFormat="1" ht="54.75" customHeight="1" x14ac:dyDescent="0.35">
      <c r="A58" s="1097"/>
      <c r="B58" s="1097"/>
      <c r="C58" s="1097"/>
      <c r="D58" s="1098"/>
      <c r="E58" s="1123"/>
      <c r="F58" s="1123"/>
      <c r="G58" s="1123"/>
      <c r="H58" s="1098"/>
    </row>
  </sheetData>
  <mergeCells count="2">
    <mergeCell ref="A48:D48"/>
    <mergeCell ref="A29:H29"/>
  </mergeCells>
  <pageMargins left="0.98425196850393704" right="0.78740157480314965" top="0.98425196850393704" bottom="0.98425196850393704" header="0.51181102362204722" footer="0.51181102362204722"/>
  <pageSetup paperSize="9" scale="65" firstPageNumber="130" orientation="portrait" useFirstPageNumber="1" r:id="rId1"/>
  <headerFooter alignWithMargins="0">
    <oddFooter>&amp;L&amp;"Arial,Kurzíva"Zastupitelstvo Olomouckého kraje 25. 6. 2018
5. - Rozpočet Olomouckého kraje 2017 - závěrečný  účet 
Příloha č. 3: Plnění rozpočtu výdajů Olomouckého kraje k 31. 12. 2017&amp;R&amp;"Arial,Kurzíva"Strana &amp;P (celkem 478)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FF"/>
  </sheetPr>
  <dimension ref="A1:P229"/>
  <sheetViews>
    <sheetView showGridLines="0" view="pageBreakPreview" topLeftCell="A194" zoomScaleNormal="100" zoomScaleSheetLayoutView="100" workbookViewId="0">
      <selection activeCell="A224" sqref="A224"/>
    </sheetView>
  </sheetViews>
  <sheetFormatPr defaultColWidth="9.140625" defaultRowHeight="12.75" x14ac:dyDescent="0.2"/>
  <cols>
    <col min="1" max="1" width="5.28515625" style="1097" customWidth="1"/>
    <col min="2" max="2" width="6.7109375" style="1097" customWidth="1"/>
    <col min="3" max="3" width="10.28515625" style="1097" customWidth="1"/>
    <col min="4" max="4" width="46.42578125" style="1097" customWidth="1"/>
    <col min="5" max="5" width="15.42578125" style="1098" customWidth="1"/>
    <col min="6" max="6" width="15.5703125" style="1123" customWidth="1"/>
    <col min="7" max="7" width="15.85546875" style="1123" customWidth="1"/>
    <col min="8" max="8" width="9.28515625" style="1123" customWidth="1"/>
    <col min="9" max="9" width="6.28515625" style="1098" customWidth="1"/>
    <col min="10" max="10" width="7.42578125" style="1098" customWidth="1"/>
    <col min="11" max="11" width="17.28515625" style="1098" bestFit="1" customWidth="1"/>
    <col min="12" max="12" width="19.28515625" style="1098" bestFit="1" customWidth="1"/>
    <col min="13" max="13" width="17.42578125" style="1098" customWidth="1"/>
    <col min="14" max="16384" width="9.140625" style="1098"/>
  </cols>
  <sheetData>
    <row r="1" spans="1:9" ht="18.75" thickBot="1" x14ac:dyDescent="0.3">
      <c r="A1" s="1082" t="s">
        <v>441</v>
      </c>
      <c r="B1" s="1081"/>
      <c r="C1" s="1093"/>
      <c r="D1" s="1079"/>
      <c r="E1" s="1078"/>
      <c r="F1" s="1079"/>
      <c r="G1" s="1185"/>
      <c r="H1" s="1162"/>
    </row>
    <row r="2" spans="1:9" x14ac:dyDescent="0.2">
      <c r="A2" s="1184"/>
    </row>
    <row r="3" spans="1:9" ht="18" x14ac:dyDescent="0.25">
      <c r="A3" s="1077" t="s">
        <v>201</v>
      </c>
      <c r="C3" s="1096" t="s">
        <v>1809</v>
      </c>
      <c r="H3" s="1163" t="s">
        <v>442</v>
      </c>
    </row>
    <row r="4" spans="1:9" ht="13.5" customHeight="1" x14ac:dyDescent="0.25">
      <c r="A4" s="1101"/>
      <c r="C4" s="1096" t="s">
        <v>190</v>
      </c>
    </row>
    <row r="5" spans="1:9" ht="18.75" customHeight="1" x14ac:dyDescent="0.25">
      <c r="A5" s="1101" t="s">
        <v>443</v>
      </c>
    </row>
    <row r="6" spans="1:9" ht="13.5" customHeight="1" x14ac:dyDescent="0.25">
      <c r="A6" s="1101"/>
    </row>
    <row r="7" spans="1:9" s="1054" customFormat="1" ht="15" x14ac:dyDescent="0.25">
      <c r="A7" s="1103"/>
      <c r="B7" s="1097"/>
      <c r="C7" s="1097"/>
      <c r="D7" s="1097"/>
      <c r="E7" s="1098"/>
      <c r="F7" s="1123"/>
      <c r="G7" s="1123"/>
      <c r="H7" s="1123"/>
      <c r="I7" s="1098"/>
    </row>
    <row r="8" spans="1:9" s="997" customFormat="1" ht="15" x14ac:dyDescent="0.25">
      <c r="A8" s="1103"/>
      <c r="B8" s="1097"/>
      <c r="C8" s="1097"/>
      <c r="D8" s="1097"/>
      <c r="E8" s="1098"/>
      <c r="F8" s="1123"/>
      <c r="G8" s="1123"/>
      <c r="H8" s="1120"/>
      <c r="I8" s="1098"/>
    </row>
    <row r="9" spans="1:9" s="997" customFormat="1" ht="15.75" hidden="1" thickBot="1" x14ac:dyDescent="0.3">
      <c r="A9" s="1103" t="s">
        <v>137</v>
      </c>
      <c r="B9" s="1097"/>
      <c r="C9" s="1097"/>
      <c r="D9" s="1097"/>
      <c r="E9" s="1098"/>
      <c r="F9" s="1123"/>
      <c r="G9" s="1123"/>
      <c r="H9" s="1120" t="s">
        <v>92</v>
      </c>
      <c r="I9" s="1098"/>
    </row>
    <row r="10" spans="1:9" ht="25.5" hidden="1" thickTop="1" thickBot="1" x14ac:dyDescent="0.25">
      <c r="A10" s="1104" t="s">
        <v>93</v>
      </c>
      <c r="B10" s="1105" t="s">
        <v>392</v>
      </c>
      <c r="C10" s="1105" t="s">
        <v>209</v>
      </c>
      <c r="D10" s="1106" t="s">
        <v>95</v>
      </c>
      <c r="E10" s="1127" t="s">
        <v>328</v>
      </c>
      <c r="F10" s="1127" t="s">
        <v>329</v>
      </c>
      <c r="G10" s="1128" t="s">
        <v>448</v>
      </c>
      <c r="H10" s="1129" t="s">
        <v>449</v>
      </c>
    </row>
    <row r="11" spans="1:9" ht="14.25" hidden="1" thickTop="1" thickBot="1" x14ac:dyDescent="0.25">
      <c r="A11" s="1042">
        <v>1</v>
      </c>
      <c r="B11" s="1041">
        <v>2</v>
      </c>
      <c r="C11" s="1041">
        <v>3</v>
      </c>
      <c r="D11" s="1041">
        <v>5</v>
      </c>
      <c r="E11" s="1040">
        <v>6</v>
      </c>
      <c r="F11" s="1040">
        <v>7</v>
      </c>
      <c r="G11" s="1164">
        <v>8</v>
      </c>
      <c r="H11" s="1109" t="s">
        <v>393</v>
      </c>
    </row>
    <row r="12" spans="1:9" s="1136" customFormat="1" ht="30.75" hidden="1" thickTop="1" x14ac:dyDescent="0.2">
      <c r="A12" s="1110">
        <v>6409</v>
      </c>
      <c r="B12" s="1111">
        <v>5909</v>
      </c>
      <c r="C12" s="1216" t="s">
        <v>871</v>
      </c>
      <c r="D12" s="1130" t="s">
        <v>406</v>
      </c>
      <c r="E12" s="1135">
        <v>0</v>
      </c>
      <c r="F12" s="1135">
        <v>0</v>
      </c>
      <c r="G12" s="1135"/>
      <c r="H12" s="1116">
        <v>0</v>
      </c>
      <c r="I12" s="2587"/>
    </row>
    <row r="13" spans="1:9" ht="15" hidden="1" x14ac:dyDescent="0.2">
      <c r="A13" s="1110">
        <v>6330</v>
      </c>
      <c r="B13" s="1111">
        <v>5345</v>
      </c>
      <c r="C13" s="1216" t="s">
        <v>871</v>
      </c>
      <c r="D13" s="1130" t="s">
        <v>397</v>
      </c>
      <c r="E13" s="1135"/>
      <c r="F13" s="1135"/>
      <c r="G13" s="1135"/>
      <c r="H13" s="1116" t="e">
        <f>G13/F13*100</f>
        <v>#DIV/0!</v>
      </c>
      <c r="I13" s="1123"/>
    </row>
    <row r="14" spans="1:9" ht="15" hidden="1" x14ac:dyDescent="0.2">
      <c r="A14" s="1110">
        <v>2212</v>
      </c>
      <c r="B14" s="1182">
        <v>6121</v>
      </c>
      <c r="C14" s="1214" t="s">
        <v>931</v>
      </c>
      <c r="D14" s="1130" t="s">
        <v>312</v>
      </c>
      <c r="E14" s="1135"/>
      <c r="F14" s="1135"/>
      <c r="G14" s="1135"/>
      <c r="H14" s="1116" t="e">
        <f>G14/F14*100</f>
        <v>#DIV/0!</v>
      </c>
      <c r="I14" s="1123"/>
    </row>
    <row r="15" spans="1:9" ht="30.75" hidden="1" thickBot="1" x14ac:dyDescent="0.25">
      <c r="A15" s="1181">
        <v>6402</v>
      </c>
      <c r="B15" s="2586">
        <v>5366</v>
      </c>
      <c r="C15" s="1214" t="s">
        <v>882</v>
      </c>
      <c r="D15" s="1130" t="s">
        <v>1425</v>
      </c>
      <c r="E15" s="1135">
        <v>0</v>
      </c>
      <c r="F15" s="1135">
        <v>0</v>
      </c>
      <c r="G15" s="1135"/>
      <c r="H15" s="1116">
        <v>0</v>
      </c>
      <c r="I15" s="1123"/>
    </row>
    <row r="16" spans="1:9" ht="16.5" hidden="1" thickTop="1" thickBot="1" x14ac:dyDescent="0.3">
      <c r="A16" s="2568" t="s">
        <v>394</v>
      </c>
      <c r="B16" s="2569"/>
      <c r="C16" s="2569"/>
      <c r="D16" s="2570"/>
      <c r="E16" s="1113">
        <f>SUM(E13:E15)</f>
        <v>0</v>
      </c>
      <c r="F16" s="1113">
        <f>SUM(F12:F15)</f>
        <v>0</v>
      </c>
      <c r="G16" s="1113">
        <f>SUM(G12:G15)</f>
        <v>0</v>
      </c>
      <c r="H16" s="1117">
        <v>0</v>
      </c>
      <c r="I16" s="1123"/>
    </row>
    <row r="17" spans="1:10" ht="15" x14ac:dyDescent="0.25">
      <c r="A17" s="1137"/>
      <c r="B17" s="1137"/>
      <c r="C17" s="1137"/>
      <c r="D17" s="1137"/>
      <c r="E17" s="1119"/>
      <c r="F17" s="1119"/>
      <c r="G17" s="1119"/>
      <c r="H17" s="1138"/>
      <c r="I17" s="1123"/>
    </row>
    <row r="18" spans="1:10" s="1054" customFormat="1" ht="15" x14ac:dyDescent="0.25">
      <c r="A18" s="1103" t="s">
        <v>1672</v>
      </c>
      <c r="B18" s="1097"/>
      <c r="C18" s="1097"/>
      <c r="D18" s="1097"/>
      <c r="E18" s="1098"/>
      <c r="F18" s="1123"/>
      <c r="G18" s="1123"/>
      <c r="H18" s="1123"/>
      <c r="I18" s="1098"/>
    </row>
    <row r="19" spans="1:10" s="997" customFormat="1" ht="15.75" thickBot="1" x14ac:dyDescent="0.3">
      <c r="A19" s="1103" t="s">
        <v>1671</v>
      </c>
      <c r="B19" s="1097"/>
      <c r="C19" s="1097"/>
      <c r="D19" s="1097"/>
      <c r="E19" s="1098"/>
      <c r="F19" s="1123"/>
      <c r="G19" s="1123"/>
      <c r="H19" s="1120" t="s">
        <v>92</v>
      </c>
      <c r="I19" s="1098"/>
    </row>
    <row r="20" spans="1:10" ht="25.5" thickTop="1" thickBot="1" x14ac:dyDescent="0.25">
      <c r="A20" s="1104" t="s">
        <v>93</v>
      </c>
      <c r="B20" s="1105" t="s">
        <v>392</v>
      </c>
      <c r="C20" s="1105" t="s">
        <v>209</v>
      </c>
      <c r="D20" s="1106" t="s">
        <v>95</v>
      </c>
      <c r="E20" s="1127" t="s">
        <v>328</v>
      </c>
      <c r="F20" s="1127" t="s">
        <v>329</v>
      </c>
      <c r="G20" s="1128" t="s">
        <v>448</v>
      </c>
      <c r="H20" s="1129" t="s">
        <v>449</v>
      </c>
    </row>
    <row r="21" spans="1:10" ht="14.25" thickTop="1" thickBot="1" x14ac:dyDescent="0.25">
      <c r="A21" s="1042">
        <v>1</v>
      </c>
      <c r="B21" s="1041">
        <v>2</v>
      </c>
      <c r="C21" s="1041">
        <v>3</v>
      </c>
      <c r="D21" s="1041">
        <v>4</v>
      </c>
      <c r="E21" s="1040">
        <v>5</v>
      </c>
      <c r="F21" s="1040">
        <v>6</v>
      </c>
      <c r="G21" s="1164">
        <v>7</v>
      </c>
      <c r="H21" s="1109" t="s">
        <v>33</v>
      </c>
    </row>
    <row r="22" spans="1:10" ht="15.75" hidden="1" thickTop="1" x14ac:dyDescent="0.2">
      <c r="A22" s="1110">
        <v>2212</v>
      </c>
      <c r="B22" s="1111">
        <v>6121</v>
      </c>
      <c r="C22" s="1111">
        <v>36</v>
      </c>
      <c r="D22" s="1130" t="s">
        <v>312</v>
      </c>
      <c r="E22" s="1135">
        <v>0</v>
      </c>
      <c r="F22" s="1135"/>
      <c r="G22" s="1135"/>
      <c r="H22" s="1116" t="e">
        <f>G22/F22*100</f>
        <v>#DIV/0!</v>
      </c>
      <c r="I22" s="1123"/>
    </row>
    <row r="23" spans="1:10" ht="16.5" thickTop="1" thickBot="1" x14ac:dyDescent="0.25">
      <c r="A23" s="1110">
        <v>2212</v>
      </c>
      <c r="B23" s="1111">
        <v>6121</v>
      </c>
      <c r="C23" s="2189" t="s">
        <v>952</v>
      </c>
      <c r="D23" s="1130" t="s">
        <v>312</v>
      </c>
      <c r="E23" s="1135">
        <v>945</v>
      </c>
      <c r="F23" s="1135">
        <v>434</v>
      </c>
      <c r="G23" s="1135">
        <v>165</v>
      </c>
      <c r="H23" s="3050">
        <f>G23/F23*100</f>
        <v>38.018433179723502</v>
      </c>
      <c r="I23" s="1123"/>
    </row>
    <row r="24" spans="1:10" ht="15.75" hidden="1" thickBot="1" x14ac:dyDescent="0.25">
      <c r="A24" s="1110">
        <v>2212</v>
      </c>
      <c r="B24" s="1182">
        <v>6121</v>
      </c>
      <c r="C24" s="1182">
        <v>38100874</v>
      </c>
      <c r="D24" s="1130" t="s">
        <v>312</v>
      </c>
      <c r="E24" s="1135">
        <v>0</v>
      </c>
      <c r="F24" s="1135">
        <v>0</v>
      </c>
      <c r="G24" s="1135">
        <v>0</v>
      </c>
      <c r="H24" s="3050" t="e">
        <f>G24/F24*100</f>
        <v>#DIV/0!</v>
      </c>
      <c r="I24" s="1123"/>
    </row>
    <row r="25" spans="1:10" ht="15.75" hidden="1" thickBot="1" x14ac:dyDescent="0.25">
      <c r="A25" s="1110">
        <v>2212</v>
      </c>
      <c r="B25" s="1182">
        <v>6121</v>
      </c>
      <c r="C25" s="1182">
        <v>38500871</v>
      </c>
      <c r="D25" s="1130" t="s">
        <v>312</v>
      </c>
      <c r="E25" s="1135">
        <v>0</v>
      </c>
      <c r="F25" s="1135">
        <v>0</v>
      </c>
      <c r="G25" s="1135">
        <v>0</v>
      </c>
      <c r="H25" s="3050" t="e">
        <f>G25/F25*100</f>
        <v>#DIV/0!</v>
      </c>
      <c r="I25" s="1123"/>
    </row>
    <row r="26" spans="1:10" ht="16.5" thickTop="1" thickBot="1" x14ac:dyDescent="0.3">
      <c r="A26" s="2568" t="s">
        <v>394</v>
      </c>
      <c r="B26" s="2569"/>
      <c r="C26" s="2569"/>
      <c r="D26" s="2570"/>
      <c r="E26" s="1113">
        <f>SUM(E23:E25)</f>
        <v>945</v>
      </c>
      <c r="F26" s="1113">
        <f>SUM(F22:F25)</f>
        <v>434</v>
      </c>
      <c r="G26" s="1113">
        <f>SUM(G22:G25)</f>
        <v>165</v>
      </c>
      <c r="H26" s="1381">
        <f>G26/F26*100</f>
        <v>38.018433179723502</v>
      </c>
      <c r="I26" s="1123"/>
    </row>
    <row r="27" spans="1:10" s="1183" customFormat="1" ht="18.75" thickTop="1" x14ac:dyDescent="0.25">
      <c r="A27" s="1101"/>
      <c r="B27" s="1097"/>
      <c r="C27" s="1097"/>
      <c r="D27" s="1097"/>
      <c r="E27" s="1098"/>
      <c r="F27" s="1123"/>
      <c r="G27" s="1123"/>
      <c r="H27" s="1123"/>
      <c r="I27" s="1098"/>
      <c r="J27" s="1153"/>
    </row>
    <row r="28" spans="1:10" s="1054" customFormat="1" ht="15" x14ac:dyDescent="0.25">
      <c r="A28" s="1103" t="s">
        <v>519</v>
      </c>
      <c r="B28" s="1097"/>
      <c r="C28" s="1097"/>
      <c r="D28" s="1097"/>
      <c r="E28" s="1098"/>
      <c r="F28" s="1123"/>
      <c r="G28" s="1123"/>
      <c r="H28" s="1123"/>
      <c r="I28" s="1098"/>
    </row>
    <row r="29" spans="1:10" s="997" customFormat="1" ht="15.75" thickBot="1" x14ac:dyDescent="0.3">
      <c r="A29" s="1103" t="s">
        <v>1673</v>
      </c>
      <c r="B29" s="1097"/>
      <c r="C29" s="1097"/>
      <c r="D29" s="1097"/>
      <c r="E29" s="1098"/>
      <c r="F29" s="1123"/>
      <c r="G29" s="1123"/>
      <c r="H29" s="1120" t="s">
        <v>92</v>
      </c>
      <c r="I29" s="1098"/>
    </row>
    <row r="30" spans="1:10" ht="25.5" thickTop="1" thickBot="1" x14ac:dyDescent="0.25">
      <c r="A30" s="1104" t="s">
        <v>93</v>
      </c>
      <c r="B30" s="1105" t="s">
        <v>392</v>
      </c>
      <c r="C30" s="1105" t="s">
        <v>209</v>
      </c>
      <c r="D30" s="1106" t="s">
        <v>95</v>
      </c>
      <c r="E30" s="1127" t="s">
        <v>328</v>
      </c>
      <c r="F30" s="1127" t="s">
        <v>329</v>
      </c>
      <c r="G30" s="1128" t="s">
        <v>448</v>
      </c>
      <c r="H30" s="1129" t="s">
        <v>449</v>
      </c>
    </row>
    <row r="31" spans="1:10" ht="14.25" thickTop="1" thickBot="1" x14ac:dyDescent="0.25">
      <c r="A31" s="1042">
        <v>1</v>
      </c>
      <c r="B31" s="1041">
        <v>2</v>
      </c>
      <c r="C31" s="1041">
        <v>3</v>
      </c>
      <c r="D31" s="1041">
        <v>4</v>
      </c>
      <c r="E31" s="1040">
        <v>5</v>
      </c>
      <c r="F31" s="1040">
        <v>6</v>
      </c>
      <c r="G31" s="1164">
        <v>7</v>
      </c>
      <c r="H31" s="1109" t="s">
        <v>33</v>
      </c>
    </row>
    <row r="32" spans="1:10" ht="15.75" hidden="1" thickTop="1" x14ac:dyDescent="0.2">
      <c r="A32" s="1110">
        <v>2212</v>
      </c>
      <c r="B32" s="1111">
        <v>6121</v>
      </c>
      <c r="C32" s="1111">
        <v>36</v>
      </c>
      <c r="D32" s="1130" t="s">
        <v>312</v>
      </c>
      <c r="E32" s="1135">
        <v>0</v>
      </c>
      <c r="F32" s="1135"/>
      <c r="G32" s="1135"/>
      <c r="H32" s="1116" t="e">
        <f>G32/F32*100</f>
        <v>#DIV/0!</v>
      </c>
      <c r="I32" s="1123"/>
    </row>
    <row r="33" spans="1:9" ht="15.75" thickTop="1" x14ac:dyDescent="0.2">
      <c r="A33" s="1110">
        <v>2212</v>
      </c>
      <c r="B33" s="1111">
        <v>6121</v>
      </c>
      <c r="C33" s="2189" t="s">
        <v>952</v>
      </c>
      <c r="D33" s="1130" t="s">
        <v>312</v>
      </c>
      <c r="E33" s="1135">
        <v>478</v>
      </c>
      <c r="F33" s="1135">
        <v>1128</v>
      </c>
      <c r="G33" s="1135">
        <v>548</v>
      </c>
      <c r="H33" s="3050">
        <f>G33/F33*100</f>
        <v>48.581560283687942</v>
      </c>
      <c r="I33" s="1123"/>
    </row>
    <row r="34" spans="1:9" ht="15" hidden="1" x14ac:dyDescent="0.2">
      <c r="A34" s="1110">
        <v>2212</v>
      </c>
      <c r="B34" s="1182">
        <v>6121</v>
      </c>
      <c r="C34" s="2189" t="s">
        <v>956</v>
      </c>
      <c r="D34" s="1130" t="s">
        <v>312</v>
      </c>
      <c r="E34" s="1135">
        <v>0</v>
      </c>
      <c r="F34" s="1135">
        <v>0</v>
      </c>
      <c r="G34" s="1135">
        <v>0</v>
      </c>
      <c r="H34" s="3050" t="e">
        <f>G34/F34*100</f>
        <v>#DIV/0!</v>
      </c>
      <c r="I34" s="1123"/>
    </row>
    <row r="35" spans="1:9" ht="15.75" thickBot="1" x14ac:dyDescent="0.25">
      <c r="A35" s="1110">
        <v>2212</v>
      </c>
      <c r="B35" s="1182">
        <v>6130</v>
      </c>
      <c r="C35" s="2189" t="s">
        <v>952</v>
      </c>
      <c r="D35" s="1130" t="s">
        <v>312</v>
      </c>
      <c r="E35" s="1135">
        <v>0</v>
      </c>
      <c r="F35" s="1135">
        <v>511</v>
      </c>
      <c r="G35" s="1135">
        <v>390</v>
      </c>
      <c r="H35" s="3050">
        <f>G35/F35*100</f>
        <v>76.320939334637956</v>
      </c>
      <c r="I35" s="1123"/>
    </row>
    <row r="36" spans="1:9" ht="16.5" thickTop="1" thickBot="1" x14ac:dyDescent="0.3">
      <c r="A36" s="2568" t="s">
        <v>394</v>
      </c>
      <c r="B36" s="2569"/>
      <c r="C36" s="2569"/>
      <c r="D36" s="2570"/>
      <c r="E36" s="1113">
        <f>SUM(E33:E35)</f>
        <v>478</v>
      </c>
      <c r="F36" s="1113">
        <f>SUM(F32:F35)</f>
        <v>1639</v>
      </c>
      <c r="G36" s="1113">
        <f>SUM(G32:G35)</f>
        <v>938</v>
      </c>
      <c r="H36" s="1381">
        <f>G36/F36*100</f>
        <v>57.230018303843813</v>
      </c>
      <c r="I36" s="1123"/>
    </row>
    <row r="37" spans="1:9" ht="15.75" thickTop="1" x14ac:dyDescent="0.25">
      <c r="A37" s="1137"/>
      <c r="B37" s="1137"/>
      <c r="C37" s="1137"/>
      <c r="D37" s="1137"/>
      <c r="E37" s="1119"/>
      <c r="F37" s="1119"/>
      <c r="G37" s="1119"/>
      <c r="H37" s="1138"/>
      <c r="I37" s="1123"/>
    </row>
    <row r="38" spans="1:9" ht="15" hidden="1" x14ac:dyDescent="0.25">
      <c r="A38" s="1103" t="s">
        <v>275</v>
      </c>
      <c r="I38" s="1123"/>
    </row>
    <row r="39" spans="1:9" ht="15.75" hidden="1" thickBot="1" x14ac:dyDescent="0.3">
      <c r="A39" s="1103" t="s">
        <v>1674</v>
      </c>
      <c r="H39" s="1120" t="s">
        <v>92</v>
      </c>
      <c r="I39" s="1123"/>
    </row>
    <row r="40" spans="1:9" ht="25.5" hidden="1" thickTop="1" thickBot="1" x14ac:dyDescent="0.25">
      <c r="A40" s="1104" t="s">
        <v>93</v>
      </c>
      <c r="B40" s="1105" t="s">
        <v>392</v>
      </c>
      <c r="C40" s="1105" t="s">
        <v>209</v>
      </c>
      <c r="D40" s="1106" t="s">
        <v>95</v>
      </c>
      <c r="E40" s="1127" t="s">
        <v>328</v>
      </c>
      <c r="F40" s="1127" t="s">
        <v>329</v>
      </c>
      <c r="G40" s="1128" t="s">
        <v>448</v>
      </c>
      <c r="H40" s="1129" t="s">
        <v>449</v>
      </c>
      <c r="I40" s="1123"/>
    </row>
    <row r="41" spans="1:9" ht="14.25" hidden="1" thickTop="1" thickBot="1" x14ac:dyDescent="0.25">
      <c r="A41" s="1042">
        <v>1</v>
      </c>
      <c r="B41" s="1041">
        <v>2</v>
      </c>
      <c r="C41" s="1041">
        <v>3</v>
      </c>
      <c r="D41" s="1041">
        <v>5</v>
      </c>
      <c r="E41" s="1040">
        <v>6</v>
      </c>
      <c r="F41" s="1040">
        <v>7</v>
      </c>
      <c r="G41" s="1164">
        <v>8</v>
      </c>
      <c r="H41" s="1109" t="s">
        <v>393</v>
      </c>
      <c r="I41" s="1123"/>
    </row>
    <row r="42" spans="1:9" ht="16.5" hidden="1" thickTop="1" thickBot="1" x14ac:dyDescent="0.25">
      <c r="A42" s="1110">
        <v>2212</v>
      </c>
      <c r="B42" s="1111">
        <v>6121</v>
      </c>
      <c r="C42" s="2189" t="s">
        <v>952</v>
      </c>
      <c r="D42" s="1130" t="s">
        <v>430</v>
      </c>
      <c r="E42" s="1135">
        <v>500</v>
      </c>
      <c r="F42" s="1135">
        <v>0</v>
      </c>
      <c r="G42" s="1135">
        <v>0</v>
      </c>
      <c r="H42" s="1116" t="e">
        <f>G42/F42*100</f>
        <v>#DIV/0!</v>
      </c>
      <c r="I42" s="1123"/>
    </row>
    <row r="43" spans="1:9" ht="16.5" hidden="1" thickTop="1" thickBot="1" x14ac:dyDescent="0.3">
      <c r="A43" s="2893" t="s">
        <v>394</v>
      </c>
      <c r="B43" s="2894"/>
      <c r="C43" s="2894"/>
      <c r="D43" s="2895"/>
      <c r="E43" s="1113">
        <f>SUM(E42:E42)</f>
        <v>500</v>
      </c>
      <c r="F43" s="1113">
        <f>SUM(F42:F42)</f>
        <v>0</v>
      </c>
      <c r="G43" s="1113">
        <f>SUM(G42:G42)</f>
        <v>0</v>
      </c>
      <c r="H43" s="1117" t="e">
        <f>G43/F43*100</f>
        <v>#DIV/0!</v>
      </c>
      <c r="I43" s="1123"/>
    </row>
    <row r="44" spans="1:9" ht="15.75" hidden="1" thickTop="1" x14ac:dyDescent="0.25">
      <c r="A44" s="1137"/>
      <c r="B44" s="1137"/>
      <c r="C44" s="1137"/>
      <c r="D44" s="1137"/>
      <c r="E44" s="1119"/>
      <c r="F44" s="1119"/>
      <c r="G44" s="1119"/>
      <c r="H44" s="1138"/>
      <c r="I44" s="1123"/>
    </row>
    <row r="45" spans="1:9" ht="15" x14ac:dyDescent="0.25">
      <c r="A45" s="1103" t="s">
        <v>1676</v>
      </c>
      <c r="I45" s="1123"/>
    </row>
    <row r="46" spans="1:9" ht="15.75" thickBot="1" x14ac:dyDescent="0.3">
      <c r="A46" s="1103" t="s">
        <v>1675</v>
      </c>
      <c r="H46" s="1120" t="s">
        <v>92</v>
      </c>
      <c r="I46" s="1123"/>
    </row>
    <row r="47" spans="1:9" ht="25.5" thickTop="1" thickBot="1" x14ac:dyDescent="0.25">
      <c r="A47" s="1104" t="s">
        <v>93</v>
      </c>
      <c r="B47" s="1105" t="s">
        <v>392</v>
      </c>
      <c r="C47" s="1105" t="s">
        <v>209</v>
      </c>
      <c r="D47" s="1106" t="s">
        <v>95</v>
      </c>
      <c r="E47" s="1127" t="s">
        <v>328</v>
      </c>
      <c r="F47" s="1127" t="s">
        <v>329</v>
      </c>
      <c r="G47" s="1128" t="s">
        <v>448</v>
      </c>
      <c r="H47" s="1129" t="s">
        <v>449</v>
      </c>
      <c r="I47" s="1123"/>
    </row>
    <row r="48" spans="1:9" ht="14.25" thickTop="1" thickBot="1" x14ac:dyDescent="0.25">
      <c r="A48" s="1042">
        <v>1</v>
      </c>
      <c r="B48" s="1041">
        <v>2</v>
      </c>
      <c r="C48" s="1041">
        <v>3</v>
      </c>
      <c r="D48" s="1041">
        <v>5</v>
      </c>
      <c r="E48" s="1040">
        <v>6</v>
      </c>
      <c r="F48" s="1040">
        <v>7</v>
      </c>
      <c r="G48" s="1164">
        <v>8</v>
      </c>
      <c r="H48" s="1109" t="s">
        <v>393</v>
      </c>
      <c r="I48" s="1123"/>
    </row>
    <row r="49" spans="1:9" ht="16.5" thickTop="1" thickBot="1" x14ac:dyDescent="0.25">
      <c r="A49" s="1110">
        <v>2212</v>
      </c>
      <c r="B49" s="1111">
        <v>6121</v>
      </c>
      <c r="C49" s="2189" t="s">
        <v>952</v>
      </c>
      <c r="D49" s="1130" t="s">
        <v>430</v>
      </c>
      <c r="E49" s="1135">
        <v>605</v>
      </c>
      <c r="F49" s="1135">
        <v>0</v>
      </c>
      <c r="G49" s="1135">
        <v>0</v>
      </c>
      <c r="H49" s="3050">
        <v>0</v>
      </c>
      <c r="I49" s="1123"/>
    </row>
    <row r="50" spans="1:9" ht="16.5" thickTop="1" thickBot="1" x14ac:dyDescent="0.3">
      <c r="A50" s="2893" t="s">
        <v>394</v>
      </c>
      <c r="B50" s="2894"/>
      <c r="C50" s="2894"/>
      <c r="D50" s="2895"/>
      <c r="E50" s="1113">
        <f>SUM(E49:E49)</f>
        <v>605</v>
      </c>
      <c r="F50" s="1113">
        <f>SUM(F49:F49)</f>
        <v>0</v>
      </c>
      <c r="G50" s="1113">
        <f>SUM(G49:G49)</f>
        <v>0</v>
      </c>
      <c r="H50" s="1381">
        <v>0</v>
      </c>
      <c r="I50" s="1123"/>
    </row>
    <row r="51" spans="1:9" ht="15.75" thickTop="1" x14ac:dyDescent="0.25">
      <c r="A51" s="1137"/>
      <c r="B51" s="1137"/>
      <c r="C51" s="1137"/>
      <c r="D51" s="1137"/>
      <c r="E51" s="1119"/>
      <c r="F51" s="1119"/>
      <c r="G51" s="1119"/>
      <c r="H51" s="1138"/>
      <c r="I51" s="1123"/>
    </row>
    <row r="52" spans="1:9" ht="15" x14ac:dyDescent="0.25">
      <c r="A52" s="1103" t="s">
        <v>1678</v>
      </c>
      <c r="I52" s="1123"/>
    </row>
    <row r="53" spans="1:9" ht="15.75" thickBot="1" x14ac:dyDescent="0.3">
      <c r="A53" s="1103" t="s">
        <v>1677</v>
      </c>
      <c r="H53" s="1120" t="s">
        <v>92</v>
      </c>
      <c r="I53" s="1123"/>
    </row>
    <row r="54" spans="1:9" ht="25.5" thickTop="1" thickBot="1" x14ac:dyDescent="0.25">
      <c r="A54" s="1104" t="s">
        <v>93</v>
      </c>
      <c r="B54" s="1105" t="s">
        <v>392</v>
      </c>
      <c r="C54" s="1105" t="s">
        <v>209</v>
      </c>
      <c r="D54" s="1106" t="s">
        <v>95</v>
      </c>
      <c r="E54" s="1127" t="s">
        <v>328</v>
      </c>
      <c r="F54" s="1127" t="s">
        <v>329</v>
      </c>
      <c r="G54" s="1128" t="s">
        <v>448</v>
      </c>
      <c r="H54" s="1129" t="s">
        <v>449</v>
      </c>
      <c r="I54" s="1123"/>
    </row>
    <row r="55" spans="1:9" ht="14.25" thickTop="1" thickBot="1" x14ac:dyDescent="0.25">
      <c r="A55" s="1042">
        <v>1</v>
      </c>
      <c r="B55" s="1041">
        <v>2</v>
      </c>
      <c r="C55" s="1041">
        <v>3</v>
      </c>
      <c r="D55" s="1041">
        <v>5</v>
      </c>
      <c r="E55" s="1040">
        <v>6</v>
      </c>
      <c r="F55" s="1040">
        <v>7</v>
      </c>
      <c r="G55" s="1164">
        <v>8</v>
      </c>
      <c r="H55" s="1109" t="s">
        <v>393</v>
      </c>
      <c r="I55" s="1123"/>
    </row>
    <row r="56" spans="1:9" ht="16.5" thickTop="1" thickBot="1" x14ac:dyDescent="0.25">
      <c r="A56" s="1110">
        <v>2212</v>
      </c>
      <c r="B56" s="1111">
        <v>6121</v>
      </c>
      <c r="C56" s="2189" t="s">
        <v>952</v>
      </c>
      <c r="D56" s="1130" t="s">
        <v>430</v>
      </c>
      <c r="E56" s="1135">
        <v>933</v>
      </c>
      <c r="F56" s="1135">
        <v>0</v>
      </c>
      <c r="G56" s="1135">
        <v>0</v>
      </c>
      <c r="H56" s="3050">
        <v>0</v>
      </c>
      <c r="I56" s="1123"/>
    </row>
    <row r="57" spans="1:9" ht="16.5" thickTop="1" thickBot="1" x14ac:dyDescent="0.3">
      <c r="A57" s="2893" t="s">
        <v>394</v>
      </c>
      <c r="B57" s="2894"/>
      <c r="C57" s="2894"/>
      <c r="D57" s="2895"/>
      <c r="E57" s="1113">
        <f>SUM(E56:E56)</f>
        <v>933</v>
      </c>
      <c r="F57" s="1113">
        <f>SUM(F56:F56)</f>
        <v>0</v>
      </c>
      <c r="G57" s="1113">
        <f>SUM(G56:G56)</f>
        <v>0</v>
      </c>
      <c r="H57" s="1381">
        <v>0</v>
      </c>
      <c r="I57" s="1123"/>
    </row>
    <row r="58" spans="1:9" ht="15.75" thickTop="1" x14ac:dyDescent="0.25">
      <c r="A58" s="1137"/>
      <c r="B58" s="1137"/>
      <c r="C58" s="1137"/>
      <c r="D58" s="1137"/>
      <c r="E58" s="1119"/>
      <c r="F58" s="1119"/>
      <c r="G58" s="1119"/>
      <c r="H58" s="1138"/>
      <c r="I58" s="1123"/>
    </row>
    <row r="59" spans="1:9" ht="15" x14ac:dyDescent="0.25">
      <c r="A59" s="1103" t="s">
        <v>1680</v>
      </c>
      <c r="I59" s="1123"/>
    </row>
    <row r="60" spans="1:9" ht="15.75" thickBot="1" x14ac:dyDescent="0.3">
      <c r="A60" s="1103" t="s">
        <v>1679</v>
      </c>
      <c r="H60" s="1120" t="s">
        <v>92</v>
      </c>
      <c r="I60" s="1123"/>
    </row>
    <row r="61" spans="1:9" ht="25.5" thickTop="1" thickBot="1" x14ac:dyDescent="0.25">
      <c r="A61" s="1104" t="s">
        <v>93</v>
      </c>
      <c r="B61" s="1105" t="s">
        <v>392</v>
      </c>
      <c r="C61" s="1105" t="s">
        <v>209</v>
      </c>
      <c r="D61" s="1106" t="s">
        <v>95</v>
      </c>
      <c r="E61" s="1127" t="s">
        <v>328</v>
      </c>
      <c r="F61" s="1127" t="s">
        <v>329</v>
      </c>
      <c r="G61" s="1128" t="s">
        <v>448</v>
      </c>
      <c r="H61" s="1129" t="s">
        <v>449</v>
      </c>
      <c r="I61" s="1123"/>
    </row>
    <row r="62" spans="1:9" ht="14.25" thickTop="1" thickBot="1" x14ac:dyDescent="0.25">
      <c r="A62" s="1042">
        <v>1</v>
      </c>
      <c r="B62" s="1041">
        <v>2</v>
      </c>
      <c r="C62" s="1041">
        <v>3</v>
      </c>
      <c r="D62" s="1041">
        <v>4</v>
      </c>
      <c r="E62" s="1040">
        <v>5</v>
      </c>
      <c r="F62" s="1040">
        <v>6</v>
      </c>
      <c r="G62" s="1164">
        <v>7</v>
      </c>
      <c r="H62" s="1109" t="s">
        <v>33</v>
      </c>
      <c r="I62" s="1123"/>
    </row>
    <row r="63" spans="1:9" ht="16.5" thickTop="1" thickBot="1" x14ac:dyDescent="0.25">
      <c r="A63" s="1110">
        <v>2212</v>
      </c>
      <c r="B63" s="1111">
        <v>6121</v>
      </c>
      <c r="C63" s="2189" t="s">
        <v>952</v>
      </c>
      <c r="D63" s="1130" t="s">
        <v>312</v>
      </c>
      <c r="E63" s="1135">
        <v>100</v>
      </c>
      <c r="F63" s="1135">
        <v>84</v>
      </c>
      <c r="G63" s="1135">
        <v>0</v>
      </c>
      <c r="H63" s="3050">
        <f>G63/F63*100</f>
        <v>0</v>
      </c>
      <c r="I63" s="1123"/>
    </row>
    <row r="64" spans="1:9" ht="16.5" thickTop="1" thickBot="1" x14ac:dyDescent="0.3">
      <c r="A64" s="2893" t="s">
        <v>394</v>
      </c>
      <c r="B64" s="2894"/>
      <c r="C64" s="2894"/>
      <c r="D64" s="2895"/>
      <c r="E64" s="1113">
        <f>SUM(E63:E63)</f>
        <v>100</v>
      </c>
      <c r="F64" s="1113">
        <f>SUM(F63:F63)</f>
        <v>84</v>
      </c>
      <c r="G64" s="1113">
        <f>SUM(G63:G63)</f>
        <v>0</v>
      </c>
      <c r="H64" s="1381">
        <f>G64/F64*100</f>
        <v>0</v>
      </c>
      <c r="I64" s="1123"/>
    </row>
    <row r="65" spans="1:10" ht="15.75" thickTop="1" x14ac:dyDescent="0.25">
      <c r="A65" s="1137"/>
      <c r="B65" s="1137"/>
      <c r="C65" s="1137"/>
      <c r="D65" s="1137"/>
      <c r="E65" s="1119"/>
      <c r="F65" s="1119"/>
      <c r="G65" s="1119"/>
      <c r="H65" s="1138"/>
      <c r="I65" s="1123"/>
    </row>
    <row r="66" spans="1:10" s="1054" customFormat="1" ht="15" x14ac:dyDescent="0.25">
      <c r="A66" s="1103" t="s">
        <v>1682</v>
      </c>
      <c r="B66" s="1097"/>
      <c r="C66" s="1097"/>
      <c r="D66" s="1097"/>
      <c r="E66" s="1098"/>
      <c r="F66" s="1123"/>
      <c r="G66" s="1123"/>
      <c r="H66" s="1123"/>
      <c r="I66" s="1098"/>
    </row>
    <row r="67" spans="1:10" s="997" customFormat="1" ht="15.75" thickBot="1" x14ac:dyDescent="0.3">
      <c r="A67" s="1103" t="s">
        <v>1681</v>
      </c>
      <c r="B67" s="1097"/>
      <c r="C67" s="1097"/>
      <c r="D67" s="1097"/>
      <c r="E67" s="1098"/>
      <c r="F67" s="1123"/>
      <c r="G67" s="1123"/>
      <c r="H67" s="1177" t="s">
        <v>92</v>
      </c>
      <c r="I67" s="1098"/>
    </row>
    <row r="68" spans="1:10" ht="25.5" thickTop="1" thickBot="1" x14ac:dyDescent="0.25">
      <c r="A68" s="1104" t="s">
        <v>93</v>
      </c>
      <c r="B68" s="1105" t="s">
        <v>392</v>
      </c>
      <c r="C68" s="1105" t="s">
        <v>209</v>
      </c>
      <c r="D68" s="1106" t="s">
        <v>95</v>
      </c>
      <c r="E68" s="1127" t="s">
        <v>328</v>
      </c>
      <c r="F68" s="1127" t="s">
        <v>329</v>
      </c>
      <c r="G68" s="1128" t="s">
        <v>448</v>
      </c>
      <c r="H68" s="1129" t="s">
        <v>449</v>
      </c>
    </row>
    <row r="69" spans="1:10" ht="14.25" thickTop="1" thickBot="1" x14ac:dyDescent="0.25">
      <c r="A69" s="1042">
        <v>1</v>
      </c>
      <c r="B69" s="1041">
        <v>2</v>
      </c>
      <c r="C69" s="1041">
        <v>3</v>
      </c>
      <c r="D69" s="1041">
        <v>4</v>
      </c>
      <c r="E69" s="1040">
        <v>5</v>
      </c>
      <c r="F69" s="1040">
        <v>6</v>
      </c>
      <c r="G69" s="1164">
        <v>7</v>
      </c>
      <c r="H69" s="1109" t="s">
        <v>33</v>
      </c>
    </row>
    <row r="70" spans="1:10" ht="15.75" thickTop="1" x14ac:dyDescent="0.2">
      <c r="A70" s="1110">
        <v>2212</v>
      </c>
      <c r="B70" s="1182">
        <v>6121</v>
      </c>
      <c r="C70" s="1216" t="s">
        <v>952</v>
      </c>
      <c r="D70" s="1130" t="s">
        <v>312</v>
      </c>
      <c r="E70" s="1135">
        <v>200</v>
      </c>
      <c r="F70" s="1135">
        <v>428</v>
      </c>
      <c r="G70" s="1135">
        <v>344</v>
      </c>
      <c r="H70" s="3050">
        <f t="shared" ref="H70:H76" si="0">G70/F70*100</f>
        <v>80.373831775700936</v>
      </c>
    </row>
    <row r="71" spans="1:10" ht="15" x14ac:dyDescent="0.2">
      <c r="A71" s="1110">
        <v>2212</v>
      </c>
      <c r="B71" s="1182">
        <v>6121</v>
      </c>
      <c r="C71" s="1182">
        <v>107100880</v>
      </c>
      <c r="D71" s="1130" t="s">
        <v>312</v>
      </c>
      <c r="E71" s="1135">
        <v>0</v>
      </c>
      <c r="F71" s="1135">
        <v>861</v>
      </c>
      <c r="G71" s="1135">
        <v>444</v>
      </c>
      <c r="H71" s="3050">
        <f t="shared" si="0"/>
        <v>51.567944250871079</v>
      </c>
    </row>
    <row r="72" spans="1:10" ht="15" x14ac:dyDescent="0.2">
      <c r="A72" s="1110">
        <v>2212</v>
      </c>
      <c r="B72" s="1111">
        <v>6121</v>
      </c>
      <c r="C72" s="1111">
        <v>107100894</v>
      </c>
      <c r="D72" s="1130" t="s">
        <v>312</v>
      </c>
      <c r="E72" s="1135">
        <v>0</v>
      </c>
      <c r="F72" s="1135">
        <v>431</v>
      </c>
      <c r="G72" s="1135">
        <v>222</v>
      </c>
      <c r="H72" s="3050">
        <f t="shared" si="0"/>
        <v>51.508120649651964</v>
      </c>
    </row>
    <row r="73" spans="1:10" ht="15.75" thickBot="1" x14ac:dyDescent="0.25">
      <c r="A73" s="1110">
        <v>2212</v>
      </c>
      <c r="B73" s="1111">
        <v>6121</v>
      </c>
      <c r="C73" s="1216" t="s">
        <v>1683</v>
      </c>
      <c r="D73" s="1130" t="s">
        <v>312</v>
      </c>
      <c r="E73" s="1135">
        <v>0</v>
      </c>
      <c r="F73" s="1135">
        <v>7315</v>
      </c>
      <c r="G73" s="1135">
        <v>3775</v>
      </c>
      <c r="H73" s="3050">
        <f t="shared" si="0"/>
        <v>51.606288448393713</v>
      </c>
      <c r="I73" s="1123"/>
    </row>
    <row r="74" spans="1:10" ht="15.75" hidden="1" thickBot="1" x14ac:dyDescent="0.25">
      <c r="A74" s="1110">
        <v>2212</v>
      </c>
      <c r="B74" s="1182">
        <v>6121</v>
      </c>
      <c r="C74" s="1182">
        <v>110595823</v>
      </c>
      <c r="D74" s="1130" t="s">
        <v>312</v>
      </c>
      <c r="E74" s="1135"/>
      <c r="F74" s="1135"/>
      <c r="G74" s="1135"/>
      <c r="H74" s="3050" t="e">
        <f t="shared" si="0"/>
        <v>#DIV/0!</v>
      </c>
      <c r="I74" s="1123"/>
    </row>
    <row r="75" spans="1:10" ht="15.75" hidden="1" thickBot="1" x14ac:dyDescent="0.25">
      <c r="A75" s="1110">
        <v>6330</v>
      </c>
      <c r="B75" s="1182">
        <v>5345</v>
      </c>
      <c r="C75" s="1182"/>
      <c r="D75" s="1130" t="s">
        <v>312</v>
      </c>
      <c r="E75" s="1135"/>
      <c r="F75" s="1135"/>
      <c r="G75" s="1135"/>
      <c r="H75" s="3050" t="e">
        <f t="shared" si="0"/>
        <v>#DIV/0!</v>
      </c>
      <c r="I75" s="1123"/>
    </row>
    <row r="76" spans="1:10" ht="16.5" thickTop="1" thickBot="1" x14ac:dyDescent="0.3">
      <c r="A76" s="2893" t="s">
        <v>394</v>
      </c>
      <c r="B76" s="2894"/>
      <c r="C76" s="2894"/>
      <c r="D76" s="2895"/>
      <c r="E76" s="1113">
        <f>SUM(E70:E75)</f>
        <v>200</v>
      </c>
      <c r="F76" s="1113">
        <f t="shared" ref="F76" si="1">SUM(F70:F75)</f>
        <v>9035</v>
      </c>
      <c r="G76" s="1113">
        <f t="shared" ref="G76" si="2">SUM(G70:G75)</f>
        <v>4785</v>
      </c>
      <c r="H76" s="1381">
        <f t="shared" si="0"/>
        <v>52.960708356391805</v>
      </c>
      <c r="I76" s="1123"/>
    </row>
    <row r="77" spans="1:10" s="1183" customFormat="1" ht="18.75" thickTop="1" x14ac:dyDescent="0.25">
      <c r="A77" s="1101"/>
      <c r="B77" s="1097"/>
      <c r="C77" s="1097"/>
      <c r="D77" s="1097"/>
      <c r="E77" s="1098"/>
      <c r="F77" s="1123"/>
      <c r="G77" s="1123"/>
      <c r="H77" s="1123"/>
      <c r="I77" s="1098"/>
      <c r="J77" s="1153"/>
    </row>
    <row r="78" spans="1:10" ht="15" x14ac:dyDescent="0.25">
      <c r="A78" s="1103" t="s">
        <v>1685</v>
      </c>
      <c r="I78" s="1123"/>
    </row>
    <row r="79" spans="1:10" ht="15.75" thickBot="1" x14ac:dyDescent="0.3">
      <c r="A79" s="1103" t="s">
        <v>1684</v>
      </c>
      <c r="H79" s="1120" t="s">
        <v>92</v>
      </c>
      <c r="I79" s="1123"/>
    </row>
    <row r="80" spans="1:10" ht="25.5" thickTop="1" thickBot="1" x14ac:dyDescent="0.25">
      <c r="A80" s="1104" t="s">
        <v>93</v>
      </c>
      <c r="B80" s="1105" t="s">
        <v>392</v>
      </c>
      <c r="C80" s="1105" t="s">
        <v>209</v>
      </c>
      <c r="D80" s="1106" t="s">
        <v>95</v>
      </c>
      <c r="E80" s="1127" t="s">
        <v>328</v>
      </c>
      <c r="F80" s="1127" t="s">
        <v>329</v>
      </c>
      <c r="G80" s="1128" t="s">
        <v>448</v>
      </c>
      <c r="H80" s="1129" t="s">
        <v>449</v>
      </c>
      <c r="I80" s="1123"/>
    </row>
    <row r="81" spans="1:10" ht="14.25" thickTop="1" thickBot="1" x14ac:dyDescent="0.25">
      <c r="A81" s="1042">
        <v>1</v>
      </c>
      <c r="B81" s="1041">
        <v>2</v>
      </c>
      <c r="C81" s="1041">
        <v>3</v>
      </c>
      <c r="D81" s="1041">
        <v>4</v>
      </c>
      <c r="E81" s="1040">
        <v>5</v>
      </c>
      <c r="F81" s="1040">
        <v>6</v>
      </c>
      <c r="G81" s="1164">
        <v>7</v>
      </c>
      <c r="H81" s="1109" t="s">
        <v>33</v>
      </c>
      <c r="I81" s="1123"/>
    </row>
    <row r="82" spans="1:10" ht="16.5" thickTop="1" thickBot="1" x14ac:dyDescent="0.25">
      <c r="A82" s="1110">
        <v>2212</v>
      </c>
      <c r="B82" s="1111">
        <v>6121</v>
      </c>
      <c r="C82" s="2189" t="s">
        <v>952</v>
      </c>
      <c r="D82" s="1130" t="s">
        <v>312</v>
      </c>
      <c r="E82" s="1135">
        <v>3018</v>
      </c>
      <c r="F82" s="1135">
        <v>218</v>
      </c>
      <c r="G82" s="1135">
        <v>194</v>
      </c>
      <c r="H82" s="3050">
        <f>G82/F82*100</f>
        <v>88.9908256880734</v>
      </c>
      <c r="I82" s="1123"/>
    </row>
    <row r="83" spans="1:10" ht="16.5" thickTop="1" thickBot="1" x14ac:dyDescent="0.3">
      <c r="A83" s="2893" t="s">
        <v>394</v>
      </c>
      <c r="B83" s="2894"/>
      <c r="C83" s="2894"/>
      <c r="D83" s="2895"/>
      <c r="E83" s="1113">
        <f>SUM(E82:E82)</f>
        <v>3018</v>
      </c>
      <c r="F83" s="1113">
        <f>SUM(F82:F82)</f>
        <v>218</v>
      </c>
      <c r="G83" s="1113">
        <f>SUM(G82:G82)</f>
        <v>194</v>
      </c>
      <c r="H83" s="1381">
        <f>G83/F83*100</f>
        <v>88.9908256880734</v>
      </c>
      <c r="I83" s="1123"/>
    </row>
    <row r="84" spans="1:10" s="1183" customFormat="1" ht="18.75" thickTop="1" x14ac:dyDescent="0.25">
      <c r="A84" s="1101"/>
      <c r="B84" s="1097"/>
      <c r="C84" s="1097"/>
      <c r="D84" s="1097"/>
      <c r="E84" s="1098"/>
      <c r="F84" s="1123"/>
      <c r="G84" s="1123"/>
      <c r="H84" s="1123"/>
      <c r="I84" s="1098"/>
      <c r="J84" s="1153"/>
    </row>
    <row r="85" spans="1:10" s="1054" customFormat="1" ht="15" x14ac:dyDescent="0.25">
      <c r="A85" s="1103" t="s">
        <v>1687</v>
      </c>
      <c r="B85" s="1097"/>
      <c r="C85" s="1097"/>
      <c r="D85" s="1097"/>
      <c r="E85" s="1098"/>
      <c r="F85" s="1123"/>
      <c r="G85" s="1123"/>
      <c r="H85" s="1123"/>
      <c r="I85" s="1098"/>
    </row>
    <row r="86" spans="1:10" s="997" customFormat="1" ht="15.75" thickBot="1" x14ac:dyDescent="0.3">
      <c r="A86" s="1103" t="s">
        <v>1686</v>
      </c>
      <c r="B86" s="1097"/>
      <c r="C86" s="1097"/>
      <c r="D86" s="1097"/>
      <c r="E86" s="1098"/>
      <c r="F86" s="1123"/>
      <c r="G86" s="1123"/>
      <c r="H86" s="1177" t="s">
        <v>92</v>
      </c>
      <c r="I86" s="1098"/>
    </row>
    <row r="87" spans="1:10" ht="25.5" thickTop="1" thickBot="1" x14ac:dyDescent="0.25">
      <c r="A87" s="1104" t="s">
        <v>93</v>
      </c>
      <c r="B87" s="1105" t="s">
        <v>392</v>
      </c>
      <c r="C87" s="1105" t="s">
        <v>209</v>
      </c>
      <c r="D87" s="1106" t="s">
        <v>95</v>
      </c>
      <c r="E87" s="1127" t="s">
        <v>328</v>
      </c>
      <c r="F87" s="1127" t="s">
        <v>329</v>
      </c>
      <c r="G87" s="1128" t="s">
        <v>448</v>
      </c>
      <c r="H87" s="1129" t="s">
        <v>449</v>
      </c>
    </row>
    <row r="88" spans="1:10" ht="14.25" thickTop="1" thickBot="1" x14ac:dyDescent="0.25">
      <c r="A88" s="1042">
        <v>1</v>
      </c>
      <c r="B88" s="1041">
        <v>2</v>
      </c>
      <c r="C88" s="1041">
        <v>3</v>
      </c>
      <c r="D88" s="1041">
        <v>4</v>
      </c>
      <c r="E88" s="1040">
        <v>5</v>
      </c>
      <c r="F88" s="1040">
        <v>6</v>
      </c>
      <c r="G88" s="1164">
        <v>7</v>
      </c>
      <c r="H88" s="1109" t="s">
        <v>33</v>
      </c>
    </row>
    <row r="89" spans="1:10" ht="15.75" thickTop="1" x14ac:dyDescent="0.2">
      <c r="A89" s="1110">
        <v>2212</v>
      </c>
      <c r="B89" s="1182">
        <v>6121</v>
      </c>
      <c r="C89" s="1216" t="s">
        <v>952</v>
      </c>
      <c r="D89" s="1130" t="s">
        <v>312</v>
      </c>
      <c r="E89" s="1135">
        <v>200</v>
      </c>
      <c r="F89" s="1135">
        <v>200</v>
      </c>
      <c r="G89" s="1135">
        <v>68</v>
      </c>
      <c r="H89" s="3050">
        <f t="shared" ref="H89:H96" si="3">G89/F89*100</f>
        <v>34</v>
      </c>
    </row>
    <row r="90" spans="1:10" ht="15" x14ac:dyDescent="0.2">
      <c r="A90" s="1110">
        <v>2212</v>
      </c>
      <c r="B90" s="1182">
        <v>6121</v>
      </c>
      <c r="C90" s="1182">
        <v>107100880</v>
      </c>
      <c r="D90" s="1130" t="s">
        <v>312</v>
      </c>
      <c r="E90" s="1135">
        <v>0</v>
      </c>
      <c r="F90" s="1135">
        <v>9047</v>
      </c>
      <c r="G90" s="1135">
        <v>8329</v>
      </c>
      <c r="H90" s="3050">
        <f t="shared" si="3"/>
        <v>92.063667514093069</v>
      </c>
    </row>
    <row r="91" spans="1:10" ht="15" x14ac:dyDescent="0.2">
      <c r="A91" s="1110">
        <v>2212</v>
      </c>
      <c r="B91" s="1111">
        <v>6121</v>
      </c>
      <c r="C91" s="1111">
        <v>107100884</v>
      </c>
      <c r="D91" s="1130" t="s">
        <v>312</v>
      </c>
      <c r="E91" s="1135">
        <v>0</v>
      </c>
      <c r="F91" s="1135">
        <v>10010</v>
      </c>
      <c r="G91" s="1135">
        <v>7831</v>
      </c>
      <c r="H91" s="3050">
        <f t="shared" si="3"/>
        <v>78.231768231768228</v>
      </c>
    </row>
    <row r="92" spans="1:10" ht="15" x14ac:dyDescent="0.2">
      <c r="A92" s="1110">
        <v>2212</v>
      </c>
      <c r="B92" s="1111">
        <v>6121</v>
      </c>
      <c r="C92" s="1216" t="s">
        <v>1688</v>
      </c>
      <c r="D92" s="1130" t="s">
        <v>312</v>
      </c>
      <c r="E92" s="1135">
        <v>0</v>
      </c>
      <c r="F92" s="1135">
        <v>4697</v>
      </c>
      <c r="G92" s="1135">
        <v>4164</v>
      </c>
      <c r="H92" s="3050">
        <f t="shared" si="3"/>
        <v>88.652331275282094</v>
      </c>
      <c r="I92" s="1123"/>
    </row>
    <row r="93" spans="1:10" ht="15" x14ac:dyDescent="0.2">
      <c r="A93" s="1110">
        <v>2212</v>
      </c>
      <c r="B93" s="1182">
        <v>6121</v>
      </c>
      <c r="C93" s="1111">
        <v>107500893</v>
      </c>
      <c r="D93" s="1130" t="s">
        <v>312</v>
      </c>
      <c r="E93" s="1135">
        <v>0</v>
      </c>
      <c r="F93" s="1135">
        <v>79858</v>
      </c>
      <c r="G93" s="1135">
        <v>70804</v>
      </c>
      <c r="H93" s="3050">
        <f t="shared" si="3"/>
        <v>88.662375716897486</v>
      </c>
      <c r="I93" s="1123"/>
    </row>
    <row r="94" spans="1:10" ht="15" x14ac:dyDescent="0.2">
      <c r="A94" s="1110">
        <v>6330</v>
      </c>
      <c r="B94" s="1182">
        <v>5345</v>
      </c>
      <c r="C94" s="1182"/>
      <c r="D94" s="1130" t="s">
        <v>312</v>
      </c>
      <c r="E94" s="1135">
        <v>0</v>
      </c>
      <c r="F94" s="1135">
        <v>0</v>
      </c>
      <c r="G94" s="1135">
        <v>35723</v>
      </c>
      <c r="H94" s="3050">
        <v>0</v>
      </c>
      <c r="I94" s="1123"/>
    </row>
    <row r="95" spans="1:10" ht="15.75" thickBot="1" x14ac:dyDescent="0.25">
      <c r="A95" s="1110">
        <v>6409</v>
      </c>
      <c r="B95" s="1182">
        <v>5901</v>
      </c>
      <c r="C95" s="1182"/>
      <c r="D95" s="1130" t="s">
        <v>311</v>
      </c>
      <c r="E95" s="1135">
        <v>0</v>
      </c>
      <c r="F95" s="1135">
        <v>35723</v>
      </c>
      <c r="G95" s="1135">
        <v>0</v>
      </c>
      <c r="H95" s="3050">
        <f t="shared" si="3"/>
        <v>0</v>
      </c>
      <c r="I95" s="1123"/>
    </row>
    <row r="96" spans="1:10" ht="16.5" thickTop="1" thickBot="1" x14ac:dyDescent="0.3">
      <c r="A96" s="2893" t="s">
        <v>394</v>
      </c>
      <c r="B96" s="2894"/>
      <c r="C96" s="2894"/>
      <c r="D96" s="2895"/>
      <c r="E96" s="1113">
        <f>SUM(E89:E95)</f>
        <v>200</v>
      </c>
      <c r="F96" s="1113">
        <f t="shared" ref="F96:G96" si="4">SUM(F89:F95)</f>
        <v>139535</v>
      </c>
      <c r="G96" s="1113">
        <f t="shared" si="4"/>
        <v>126919</v>
      </c>
      <c r="H96" s="1381">
        <f t="shared" si="3"/>
        <v>90.958540867882604</v>
      </c>
      <c r="I96" s="1123"/>
    </row>
    <row r="97" spans="1:10" s="1183" customFormat="1" ht="18.75" thickTop="1" x14ac:dyDescent="0.25">
      <c r="A97" s="1101"/>
      <c r="B97" s="1097"/>
      <c r="C97" s="1097"/>
      <c r="D97" s="1097"/>
      <c r="E97" s="1098"/>
      <c r="F97" s="1123"/>
      <c r="G97" s="1123"/>
      <c r="H97" s="1123"/>
      <c r="I97" s="1098"/>
      <c r="J97" s="1153"/>
    </row>
    <row r="98" spans="1:10" ht="15" x14ac:dyDescent="0.25">
      <c r="A98" s="1103" t="s">
        <v>1690</v>
      </c>
      <c r="I98" s="1123"/>
    </row>
    <row r="99" spans="1:10" ht="15.75" thickBot="1" x14ac:dyDescent="0.3">
      <c r="A99" s="1103" t="s">
        <v>1689</v>
      </c>
      <c r="H99" s="1120" t="s">
        <v>92</v>
      </c>
      <c r="I99" s="1123"/>
    </row>
    <row r="100" spans="1:10" ht="25.5" thickTop="1" thickBot="1" x14ac:dyDescent="0.25">
      <c r="A100" s="1104" t="s">
        <v>93</v>
      </c>
      <c r="B100" s="1105" t="s">
        <v>392</v>
      </c>
      <c r="C100" s="1105" t="s">
        <v>209</v>
      </c>
      <c r="D100" s="1106" t="s">
        <v>95</v>
      </c>
      <c r="E100" s="1127" t="s">
        <v>328</v>
      </c>
      <c r="F100" s="1127" t="s">
        <v>329</v>
      </c>
      <c r="G100" s="1128" t="s">
        <v>448</v>
      </c>
      <c r="H100" s="1129" t="s">
        <v>449</v>
      </c>
      <c r="I100" s="1123"/>
    </row>
    <row r="101" spans="1:10" ht="14.25" thickTop="1" thickBot="1" x14ac:dyDescent="0.25">
      <c r="A101" s="1042">
        <v>1</v>
      </c>
      <c r="B101" s="1041">
        <v>2</v>
      </c>
      <c r="C101" s="1041">
        <v>3</v>
      </c>
      <c r="D101" s="1041">
        <v>4</v>
      </c>
      <c r="E101" s="1040">
        <v>5</v>
      </c>
      <c r="F101" s="1040">
        <v>6</v>
      </c>
      <c r="G101" s="1164">
        <v>7</v>
      </c>
      <c r="H101" s="1109" t="s">
        <v>33</v>
      </c>
      <c r="I101" s="1123"/>
    </row>
    <row r="102" spans="1:10" s="1136" customFormat="1" ht="22.5" customHeight="1" thickTop="1" thickBot="1" x14ac:dyDescent="0.25">
      <c r="A102" s="1181">
        <v>6409</v>
      </c>
      <c r="B102" s="1187">
        <v>5909</v>
      </c>
      <c r="C102" s="2898"/>
      <c r="D102" s="1130" t="s">
        <v>406</v>
      </c>
      <c r="E102" s="1135">
        <v>0</v>
      </c>
      <c r="F102" s="1135">
        <v>347</v>
      </c>
      <c r="G102" s="1135">
        <v>347</v>
      </c>
      <c r="H102" s="3050">
        <f>G102/F102*100</f>
        <v>100</v>
      </c>
      <c r="I102" s="2587"/>
    </row>
    <row r="103" spans="1:10" ht="16.5" thickTop="1" thickBot="1" x14ac:dyDescent="0.3">
      <c r="A103" s="2893" t="s">
        <v>394</v>
      </c>
      <c r="B103" s="2894"/>
      <c r="C103" s="2894"/>
      <c r="D103" s="2895"/>
      <c r="E103" s="1113">
        <f>SUM(E102:E102)</f>
        <v>0</v>
      </c>
      <c r="F103" s="1113">
        <f>SUM(F102:F102)</f>
        <v>347</v>
      </c>
      <c r="G103" s="1113">
        <f>SUM(G102:G102)</f>
        <v>347</v>
      </c>
      <c r="H103" s="1381">
        <f>G103/F103*100</f>
        <v>100</v>
      </c>
      <c r="I103" s="1123"/>
    </row>
    <row r="104" spans="1:10" s="1183" customFormat="1" ht="18.75" thickTop="1" x14ac:dyDescent="0.25">
      <c r="A104" s="1101"/>
      <c r="B104" s="1097"/>
      <c r="C104" s="1097"/>
      <c r="D104" s="1097"/>
      <c r="E104" s="1098"/>
      <c r="F104" s="1123"/>
      <c r="G104" s="1123"/>
      <c r="H104" s="1123"/>
      <c r="I104" s="1098"/>
      <c r="J104" s="1153"/>
    </row>
    <row r="105" spans="1:10" ht="15" x14ac:dyDescent="0.25">
      <c r="A105" s="1103" t="s">
        <v>1692</v>
      </c>
      <c r="I105" s="1123"/>
    </row>
    <row r="106" spans="1:10" ht="15.75" thickBot="1" x14ac:dyDescent="0.3">
      <c r="A106" s="1103" t="s">
        <v>1691</v>
      </c>
      <c r="H106" s="1120" t="s">
        <v>92</v>
      </c>
      <c r="I106" s="1123"/>
    </row>
    <row r="107" spans="1:10" ht="25.5" thickTop="1" thickBot="1" x14ac:dyDescent="0.25">
      <c r="A107" s="1104" t="s">
        <v>93</v>
      </c>
      <c r="B107" s="1105" t="s">
        <v>392</v>
      </c>
      <c r="C107" s="1105" t="s">
        <v>209</v>
      </c>
      <c r="D107" s="1106" t="s">
        <v>95</v>
      </c>
      <c r="E107" s="1127" t="s">
        <v>328</v>
      </c>
      <c r="F107" s="1127" t="s">
        <v>329</v>
      </c>
      <c r="G107" s="1128" t="s">
        <v>448</v>
      </c>
      <c r="H107" s="1129" t="s">
        <v>449</v>
      </c>
      <c r="I107" s="1123"/>
    </row>
    <row r="108" spans="1:10" ht="14.25" thickTop="1" thickBot="1" x14ac:dyDescent="0.25">
      <c r="A108" s="1042">
        <v>1</v>
      </c>
      <c r="B108" s="1041">
        <v>2</v>
      </c>
      <c r="C108" s="1041">
        <v>3</v>
      </c>
      <c r="D108" s="1041">
        <v>5</v>
      </c>
      <c r="E108" s="1040">
        <v>6</v>
      </c>
      <c r="F108" s="1040">
        <v>7</v>
      </c>
      <c r="G108" s="1164">
        <v>8</v>
      </c>
      <c r="H108" s="1109" t="s">
        <v>393</v>
      </c>
      <c r="I108" s="1123"/>
    </row>
    <row r="109" spans="1:10" ht="16.5" thickTop="1" thickBot="1" x14ac:dyDescent="0.25">
      <c r="A109" s="1110">
        <v>2212</v>
      </c>
      <c r="B109" s="1111">
        <v>6121</v>
      </c>
      <c r="C109" s="2189" t="s">
        <v>952</v>
      </c>
      <c r="D109" s="1130" t="s">
        <v>430</v>
      </c>
      <c r="E109" s="1135">
        <v>1027</v>
      </c>
      <c r="F109" s="1135">
        <v>0</v>
      </c>
      <c r="G109" s="1135">
        <v>0</v>
      </c>
      <c r="H109" s="3050">
        <v>0</v>
      </c>
      <c r="I109" s="1123"/>
    </row>
    <row r="110" spans="1:10" ht="16.5" thickTop="1" thickBot="1" x14ac:dyDescent="0.3">
      <c r="A110" s="2893" t="s">
        <v>394</v>
      </c>
      <c r="B110" s="2894"/>
      <c r="C110" s="2894"/>
      <c r="D110" s="2895"/>
      <c r="E110" s="1113">
        <f>SUM(E109:E109)</f>
        <v>1027</v>
      </c>
      <c r="F110" s="1113">
        <f>SUM(F109:F109)</f>
        <v>0</v>
      </c>
      <c r="G110" s="1113">
        <f>SUM(G109:G109)</f>
        <v>0</v>
      </c>
      <c r="H110" s="1381">
        <v>0</v>
      </c>
      <c r="I110" s="1123"/>
    </row>
    <row r="111" spans="1:10" s="1183" customFormat="1" ht="18.75" thickTop="1" x14ac:dyDescent="0.25">
      <c r="A111" s="1101"/>
      <c r="B111" s="1097"/>
      <c r="C111" s="1097"/>
      <c r="D111" s="1097"/>
      <c r="E111" s="1098"/>
      <c r="F111" s="1123"/>
      <c r="G111" s="1123"/>
      <c r="H111" s="1123"/>
      <c r="I111" s="1098"/>
      <c r="J111" s="1153"/>
    </row>
    <row r="112" spans="1:10" ht="15" x14ac:dyDescent="0.25">
      <c r="A112" s="1103" t="s">
        <v>1694</v>
      </c>
      <c r="I112" s="1123"/>
    </row>
    <row r="113" spans="1:10" ht="15.75" thickBot="1" x14ac:dyDescent="0.3">
      <c r="A113" s="1103" t="s">
        <v>1693</v>
      </c>
      <c r="H113" s="1120" t="s">
        <v>92</v>
      </c>
      <c r="I113" s="1123"/>
    </row>
    <row r="114" spans="1:10" ht="25.5" thickTop="1" thickBot="1" x14ac:dyDescent="0.25">
      <c r="A114" s="1104" t="s">
        <v>93</v>
      </c>
      <c r="B114" s="1105" t="s">
        <v>392</v>
      </c>
      <c r="C114" s="1105" t="s">
        <v>209</v>
      </c>
      <c r="D114" s="1106" t="s">
        <v>95</v>
      </c>
      <c r="E114" s="1127" t="s">
        <v>328</v>
      </c>
      <c r="F114" s="1127" t="s">
        <v>329</v>
      </c>
      <c r="G114" s="1128" t="s">
        <v>448</v>
      </c>
      <c r="H114" s="1129" t="s">
        <v>449</v>
      </c>
      <c r="I114" s="1123"/>
    </row>
    <row r="115" spans="1:10" ht="14.25" thickTop="1" thickBot="1" x14ac:dyDescent="0.25">
      <c r="A115" s="1042">
        <v>1</v>
      </c>
      <c r="B115" s="1041">
        <v>2</v>
      </c>
      <c r="C115" s="1041">
        <v>3</v>
      </c>
      <c r="D115" s="1041">
        <v>4</v>
      </c>
      <c r="E115" s="1040">
        <v>5</v>
      </c>
      <c r="F115" s="1040">
        <v>6</v>
      </c>
      <c r="G115" s="1164">
        <v>7</v>
      </c>
      <c r="H115" s="1109" t="s">
        <v>33</v>
      </c>
      <c r="I115" s="1123"/>
    </row>
    <row r="116" spans="1:10" ht="16.5" thickTop="1" thickBot="1" x14ac:dyDescent="0.25">
      <c r="A116" s="1110">
        <v>2212</v>
      </c>
      <c r="B116" s="1111">
        <v>6121</v>
      </c>
      <c r="C116" s="2189" t="s">
        <v>952</v>
      </c>
      <c r="D116" s="1130" t="s">
        <v>312</v>
      </c>
      <c r="E116" s="1135">
        <v>664</v>
      </c>
      <c r="F116" s="1135">
        <v>664</v>
      </c>
      <c r="G116" s="1135">
        <v>0</v>
      </c>
      <c r="H116" s="3050">
        <f>G116/F116*100</f>
        <v>0</v>
      </c>
      <c r="I116" s="1123"/>
    </row>
    <row r="117" spans="1:10" ht="16.5" thickTop="1" thickBot="1" x14ac:dyDescent="0.3">
      <c r="A117" s="2893" t="s">
        <v>394</v>
      </c>
      <c r="B117" s="2894"/>
      <c r="C117" s="2894"/>
      <c r="D117" s="2895"/>
      <c r="E117" s="1113">
        <f>SUM(E116:E116)</f>
        <v>664</v>
      </c>
      <c r="F117" s="1113">
        <f>SUM(F116:F116)</f>
        <v>664</v>
      </c>
      <c r="G117" s="1113">
        <f>SUM(G116:G116)</f>
        <v>0</v>
      </c>
      <c r="H117" s="1381">
        <f>G117/F117*100</f>
        <v>0</v>
      </c>
      <c r="I117" s="1123"/>
    </row>
    <row r="118" spans="1:10" s="1183" customFormat="1" ht="18.75" thickTop="1" x14ac:dyDescent="0.25">
      <c r="A118" s="1101"/>
      <c r="B118" s="1097"/>
      <c r="C118" s="1097"/>
      <c r="D118" s="1097"/>
      <c r="E118" s="1098"/>
      <c r="F118" s="1123"/>
      <c r="G118" s="1123"/>
      <c r="H118" s="1123"/>
      <c r="I118" s="1098"/>
      <c r="J118" s="1153"/>
    </row>
    <row r="119" spans="1:10" ht="15" x14ac:dyDescent="0.25">
      <c r="A119" s="1103" t="s">
        <v>1696</v>
      </c>
      <c r="I119" s="1123"/>
    </row>
    <row r="120" spans="1:10" ht="15.75" thickBot="1" x14ac:dyDescent="0.3">
      <c r="A120" s="1103" t="s">
        <v>1695</v>
      </c>
      <c r="H120" s="1120" t="s">
        <v>92</v>
      </c>
      <c r="I120" s="1123"/>
    </row>
    <row r="121" spans="1:10" ht="25.5" thickTop="1" thickBot="1" x14ac:dyDescent="0.25">
      <c r="A121" s="1104" t="s">
        <v>93</v>
      </c>
      <c r="B121" s="1105" t="s">
        <v>392</v>
      </c>
      <c r="C121" s="1105" t="s">
        <v>209</v>
      </c>
      <c r="D121" s="1106" t="s">
        <v>95</v>
      </c>
      <c r="E121" s="1127" t="s">
        <v>328</v>
      </c>
      <c r="F121" s="1127" t="s">
        <v>329</v>
      </c>
      <c r="G121" s="1128" t="s">
        <v>448</v>
      </c>
      <c r="H121" s="1129" t="s">
        <v>449</v>
      </c>
      <c r="I121" s="1123"/>
    </row>
    <row r="122" spans="1:10" ht="14.25" thickTop="1" thickBot="1" x14ac:dyDescent="0.25">
      <c r="A122" s="1042">
        <v>1</v>
      </c>
      <c r="B122" s="1041">
        <v>2</v>
      </c>
      <c r="C122" s="1041">
        <v>3</v>
      </c>
      <c r="D122" s="1041">
        <v>4</v>
      </c>
      <c r="E122" s="1040">
        <v>5</v>
      </c>
      <c r="F122" s="1040">
        <v>6</v>
      </c>
      <c r="G122" s="1164">
        <v>7</v>
      </c>
      <c r="H122" s="1109" t="s">
        <v>33</v>
      </c>
      <c r="I122" s="1123"/>
    </row>
    <row r="123" spans="1:10" ht="16.5" thickTop="1" thickBot="1" x14ac:dyDescent="0.25">
      <c r="A123" s="1110">
        <v>2212</v>
      </c>
      <c r="B123" s="1111">
        <v>6121</v>
      </c>
      <c r="C123" s="2189" t="s">
        <v>952</v>
      </c>
      <c r="D123" s="1130" t="s">
        <v>312</v>
      </c>
      <c r="E123" s="1135">
        <v>10200</v>
      </c>
      <c r="F123" s="1135">
        <v>8900</v>
      </c>
      <c r="G123" s="1135">
        <v>8538</v>
      </c>
      <c r="H123" s="3050">
        <f>G123/F123*100</f>
        <v>95.932584269662925</v>
      </c>
      <c r="I123" s="1123"/>
    </row>
    <row r="124" spans="1:10" ht="16.5" thickTop="1" thickBot="1" x14ac:dyDescent="0.3">
      <c r="A124" s="2893" t="s">
        <v>394</v>
      </c>
      <c r="B124" s="2894"/>
      <c r="C124" s="2894"/>
      <c r="D124" s="2895"/>
      <c r="E124" s="1113">
        <f>SUM(E123:E123)</f>
        <v>10200</v>
      </c>
      <c r="F124" s="1113">
        <f>SUM(F123:F123)</f>
        <v>8900</v>
      </c>
      <c r="G124" s="1113">
        <f>SUM(G123:G123)</f>
        <v>8538</v>
      </c>
      <c r="H124" s="1381">
        <f>G124/F124*100</f>
        <v>95.932584269662925</v>
      </c>
      <c r="I124" s="1123"/>
    </row>
    <row r="125" spans="1:10" s="1183" customFormat="1" ht="18.75" thickTop="1" x14ac:dyDescent="0.25">
      <c r="A125" s="1101"/>
      <c r="B125" s="1097"/>
      <c r="C125" s="1097"/>
      <c r="D125" s="1097"/>
      <c r="E125" s="1098"/>
      <c r="F125" s="1123"/>
      <c r="G125" s="1123"/>
      <c r="H125" s="1123"/>
      <c r="I125" s="1098"/>
      <c r="J125" s="1153"/>
    </row>
    <row r="126" spans="1:10" ht="15" x14ac:dyDescent="0.25">
      <c r="A126" s="1103" t="s">
        <v>1698</v>
      </c>
      <c r="I126" s="1123"/>
    </row>
    <row r="127" spans="1:10" ht="15.75" thickBot="1" x14ac:dyDescent="0.3">
      <c r="A127" s="1103" t="s">
        <v>1697</v>
      </c>
      <c r="H127" s="1120" t="s">
        <v>92</v>
      </c>
      <c r="I127" s="1123"/>
    </row>
    <row r="128" spans="1:10" ht="25.5" thickTop="1" thickBot="1" x14ac:dyDescent="0.25">
      <c r="A128" s="1104" t="s">
        <v>93</v>
      </c>
      <c r="B128" s="1105" t="s">
        <v>392</v>
      </c>
      <c r="C128" s="1105" t="s">
        <v>209</v>
      </c>
      <c r="D128" s="1106" t="s">
        <v>95</v>
      </c>
      <c r="E128" s="1127" t="s">
        <v>328</v>
      </c>
      <c r="F128" s="1127" t="s">
        <v>329</v>
      </c>
      <c r="G128" s="1128" t="s">
        <v>448</v>
      </c>
      <c r="H128" s="1129" t="s">
        <v>449</v>
      </c>
      <c r="I128" s="1123"/>
    </row>
    <row r="129" spans="1:10" ht="14.25" thickTop="1" thickBot="1" x14ac:dyDescent="0.25">
      <c r="A129" s="1042">
        <v>1</v>
      </c>
      <c r="B129" s="1041">
        <v>2</v>
      </c>
      <c r="C129" s="1041">
        <v>3</v>
      </c>
      <c r="D129" s="1041">
        <v>4</v>
      </c>
      <c r="E129" s="1040">
        <v>5</v>
      </c>
      <c r="F129" s="1040">
        <v>6</v>
      </c>
      <c r="G129" s="1164">
        <v>7</v>
      </c>
      <c r="H129" s="1109" t="s">
        <v>33</v>
      </c>
      <c r="I129" s="1123"/>
    </row>
    <row r="130" spans="1:10" ht="16.5" thickTop="1" thickBot="1" x14ac:dyDescent="0.25">
      <c r="A130" s="1110">
        <v>2212</v>
      </c>
      <c r="B130" s="1111">
        <v>6121</v>
      </c>
      <c r="C130" s="2189" t="s">
        <v>952</v>
      </c>
      <c r="D130" s="1130" t="s">
        <v>312</v>
      </c>
      <c r="E130" s="1135">
        <v>200</v>
      </c>
      <c r="F130" s="1135">
        <v>200</v>
      </c>
      <c r="G130" s="1135">
        <v>91</v>
      </c>
      <c r="H130" s="3050">
        <f>G130/F130*100</f>
        <v>45.5</v>
      </c>
      <c r="I130" s="1123"/>
    </row>
    <row r="131" spans="1:10" ht="16.5" thickTop="1" thickBot="1" x14ac:dyDescent="0.3">
      <c r="A131" s="2893" t="s">
        <v>394</v>
      </c>
      <c r="B131" s="2894"/>
      <c r="C131" s="2894"/>
      <c r="D131" s="2895"/>
      <c r="E131" s="1113">
        <f>SUM(E130:E130)</f>
        <v>200</v>
      </c>
      <c r="F131" s="1113">
        <f>SUM(F130:F130)</f>
        <v>200</v>
      </c>
      <c r="G131" s="1113">
        <f>SUM(G130:G130)</f>
        <v>91</v>
      </c>
      <c r="H131" s="1381">
        <f>G131/F131*100</f>
        <v>45.5</v>
      </c>
      <c r="I131" s="1123"/>
    </row>
    <row r="132" spans="1:10" s="1183" customFormat="1" ht="18.75" thickTop="1" x14ac:dyDescent="0.25">
      <c r="A132" s="1101"/>
      <c r="B132" s="1097"/>
      <c r="C132" s="1097"/>
      <c r="D132" s="1097"/>
      <c r="E132" s="1098"/>
      <c r="F132" s="1123"/>
      <c r="G132" s="1123"/>
      <c r="H132" s="1123"/>
      <c r="I132" s="1098"/>
      <c r="J132" s="1153"/>
    </row>
    <row r="133" spans="1:10" s="1183" customFormat="1" ht="18" hidden="1" x14ac:dyDescent="0.25">
      <c r="A133" s="1101"/>
      <c r="B133" s="1097"/>
      <c r="C133" s="1097"/>
      <c r="D133" s="1097"/>
      <c r="E133" s="1098"/>
      <c r="F133" s="1123"/>
      <c r="G133" s="1123"/>
      <c r="H133" s="1123"/>
      <c r="I133" s="1098"/>
      <c r="J133" s="1153"/>
    </row>
    <row r="134" spans="1:10" s="1183" customFormat="1" ht="18" hidden="1" x14ac:dyDescent="0.25">
      <c r="A134" s="1101"/>
      <c r="B134" s="1097"/>
      <c r="C134" s="1097"/>
      <c r="D134" s="1097"/>
      <c r="E134" s="1098"/>
      <c r="F134" s="1123"/>
      <c r="G134" s="1123"/>
      <c r="H134" s="1123"/>
      <c r="I134" s="1098"/>
      <c r="J134" s="1153"/>
    </row>
    <row r="135" spans="1:10" s="1183" customFormat="1" ht="18" hidden="1" x14ac:dyDescent="0.25">
      <c r="A135" s="1101"/>
      <c r="B135" s="1097"/>
      <c r="C135" s="1097"/>
      <c r="D135" s="1097"/>
      <c r="E135" s="1098"/>
      <c r="F135" s="1123"/>
      <c r="G135" s="1123"/>
      <c r="H135" s="1123"/>
      <c r="I135" s="1098"/>
      <c r="J135" s="1153"/>
    </row>
    <row r="136" spans="1:10" s="1183" customFormat="1" ht="18" hidden="1" x14ac:dyDescent="0.25">
      <c r="A136" s="1101"/>
      <c r="B136" s="1097"/>
      <c r="C136" s="1097"/>
      <c r="D136" s="1097"/>
      <c r="E136" s="1098"/>
      <c r="F136" s="1123"/>
      <c r="G136" s="1123"/>
      <c r="H136" s="1123"/>
      <c r="I136" s="1098"/>
      <c r="J136" s="1153"/>
    </row>
    <row r="137" spans="1:10" s="1183" customFormat="1" ht="18" hidden="1" x14ac:dyDescent="0.25">
      <c r="A137" s="1101"/>
      <c r="B137" s="1097"/>
      <c r="C137" s="1097"/>
      <c r="D137" s="1097"/>
      <c r="E137" s="1098"/>
      <c r="F137" s="1123"/>
      <c r="G137" s="1123"/>
      <c r="H137" s="1123"/>
      <c r="I137" s="1098"/>
      <c r="J137" s="1153"/>
    </row>
    <row r="138" spans="1:10" s="1183" customFormat="1" ht="18" hidden="1" x14ac:dyDescent="0.25">
      <c r="A138" s="1101"/>
      <c r="B138" s="1097"/>
      <c r="C138" s="1097"/>
      <c r="D138" s="1097"/>
      <c r="E138" s="1098"/>
      <c r="F138" s="1123"/>
      <c r="G138" s="1123"/>
      <c r="H138" s="1123"/>
      <c r="I138" s="1098"/>
      <c r="J138" s="1153"/>
    </row>
    <row r="139" spans="1:10" s="1183" customFormat="1" ht="18" hidden="1" x14ac:dyDescent="0.25">
      <c r="A139" s="1101"/>
      <c r="B139" s="1097"/>
      <c r="C139" s="1097"/>
      <c r="D139" s="1097"/>
      <c r="E139" s="1098"/>
      <c r="F139" s="1123"/>
      <c r="G139" s="1123"/>
      <c r="H139" s="1123"/>
      <c r="I139" s="1098"/>
      <c r="J139" s="1153"/>
    </row>
    <row r="140" spans="1:10" ht="15" x14ac:dyDescent="0.25">
      <c r="A140" s="1137"/>
      <c r="B140" s="1137"/>
      <c r="C140" s="1137"/>
      <c r="D140" s="1137"/>
      <c r="E140" s="1119"/>
      <c r="F140" s="1119"/>
      <c r="G140" s="1119"/>
      <c r="H140" s="1138"/>
      <c r="I140" s="1178"/>
    </row>
    <row r="141" spans="1:10" s="1054" customFormat="1" ht="15" x14ac:dyDescent="0.25">
      <c r="A141" s="1103" t="s">
        <v>1424</v>
      </c>
      <c r="B141" s="1097"/>
      <c r="C141" s="1097"/>
      <c r="D141" s="1097"/>
      <c r="E141" s="1098"/>
      <c r="F141" s="1123"/>
      <c r="G141" s="1123"/>
      <c r="H141" s="1123"/>
      <c r="I141" s="1098"/>
    </row>
    <row r="142" spans="1:10" s="997" customFormat="1" ht="15.75" thickBot="1" x14ac:dyDescent="0.3">
      <c r="A142" s="1103" t="s">
        <v>1008</v>
      </c>
      <c r="B142" s="1097"/>
      <c r="C142" s="1097"/>
      <c r="D142" s="1097"/>
      <c r="E142" s="1098"/>
      <c r="F142" s="1123"/>
      <c r="G142" s="1123"/>
      <c r="H142" s="1177" t="s">
        <v>92</v>
      </c>
      <c r="I142" s="1098"/>
    </row>
    <row r="143" spans="1:10" ht="25.5" thickTop="1" thickBot="1" x14ac:dyDescent="0.25">
      <c r="A143" s="1104" t="s">
        <v>93</v>
      </c>
      <c r="B143" s="1105" t="s">
        <v>392</v>
      </c>
      <c r="C143" s="1105" t="s">
        <v>209</v>
      </c>
      <c r="D143" s="1106" t="s">
        <v>95</v>
      </c>
      <c r="E143" s="1127" t="s">
        <v>328</v>
      </c>
      <c r="F143" s="1127" t="s">
        <v>329</v>
      </c>
      <c r="G143" s="1128" t="s">
        <v>448</v>
      </c>
      <c r="H143" s="1129" t="s">
        <v>449</v>
      </c>
    </row>
    <row r="144" spans="1:10" ht="14.25" thickTop="1" thickBot="1" x14ac:dyDescent="0.25">
      <c r="A144" s="1042">
        <v>1</v>
      </c>
      <c r="B144" s="1041">
        <v>2</v>
      </c>
      <c r="C144" s="1041">
        <v>3</v>
      </c>
      <c r="D144" s="1041">
        <v>4</v>
      </c>
      <c r="E144" s="1040">
        <v>5</v>
      </c>
      <c r="F144" s="1040">
        <v>6</v>
      </c>
      <c r="G144" s="1164">
        <v>7</v>
      </c>
      <c r="H144" s="1109" t="s">
        <v>33</v>
      </c>
    </row>
    <row r="145" spans="1:9" ht="15.75" hidden="1" thickTop="1" x14ac:dyDescent="0.2">
      <c r="A145" s="1110">
        <v>2212</v>
      </c>
      <c r="B145" s="1182">
        <v>6121</v>
      </c>
      <c r="C145" s="1182">
        <v>12</v>
      </c>
      <c r="D145" s="1130" t="s">
        <v>312</v>
      </c>
      <c r="E145" s="1135">
        <v>0</v>
      </c>
      <c r="F145" s="1135">
        <v>0</v>
      </c>
      <c r="G145" s="1135">
        <v>0</v>
      </c>
      <c r="H145" s="1116" t="e">
        <f t="shared" ref="H145:H150" si="5">G145/F145*100</f>
        <v>#DIV/0!</v>
      </c>
    </row>
    <row r="146" spans="1:9" ht="15.75" hidden="1" thickTop="1" x14ac:dyDescent="0.2">
      <c r="A146" s="1110">
        <v>2212</v>
      </c>
      <c r="B146" s="1111">
        <v>6121</v>
      </c>
      <c r="C146" s="1111">
        <v>38100880</v>
      </c>
      <c r="D146" s="1130" t="s">
        <v>312</v>
      </c>
      <c r="E146" s="1135">
        <v>0</v>
      </c>
      <c r="F146" s="1135">
        <v>0</v>
      </c>
      <c r="G146" s="1135">
        <v>0</v>
      </c>
      <c r="H146" s="1116" t="e">
        <f t="shared" si="5"/>
        <v>#DIV/0!</v>
      </c>
    </row>
    <row r="147" spans="1:9" ht="16.5" thickTop="1" thickBot="1" x14ac:dyDescent="0.25">
      <c r="A147" s="1110">
        <v>2212</v>
      </c>
      <c r="B147" s="1111">
        <v>6121</v>
      </c>
      <c r="C147" s="1216" t="s">
        <v>952</v>
      </c>
      <c r="D147" s="1130" t="s">
        <v>312</v>
      </c>
      <c r="E147" s="1135">
        <v>700</v>
      </c>
      <c r="F147" s="1135">
        <v>216</v>
      </c>
      <c r="G147" s="1135">
        <v>181</v>
      </c>
      <c r="H147" s="3050">
        <f t="shared" si="5"/>
        <v>83.796296296296291</v>
      </c>
      <c r="I147" s="1123"/>
    </row>
    <row r="148" spans="1:9" ht="15.75" hidden="1" thickBot="1" x14ac:dyDescent="0.25">
      <c r="A148" s="1110">
        <v>2212</v>
      </c>
      <c r="B148" s="1182">
        <v>6121</v>
      </c>
      <c r="C148" s="1182">
        <v>38500881</v>
      </c>
      <c r="D148" s="1130" t="s">
        <v>312</v>
      </c>
      <c r="E148" s="1135">
        <v>0</v>
      </c>
      <c r="F148" s="1135">
        <v>0</v>
      </c>
      <c r="G148" s="1135">
        <v>0</v>
      </c>
      <c r="H148" s="3050" t="e">
        <f t="shared" si="5"/>
        <v>#DIV/0!</v>
      </c>
      <c r="I148" s="1123"/>
    </row>
    <row r="149" spans="1:9" ht="15.75" hidden="1" thickBot="1" x14ac:dyDescent="0.25">
      <c r="A149" s="1110">
        <v>2212</v>
      </c>
      <c r="B149" s="1182">
        <v>6121</v>
      </c>
      <c r="C149" s="1182">
        <v>38500871</v>
      </c>
      <c r="D149" s="1130" t="s">
        <v>312</v>
      </c>
      <c r="E149" s="1135">
        <v>0</v>
      </c>
      <c r="F149" s="1135">
        <v>0</v>
      </c>
      <c r="G149" s="1135">
        <v>0</v>
      </c>
      <c r="H149" s="3050" t="e">
        <f t="shared" si="5"/>
        <v>#DIV/0!</v>
      </c>
      <c r="I149" s="1123"/>
    </row>
    <row r="150" spans="1:9" ht="16.5" thickTop="1" thickBot="1" x14ac:dyDescent="0.3">
      <c r="A150" s="2568" t="s">
        <v>394</v>
      </c>
      <c r="B150" s="2569"/>
      <c r="C150" s="2569"/>
      <c r="D150" s="2570"/>
      <c r="E150" s="1113">
        <f>SUM(E145:E149)</f>
        <v>700</v>
      </c>
      <c r="F150" s="1113">
        <f>SUM(F145:F149)</f>
        <v>216</v>
      </c>
      <c r="G150" s="1113">
        <f>SUM(G145:G149)</f>
        <v>181</v>
      </c>
      <c r="H150" s="1381">
        <f t="shared" si="5"/>
        <v>83.796296296296291</v>
      </c>
      <c r="I150" s="1123"/>
    </row>
    <row r="151" spans="1:9" ht="15.75" thickTop="1" x14ac:dyDescent="0.25">
      <c r="A151" s="1137"/>
      <c r="B151" s="1137"/>
      <c r="C151" s="1137"/>
      <c r="D151" s="1137"/>
      <c r="E151" s="1119"/>
      <c r="F151" s="1119"/>
      <c r="G151" s="1119"/>
      <c r="H151" s="1138"/>
      <c r="I151" s="1178"/>
    </row>
    <row r="152" spans="1:9" s="1054" customFormat="1" ht="15" x14ac:dyDescent="0.25">
      <c r="A152" s="1103" t="s">
        <v>1423</v>
      </c>
      <c r="B152" s="1097"/>
      <c r="C152" s="1097"/>
      <c r="D152" s="1097"/>
      <c r="E152" s="1098"/>
      <c r="F152" s="1123"/>
      <c r="G152" s="1123"/>
      <c r="H152" s="1123"/>
      <c r="I152" s="1098"/>
    </row>
    <row r="153" spans="1:9" s="997" customFormat="1" ht="15.75" thickBot="1" x14ac:dyDescent="0.3">
      <c r="A153" s="1103" t="s">
        <v>1007</v>
      </c>
      <c r="B153" s="1097"/>
      <c r="C153" s="1097"/>
      <c r="D153" s="1097"/>
      <c r="E153" s="1098"/>
      <c r="F153" s="1123"/>
      <c r="G153" s="1123"/>
      <c r="H153" s="1177" t="s">
        <v>92</v>
      </c>
      <c r="I153" s="1098"/>
    </row>
    <row r="154" spans="1:9" ht="25.5" thickTop="1" thickBot="1" x14ac:dyDescent="0.25">
      <c r="A154" s="1104" t="s">
        <v>93</v>
      </c>
      <c r="B154" s="1105" t="s">
        <v>392</v>
      </c>
      <c r="C154" s="1105" t="s">
        <v>209</v>
      </c>
      <c r="D154" s="1106" t="s">
        <v>95</v>
      </c>
      <c r="E154" s="1127" t="s">
        <v>328</v>
      </c>
      <c r="F154" s="1127" t="s">
        <v>329</v>
      </c>
      <c r="G154" s="1128" t="s">
        <v>448</v>
      </c>
      <c r="H154" s="1129" t="s">
        <v>449</v>
      </c>
    </row>
    <row r="155" spans="1:9" ht="14.25" thickTop="1" thickBot="1" x14ac:dyDescent="0.25">
      <c r="A155" s="1042">
        <v>1</v>
      </c>
      <c r="B155" s="1041">
        <v>2</v>
      </c>
      <c r="C155" s="1041">
        <v>3</v>
      </c>
      <c r="D155" s="1041">
        <v>4</v>
      </c>
      <c r="E155" s="1040">
        <v>5</v>
      </c>
      <c r="F155" s="1040">
        <v>6</v>
      </c>
      <c r="G155" s="1164">
        <v>7</v>
      </c>
      <c r="H155" s="1109" t="s">
        <v>33</v>
      </c>
    </row>
    <row r="156" spans="1:9" ht="15.75" thickTop="1" x14ac:dyDescent="0.2">
      <c r="A156" s="1110">
        <v>2212</v>
      </c>
      <c r="B156" s="1182">
        <v>6121</v>
      </c>
      <c r="C156" s="1182">
        <v>110100880</v>
      </c>
      <c r="D156" s="1130" t="s">
        <v>312</v>
      </c>
      <c r="E156" s="1135">
        <v>1728</v>
      </c>
      <c r="F156" s="1135">
        <v>0</v>
      </c>
      <c r="G156" s="1135">
        <v>0</v>
      </c>
      <c r="H156" s="3050">
        <v>0</v>
      </c>
    </row>
    <row r="157" spans="1:9" ht="15" x14ac:dyDescent="0.2">
      <c r="A157" s="1110">
        <v>2212</v>
      </c>
      <c r="B157" s="1182">
        <v>6121</v>
      </c>
      <c r="C157" s="1182">
        <v>110100884</v>
      </c>
      <c r="D157" s="1130" t="s">
        <v>312</v>
      </c>
      <c r="E157" s="1135">
        <v>820</v>
      </c>
      <c r="F157" s="1135">
        <v>1472</v>
      </c>
      <c r="G157" s="1135">
        <v>1470</v>
      </c>
      <c r="H157" s="3050">
        <f t="shared" ref="H157:H162" si="6">G157/F157*100</f>
        <v>99.864130434782609</v>
      </c>
    </row>
    <row r="158" spans="1:9" ht="15" x14ac:dyDescent="0.2">
      <c r="A158" s="1110">
        <v>2212</v>
      </c>
      <c r="B158" s="1111">
        <v>6121</v>
      </c>
      <c r="C158" s="1111">
        <v>110100892</v>
      </c>
      <c r="D158" s="1130" t="s">
        <v>312</v>
      </c>
      <c r="E158" s="1135">
        <v>778</v>
      </c>
      <c r="F158" s="1135">
        <v>0</v>
      </c>
      <c r="G158" s="1135">
        <v>0</v>
      </c>
      <c r="H158" s="3050">
        <v>0</v>
      </c>
    </row>
    <row r="159" spans="1:9" ht="15" x14ac:dyDescent="0.2">
      <c r="A159" s="1110">
        <v>2212</v>
      </c>
      <c r="B159" s="1111">
        <v>6121</v>
      </c>
      <c r="C159" s="1216" t="s">
        <v>1670</v>
      </c>
      <c r="D159" s="1130" t="s">
        <v>312</v>
      </c>
      <c r="E159" s="1135">
        <v>14776</v>
      </c>
      <c r="F159" s="1135">
        <v>0</v>
      </c>
      <c r="G159" s="1135">
        <v>0</v>
      </c>
      <c r="H159" s="3050">
        <v>0</v>
      </c>
      <c r="I159" s="1123"/>
    </row>
    <row r="160" spans="1:9" ht="15" x14ac:dyDescent="0.2">
      <c r="A160" s="1110">
        <v>2212</v>
      </c>
      <c r="B160" s="1182">
        <v>6121</v>
      </c>
      <c r="C160" s="1182">
        <v>110595823</v>
      </c>
      <c r="D160" s="1130" t="s">
        <v>312</v>
      </c>
      <c r="E160" s="1135">
        <v>0</v>
      </c>
      <c r="F160" s="1135">
        <v>9557</v>
      </c>
      <c r="G160" s="1135">
        <v>9557</v>
      </c>
      <c r="H160" s="3050">
        <f t="shared" si="6"/>
        <v>100</v>
      </c>
      <c r="I160" s="1123"/>
    </row>
    <row r="161" spans="1:9" ht="15.75" thickBot="1" x14ac:dyDescent="0.25">
      <c r="A161" s="1110">
        <v>6330</v>
      </c>
      <c r="B161" s="1182">
        <v>5345</v>
      </c>
      <c r="C161" s="1182"/>
      <c r="D161" s="1130" t="s">
        <v>312</v>
      </c>
      <c r="E161" s="1135">
        <v>0</v>
      </c>
      <c r="F161" s="1135">
        <v>0</v>
      </c>
      <c r="G161" s="1135">
        <v>4910</v>
      </c>
      <c r="H161" s="3050">
        <v>0</v>
      </c>
      <c r="I161" s="1123"/>
    </row>
    <row r="162" spans="1:9" ht="16.5" thickTop="1" thickBot="1" x14ac:dyDescent="0.3">
      <c r="A162" s="2568" t="s">
        <v>394</v>
      </c>
      <c r="B162" s="2569"/>
      <c r="C162" s="2569"/>
      <c r="D162" s="2570"/>
      <c r="E162" s="1113">
        <f>SUM(E156:E161)</f>
        <v>18102</v>
      </c>
      <c r="F162" s="1113">
        <f t="shared" ref="F162:G162" si="7">SUM(F156:F161)</f>
        <v>11029</v>
      </c>
      <c r="G162" s="1113">
        <f t="shared" si="7"/>
        <v>15937</v>
      </c>
      <c r="H162" s="1381">
        <f t="shared" si="6"/>
        <v>144.50086136549098</v>
      </c>
      <c r="I162" s="1123"/>
    </row>
    <row r="163" spans="1:9" ht="15.75" thickTop="1" x14ac:dyDescent="0.25">
      <c r="A163" s="1137"/>
      <c r="B163" s="1137"/>
      <c r="C163" s="1137"/>
      <c r="D163" s="1137"/>
      <c r="E163" s="1119"/>
      <c r="F163" s="1119"/>
      <c r="G163" s="1119"/>
      <c r="H163" s="1138"/>
      <c r="I163" s="1178"/>
    </row>
    <row r="164" spans="1:9" s="1054" customFormat="1" ht="15" x14ac:dyDescent="0.25">
      <c r="A164" s="1103" t="s">
        <v>1700</v>
      </c>
      <c r="B164" s="1097"/>
      <c r="C164" s="1097"/>
      <c r="D164" s="1097"/>
      <c r="E164" s="1098"/>
      <c r="F164" s="1123"/>
      <c r="G164" s="1123"/>
      <c r="H164" s="1123"/>
      <c r="I164" s="1098"/>
    </row>
    <row r="165" spans="1:9" s="997" customFormat="1" ht="15.75" thickBot="1" x14ac:dyDescent="0.3">
      <c r="A165" s="1103" t="s">
        <v>1699</v>
      </c>
      <c r="B165" s="1097"/>
      <c r="C165" s="1097"/>
      <c r="D165" s="1097"/>
      <c r="E165" s="1098"/>
      <c r="F165" s="1123"/>
      <c r="G165" s="1123"/>
      <c r="H165" s="1177" t="s">
        <v>92</v>
      </c>
      <c r="I165" s="1098"/>
    </row>
    <row r="166" spans="1:9" ht="25.5" thickTop="1" thickBot="1" x14ac:dyDescent="0.25">
      <c r="A166" s="1104" t="s">
        <v>93</v>
      </c>
      <c r="B166" s="1105" t="s">
        <v>392</v>
      </c>
      <c r="C166" s="1105" t="s">
        <v>209</v>
      </c>
      <c r="D166" s="1106" t="s">
        <v>95</v>
      </c>
      <c r="E166" s="1127" t="s">
        <v>328</v>
      </c>
      <c r="F166" s="1127" t="s">
        <v>329</v>
      </c>
      <c r="G166" s="1128" t="s">
        <v>448</v>
      </c>
      <c r="H166" s="1129" t="s">
        <v>449</v>
      </c>
    </row>
    <row r="167" spans="1:9" ht="14.25" thickTop="1" thickBot="1" x14ac:dyDescent="0.25">
      <c r="A167" s="1042">
        <v>1</v>
      </c>
      <c r="B167" s="1041">
        <v>2</v>
      </c>
      <c r="C167" s="1041">
        <v>3</v>
      </c>
      <c r="D167" s="1041">
        <v>4</v>
      </c>
      <c r="E167" s="1040">
        <v>5</v>
      </c>
      <c r="F167" s="1040">
        <v>6</v>
      </c>
      <c r="G167" s="1164">
        <v>7</v>
      </c>
      <c r="H167" s="1109" t="s">
        <v>33</v>
      </c>
    </row>
    <row r="168" spans="1:9" ht="16.5" thickTop="1" thickBot="1" x14ac:dyDescent="0.25">
      <c r="A168" s="1110">
        <v>2212</v>
      </c>
      <c r="B168" s="1182">
        <v>6121</v>
      </c>
      <c r="C168" s="1216" t="s">
        <v>952</v>
      </c>
      <c r="D168" s="1130" t="s">
        <v>312</v>
      </c>
      <c r="E168" s="1135">
        <v>1284</v>
      </c>
      <c r="F168" s="1135">
        <v>0</v>
      </c>
      <c r="G168" s="1135">
        <v>0</v>
      </c>
      <c r="H168" s="3050">
        <v>0</v>
      </c>
    </row>
    <row r="169" spans="1:9" ht="16.5" thickTop="1" thickBot="1" x14ac:dyDescent="0.3">
      <c r="A169" s="2568" t="s">
        <v>394</v>
      </c>
      <c r="B169" s="2569"/>
      <c r="C169" s="2569"/>
      <c r="D169" s="2570"/>
      <c r="E169" s="1113">
        <f>SUM(E168:E168)</f>
        <v>1284</v>
      </c>
      <c r="F169" s="1113">
        <f>SUM(F168:F168)</f>
        <v>0</v>
      </c>
      <c r="G169" s="1113">
        <f>SUM(G168:G168)</f>
        <v>0</v>
      </c>
      <c r="H169" s="1381">
        <v>0</v>
      </c>
      <c r="I169" s="1123"/>
    </row>
    <row r="170" spans="1:9" ht="15.75" thickTop="1" x14ac:dyDescent="0.25">
      <c r="A170" s="1137"/>
      <c r="B170" s="1137"/>
      <c r="C170" s="1137"/>
      <c r="D170" s="1137"/>
      <c r="E170" s="1119"/>
      <c r="F170" s="1119"/>
      <c r="G170" s="1119"/>
      <c r="H170" s="1138"/>
      <c r="I170" s="1178"/>
    </row>
    <row r="171" spans="1:9" s="1054" customFormat="1" ht="15" x14ac:dyDescent="0.25">
      <c r="A171" s="1103" t="s">
        <v>1702</v>
      </c>
      <c r="B171" s="1097"/>
      <c r="C171" s="1097"/>
      <c r="D171" s="1097"/>
      <c r="E171" s="1098"/>
      <c r="F171" s="1123"/>
      <c r="G171" s="1123"/>
      <c r="H171" s="1123"/>
      <c r="I171" s="1098"/>
    </row>
    <row r="172" spans="1:9" s="997" customFormat="1" ht="15.75" thickBot="1" x14ac:dyDescent="0.3">
      <c r="A172" s="1103" t="s">
        <v>1701</v>
      </c>
      <c r="B172" s="1097"/>
      <c r="C172" s="1097"/>
      <c r="D172" s="1097"/>
      <c r="E172" s="1098"/>
      <c r="F172" s="1123"/>
      <c r="G172" s="1123"/>
      <c r="H172" s="1177" t="s">
        <v>92</v>
      </c>
      <c r="I172" s="1098"/>
    </row>
    <row r="173" spans="1:9" ht="25.5" thickTop="1" thickBot="1" x14ac:dyDescent="0.25">
      <c r="A173" s="1104" t="s">
        <v>93</v>
      </c>
      <c r="B173" s="1105" t="s">
        <v>392</v>
      </c>
      <c r="C173" s="1105" t="s">
        <v>209</v>
      </c>
      <c r="D173" s="1106" t="s">
        <v>95</v>
      </c>
      <c r="E173" s="1127" t="s">
        <v>328</v>
      </c>
      <c r="F173" s="1127" t="s">
        <v>329</v>
      </c>
      <c r="G173" s="1128" t="s">
        <v>448</v>
      </c>
      <c r="H173" s="1129" t="s">
        <v>449</v>
      </c>
    </row>
    <row r="174" spans="1:9" ht="14.25" thickTop="1" thickBot="1" x14ac:dyDescent="0.25">
      <c r="A174" s="1042">
        <v>1</v>
      </c>
      <c r="B174" s="1041">
        <v>2</v>
      </c>
      <c r="C174" s="1041">
        <v>3</v>
      </c>
      <c r="D174" s="1041">
        <v>4</v>
      </c>
      <c r="E174" s="1040">
        <v>5</v>
      </c>
      <c r="F174" s="1040">
        <v>6</v>
      </c>
      <c r="G174" s="1164">
        <v>7</v>
      </c>
      <c r="H174" s="1109" t="s">
        <v>33</v>
      </c>
    </row>
    <row r="175" spans="1:9" ht="16.5" thickTop="1" thickBot="1" x14ac:dyDescent="0.25">
      <c r="A175" s="1110">
        <v>2212</v>
      </c>
      <c r="B175" s="1182">
        <v>6121</v>
      </c>
      <c r="C175" s="1216" t="s">
        <v>952</v>
      </c>
      <c r="D175" s="1130" t="s">
        <v>312</v>
      </c>
      <c r="E175" s="1135">
        <v>5416</v>
      </c>
      <c r="F175" s="1135">
        <v>1542</v>
      </c>
      <c r="G175" s="1135">
        <v>1233</v>
      </c>
      <c r="H175" s="3050">
        <f t="shared" ref="H175:H176" si="8">G175/F175*100</f>
        <v>79.961089494163431</v>
      </c>
    </row>
    <row r="176" spans="1:9" ht="16.5" thickTop="1" thickBot="1" x14ac:dyDescent="0.3">
      <c r="A176" s="2568" t="s">
        <v>394</v>
      </c>
      <c r="B176" s="2569"/>
      <c r="C176" s="2569"/>
      <c r="D176" s="2570"/>
      <c r="E176" s="1113">
        <f>SUM(E175:E175)</f>
        <v>5416</v>
      </c>
      <c r="F176" s="1113">
        <f>SUM(F175:F175)</f>
        <v>1542</v>
      </c>
      <c r="G176" s="1113">
        <f>SUM(G175:G175)</f>
        <v>1233</v>
      </c>
      <c r="H176" s="1381">
        <f t="shared" si="8"/>
        <v>79.961089494163431</v>
      </c>
      <c r="I176" s="1123"/>
    </row>
    <row r="177" spans="1:9" ht="13.5" thickTop="1" x14ac:dyDescent="0.2">
      <c r="A177" s="1178"/>
      <c r="B177" s="1178"/>
      <c r="C177" s="1178"/>
      <c r="D177" s="1178"/>
      <c r="E177" s="1180"/>
      <c r="F177" s="1179"/>
      <c r="G177" s="1179"/>
      <c r="H177" s="1179"/>
      <c r="I177" s="1178"/>
    </row>
    <row r="178" spans="1:9" s="1054" customFormat="1" ht="15" x14ac:dyDescent="0.25">
      <c r="A178" s="1103" t="s">
        <v>1704</v>
      </c>
      <c r="B178" s="1097"/>
      <c r="C178" s="1097"/>
      <c r="D178" s="1097"/>
      <c r="E178" s="1098"/>
      <c r="F178" s="1123"/>
      <c r="G178" s="1123"/>
      <c r="H178" s="1123"/>
      <c r="I178" s="1098"/>
    </row>
    <row r="179" spans="1:9" s="997" customFormat="1" ht="15.75" thickBot="1" x14ac:dyDescent="0.3">
      <c r="A179" s="1103" t="s">
        <v>1703</v>
      </c>
      <c r="B179" s="1097"/>
      <c r="C179" s="1097"/>
      <c r="D179" s="1097"/>
      <c r="E179" s="1098"/>
      <c r="F179" s="1123"/>
      <c r="G179" s="1123"/>
      <c r="H179" s="1177" t="s">
        <v>92</v>
      </c>
      <c r="I179" s="1098"/>
    </row>
    <row r="180" spans="1:9" ht="25.5" thickTop="1" thickBot="1" x14ac:dyDescent="0.25">
      <c r="A180" s="1104" t="s">
        <v>93</v>
      </c>
      <c r="B180" s="1105" t="s">
        <v>392</v>
      </c>
      <c r="C180" s="1105" t="s">
        <v>209</v>
      </c>
      <c r="D180" s="1106" t="s">
        <v>95</v>
      </c>
      <c r="E180" s="1127" t="s">
        <v>328</v>
      </c>
      <c r="F180" s="1127" t="s">
        <v>329</v>
      </c>
      <c r="G180" s="1128" t="s">
        <v>448</v>
      </c>
      <c r="H180" s="1129" t="s">
        <v>449</v>
      </c>
    </row>
    <row r="181" spans="1:9" ht="14.25" thickTop="1" thickBot="1" x14ac:dyDescent="0.25">
      <c r="A181" s="1042">
        <v>1</v>
      </c>
      <c r="B181" s="1041">
        <v>2</v>
      </c>
      <c r="C181" s="1041">
        <v>3</v>
      </c>
      <c r="D181" s="1041">
        <v>4</v>
      </c>
      <c r="E181" s="1040">
        <v>5</v>
      </c>
      <c r="F181" s="1040">
        <v>6</v>
      </c>
      <c r="G181" s="1164">
        <v>7</v>
      </c>
      <c r="H181" s="1109" t="s">
        <v>33</v>
      </c>
    </row>
    <row r="182" spans="1:9" ht="16.5" thickTop="1" thickBot="1" x14ac:dyDescent="0.25">
      <c r="A182" s="1110">
        <v>2212</v>
      </c>
      <c r="B182" s="1182">
        <v>6121</v>
      </c>
      <c r="C182" s="1216" t="s">
        <v>952</v>
      </c>
      <c r="D182" s="1130" t="s">
        <v>312</v>
      </c>
      <c r="E182" s="1135">
        <v>3000</v>
      </c>
      <c r="F182" s="1135">
        <v>179</v>
      </c>
      <c r="G182" s="1135">
        <v>6</v>
      </c>
      <c r="H182" s="3050">
        <f t="shared" ref="H182:H183" si="9">G182/F182*100</f>
        <v>3.3519553072625698</v>
      </c>
    </row>
    <row r="183" spans="1:9" ht="16.5" thickTop="1" thickBot="1" x14ac:dyDescent="0.3">
      <c r="A183" s="2568" t="s">
        <v>394</v>
      </c>
      <c r="B183" s="2569"/>
      <c r="C183" s="2569"/>
      <c r="D183" s="2570"/>
      <c r="E183" s="1113">
        <f>SUM(E182:E182)</f>
        <v>3000</v>
      </c>
      <c r="F183" s="1113">
        <f>SUM(F182:F182)</f>
        <v>179</v>
      </c>
      <c r="G183" s="1113">
        <f>SUM(G182:G182)</f>
        <v>6</v>
      </c>
      <c r="H183" s="1381">
        <f t="shared" si="9"/>
        <v>3.3519553072625698</v>
      </c>
      <c r="I183" s="1123"/>
    </row>
    <row r="184" spans="1:9" ht="13.5" thickTop="1" x14ac:dyDescent="0.2">
      <c r="A184" s="1178"/>
      <c r="B184" s="1178"/>
      <c r="C184" s="1178"/>
      <c r="D184" s="1178"/>
      <c r="E184" s="1180"/>
      <c r="F184" s="1179"/>
      <c r="G184" s="1179"/>
      <c r="H184" s="1179"/>
      <c r="I184" s="1178"/>
    </row>
    <row r="185" spans="1:9" s="1054" customFormat="1" ht="15" x14ac:dyDescent="0.25">
      <c r="A185" s="1103" t="s">
        <v>1706</v>
      </c>
      <c r="B185" s="1097"/>
      <c r="C185" s="1097"/>
      <c r="D185" s="1097"/>
      <c r="E185" s="1098"/>
      <c r="F185" s="1123"/>
      <c r="G185" s="1123"/>
      <c r="H185" s="1123"/>
      <c r="I185" s="1098"/>
    </row>
    <row r="186" spans="1:9" s="997" customFormat="1" ht="15.75" thickBot="1" x14ac:dyDescent="0.3">
      <c r="A186" s="1103" t="s">
        <v>1705</v>
      </c>
      <c r="B186" s="1097"/>
      <c r="C186" s="1097"/>
      <c r="D186" s="1097"/>
      <c r="E186" s="1098"/>
      <c r="F186" s="1123"/>
      <c r="G186" s="1123"/>
      <c r="H186" s="1177" t="s">
        <v>92</v>
      </c>
      <c r="I186" s="1098"/>
    </row>
    <row r="187" spans="1:9" ht="25.5" thickTop="1" thickBot="1" x14ac:dyDescent="0.25">
      <c r="A187" s="1104" t="s">
        <v>93</v>
      </c>
      <c r="B187" s="1105" t="s">
        <v>392</v>
      </c>
      <c r="C187" s="1105" t="s">
        <v>209</v>
      </c>
      <c r="D187" s="1106" t="s">
        <v>95</v>
      </c>
      <c r="E187" s="1127" t="s">
        <v>328</v>
      </c>
      <c r="F187" s="1127" t="s">
        <v>329</v>
      </c>
      <c r="G187" s="1128" t="s">
        <v>448</v>
      </c>
      <c r="H187" s="1129" t="s">
        <v>449</v>
      </c>
    </row>
    <row r="188" spans="1:9" ht="14.25" thickTop="1" thickBot="1" x14ac:dyDescent="0.25">
      <c r="A188" s="1042">
        <v>1</v>
      </c>
      <c r="B188" s="1041">
        <v>2</v>
      </c>
      <c r="C188" s="1041">
        <v>3</v>
      </c>
      <c r="D188" s="1041">
        <v>4</v>
      </c>
      <c r="E188" s="1040">
        <v>5</v>
      </c>
      <c r="F188" s="1040">
        <v>6</v>
      </c>
      <c r="G188" s="1164">
        <v>7</v>
      </c>
      <c r="H188" s="1109" t="s">
        <v>33</v>
      </c>
    </row>
    <row r="189" spans="1:9" ht="15.75" hidden="1" thickTop="1" x14ac:dyDescent="0.2">
      <c r="A189" s="1110">
        <v>2212</v>
      </c>
      <c r="B189" s="1182">
        <v>6121</v>
      </c>
      <c r="C189" s="1182">
        <v>12</v>
      </c>
      <c r="D189" s="1130" t="s">
        <v>312</v>
      </c>
      <c r="E189" s="1135">
        <v>0</v>
      </c>
      <c r="F189" s="1135">
        <v>0</v>
      </c>
      <c r="G189" s="1135">
        <v>0</v>
      </c>
      <c r="H189" s="1116" t="e">
        <f t="shared" ref="H189:H194" si="10">G189/F189*100</f>
        <v>#DIV/0!</v>
      </c>
    </row>
    <row r="190" spans="1:9" ht="15.75" hidden="1" thickTop="1" x14ac:dyDescent="0.2">
      <c r="A190" s="1110">
        <v>2212</v>
      </c>
      <c r="B190" s="1111">
        <v>6121</v>
      </c>
      <c r="C190" s="1111">
        <v>38100880</v>
      </c>
      <c r="D190" s="1130" t="s">
        <v>312</v>
      </c>
      <c r="E190" s="1135">
        <v>0</v>
      </c>
      <c r="F190" s="1135">
        <v>0</v>
      </c>
      <c r="G190" s="1135">
        <v>0</v>
      </c>
      <c r="H190" s="1116" t="e">
        <f t="shared" si="10"/>
        <v>#DIV/0!</v>
      </c>
    </row>
    <row r="191" spans="1:9" ht="16.5" thickTop="1" thickBot="1" x14ac:dyDescent="0.25">
      <c r="A191" s="1110">
        <v>2212</v>
      </c>
      <c r="B191" s="1111">
        <v>6121</v>
      </c>
      <c r="C191" s="1216" t="s">
        <v>952</v>
      </c>
      <c r="D191" s="1130" t="s">
        <v>312</v>
      </c>
      <c r="E191" s="1135">
        <v>1120</v>
      </c>
      <c r="F191" s="1135">
        <v>768</v>
      </c>
      <c r="G191" s="1135">
        <v>481</v>
      </c>
      <c r="H191" s="3050">
        <f t="shared" si="10"/>
        <v>62.630208333333336</v>
      </c>
      <c r="I191" s="1123"/>
    </row>
    <row r="192" spans="1:9" ht="15.75" hidden="1" thickBot="1" x14ac:dyDescent="0.25">
      <c r="A192" s="1110">
        <v>2212</v>
      </c>
      <c r="B192" s="1182">
        <v>6121</v>
      </c>
      <c r="C192" s="1182">
        <v>38500881</v>
      </c>
      <c r="D192" s="1130" t="s">
        <v>312</v>
      </c>
      <c r="E192" s="1135">
        <v>0</v>
      </c>
      <c r="F192" s="1135">
        <v>0</v>
      </c>
      <c r="G192" s="1135">
        <v>0</v>
      </c>
      <c r="H192" s="3050" t="e">
        <f t="shared" si="10"/>
        <v>#DIV/0!</v>
      </c>
      <c r="I192" s="1123"/>
    </row>
    <row r="193" spans="1:9" ht="15.75" hidden="1" thickBot="1" x14ac:dyDescent="0.25">
      <c r="A193" s="1110">
        <v>2212</v>
      </c>
      <c r="B193" s="1182">
        <v>6121</v>
      </c>
      <c r="C193" s="1182">
        <v>38500871</v>
      </c>
      <c r="D193" s="1130" t="s">
        <v>312</v>
      </c>
      <c r="E193" s="1135">
        <v>0</v>
      </c>
      <c r="F193" s="1135">
        <v>0</v>
      </c>
      <c r="G193" s="1135">
        <v>0</v>
      </c>
      <c r="H193" s="3050" t="e">
        <f t="shared" si="10"/>
        <v>#DIV/0!</v>
      </c>
      <c r="I193" s="1123"/>
    </row>
    <row r="194" spans="1:9" ht="16.5" thickTop="1" thickBot="1" x14ac:dyDescent="0.3">
      <c r="A194" s="2568" t="s">
        <v>394</v>
      </c>
      <c r="B194" s="2569"/>
      <c r="C194" s="2569"/>
      <c r="D194" s="2570"/>
      <c r="E194" s="1113">
        <f>SUM(E189:E193)</f>
        <v>1120</v>
      </c>
      <c r="F194" s="1113">
        <f>SUM(F189:F193)</f>
        <v>768</v>
      </c>
      <c r="G194" s="1113">
        <f>SUM(G189:G193)</f>
        <v>481</v>
      </c>
      <c r="H194" s="1381">
        <f t="shared" si="10"/>
        <v>62.630208333333336</v>
      </c>
      <c r="I194" s="1123"/>
    </row>
    <row r="195" spans="1:9" ht="13.5" thickTop="1" x14ac:dyDescent="0.2">
      <c r="A195" s="1178"/>
      <c r="B195" s="1178"/>
      <c r="C195" s="1178"/>
      <c r="D195" s="1178"/>
      <c r="E195" s="1180"/>
      <c r="F195" s="1179"/>
      <c r="G195" s="1179"/>
      <c r="H195" s="1179"/>
      <c r="I195" s="1178"/>
    </row>
    <row r="196" spans="1:9" hidden="1" x14ac:dyDescent="0.2">
      <c r="A196" s="1178"/>
      <c r="B196" s="1178"/>
      <c r="C196" s="1178"/>
      <c r="D196" s="1178"/>
      <c r="E196" s="1180"/>
      <c r="F196" s="1179"/>
      <c r="G196" s="1179"/>
      <c r="H196" s="1179"/>
      <c r="I196" s="1178"/>
    </row>
    <row r="197" spans="1:9" hidden="1" x14ac:dyDescent="0.2">
      <c r="A197" s="1178"/>
      <c r="B197" s="1178"/>
      <c r="C197" s="1178"/>
      <c r="D197" s="1178"/>
      <c r="E197" s="1180"/>
      <c r="F197" s="1179"/>
      <c r="G197" s="1179"/>
      <c r="H197" s="1179"/>
      <c r="I197" s="1178"/>
    </row>
    <row r="198" spans="1:9" hidden="1" x14ac:dyDescent="0.2">
      <c r="A198" s="1178"/>
      <c r="B198" s="1178"/>
      <c r="C198" s="1178"/>
      <c r="D198" s="1178"/>
      <c r="E198" s="1180"/>
      <c r="F198" s="1179"/>
      <c r="G198" s="1179"/>
      <c r="H198" s="1179"/>
      <c r="I198" s="1178"/>
    </row>
    <row r="199" spans="1:9" hidden="1" x14ac:dyDescent="0.2">
      <c r="A199" s="1178"/>
      <c r="B199" s="1178"/>
      <c r="C199" s="1178"/>
      <c r="D199" s="1178"/>
      <c r="E199" s="1180"/>
      <c r="F199" s="1179"/>
      <c r="G199" s="1179"/>
      <c r="H199" s="1179"/>
      <c r="I199" s="1178"/>
    </row>
    <row r="200" spans="1:9" hidden="1" x14ac:dyDescent="0.2">
      <c r="A200" s="1178"/>
      <c r="B200" s="1178"/>
      <c r="C200" s="1178"/>
      <c r="D200" s="1178"/>
      <c r="E200" s="1180"/>
      <c r="F200" s="1179"/>
      <c r="G200" s="1179"/>
      <c r="H200" s="1179"/>
      <c r="I200" s="1178"/>
    </row>
    <row r="201" spans="1:9" hidden="1" x14ac:dyDescent="0.2">
      <c r="A201" s="1178"/>
      <c r="B201" s="1178"/>
      <c r="C201" s="1178"/>
      <c r="D201" s="1178"/>
      <c r="E201" s="1180"/>
      <c r="F201" s="1179"/>
      <c r="G201" s="1179"/>
      <c r="H201" s="1179"/>
      <c r="I201" s="1178"/>
    </row>
    <row r="202" spans="1:9" hidden="1" x14ac:dyDescent="0.2">
      <c r="A202" s="1178"/>
      <c r="B202" s="1178"/>
      <c r="C202" s="1178"/>
      <c r="D202" s="1178"/>
      <c r="E202" s="1180"/>
      <c r="F202" s="1179"/>
      <c r="G202" s="1179"/>
      <c r="H202" s="1179"/>
      <c r="I202" s="1178"/>
    </row>
    <row r="203" spans="1:9" x14ac:dyDescent="0.2">
      <c r="A203" s="1178"/>
      <c r="B203" s="1178"/>
      <c r="C203" s="1178"/>
      <c r="D203" s="1178"/>
      <c r="E203" s="1180"/>
      <c r="F203" s="1179"/>
      <c r="G203" s="1179"/>
      <c r="H203" s="1179"/>
      <c r="I203" s="1178"/>
    </row>
    <row r="204" spans="1:9" ht="15.75" thickBot="1" x14ac:dyDescent="0.3">
      <c r="A204" s="1103" t="s">
        <v>137</v>
      </c>
      <c r="H204" s="1177" t="s">
        <v>92</v>
      </c>
      <c r="I204" s="1176"/>
    </row>
    <row r="205" spans="1:9" ht="25.5" thickTop="1" thickBot="1" x14ac:dyDescent="0.25">
      <c r="A205" s="1104" t="s">
        <v>93</v>
      </c>
      <c r="B205" s="1105" t="s">
        <v>392</v>
      </c>
      <c r="C205" s="1105" t="s">
        <v>209</v>
      </c>
      <c r="D205" s="1106" t="s">
        <v>95</v>
      </c>
      <c r="E205" s="1127" t="s">
        <v>328</v>
      </c>
      <c r="F205" s="1127" t="s">
        <v>329</v>
      </c>
      <c r="G205" s="1128" t="s">
        <v>448</v>
      </c>
      <c r="H205" s="1129" t="s">
        <v>449</v>
      </c>
    </row>
    <row r="206" spans="1:9" ht="14.25" thickTop="1" thickBot="1" x14ac:dyDescent="0.25">
      <c r="A206" s="1042">
        <v>1</v>
      </c>
      <c r="B206" s="1041">
        <v>2</v>
      </c>
      <c r="C206" s="1041">
        <v>3</v>
      </c>
      <c r="D206" s="1041">
        <v>4</v>
      </c>
      <c r="E206" s="1040">
        <v>5</v>
      </c>
      <c r="F206" s="1040">
        <v>6</v>
      </c>
      <c r="G206" s="1164">
        <v>7</v>
      </c>
      <c r="H206" s="1109" t="s">
        <v>33</v>
      </c>
    </row>
    <row r="207" spans="1:9" s="1125" customFormat="1" ht="15.75" thickTop="1" x14ac:dyDescent="0.25">
      <c r="A207" s="1175">
        <v>6330</v>
      </c>
      <c r="B207" s="1111">
        <v>5345</v>
      </c>
      <c r="C207" s="2188" t="s">
        <v>871</v>
      </c>
      <c r="D207" s="1172" t="s">
        <v>397</v>
      </c>
      <c r="E207" s="1126">
        <v>0</v>
      </c>
      <c r="F207" s="1126">
        <v>0</v>
      </c>
      <c r="G207" s="1174">
        <v>16</v>
      </c>
      <c r="H207" s="3051">
        <v>0</v>
      </c>
    </row>
    <row r="208" spans="1:9" s="1125" customFormat="1" ht="15.75" thickBot="1" x14ac:dyDescent="0.3">
      <c r="A208" s="1110">
        <v>6409</v>
      </c>
      <c r="B208" s="1111">
        <v>5909</v>
      </c>
      <c r="C208" s="1216" t="s">
        <v>871</v>
      </c>
      <c r="D208" s="1172" t="s">
        <v>406</v>
      </c>
      <c r="E208" s="1135">
        <v>0</v>
      </c>
      <c r="F208" s="1135">
        <v>0</v>
      </c>
      <c r="G208" s="1171">
        <v>-1</v>
      </c>
      <c r="H208" s="3050">
        <v>0</v>
      </c>
    </row>
    <row r="209" spans="1:13" ht="16.5" thickTop="1" thickBot="1" x14ac:dyDescent="0.3">
      <c r="A209" s="2568" t="s">
        <v>394</v>
      </c>
      <c r="B209" s="2569"/>
      <c r="C209" s="2569"/>
      <c r="D209" s="2570"/>
      <c r="E209" s="1113">
        <f>SUM(E207:E208)</f>
        <v>0</v>
      </c>
      <c r="F209" s="1113">
        <f>SUM(F207:F208)</f>
        <v>0</v>
      </c>
      <c r="G209" s="1113">
        <f>SUM(G207:G208)</f>
        <v>15</v>
      </c>
      <c r="H209" s="1381">
        <v>0</v>
      </c>
    </row>
    <row r="210" spans="1:13" ht="17.25" customHeight="1" thickTop="1" x14ac:dyDescent="0.2"/>
    <row r="211" spans="1:13" ht="14.25" customHeight="1" x14ac:dyDescent="0.2"/>
    <row r="212" spans="1:13" ht="15.75" customHeight="1" x14ac:dyDescent="0.2"/>
    <row r="213" spans="1:13" ht="12.75" hidden="1" customHeight="1" x14ac:dyDescent="0.2"/>
    <row r="214" spans="1:13" ht="18.75" hidden="1" customHeight="1" x14ac:dyDescent="0.2"/>
    <row r="215" spans="1:13" ht="15" hidden="1" customHeight="1" x14ac:dyDescent="0.2"/>
    <row r="216" spans="1:13" ht="19.5" customHeight="1" x14ac:dyDescent="0.2"/>
    <row r="217" spans="1:13" ht="18.75" customHeight="1" x14ac:dyDescent="0.2"/>
    <row r="218" spans="1:13" ht="16.5" x14ac:dyDescent="0.25">
      <c r="A218" s="1147" t="s">
        <v>251</v>
      </c>
      <c r="B218" s="1148"/>
      <c r="C218" s="1149"/>
      <c r="D218" s="1150"/>
      <c r="E218" s="1151">
        <f>SUM(E219:E221)</f>
        <v>48692</v>
      </c>
      <c r="F218" s="1151">
        <f>F219+F220+F221+F222</f>
        <v>174790</v>
      </c>
      <c r="G218" s="1151">
        <f>G219+G220+G221+G222</f>
        <v>159830</v>
      </c>
      <c r="H218" s="1170">
        <f>G218/F218*100</f>
        <v>91.441157960981741</v>
      </c>
      <c r="K218" s="1153">
        <f>K219+K220+K221</f>
        <v>48692000</v>
      </c>
      <c r="L218" s="1153">
        <f>L219+L220+L221</f>
        <v>174790187.72999999</v>
      </c>
      <c r="M218" s="1153">
        <f>M219+M220+M221</f>
        <v>159829634.10999998</v>
      </c>
    </row>
    <row r="219" spans="1:13" ht="15" x14ac:dyDescent="0.2">
      <c r="A219" s="1011" t="s">
        <v>147</v>
      </c>
      <c r="B219" s="1013"/>
      <c r="C219" s="1009"/>
      <c r="D219" s="1154"/>
      <c r="E219" s="1012">
        <f>E95+E102+E208</f>
        <v>0</v>
      </c>
      <c r="F219" s="1012">
        <f t="shared" ref="F219:G219" si="11">F95+F102+F208</f>
        <v>36070</v>
      </c>
      <c r="G219" s="1012">
        <f t="shared" si="11"/>
        <v>346</v>
      </c>
      <c r="H219" s="1169">
        <f>G219/F219*100</f>
        <v>0.95924591072913779</v>
      </c>
      <c r="K219" s="1155">
        <v>0</v>
      </c>
      <c r="L219" s="1155">
        <v>36069732.780000001</v>
      </c>
      <c r="M219" s="1155">
        <v>346258.21</v>
      </c>
    </row>
    <row r="220" spans="1:13" ht="15" x14ac:dyDescent="0.2">
      <c r="A220" s="1011" t="s">
        <v>148</v>
      </c>
      <c r="B220" s="1010"/>
      <c r="C220" s="1009"/>
      <c r="D220" s="1156"/>
      <c r="E220" s="1012">
        <f>E23+E33+E35+E42+E49+E56+E63+E70+E71+E72+E73+E82+E89+E90+E91+E92+E93+E109+E116+E123+E130+E147+E156+E157+E158+E159+E160+E168+E175+E182+E191</f>
        <v>48692</v>
      </c>
      <c r="F220" s="1012">
        <f t="shared" ref="F220:G220" si="12">F23+F33+F35+F42+F49+F56+F63+F70+F71+F72+F73+F82+F89+F90+F91+F92+F93+F109+F116+F123+F130+F147+F156+F157+F158+F159+F160+F168+F175+F182+F191</f>
        <v>138720</v>
      </c>
      <c r="G220" s="1012">
        <f t="shared" si="12"/>
        <v>118835</v>
      </c>
      <c r="H220" s="1169">
        <f>G220/F220*100</f>
        <v>85.665369088812</v>
      </c>
      <c r="K220" s="1155">
        <v>48692000</v>
      </c>
      <c r="L220" s="1155">
        <v>138720454.94999999</v>
      </c>
      <c r="M220" s="1155">
        <v>118834698.64</v>
      </c>
    </row>
    <row r="221" spans="1:13" ht="15" x14ac:dyDescent="0.2">
      <c r="A221" s="1011" t="s">
        <v>252</v>
      </c>
      <c r="B221" s="1010"/>
      <c r="C221" s="1009"/>
      <c r="D221" s="1156"/>
      <c r="E221" s="1012">
        <f>E207+E94+E161</f>
        <v>0</v>
      </c>
      <c r="F221" s="1012">
        <f t="shared" ref="F221:G221" si="13">F207+F94+F161</f>
        <v>0</v>
      </c>
      <c r="G221" s="1012">
        <f t="shared" si="13"/>
        <v>40649</v>
      </c>
      <c r="H221" s="1169">
        <v>0</v>
      </c>
      <c r="K221" s="1155">
        <v>0</v>
      </c>
      <c r="L221" s="1155">
        <v>0</v>
      </c>
      <c r="M221" s="1155">
        <v>40648677.259999998</v>
      </c>
    </row>
    <row r="222" spans="1:13" ht="15" x14ac:dyDescent="0.2">
      <c r="A222" s="1011"/>
      <c r="B222" s="1010"/>
      <c r="C222" s="1009"/>
      <c r="D222" s="1156"/>
      <c r="E222" s="1012"/>
      <c r="F222" s="1012"/>
      <c r="G222" s="1012"/>
      <c r="H222" s="1008"/>
    </row>
    <row r="223" spans="1:13" ht="51" customHeight="1" thickBot="1" x14ac:dyDescent="0.4">
      <c r="A223" s="3264" t="s">
        <v>2015</v>
      </c>
      <c r="B223" s="3319"/>
      <c r="C223" s="3319"/>
      <c r="D223" s="3319"/>
      <c r="E223" s="1006">
        <f>SUM(E218)</f>
        <v>48692</v>
      </c>
      <c r="F223" s="1006">
        <f>SUM(F218)</f>
        <v>174790</v>
      </c>
      <c r="G223" s="1006">
        <f>SUM(G218)</f>
        <v>159830</v>
      </c>
      <c r="H223" s="1005">
        <f>(G223/F223)*100</f>
        <v>91.441157960981741</v>
      </c>
    </row>
    <row r="224" spans="1:13" ht="13.5" thickTop="1" x14ac:dyDescent="0.2"/>
    <row r="229" spans="16:16" x14ac:dyDescent="0.2">
      <c r="P229" s="1123"/>
    </row>
  </sheetData>
  <mergeCells count="1">
    <mergeCell ref="A223:D223"/>
  </mergeCells>
  <pageMargins left="0.78740157480314965" right="0.98425196850393704" top="0.98425196850393704" bottom="0.98425196850393704" header="0.51181102362204722" footer="0.51181102362204722"/>
  <pageSetup paperSize="9" scale="65" firstPageNumber="131" orientation="portrait" useFirstPageNumber="1" r:id="rId1"/>
  <headerFooter alignWithMargins="0">
    <oddFooter>&amp;L&amp;"Arial,Kurzíva"Zastupitelstvo Olomouckého kraje 25. 6. 2018
5. - Rozpočet Olomouckého kraje 2017 - závěrečný  účet 
Příloha č. 3: Plnění rozpočtu výdajů Olomouckého kraje k 31. 12. 2017&amp;R&amp;"Arial,Kurzíva"Strana &amp;P (celkem 478)</oddFooter>
  </headerFooter>
  <rowBreaks count="2" manualBreakCount="2">
    <brk id="77" max="7" man="1"/>
    <brk id="151" max="7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FF"/>
  </sheetPr>
  <dimension ref="A1:L1047"/>
  <sheetViews>
    <sheetView showGridLines="0" view="pageBreakPreview" topLeftCell="A1020" zoomScaleNormal="100" zoomScaleSheetLayoutView="100" workbookViewId="0">
      <selection activeCell="A1047" sqref="A1047"/>
    </sheetView>
  </sheetViews>
  <sheetFormatPr defaultRowHeight="12.75" x14ac:dyDescent="0.2"/>
  <cols>
    <col min="1" max="1" width="5" style="1097" customWidth="1"/>
    <col min="2" max="2" width="6.7109375" style="1097" customWidth="1"/>
    <col min="3" max="3" width="10.140625" style="1097" customWidth="1"/>
    <col min="4" max="4" width="46.42578125" style="1098" customWidth="1"/>
    <col min="5" max="5" width="15.42578125" style="1123" customWidth="1"/>
    <col min="6" max="6" width="15.5703125" style="1123" customWidth="1"/>
    <col min="7" max="7" width="15.85546875" style="1123" customWidth="1"/>
    <col min="8" max="8" width="9" style="1098" customWidth="1"/>
    <col min="9" max="9" width="5.28515625" style="1098" customWidth="1"/>
    <col min="10" max="10" width="17.28515625" style="1098" bestFit="1" customWidth="1"/>
    <col min="11" max="11" width="17.28515625" style="1098" customWidth="1"/>
    <col min="12" max="12" width="17.42578125" style="1098" customWidth="1"/>
    <col min="13" max="256" width="9.140625" style="1098"/>
    <col min="257" max="257" width="4.7109375" style="1098" customWidth="1"/>
    <col min="258" max="258" width="6.7109375" style="1098" customWidth="1"/>
    <col min="259" max="259" width="8.85546875" style="1098" customWidth="1"/>
    <col min="260" max="260" width="46.42578125" style="1098" customWidth="1"/>
    <col min="261" max="261" width="12.85546875" style="1098" customWidth="1"/>
    <col min="262" max="262" width="15.5703125" style="1098" customWidth="1"/>
    <col min="263" max="263" width="15.85546875" style="1098" customWidth="1"/>
    <col min="264" max="264" width="7.140625" style="1098" customWidth="1"/>
    <col min="265" max="265" width="5.28515625" style="1098" customWidth="1"/>
    <col min="266" max="266" width="9.140625" style="1098"/>
    <col min="267" max="267" width="15.5703125" style="1098" customWidth="1"/>
    <col min="268" max="268" width="16" style="1098" customWidth="1"/>
    <col min="269" max="512" width="9.140625" style="1098"/>
    <col min="513" max="513" width="4.7109375" style="1098" customWidth="1"/>
    <col min="514" max="514" width="6.7109375" style="1098" customWidth="1"/>
    <col min="515" max="515" width="8.85546875" style="1098" customWidth="1"/>
    <col min="516" max="516" width="46.42578125" style="1098" customWidth="1"/>
    <col min="517" max="517" width="12.85546875" style="1098" customWidth="1"/>
    <col min="518" max="518" width="15.5703125" style="1098" customWidth="1"/>
    <col min="519" max="519" width="15.85546875" style="1098" customWidth="1"/>
    <col min="520" max="520" width="7.140625" style="1098" customWidth="1"/>
    <col min="521" max="521" width="5.28515625" style="1098" customWidth="1"/>
    <col min="522" max="522" width="9.140625" style="1098"/>
    <col min="523" max="523" width="15.5703125" style="1098" customWidth="1"/>
    <col min="524" max="524" width="16" style="1098" customWidth="1"/>
    <col min="525" max="768" width="9.140625" style="1098"/>
    <col min="769" max="769" width="4.7109375" style="1098" customWidth="1"/>
    <col min="770" max="770" width="6.7109375" style="1098" customWidth="1"/>
    <col min="771" max="771" width="8.85546875" style="1098" customWidth="1"/>
    <col min="772" max="772" width="46.42578125" style="1098" customWidth="1"/>
    <col min="773" max="773" width="12.85546875" style="1098" customWidth="1"/>
    <col min="774" max="774" width="15.5703125" style="1098" customWidth="1"/>
    <col min="775" max="775" width="15.85546875" style="1098" customWidth="1"/>
    <col min="776" max="776" width="7.140625" style="1098" customWidth="1"/>
    <col min="777" max="777" width="5.28515625" style="1098" customWidth="1"/>
    <col min="778" max="778" width="9.140625" style="1098"/>
    <col min="779" max="779" width="15.5703125" style="1098" customWidth="1"/>
    <col min="780" max="780" width="16" style="1098" customWidth="1"/>
    <col min="781" max="1024" width="9.140625" style="1098"/>
    <col min="1025" max="1025" width="4.7109375" style="1098" customWidth="1"/>
    <col min="1026" max="1026" width="6.7109375" style="1098" customWidth="1"/>
    <col min="1027" max="1027" width="8.85546875" style="1098" customWidth="1"/>
    <col min="1028" max="1028" width="46.42578125" style="1098" customWidth="1"/>
    <col min="1029" max="1029" width="12.85546875" style="1098" customWidth="1"/>
    <col min="1030" max="1030" width="15.5703125" style="1098" customWidth="1"/>
    <col min="1031" max="1031" width="15.85546875" style="1098" customWidth="1"/>
    <col min="1032" max="1032" width="7.140625" style="1098" customWidth="1"/>
    <col min="1033" max="1033" width="5.28515625" style="1098" customWidth="1"/>
    <col min="1034" max="1034" width="9.140625" style="1098"/>
    <col min="1035" max="1035" width="15.5703125" style="1098" customWidth="1"/>
    <col min="1036" max="1036" width="16" style="1098" customWidth="1"/>
    <col min="1037" max="1280" width="9.140625" style="1098"/>
    <col min="1281" max="1281" width="4.7109375" style="1098" customWidth="1"/>
    <col min="1282" max="1282" width="6.7109375" style="1098" customWidth="1"/>
    <col min="1283" max="1283" width="8.85546875" style="1098" customWidth="1"/>
    <col min="1284" max="1284" width="46.42578125" style="1098" customWidth="1"/>
    <col min="1285" max="1285" width="12.85546875" style="1098" customWidth="1"/>
    <col min="1286" max="1286" width="15.5703125" style="1098" customWidth="1"/>
    <col min="1287" max="1287" width="15.85546875" style="1098" customWidth="1"/>
    <col min="1288" max="1288" width="7.140625" style="1098" customWidth="1"/>
    <col min="1289" max="1289" width="5.28515625" style="1098" customWidth="1"/>
    <col min="1290" max="1290" width="9.140625" style="1098"/>
    <col min="1291" max="1291" width="15.5703125" style="1098" customWidth="1"/>
    <col min="1292" max="1292" width="16" style="1098" customWidth="1"/>
    <col min="1293" max="1536" width="9.140625" style="1098"/>
    <col min="1537" max="1537" width="4.7109375" style="1098" customWidth="1"/>
    <col min="1538" max="1538" width="6.7109375" style="1098" customWidth="1"/>
    <col min="1539" max="1539" width="8.85546875" style="1098" customWidth="1"/>
    <col min="1540" max="1540" width="46.42578125" style="1098" customWidth="1"/>
    <col min="1541" max="1541" width="12.85546875" style="1098" customWidth="1"/>
    <col min="1542" max="1542" width="15.5703125" style="1098" customWidth="1"/>
    <col min="1543" max="1543" width="15.85546875" style="1098" customWidth="1"/>
    <col min="1544" max="1544" width="7.140625" style="1098" customWidth="1"/>
    <col min="1545" max="1545" width="5.28515625" style="1098" customWidth="1"/>
    <col min="1546" max="1546" width="9.140625" style="1098"/>
    <col min="1547" max="1547" width="15.5703125" style="1098" customWidth="1"/>
    <col min="1548" max="1548" width="16" style="1098" customWidth="1"/>
    <col min="1549" max="1792" width="9.140625" style="1098"/>
    <col min="1793" max="1793" width="4.7109375" style="1098" customWidth="1"/>
    <col min="1794" max="1794" width="6.7109375" style="1098" customWidth="1"/>
    <col min="1795" max="1795" width="8.85546875" style="1098" customWidth="1"/>
    <col min="1796" max="1796" width="46.42578125" style="1098" customWidth="1"/>
    <col min="1797" max="1797" width="12.85546875" style="1098" customWidth="1"/>
    <col min="1798" max="1798" width="15.5703125" style="1098" customWidth="1"/>
    <col min="1799" max="1799" width="15.85546875" style="1098" customWidth="1"/>
    <col min="1800" max="1800" width="7.140625" style="1098" customWidth="1"/>
    <col min="1801" max="1801" width="5.28515625" style="1098" customWidth="1"/>
    <col min="1802" max="1802" width="9.140625" style="1098"/>
    <col min="1803" max="1803" width="15.5703125" style="1098" customWidth="1"/>
    <col min="1804" max="1804" width="16" style="1098" customWidth="1"/>
    <col min="1805" max="2048" width="9.140625" style="1098"/>
    <col min="2049" max="2049" width="4.7109375" style="1098" customWidth="1"/>
    <col min="2050" max="2050" width="6.7109375" style="1098" customWidth="1"/>
    <col min="2051" max="2051" width="8.85546875" style="1098" customWidth="1"/>
    <col min="2052" max="2052" width="46.42578125" style="1098" customWidth="1"/>
    <col min="2053" max="2053" width="12.85546875" style="1098" customWidth="1"/>
    <col min="2054" max="2054" width="15.5703125" style="1098" customWidth="1"/>
    <col min="2055" max="2055" width="15.85546875" style="1098" customWidth="1"/>
    <col min="2056" max="2056" width="7.140625" style="1098" customWidth="1"/>
    <col min="2057" max="2057" width="5.28515625" style="1098" customWidth="1"/>
    <col min="2058" max="2058" width="9.140625" style="1098"/>
    <col min="2059" max="2059" width="15.5703125" style="1098" customWidth="1"/>
    <col min="2060" max="2060" width="16" style="1098" customWidth="1"/>
    <col min="2061" max="2304" width="9.140625" style="1098"/>
    <col min="2305" max="2305" width="4.7109375" style="1098" customWidth="1"/>
    <col min="2306" max="2306" width="6.7109375" style="1098" customWidth="1"/>
    <col min="2307" max="2307" width="8.85546875" style="1098" customWidth="1"/>
    <col min="2308" max="2308" width="46.42578125" style="1098" customWidth="1"/>
    <col min="2309" max="2309" width="12.85546875" style="1098" customWidth="1"/>
    <col min="2310" max="2310" width="15.5703125" style="1098" customWidth="1"/>
    <col min="2311" max="2311" width="15.85546875" style="1098" customWidth="1"/>
    <col min="2312" max="2312" width="7.140625" style="1098" customWidth="1"/>
    <col min="2313" max="2313" width="5.28515625" style="1098" customWidth="1"/>
    <col min="2314" max="2314" width="9.140625" style="1098"/>
    <col min="2315" max="2315" width="15.5703125" style="1098" customWidth="1"/>
    <col min="2316" max="2316" width="16" style="1098" customWidth="1"/>
    <col min="2317" max="2560" width="9.140625" style="1098"/>
    <col min="2561" max="2561" width="4.7109375" style="1098" customWidth="1"/>
    <col min="2562" max="2562" width="6.7109375" style="1098" customWidth="1"/>
    <col min="2563" max="2563" width="8.85546875" style="1098" customWidth="1"/>
    <col min="2564" max="2564" width="46.42578125" style="1098" customWidth="1"/>
    <col min="2565" max="2565" width="12.85546875" style="1098" customWidth="1"/>
    <col min="2566" max="2566" width="15.5703125" style="1098" customWidth="1"/>
    <col min="2567" max="2567" width="15.85546875" style="1098" customWidth="1"/>
    <col min="2568" max="2568" width="7.140625" style="1098" customWidth="1"/>
    <col min="2569" max="2569" width="5.28515625" style="1098" customWidth="1"/>
    <col min="2570" max="2570" width="9.140625" style="1098"/>
    <col min="2571" max="2571" width="15.5703125" style="1098" customWidth="1"/>
    <col min="2572" max="2572" width="16" style="1098" customWidth="1"/>
    <col min="2573" max="2816" width="9.140625" style="1098"/>
    <col min="2817" max="2817" width="4.7109375" style="1098" customWidth="1"/>
    <col min="2818" max="2818" width="6.7109375" style="1098" customWidth="1"/>
    <col min="2819" max="2819" width="8.85546875" style="1098" customWidth="1"/>
    <col min="2820" max="2820" width="46.42578125" style="1098" customWidth="1"/>
    <col min="2821" max="2821" width="12.85546875" style="1098" customWidth="1"/>
    <col min="2822" max="2822" width="15.5703125" style="1098" customWidth="1"/>
    <col min="2823" max="2823" width="15.85546875" style="1098" customWidth="1"/>
    <col min="2824" max="2824" width="7.140625" style="1098" customWidth="1"/>
    <col min="2825" max="2825" width="5.28515625" style="1098" customWidth="1"/>
    <col min="2826" max="2826" width="9.140625" style="1098"/>
    <col min="2827" max="2827" width="15.5703125" style="1098" customWidth="1"/>
    <col min="2828" max="2828" width="16" style="1098" customWidth="1"/>
    <col min="2829" max="3072" width="9.140625" style="1098"/>
    <col min="3073" max="3073" width="4.7109375" style="1098" customWidth="1"/>
    <col min="3074" max="3074" width="6.7109375" style="1098" customWidth="1"/>
    <col min="3075" max="3075" width="8.85546875" style="1098" customWidth="1"/>
    <col min="3076" max="3076" width="46.42578125" style="1098" customWidth="1"/>
    <col min="3077" max="3077" width="12.85546875" style="1098" customWidth="1"/>
    <col min="3078" max="3078" width="15.5703125" style="1098" customWidth="1"/>
    <col min="3079" max="3079" width="15.85546875" style="1098" customWidth="1"/>
    <col min="3080" max="3080" width="7.140625" style="1098" customWidth="1"/>
    <col min="3081" max="3081" width="5.28515625" style="1098" customWidth="1"/>
    <col min="3082" max="3082" width="9.140625" style="1098"/>
    <col min="3083" max="3083" width="15.5703125" style="1098" customWidth="1"/>
    <col min="3084" max="3084" width="16" style="1098" customWidth="1"/>
    <col min="3085" max="3328" width="9.140625" style="1098"/>
    <col min="3329" max="3329" width="4.7109375" style="1098" customWidth="1"/>
    <col min="3330" max="3330" width="6.7109375" style="1098" customWidth="1"/>
    <col min="3331" max="3331" width="8.85546875" style="1098" customWidth="1"/>
    <col min="3332" max="3332" width="46.42578125" style="1098" customWidth="1"/>
    <col min="3333" max="3333" width="12.85546875" style="1098" customWidth="1"/>
    <col min="3334" max="3334" width="15.5703125" style="1098" customWidth="1"/>
    <col min="3335" max="3335" width="15.85546875" style="1098" customWidth="1"/>
    <col min="3336" max="3336" width="7.140625" style="1098" customWidth="1"/>
    <col min="3337" max="3337" width="5.28515625" style="1098" customWidth="1"/>
    <col min="3338" max="3338" width="9.140625" style="1098"/>
    <col min="3339" max="3339" width="15.5703125" style="1098" customWidth="1"/>
    <col min="3340" max="3340" width="16" style="1098" customWidth="1"/>
    <col min="3341" max="3584" width="9.140625" style="1098"/>
    <col min="3585" max="3585" width="4.7109375" style="1098" customWidth="1"/>
    <col min="3586" max="3586" width="6.7109375" style="1098" customWidth="1"/>
    <col min="3587" max="3587" width="8.85546875" style="1098" customWidth="1"/>
    <col min="3588" max="3588" width="46.42578125" style="1098" customWidth="1"/>
    <col min="3589" max="3589" width="12.85546875" style="1098" customWidth="1"/>
    <col min="3590" max="3590" width="15.5703125" style="1098" customWidth="1"/>
    <col min="3591" max="3591" width="15.85546875" style="1098" customWidth="1"/>
    <col min="3592" max="3592" width="7.140625" style="1098" customWidth="1"/>
    <col min="3593" max="3593" width="5.28515625" style="1098" customWidth="1"/>
    <col min="3594" max="3594" width="9.140625" style="1098"/>
    <col min="3595" max="3595" width="15.5703125" style="1098" customWidth="1"/>
    <col min="3596" max="3596" width="16" style="1098" customWidth="1"/>
    <col min="3597" max="3840" width="9.140625" style="1098"/>
    <col min="3841" max="3841" width="4.7109375" style="1098" customWidth="1"/>
    <col min="3842" max="3842" width="6.7109375" style="1098" customWidth="1"/>
    <col min="3843" max="3843" width="8.85546875" style="1098" customWidth="1"/>
    <col min="3844" max="3844" width="46.42578125" style="1098" customWidth="1"/>
    <col min="3845" max="3845" width="12.85546875" style="1098" customWidth="1"/>
    <col min="3846" max="3846" width="15.5703125" style="1098" customWidth="1"/>
    <col min="3847" max="3847" width="15.85546875" style="1098" customWidth="1"/>
    <col min="3848" max="3848" width="7.140625" style="1098" customWidth="1"/>
    <col min="3849" max="3849" width="5.28515625" style="1098" customWidth="1"/>
    <col min="3850" max="3850" width="9.140625" style="1098"/>
    <col min="3851" max="3851" width="15.5703125" style="1098" customWidth="1"/>
    <col min="3852" max="3852" width="16" style="1098" customWidth="1"/>
    <col min="3853" max="4096" width="9.140625" style="1098"/>
    <col min="4097" max="4097" width="4.7109375" style="1098" customWidth="1"/>
    <col min="4098" max="4098" width="6.7109375" style="1098" customWidth="1"/>
    <col min="4099" max="4099" width="8.85546875" style="1098" customWidth="1"/>
    <col min="4100" max="4100" width="46.42578125" style="1098" customWidth="1"/>
    <col min="4101" max="4101" width="12.85546875" style="1098" customWidth="1"/>
    <col min="4102" max="4102" width="15.5703125" style="1098" customWidth="1"/>
    <col min="4103" max="4103" width="15.85546875" style="1098" customWidth="1"/>
    <col min="4104" max="4104" width="7.140625" style="1098" customWidth="1"/>
    <col min="4105" max="4105" width="5.28515625" style="1098" customWidth="1"/>
    <col min="4106" max="4106" width="9.140625" style="1098"/>
    <col min="4107" max="4107" width="15.5703125" style="1098" customWidth="1"/>
    <col min="4108" max="4108" width="16" style="1098" customWidth="1"/>
    <col min="4109" max="4352" width="9.140625" style="1098"/>
    <col min="4353" max="4353" width="4.7109375" style="1098" customWidth="1"/>
    <col min="4354" max="4354" width="6.7109375" style="1098" customWidth="1"/>
    <col min="4355" max="4355" width="8.85546875" style="1098" customWidth="1"/>
    <col min="4356" max="4356" width="46.42578125" style="1098" customWidth="1"/>
    <col min="4357" max="4357" width="12.85546875" style="1098" customWidth="1"/>
    <col min="4358" max="4358" width="15.5703125" style="1098" customWidth="1"/>
    <col min="4359" max="4359" width="15.85546875" style="1098" customWidth="1"/>
    <col min="4360" max="4360" width="7.140625" style="1098" customWidth="1"/>
    <col min="4361" max="4361" width="5.28515625" style="1098" customWidth="1"/>
    <col min="4362" max="4362" width="9.140625" style="1098"/>
    <col min="4363" max="4363" width="15.5703125" style="1098" customWidth="1"/>
    <col min="4364" max="4364" width="16" style="1098" customWidth="1"/>
    <col min="4365" max="4608" width="9.140625" style="1098"/>
    <col min="4609" max="4609" width="4.7109375" style="1098" customWidth="1"/>
    <col min="4610" max="4610" width="6.7109375" style="1098" customWidth="1"/>
    <col min="4611" max="4611" width="8.85546875" style="1098" customWidth="1"/>
    <col min="4612" max="4612" width="46.42578125" style="1098" customWidth="1"/>
    <col min="4613" max="4613" width="12.85546875" style="1098" customWidth="1"/>
    <col min="4614" max="4614" width="15.5703125" style="1098" customWidth="1"/>
    <col min="4615" max="4615" width="15.85546875" style="1098" customWidth="1"/>
    <col min="4616" max="4616" width="7.140625" style="1098" customWidth="1"/>
    <col min="4617" max="4617" width="5.28515625" style="1098" customWidth="1"/>
    <col min="4618" max="4618" width="9.140625" style="1098"/>
    <col min="4619" max="4619" width="15.5703125" style="1098" customWidth="1"/>
    <col min="4620" max="4620" width="16" style="1098" customWidth="1"/>
    <col min="4621" max="4864" width="9.140625" style="1098"/>
    <col min="4865" max="4865" width="4.7109375" style="1098" customWidth="1"/>
    <col min="4866" max="4866" width="6.7109375" style="1098" customWidth="1"/>
    <col min="4867" max="4867" width="8.85546875" style="1098" customWidth="1"/>
    <col min="4868" max="4868" width="46.42578125" style="1098" customWidth="1"/>
    <col min="4869" max="4869" width="12.85546875" style="1098" customWidth="1"/>
    <col min="4870" max="4870" width="15.5703125" style="1098" customWidth="1"/>
    <col min="4871" max="4871" width="15.85546875" style="1098" customWidth="1"/>
    <col min="4872" max="4872" width="7.140625" style="1098" customWidth="1"/>
    <col min="4873" max="4873" width="5.28515625" style="1098" customWidth="1"/>
    <col min="4874" max="4874" width="9.140625" style="1098"/>
    <col min="4875" max="4875" width="15.5703125" style="1098" customWidth="1"/>
    <col min="4876" max="4876" width="16" style="1098" customWidth="1"/>
    <col min="4877" max="5120" width="9.140625" style="1098"/>
    <col min="5121" max="5121" width="4.7109375" style="1098" customWidth="1"/>
    <col min="5122" max="5122" width="6.7109375" style="1098" customWidth="1"/>
    <col min="5123" max="5123" width="8.85546875" style="1098" customWidth="1"/>
    <col min="5124" max="5124" width="46.42578125" style="1098" customWidth="1"/>
    <col min="5125" max="5125" width="12.85546875" style="1098" customWidth="1"/>
    <col min="5126" max="5126" width="15.5703125" style="1098" customWidth="1"/>
    <col min="5127" max="5127" width="15.85546875" style="1098" customWidth="1"/>
    <col min="5128" max="5128" width="7.140625" style="1098" customWidth="1"/>
    <col min="5129" max="5129" width="5.28515625" style="1098" customWidth="1"/>
    <col min="5130" max="5130" width="9.140625" style="1098"/>
    <col min="5131" max="5131" width="15.5703125" style="1098" customWidth="1"/>
    <col min="5132" max="5132" width="16" style="1098" customWidth="1"/>
    <col min="5133" max="5376" width="9.140625" style="1098"/>
    <col min="5377" max="5377" width="4.7109375" style="1098" customWidth="1"/>
    <col min="5378" max="5378" width="6.7109375" style="1098" customWidth="1"/>
    <col min="5379" max="5379" width="8.85546875" style="1098" customWidth="1"/>
    <col min="5380" max="5380" width="46.42578125" style="1098" customWidth="1"/>
    <col min="5381" max="5381" width="12.85546875" style="1098" customWidth="1"/>
    <col min="5382" max="5382" width="15.5703125" style="1098" customWidth="1"/>
    <col min="5383" max="5383" width="15.85546875" style="1098" customWidth="1"/>
    <col min="5384" max="5384" width="7.140625" style="1098" customWidth="1"/>
    <col min="5385" max="5385" width="5.28515625" style="1098" customWidth="1"/>
    <col min="5386" max="5386" width="9.140625" style="1098"/>
    <col min="5387" max="5387" width="15.5703125" style="1098" customWidth="1"/>
    <col min="5388" max="5388" width="16" style="1098" customWidth="1"/>
    <col min="5389" max="5632" width="9.140625" style="1098"/>
    <col min="5633" max="5633" width="4.7109375" style="1098" customWidth="1"/>
    <col min="5634" max="5634" width="6.7109375" style="1098" customWidth="1"/>
    <col min="5635" max="5635" width="8.85546875" style="1098" customWidth="1"/>
    <col min="5636" max="5636" width="46.42578125" style="1098" customWidth="1"/>
    <col min="5637" max="5637" width="12.85546875" style="1098" customWidth="1"/>
    <col min="5638" max="5638" width="15.5703125" style="1098" customWidth="1"/>
    <col min="5639" max="5639" width="15.85546875" style="1098" customWidth="1"/>
    <col min="5640" max="5640" width="7.140625" style="1098" customWidth="1"/>
    <col min="5641" max="5641" width="5.28515625" style="1098" customWidth="1"/>
    <col min="5642" max="5642" width="9.140625" style="1098"/>
    <col min="5643" max="5643" width="15.5703125" style="1098" customWidth="1"/>
    <col min="5644" max="5644" width="16" style="1098" customWidth="1"/>
    <col min="5645" max="5888" width="9.140625" style="1098"/>
    <col min="5889" max="5889" width="4.7109375" style="1098" customWidth="1"/>
    <col min="5890" max="5890" width="6.7109375" style="1098" customWidth="1"/>
    <col min="5891" max="5891" width="8.85546875" style="1098" customWidth="1"/>
    <col min="5892" max="5892" width="46.42578125" style="1098" customWidth="1"/>
    <col min="5893" max="5893" width="12.85546875" style="1098" customWidth="1"/>
    <col min="5894" max="5894" width="15.5703125" style="1098" customWidth="1"/>
    <col min="5895" max="5895" width="15.85546875" style="1098" customWidth="1"/>
    <col min="5896" max="5896" width="7.140625" style="1098" customWidth="1"/>
    <col min="5897" max="5897" width="5.28515625" style="1098" customWidth="1"/>
    <col min="5898" max="5898" width="9.140625" style="1098"/>
    <col min="5899" max="5899" width="15.5703125" style="1098" customWidth="1"/>
    <col min="5900" max="5900" width="16" style="1098" customWidth="1"/>
    <col min="5901" max="6144" width="9.140625" style="1098"/>
    <col min="6145" max="6145" width="4.7109375" style="1098" customWidth="1"/>
    <col min="6146" max="6146" width="6.7109375" style="1098" customWidth="1"/>
    <col min="6147" max="6147" width="8.85546875" style="1098" customWidth="1"/>
    <col min="6148" max="6148" width="46.42578125" style="1098" customWidth="1"/>
    <col min="6149" max="6149" width="12.85546875" style="1098" customWidth="1"/>
    <col min="6150" max="6150" width="15.5703125" style="1098" customWidth="1"/>
    <col min="6151" max="6151" width="15.85546875" style="1098" customWidth="1"/>
    <col min="6152" max="6152" width="7.140625" style="1098" customWidth="1"/>
    <col min="6153" max="6153" width="5.28515625" style="1098" customWidth="1"/>
    <col min="6154" max="6154" width="9.140625" style="1098"/>
    <col min="6155" max="6155" width="15.5703125" style="1098" customWidth="1"/>
    <col min="6156" max="6156" width="16" style="1098" customWidth="1"/>
    <col min="6157" max="6400" width="9.140625" style="1098"/>
    <col min="6401" max="6401" width="4.7109375" style="1098" customWidth="1"/>
    <col min="6402" max="6402" width="6.7109375" style="1098" customWidth="1"/>
    <col min="6403" max="6403" width="8.85546875" style="1098" customWidth="1"/>
    <col min="6404" max="6404" width="46.42578125" style="1098" customWidth="1"/>
    <col min="6405" max="6405" width="12.85546875" style="1098" customWidth="1"/>
    <col min="6406" max="6406" width="15.5703125" style="1098" customWidth="1"/>
    <col min="6407" max="6407" width="15.85546875" style="1098" customWidth="1"/>
    <col min="6408" max="6408" width="7.140625" style="1098" customWidth="1"/>
    <col min="6409" max="6409" width="5.28515625" style="1098" customWidth="1"/>
    <col min="6410" max="6410" width="9.140625" style="1098"/>
    <col min="6411" max="6411" width="15.5703125" style="1098" customWidth="1"/>
    <col min="6412" max="6412" width="16" style="1098" customWidth="1"/>
    <col min="6413" max="6656" width="9.140625" style="1098"/>
    <col min="6657" max="6657" width="4.7109375" style="1098" customWidth="1"/>
    <col min="6658" max="6658" width="6.7109375" style="1098" customWidth="1"/>
    <col min="6659" max="6659" width="8.85546875" style="1098" customWidth="1"/>
    <col min="6660" max="6660" width="46.42578125" style="1098" customWidth="1"/>
    <col min="6661" max="6661" width="12.85546875" style="1098" customWidth="1"/>
    <col min="6662" max="6662" width="15.5703125" style="1098" customWidth="1"/>
    <col min="6663" max="6663" width="15.85546875" style="1098" customWidth="1"/>
    <col min="6664" max="6664" width="7.140625" style="1098" customWidth="1"/>
    <col min="6665" max="6665" width="5.28515625" style="1098" customWidth="1"/>
    <col min="6666" max="6666" width="9.140625" style="1098"/>
    <col min="6667" max="6667" width="15.5703125" style="1098" customWidth="1"/>
    <col min="6668" max="6668" width="16" style="1098" customWidth="1"/>
    <col min="6669" max="6912" width="9.140625" style="1098"/>
    <col min="6913" max="6913" width="4.7109375" style="1098" customWidth="1"/>
    <col min="6914" max="6914" width="6.7109375" style="1098" customWidth="1"/>
    <col min="6915" max="6915" width="8.85546875" style="1098" customWidth="1"/>
    <col min="6916" max="6916" width="46.42578125" style="1098" customWidth="1"/>
    <col min="6917" max="6917" width="12.85546875" style="1098" customWidth="1"/>
    <col min="6918" max="6918" width="15.5703125" style="1098" customWidth="1"/>
    <col min="6919" max="6919" width="15.85546875" style="1098" customWidth="1"/>
    <col min="6920" max="6920" width="7.140625" style="1098" customWidth="1"/>
    <col min="6921" max="6921" width="5.28515625" style="1098" customWidth="1"/>
    <col min="6922" max="6922" width="9.140625" style="1098"/>
    <col min="6923" max="6923" width="15.5703125" style="1098" customWidth="1"/>
    <col min="6924" max="6924" width="16" style="1098" customWidth="1"/>
    <col min="6925" max="7168" width="9.140625" style="1098"/>
    <col min="7169" max="7169" width="4.7109375" style="1098" customWidth="1"/>
    <col min="7170" max="7170" width="6.7109375" style="1098" customWidth="1"/>
    <col min="7171" max="7171" width="8.85546875" style="1098" customWidth="1"/>
    <col min="7172" max="7172" width="46.42578125" style="1098" customWidth="1"/>
    <col min="7173" max="7173" width="12.85546875" style="1098" customWidth="1"/>
    <col min="7174" max="7174" width="15.5703125" style="1098" customWidth="1"/>
    <col min="7175" max="7175" width="15.85546875" style="1098" customWidth="1"/>
    <col min="7176" max="7176" width="7.140625" style="1098" customWidth="1"/>
    <col min="7177" max="7177" width="5.28515625" style="1098" customWidth="1"/>
    <col min="7178" max="7178" width="9.140625" style="1098"/>
    <col min="7179" max="7179" width="15.5703125" style="1098" customWidth="1"/>
    <col min="7180" max="7180" width="16" style="1098" customWidth="1"/>
    <col min="7181" max="7424" width="9.140625" style="1098"/>
    <col min="7425" max="7425" width="4.7109375" style="1098" customWidth="1"/>
    <col min="7426" max="7426" width="6.7109375" style="1098" customWidth="1"/>
    <col min="7427" max="7427" width="8.85546875" style="1098" customWidth="1"/>
    <col min="7428" max="7428" width="46.42578125" style="1098" customWidth="1"/>
    <col min="7429" max="7429" width="12.85546875" style="1098" customWidth="1"/>
    <col min="7430" max="7430" width="15.5703125" style="1098" customWidth="1"/>
    <col min="7431" max="7431" width="15.85546875" style="1098" customWidth="1"/>
    <col min="7432" max="7432" width="7.140625" style="1098" customWidth="1"/>
    <col min="7433" max="7433" width="5.28515625" style="1098" customWidth="1"/>
    <col min="7434" max="7434" width="9.140625" style="1098"/>
    <col min="7435" max="7435" width="15.5703125" style="1098" customWidth="1"/>
    <col min="7436" max="7436" width="16" style="1098" customWidth="1"/>
    <col min="7437" max="7680" width="9.140625" style="1098"/>
    <col min="7681" max="7681" width="4.7109375" style="1098" customWidth="1"/>
    <col min="7682" max="7682" width="6.7109375" style="1098" customWidth="1"/>
    <col min="7683" max="7683" width="8.85546875" style="1098" customWidth="1"/>
    <col min="7684" max="7684" width="46.42578125" style="1098" customWidth="1"/>
    <col min="7685" max="7685" width="12.85546875" style="1098" customWidth="1"/>
    <col min="7686" max="7686" width="15.5703125" style="1098" customWidth="1"/>
    <col min="7687" max="7687" width="15.85546875" style="1098" customWidth="1"/>
    <col min="7688" max="7688" width="7.140625" style="1098" customWidth="1"/>
    <col min="7689" max="7689" width="5.28515625" style="1098" customWidth="1"/>
    <col min="7690" max="7690" width="9.140625" style="1098"/>
    <col min="7691" max="7691" width="15.5703125" style="1098" customWidth="1"/>
    <col min="7692" max="7692" width="16" style="1098" customWidth="1"/>
    <col min="7693" max="7936" width="9.140625" style="1098"/>
    <col min="7937" max="7937" width="4.7109375" style="1098" customWidth="1"/>
    <col min="7938" max="7938" width="6.7109375" style="1098" customWidth="1"/>
    <col min="7939" max="7939" width="8.85546875" style="1098" customWidth="1"/>
    <col min="7940" max="7940" width="46.42578125" style="1098" customWidth="1"/>
    <col min="7941" max="7941" width="12.85546875" style="1098" customWidth="1"/>
    <col min="7942" max="7942" width="15.5703125" style="1098" customWidth="1"/>
    <col min="7943" max="7943" width="15.85546875" style="1098" customWidth="1"/>
    <col min="7944" max="7944" width="7.140625" style="1098" customWidth="1"/>
    <col min="7945" max="7945" width="5.28515625" style="1098" customWidth="1"/>
    <col min="7946" max="7946" width="9.140625" style="1098"/>
    <col min="7947" max="7947" width="15.5703125" style="1098" customWidth="1"/>
    <col min="7948" max="7948" width="16" style="1098" customWidth="1"/>
    <col min="7949" max="8192" width="9.140625" style="1098"/>
    <col min="8193" max="8193" width="4.7109375" style="1098" customWidth="1"/>
    <col min="8194" max="8194" width="6.7109375" style="1098" customWidth="1"/>
    <col min="8195" max="8195" width="8.85546875" style="1098" customWidth="1"/>
    <col min="8196" max="8196" width="46.42578125" style="1098" customWidth="1"/>
    <col min="8197" max="8197" width="12.85546875" style="1098" customWidth="1"/>
    <col min="8198" max="8198" width="15.5703125" style="1098" customWidth="1"/>
    <col min="8199" max="8199" width="15.85546875" style="1098" customWidth="1"/>
    <col min="8200" max="8200" width="7.140625" style="1098" customWidth="1"/>
    <col min="8201" max="8201" width="5.28515625" style="1098" customWidth="1"/>
    <col min="8202" max="8202" width="9.140625" style="1098"/>
    <col min="8203" max="8203" width="15.5703125" style="1098" customWidth="1"/>
    <col min="8204" max="8204" width="16" style="1098" customWidth="1"/>
    <col min="8205" max="8448" width="9.140625" style="1098"/>
    <col min="8449" max="8449" width="4.7109375" style="1098" customWidth="1"/>
    <col min="8450" max="8450" width="6.7109375" style="1098" customWidth="1"/>
    <col min="8451" max="8451" width="8.85546875" style="1098" customWidth="1"/>
    <col min="8452" max="8452" width="46.42578125" style="1098" customWidth="1"/>
    <col min="8453" max="8453" width="12.85546875" style="1098" customWidth="1"/>
    <col min="8454" max="8454" width="15.5703125" style="1098" customWidth="1"/>
    <col min="8455" max="8455" width="15.85546875" style="1098" customWidth="1"/>
    <col min="8456" max="8456" width="7.140625" style="1098" customWidth="1"/>
    <col min="8457" max="8457" width="5.28515625" style="1098" customWidth="1"/>
    <col min="8458" max="8458" width="9.140625" style="1098"/>
    <col min="8459" max="8459" width="15.5703125" style="1098" customWidth="1"/>
    <col min="8460" max="8460" width="16" style="1098" customWidth="1"/>
    <col min="8461" max="8704" width="9.140625" style="1098"/>
    <col min="8705" max="8705" width="4.7109375" style="1098" customWidth="1"/>
    <col min="8706" max="8706" width="6.7109375" style="1098" customWidth="1"/>
    <col min="8707" max="8707" width="8.85546875" style="1098" customWidth="1"/>
    <col min="8708" max="8708" width="46.42578125" style="1098" customWidth="1"/>
    <col min="8709" max="8709" width="12.85546875" style="1098" customWidth="1"/>
    <col min="8710" max="8710" width="15.5703125" style="1098" customWidth="1"/>
    <col min="8711" max="8711" width="15.85546875" style="1098" customWidth="1"/>
    <col min="8712" max="8712" width="7.140625" style="1098" customWidth="1"/>
    <col min="8713" max="8713" width="5.28515625" style="1098" customWidth="1"/>
    <col min="8714" max="8714" width="9.140625" style="1098"/>
    <col min="8715" max="8715" width="15.5703125" style="1098" customWidth="1"/>
    <col min="8716" max="8716" width="16" style="1098" customWidth="1"/>
    <col min="8717" max="8960" width="9.140625" style="1098"/>
    <col min="8961" max="8961" width="4.7109375" style="1098" customWidth="1"/>
    <col min="8962" max="8962" width="6.7109375" style="1098" customWidth="1"/>
    <col min="8963" max="8963" width="8.85546875" style="1098" customWidth="1"/>
    <col min="8964" max="8964" width="46.42578125" style="1098" customWidth="1"/>
    <col min="8965" max="8965" width="12.85546875" style="1098" customWidth="1"/>
    <col min="8966" max="8966" width="15.5703125" style="1098" customWidth="1"/>
    <col min="8967" max="8967" width="15.85546875" style="1098" customWidth="1"/>
    <col min="8968" max="8968" width="7.140625" style="1098" customWidth="1"/>
    <col min="8969" max="8969" width="5.28515625" style="1098" customWidth="1"/>
    <col min="8970" max="8970" width="9.140625" style="1098"/>
    <col min="8971" max="8971" width="15.5703125" style="1098" customWidth="1"/>
    <col min="8972" max="8972" width="16" style="1098" customWidth="1"/>
    <col min="8973" max="9216" width="9.140625" style="1098"/>
    <col min="9217" max="9217" width="4.7109375" style="1098" customWidth="1"/>
    <col min="9218" max="9218" width="6.7109375" style="1098" customWidth="1"/>
    <col min="9219" max="9219" width="8.85546875" style="1098" customWidth="1"/>
    <col min="9220" max="9220" width="46.42578125" style="1098" customWidth="1"/>
    <col min="9221" max="9221" width="12.85546875" style="1098" customWidth="1"/>
    <col min="9222" max="9222" width="15.5703125" style="1098" customWidth="1"/>
    <col min="9223" max="9223" width="15.85546875" style="1098" customWidth="1"/>
    <col min="9224" max="9224" width="7.140625" style="1098" customWidth="1"/>
    <col min="9225" max="9225" width="5.28515625" style="1098" customWidth="1"/>
    <col min="9226" max="9226" width="9.140625" style="1098"/>
    <col min="9227" max="9227" width="15.5703125" style="1098" customWidth="1"/>
    <col min="9228" max="9228" width="16" style="1098" customWidth="1"/>
    <col min="9229" max="9472" width="9.140625" style="1098"/>
    <col min="9473" max="9473" width="4.7109375" style="1098" customWidth="1"/>
    <col min="9474" max="9474" width="6.7109375" style="1098" customWidth="1"/>
    <col min="9475" max="9475" width="8.85546875" style="1098" customWidth="1"/>
    <col min="9476" max="9476" width="46.42578125" style="1098" customWidth="1"/>
    <col min="9477" max="9477" width="12.85546875" style="1098" customWidth="1"/>
    <col min="9478" max="9478" width="15.5703125" style="1098" customWidth="1"/>
    <col min="9479" max="9479" width="15.85546875" style="1098" customWidth="1"/>
    <col min="9480" max="9480" width="7.140625" style="1098" customWidth="1"/>
    <col min="9481" max="9481" width="5.28515625" style="1098" customWidth="1"/>
    <col min="9482" max="9482" width="9.140625" style="1098"/>
    <col min="9483" max="9483" width="15.5703125" style="1098" customWidth="1"/>
    <col min="9484" max="9484" width="16" style="1098" customWidth="1"/>
    <col min="9485" max="9728" width="9.140625" style="1098"/>
    <col min="9729" max="9729" width="4.7109375" style="1098" customWidth="1"/>
    <col min="9730" max="9730" width="6.7109375" style="1098" customWidth="1"/>
    <col min="9731" max="9731" width="8.85546875" style="1098" customWidth="1"/>
    <col min="9732" max="9732" width="46.42578125" style="1098" customWidth="1"/>
    <col min="9733" max="9733" width="12.85546875" style="1098" customWidth="1"/>
    <col min="9734" max="9734" width="15.5703125" style="1098" customWidth="1"/>
    <col min="9735" max="9735" width="15.85546875" style="1098" customWidth="1"/>
    <col min="9736" max="9736" width="7.140625" style="1098" customWidth="1"/>
    <col min="9737" max="9737" width="5.28515625" style="1098" customWidth="1"/>
    <col min="9738" max="9738" width="9.140625" style="1098"/>
    <col min="9739" max="9739" width="15.5703125" style="1098" customWidth="1"/>
    <col min="9740" max="9740" width="16" style="1098" customWidth="1"/>
    <col min="9741" max="9984" width="9.140625" style="1098"/>
    <col min="9985" max="9985" width="4.7109375" style="1098" customWidth="1"/>
    <col min="9986" max="9986" width="6.7109375" style="1098" customWidth="1"/>
    <col min="9987" max="9987" width="8.85546875" style="1098" customWidth="1"/>
    <col min="9988" max="9988" width="46.42578125" style="1098" customWidth="1"/>
    <col min="9989" max="9989" width="12.85546875" style="1098" customWidth="1"/>
    <col min="9990" max="9990" width="15.5703125" style="1098" customWidth="1"/>
    <col min="9991" max="9991" width="15.85546875" style="1098" customWidth="1"/>
    <col min="9992" max="9992" width="7.140625" style="1098" customWidth="1"/>
    <col min="9993" max="9993" width="5.28515625" style="1098" customWidth="1"/>
    <col min="9994" max="9994" width="9.140625" style="1098"/>
    <col min="9995" max="9995" width="15.5703125" style="1098" customWidth="1"/>
    <col min="9996" max="9996" width="16" style="1098" customWidth="1"/>
    <col min="9997" max="10240" width="9.140625" style="1098"/>
    <col min="10241" max="10241" width="4.7109375" style="1098" customWidth="1"/>
    <col min="10242" max="10242" width="6.7109375" style="1098" customWidth="1"/>
    <col min="10243" max="10243" width="8.85546875" style="1098" customWidth="1"/>
    <col min="10244" max="10244" width="46.42578125" style="1098" customWidth="1"/>
    <col min="10245" max="10245" width="12.85546875" style="1098" customWidth="1"/>
    <col min="10246" max="10246" width="15.5703125" style="1098" customWidth="1"/>
    <col min="10247" max="10247" width="15.85546875" style="1098" customWidth="1"/>
    <col min="10248" max="10248" width="7.140625" style="1098" customWidth="1"/>
    <col min="10249" max="10249" width="5.28515625" style="1098" customWidth="1"/>
    <col min="10250" max="10250" width="9.140625" style="1098"/>
    <col min="10251" max="10251" width="15.5703125" style="1098" customWidth="1"/>
    <col min="10252" max="10252" width="16" style="1098" customWidth="1"/>
    <col min="10253" max="10496" width="9.140625" style="1098"/>
    <col min="10497" max="10497" width="4.7109375" style="1098" customWidth="1"/>
    <col min="10498" max="10498" width="6.7109375" style="1098" customWidth="1"/>
    <col min="10499" max="10499" width="8.85546875" style="1098" customWidth="1"/>
    <col min="10500" max="10500" width="46.42578125" style="1098" customWidth="1"/>
    <col min="10501" max="10501" width="12.85546875" style="1098" customWidth="1"/>
    <col min="10502" max="10502" width="15.5703125" style="1098" customWidth="1"/>
    <col min="10503" max="10503" width="15.85546875" style="1098" customWidth="1"/>
    <col min="10504" max="10504" width="7.140625" style="1098" customWidth="1"/>
    <col min="10505" max="10505" width="5.28515625" style="1098" customWidth="1"/>
    <col min="10506" max="10506" width="9.140625" style="1098"/>
    <col min="10507" max="10507" width="15.5703125" style="1098" customWidth="1"/>
    <col min="10508" max="10508" width="16" style="1098" customWidth="1"/>
    <col min="10509" max="10752" width="9.140625" style="1098"/>
    <col min="10753" max="10753" width="4.7109375" style="1098" customWidth="1"/>
    <col min="10754" max="10754" width="6.7109375" style="1098" customWidth="1"/>
    <col min="10755" max="10755" width="8.85546875" style="1098" customWidth="1"/>
    <col min="10756" max="10756" width="46.42578125" style="1098" customWidth="1"/>
    <col min="10757" max="10757" width="12.85546875" style="1098" customWidth="1"/>
    <col min="10758" max="10758" width="15.5703125" style="1098" customWidth="1"/>
    <col min="10759" max="10759" width="15.85546875" style="1098" customWidth="1"/>
    <col min="10760" max="10760" width="7.140625" style="1098" customWidth="1"/>
    <col min="10761" max="10761" width="5.28515625" style="1098" customWidth="1"/>
    <col min="10762" max="10762" width="9.140625" style="1098"/>
    <col min="10763" max="10763" width="15.5703125" style="1098" customWidth="1"/>
    <col min="10764" max="10764" width="16" style="1098" customWidth="1"/>
    <col min="10765" max="11008" width="9.140625" style="1098"/>
    <col min="11009" max="11009" width="4.7109375" style="1098" customWidth="1"/>
    <col min="11010" max="11010" width="6.7109375" style="1098" customWidth="1"/>
    <col min="11011" max="11011" width="8.85546875" style="1098" customWidth="1"/>
    <col min="11012" max="11012" width="46.42578125" style="1098" customWidth="1"/>
    <col min="11013" max="11013" width="12.85546875" style="1098" customWidth="1"/>
    <col min="11014" max="11014" width="15.5703125" style="1098" customWidth="1"/>
    <col min="11015" max="11015" width="15.85546875" style="1098" customWidth="1"/>
    <col min="11016" max="11016" width="7.140625" style="1098" customWidth="1"/>
    <col min="11017" max="11017" width="5.28515625" style="1098" customWidth="1"/>
    <col min="11018" max="11018" width="9.140625" style="1098"/>
    <col min="11019" max="11019" width="15.5703125" style="1098" customWidth="1"/>
    <col min="11020" max="11020" width="16" style="1098" customWidth="1"/>
    <col min="11021" max="11264" width="9.140625" style="1098"/>
    <col min="11265" max="11265" width="4.7109375" style="1098" customWidth="1"/>
    <col min="11266" max="11266" width="6.7109375" style="1098" customWidth="1"/>
    <col min="11267" max="11267" width="8.85546875" style="1098" customWidth="1"/>
    <col min="11268" max="11268" width="46.42578125" style="1098" customWidth="1"/>
    <col min="11269" max="11269" width="12.85546875" style="1098" customWidth="1"/>
    <col min="11270" max="11270" width="15.5703125" style="1098" customWidth="1"/>
    <col min="11271" max="11271" width="15.85546875" style="1098" customWidth="1"/>
    <col min="11272" max="11272" width="7.140625" style="1098" customWidth="1"/>
    <col min="11273" max="11273" width="5.28515625" style="1098" customWidth="1"/>
    <col min="11274" max="11274" width="9.140625" style="1098"/>
    <col min="11275" max="11275" width="15.5703125" style="1098" customWidth="1"/>
    <col min="11276" max="11276" width="16" style="1098" customWidth="1"/>
    <col min="11277" max="11520" width="9.140625" style="1098"/>
    <col min="11521" max="11521" width="4.7109375" style="1098" customWidth="1"/>
    <col min="11522" max="11522" width="6.7109375" style="1098" customWidth="1"/>
    <col min="11523" max="11523" width="8.85546875" style="1098" customWidth="1"/>
    <col min="11524" max="11524" width="46.42578125" style="1098" customWidth="1"/>
    <col min="11525" max="11525" width="12.85546875" style="1098" customWidth="1"/>
    <col min="11526" max="11526" width="15.5703125" style="1098" customWidth="1"/>
    <col min="11527" max="11527" width="15.85546875" style="1098" customWidth="1"/>
    <col min="11528" max="11528" width="7.140625" style="1098" customWidth="1"/>
    <col min="11529" max="11529" width="5.28515625" style="1098" customWidth="1"/>
    <col min="11530" max="11530" width="9.140625" style="1098"/>
    <col min="11531" max="11531" width="15.5703125" style="1098" customWidth="1"/>
    <col min="11532" max="11532" width="16" style="1098" customWidth="1"/>
    <col min="11533" max="11776" width="9.140625" style="1098"/>
    <col min="11777" max="11777" width="4.7109375" style="1098" customWidth="1"/>
    <col min="11778" max="11778" width="6.7109375" style="1098" customWidth="1"/>
    <col min="11779" max="11779" width="8.85546875" style="1098" customWidth="1"/>
    <col min="11780" max="11780" width="46.42578125" style="1098" customWidth="1"/>
    <col min="11781" max="11781" width="12.85546875" style="1098" customWidth="1"/>
    <col min="11782" max="11782" width="15.5703125" style="1098" customWidth="1"/>
    <col min="11783" max="11783" width="15.85546875" style="1098" customWidth="1"/>
    <col min="11784" max="11784" width="7.140625" style="1098" customWidth="1"/>
    <col min="11785" max="11785" width="5.28515625" style="1098" customWidth="1"/>
    <col min="11786" max="11786" width="9.140625" style="1098"/>
    <col min="11787" max="11787" width="15.5703125" style="1098" customWidth="1"/>
    <col min="11788" max="11788" width="16" style="1098" customWidth="1"/>
    <col min="11789" max="12032" width="9.140625" style="1098"/>
    <col min="12033" max="12033" width="4.7109375" style="1098" customWidth="1"/>
    <col min="12034" max="12034" width="6.7109375" style="1098" customWidth="1"/>
    <col min="12035" max="12035" width="8.85546875" style="1098" customWidth="1"/>
    <col min="12036" max="12036" width="46.42578125" style="1098" customWidth="1"/>
    <col min="12037" max="12037" width="12.85546875" style="1098" customWidth="1"/>
    <col min="12038" max="12038" width="15.5703125" style="1098" customWidth="1"/>
    <col min="12039" max="12039" width="15.85546875" style="1098" customWidth="1"/>
    <col min="12040" max="12040" width="7.140625" style="1098" customWidth="1"/>
    <col min="12041" max="12041" width="5.28515625" style="1098" customWidth="1"/>
    <col min="12042" max="12042" width="9.140625" style="1098"/>
    <col min="12043" max="12043" width="15.5703125" style="1098" customWidth="1"/>
    <col min="12044" max="12044" width="16" style="1098" customWidth="1"/>
    <col min="12045" max="12288" width="9.140625" style="1098"/>
    <col min="12289" max="12289" width="4.7109375" style="1098" customWidth="1"/>
    <col min="12290" max="12290" width="6.7109375" style="1098" customWidth="1"/>
    <col min="12291" max="12291" width="8.85546875" style="1098" customWidth="1"/>
    <col min="12292" max="12292" width="46.42578125" style="1098" customWidth="1"/>
    <col min="12293" max="12293" width="12.85546875" style="1098" customWidth="1"/>
    <col min="12294" max="12294" width="15.5703125" style="1098" customWidth="1"/>
    <col min="12295" max="12295" width="15.85546875" style="1098" customWidth="1"/>
    <col min="12296" max="12296" width="7.140625" style="1098" customWidth="1"/>
    <col min="12297" max="12297" width="5.28515625" style="1098" customWidth="1"/>
    <col min="12298" max="12298" width="9.140625" style="1098"/>
    <col min="12299" max="12299" width="15.5703125" style="1098" customWidth="1"/>
    <col min="12300" max="12300" width="16" style="1098" customWidth="1"/>
    <col min="12301" max="12544" width="9.140625" style="1098"/>
    <col min="12545" max="12545" width="4.7109375" style="1098" customWidth="1"/>
    <col min="12546" max="12546" width="6.7109375" style="1098" customWidth="1"/>
    <col min="12547" max="12547" width="8.85546875" style="1098" customWidth="1"/>
    <col min="12548" max="12548" width="46.42578125" style="1098" customWidth="1"/>
    <col min="12549" max="12549" width="12.85546875" style="1098" customWidth="1"/>
    <col min="12550" max="12550" width="15.5703125" style="1098" customWidth="1"/>
    <col min="12551" max="12551" width="15.85546875" style="1098" customWidth="1"/>
    <col min="12552" max="12552" width="7.140625" style="1098" customWidth="1"/>
    <col min="12553" max="12553" width="5.28515625" style="1098" customWidth="1"/>
    <col min="12554" max="12554" width="9.140625" style="1098"/>
    <col min="12555" max="12555" width="15.5703125" style="1098" customWidth="1"/>
    <col min="12556" max="12556" width="16" style="1098" customWidth="1"/>
    <col min="12557" max="12800" width="9.140625" style="1098"/>
    <col min="12801" max="12801" width="4.7109375" style="1098" customWidth="1"/>
    <col min="12802" max="12802" width="6.7109375" style="1098" customWidth="1"/>
    <col min="12803" max="12803" width="8.85546875" style="1098" customWidth="1"/>
    <col min="12804" max="12804" width="46.42578125" style="1098" customWidth="1"/>
    <col min="12805" max="12805" width="12.85546875" style="1098" customWidth="1"/>
    <col min="12806" max="12806" width="15.5703125" style="1098" customWidth="1"/>
    <col min="12807" max="12807" width="15.85546875" style="1098" customWidth="1"/>
    <col min="12808" max="12808" width="7.140625" style="1098" customWidth="1"/>
    <col min="12809" max="12809" width="5.28515625" style="1098" customWidth="1"/>
    <col min="12810" max="12810" width="9.140625" style="1098"/>
    <col min="12811" max="12811" width="15.5703125" style="1098" customWidth="1"/>
    <col min="12812" max="12812" width="16" style="1098" customWidth="1"/>
    <col min="12813" max="13056" width="9.140625" style="1098"/>
    <col min="13057" max="13057" width="4.7109375" style="1098" customWidth="1"/>
    <col min="13058" max="13058" width="6.7109375" style="1098" customWidth="1"/>
    <col min="13059" max="13059" width="8.85546875" style="1098" customWidth="1"/>
    <col min="13060" max="13060" width="46.42578125" style="1098" customWidth="1"/>
    <col min="13061" max="13061" width="12.85546875" style="1098" customWidth="1"/>
    <col min="13062" max="13062" width="15.5703125" style="1098" customWidth="1"/>
    <col min="13063" max="13063" width="15.85546875" style="1098" customWidth="1"/>
    <col min="13064" max="13064" width="7.140625" style="1098" customWidth="1"/>
    <col min="13065" max="13065" width="5.28515625" style="1098" customWidth="1"/>
    <col min="13066" max="13066" width="9.140625" style="1098"/>
    <col min="13067" max="13067" width="15.5703125" style="1098" customWidth="1"/>
    <col min="13068" max="13068" width="16" style="1098" customWidth="1"/>
    <col min="13069" max="13312" width="9.140625" style="1098"/>
    <col min="13313" max="13313" width="4.7109375" style="1098" customWidth="1"/>
    <col min="13314" max="13314" width="6.7109375" style="1098" customWidth="1"/>
    <col min="13315" max="13315" width="8.85546875" style="1098" customWidth="1"/>
    <col min="13316" max="13316" width="46.42578125" style="1098" customWidth="1"/>
    <col min="13317" max="13317" width="12.85546875" style="1098" customWidth="1"/>
    <col min="13318" max="13318" width="15.5703125" style="1098" customWidth="1"/>
    <col min="13319" max="13319" width="15.85546875" style="1098" customWidth="1"/>
    <col min="13320" max="13320" width="7.140625" style="1098" customWidth="1"/>
    <col min="13321" max="13321" width="5.28515625" style="1098" customWidth="1"/>
    <col min="13322" max="13322" width="9.140625" style="1098"/>
    <col min="13323" max="13323" width="15.5703125" style="1098" customWidth="1"/>
    <col min="13324" max="13324" width="16" style="1098" customWidth="1"/>
    <col min="13325" max="13568" width="9.140625" style="1098"/>
    <col min="13569" max="13569" width="4.7109375" style="1098" customWidth="1"/>
    <col min="13570" max="13570" width="6.7109375" style="1098" customWidth="1"/>
    <col min="13571" max="13571" width="8.85546875" style="1098" customWidth="1"/>
    <col min="13572" max="13572" width="46.42578125" style="1098" customWidth="1"/>
    <col min="13573" max="13573" width="12.85546875" style="1098" customWidth="1"/>
    <col min="13574" max="13574" width="15.5703125" style="1098" customWidth="1"/>
    <col min="13575" max="13575" width="15.85546875" style="1098" customWidth="1"/>
    <col min="13576" max="13576" width="7.140625" style="1098" customWidth="1"/>
    <col min="13577" max="13577" width="5.28515625" style="1098" customWidth="1"/>
    <col min="13578" max="13578" width="9.140625" style="1098"/>
    <col min="13579" max="13579" width="15.5703125" style="1098" customWidth="1"/>
    <col min="13580" max="13580" width="16" style="1098" customWidth="1"/>
    <col min="13581" max="13824" width="9.140625" style="1098"/>
    <col min="13825" max="13825" width="4.7109375" style="1098" customWidth="1"/>
    <col min="13826" max="13826" width="6.7109375" style="1098" customWidth="1"/>
    <col min="13827" max="13827" width="8.85546875" style="1098" customWidth="1"/>
    <col min="13828" max="13828" width="46.42578125" style="1098" customWidth="1"/>
    <col min="13829" max="13829" width="12.85546875" style="1098" customWidth="1"/>
    <col min="13830" max="13830" width="15.5703125" style="1098" customWidth="1"/>
    <col min="13831" max="13831" width="15.85546875" style="1098" customWidth="1"/>
    <col min="13832" max="13832" width="7.140625" style="1098" customWidth="1"/>
    <col min="13833" max="13833" width="5.28515625" style="1098" customWidth="1"/>
    <col min="13834" max="13834" width="9.140625" style="1098"/>
    <col min="13835" max="13835" width="15.5703125" style="1098" customWidth="1"/>
    <col min="13836" max="13836" width="16" style="1098" customWidth="1"/>
    <col min="13837" max="14080" width="9.140625" style="1098"/>
    <col min="14081" max="14081" width="4.7109375" style="1098" customWidth="1"/>
    <col min="14082" max="14082" width="6.7109375" style="1098" customWidth="1"/>
    <col min="14083" max="14083" width="8.85546875" style="1098" customWidth="1"/>
    <col min="14084" max="14084" width="46.42578125" style="1098" customWidth="1"/>
    <col min="14085" max="14085" width="12.85546875" style="1098" customWidth="1"/>
    <col min="14086" max="14086" width="15.5703125" style="1098" customWidth="1"/>
    <col min="14087" max="14087" width="15.85546875" style="1098" customWidth="1"/>
    <col min="14088" max="14088" width="7.140625" style="1098" customWidth="1"/>
    <col min="14089" max="14089" width="5.28515625" style="1098" customWidth="1"/>
    <col min="14090" max="14090" width="9.140625" style="1098"/>
    <col min="14091" max="14091" width="15.5703125" style="1098" customWidth="1"/>
    <col min="14092" max="14092" width="16" style="1098" customWidth="1"/>
    <col min="14093" max="14336" width="9.140625" style="1098"/>
    <col min="14337" max="14337" width="4.7109375" style="1098" customWidth="1"/>
    <col min="14338" max="14338" width="6.7109375" style="1098" customWidth="1"/>
    <col min="14339" max="14339" width="8.85546875" style="1098" customWidth="1"/>
    <col min="14340" max="14340" width="46.42578125" style="1098" customWidth="1"/>
    <col min="14341" max="14341" width="12.85546875" style="1098" customWidth="1"/>
    <col min="14342" max="14342" width="15.5703125" style="1098" customWidth="1"/>
    <col min="14343" max="14343" width="15.85546875" style="1098" customWidth="1"/>
    <col min="14344" max="14344" width="7.140625" style="1098" customWidth="1"/>
    <col min="14345" max="14345" width="5.28515625" style="1098" customWidth="1"/>
    <col min="14346" max="14346" width="9.140625" style="1098"/>
    <col min="14347" max="14347" width="15.5703125" style="1098" customWidth="1"/>
    <col min="14348" max="14348" width="16" style="1098" customWidth="1"/>
    <col min="14349" max="14592" width="9.140625" style="1098"/>
    <col min="14593" max="14593" width="4.7109375" style="1098" customWidth="1"/>
    <col min="14594" max="14594" width="6.7109375" style="1098" customWidth="1"/>
    <col min="14595" max="14595" width="8.85546875" style="1098" customWidth="1"/>
    <col min="14596" max="14596" width="46.42578125" style="1098" customWidth="1"/>
    <col min="14597" max="14597" width="12.85546875" style="1098" customWidth="1"/>
    <col min="14598" max="14598" width="15.5703125" style="1098" customWidth="1"/>
    <col min="14599" max="14599" width="15.85546875" style="1098" customWidth="1"/>
    <col min="14600" max="14600" width="7.140625" style="1098" customWidth="1"/>
    <col min="14601" max="14601" width="5.28515625" style="1098" customWidth="1"/>
    <col min="14602" max="14602" width="9.140625" style="1098"/>
    <col min="14603" max="14603" width="15.5703125" style="1098" customWidth="1"/>
    <col min="14604" max="14604" width="16" style="1098" customWidth="1"/>
    <col min="14605" max="14848" width="9.140625" style="1098"/>
    <col min="14849" max="14849" width="4.7109375" style="1098" customWidth="1"/>
    <col min="14850" max="14850" width="6.7109375" style="1098" customWidth="1"/>
    <col min="14851" max="14851" width="8.85546875" style="1098" customWidth="1"/>
    <col min="14852" max="14852" width="46.42578125" style="1098" customWidth="1"/>
    <col min="14853" max="14853" width="12.85546875" style="1098" customWidth="1"/>
    <col min="14854" max="14854" width="15.5703125" style="1098" customWidth="1"/>
    <col min="14855" max="14855" width="15.85546875" style="1098" customWidth="1"/>
    <col min="14856" max="14856" width="7.140625" style="1098" customWidth="1"/>
    <col min="14857" max="14857" width="5.28515625" style="1098" customWidth="1"/>
    <col min="14858" max="14858" width="9.140625" style="1098"/>
    <col min="14859" max="14859" width="15.5703125" style="1098" customWidth="1"/>
    <col min="14860" max="14860" width="16" style="1098" customWidth="1"/>
    <col min="14861" max="15104" width="9.140625" style="1098"/>
    <col min="15105" max="15105" width="4.7109375" style="1098" customWidth="1"/>
    <col min="15106" max="15106" width="6.7109375" style="1098" customWidth="1"/>
    <col min="15107" max="15107" width="8.85546875" style="1098" customWidth="1"/>
    <col min="15108" max="15108" width="46.42578125" style="1098" customWidth="1"/>
    <col min="15109" max="15109" width="12.85546875" style="1098" customWidth="1"/>
    <col min="15110" max="15110" width="15.5703125" style="1098" customWidth="1"/>
    <col min="15111" max="15111" width="15.85546875" style="1098" customWidth="1"/>
    <col min="15112" max="15112" width="7.140625" style="1098" customWidth="1"/>
    <col min="15113" max="15113" width="5.28515625" style="1098" customWidth="1"/>
    <col min="15114" max="15114" width="9.140625" style="1098"/>
    <col min="15115" max="15115" width="15.5703125" style="1098" customWidth="1"/>
    <col min="15116" max="15116" width="16" style="1098" customWidth="1"/>
    <col min="15117" max="15360" width="9.140625" style="1098"/>
    <col min="15361" max="15361" width="4.7109375" style="1098" customWidth="1"/>
    <col min="15362" max="15362" width="6.7109375" style="1098" customWidth="1"/>
    <col min="15363" max="15363" width="8.85546875" style="1098" customWidth="1"/>
    <col min="15364" max="15364" width="46.42578125" style="1098" customWidth="1"/>
    <col min="15365" max="15365" width="12.85546875" style="1098" customWidth="1"/>
    <col min="15366" max="15366" width="15.5703125" style="1098" customWidth="1"/>
    <col min="15367" max="15367" width="15.85546875" style="1098" customWidth="1"/>
    <col min="15368" max="15368" width="7.140625" style="1098" customWidth="1"/>
    <col min="15369" max="15369" width="5.28515625" style="1098" customWidth="1"/>
    <col min="15370" max="15370" width="9.140625" style="1098"/>
    <col min="15371" max="15371" width="15.5703125" style="1098" customWidth="1"/>
    <col min="15372" max="15372" width="16" style="1098" customWidth="1"/>
    <col min="15373" max="15616" width="9.140625" style="1098"/>
    <col min="15617" max="15617" width="4.7109375" style="1098" customWidth="1"/>
    <col min="15618" max="15618" width="6.7109375" style="1098" customWidth="1"/>
    <col min="15619" max="15619" width="8.85546875" style="1098" customWidth="1"/>
    <col min="15620" max="15620" width="46.42578125" style="1098" customWidth="1"/>
    <col min="15621" max="15621" width="12.85546875" style="1098" customWidth="1"/>
    <col min="15622" max="15622" width="15.5703125" style="1098" customWidth="1"/>
    <col min="15623" max="15623" width="15.85546875" style="1098" customWidth="1"/>
    <col min="15624" max="15624" width="7.140625" style="1098" customWidth="1"/>
    <col min="15625" max="15625" width="5.28515625" style="1098" customWidth="1"/>
    <col min="15626" max="15626" width="9.140625" style="1098"/>
    <col min="15627" max="15627" width="15.5703125" style="1098" customWidth="1"/>
    <col min="15628" max="15628" width="16" style="1098" customWidth="1"/>
    <col min="15629" max="15872" width="9.140625" style="1098"/>
    <col min="15873" max="15873" width="4.7109375" style="1098" customWidth="1"/>
    <col min="15874" max="15874" width="6.7109375" style="1098" customWidth="1"/>
    <col min="15875" max="15875" width="8.85546875" style="1098" customWidth="1"/>
    <col min="15876" max="15876" width="46.42578125" style="1098" customWidth="1"/>
    <col min="15877" max="15877" width="12.85546875" style="1098" customWidth="1"/>
    <col min="15878" max="15878" width="15.5703125" style="1098" customWidth="1"/>
    <col min="15879" max="15879" width="15.85546875" style="1098" customWidth="1"/>
    <col min="15880" max="15880" width="7.140625" style="1098" customWidth="1"/>
    <col min="15881" max="15881" width="5.28515625" style="1098" customWidth="1"/>
    <col min="15882" max="15882" width="9.140625" style="1098"/>
    <col min="15883" max="15883" width="15.5703125" style="1098" customWidth="1"/>
    <col min="15884" max="15884" width="16" style="1098" customWidth="1"/>
    <col min="15885" max="16128" width="9.140625" style="1098"/>
    <col min="16129" max="16129" width="4.7109375" style="1098" customWidth="1"/>
    <col min="16130" max="16130" width="6.7109375" style="1098" customWidth="1"/>
    <col min="16131" max="16131" width="8.85546875" style="1098" customWidth="1"/>
    <col min="16132" max="16132" width="46.42578125" style="1098" customWidth="1"/>
    <col min="16133" max="16133" width="12.85546875" style="1098" customWidth="1"/>
    <col min="16134" max="16134" width="15.5703125" style="1098" customWidth="1"/>
    <col min="16135" max="16135" width="15.85546875" style="1098" customWidth="1"/>
    <col min="16136" max="16136" width="7.140625" style="1098" customWidth="1"/>
    <col min="16137" max="16137" width="5.28515625" style="1098" customWidth="1"/>
    <col min="16138" max="16138" width="9.140625" style="1098"/>
    <col min="16139" max="16139" width="15.5703125" style="1098" customWidth="1"/>
    <col min="16140" max="16140" width="16" style="1098" customWidth="1"/>
    <col min="16141" max="16384" width="9.140625" style="1098"/>
  </cols>
  <sheetData>
    <row r="1" spans="1:9" ht="19.5" customHeight="1" thickBot="1" x14ac:dyDescent="0.3">
      <c r="A1" s="1082" t="s">
        <v>467</v>
      </c>
      <c r="B1" s="1081"/>
      <c r="C1" s="1093"/>
      <c r="D1" s="1079"/>
      <c r="E1" s="1078"/>
      <c r="F1" s="1079"/>
      <c r="G1" s="1185"/>
      <c r="H1" s="1082"/>
    </row>
    <row r="2" spans="1:9" ht="19.5" customHeight="1" x14ac:dyDescent="0.25">
      <c r="A2" s="1101"/>
      <c r="B2" s="2567"/>
      <c r="C2" s="2567"/>
      <c r="D2" s="2567"/>
      <c r="E2" s="2567"/>
      <c r="F2" s="2567"/>
      <c r="G2" s="2567"/>
      <c r="H2" s="2567"/>
    </row>
    <row r="3" spans="1:9" ht="19.5" customHeight="1" x14ac:dyDescent="0.25">
      <c r="A3" s="1077" t="s">
        <v>201</v>
      </c>
      <c r="B3" s="2567"/>
      <c r="C3" s="1096" t="s">
        <v>1809</v>
      </c>
      <c r="D3" s="2567"/>
      <c r="E3" s="2567"/>
      <c r="F3" s="2567"/>
      <c r="G3" s="2567"/>
      <c r="H3" s="1163" t="s">
        <v>468</v>
      </c>
    </row>
    <row r="4" spans="1:9" ht="18" x14ac:dyDescent="0.25">
      <c r="B4" s="1125"/>
      <c r="C4" s="1096" t="s">
        <v>190</v>
      </c>
      <c r="D4" s="1125"/>
      <c r="E4" s="1125"/>
      <c r="F4" s="1125"/>
      <c r="G4" s="1125"/>
      <c r="H4" s="1163"/>
    </row>
    <row r="5" spans="1:9" ht="18" hidden="1" x14ac:dyDescent="0.25">
      <c r="B5" s="1125"/>
      <c r="C5" s="1096" t="s">
        <v>121</v>
      </c>
      <c r="D5" s="1076"/>
      <c r="E5" s="1125"/>
      <c r="F5" s="1125"/>
      <c r="G5" s="1125"/>
      <c r="H5" s="1163"/>
    </row>
    <row r="6" spans="1:9" ht="18" hidden="1" x14ac:dyDescent="0.25">
      <c r="B6" s="1125"/>
      <c r="C6" s="1096" t="s">
        <v>781</v>
      </c>
      <c r="D6" s="1002"/>
      <c r="E6" s="1125"/>
      <c r="F6" s="1125"/>
      <c r="G6" s="1125"/>
      <c r="H6" s="1163"/>
    </row>
    <row r="7" spans="1:9" ht="18" x14ac:dyDescent="0.25">
      <c r="A7" s="1101" t="s">
        <v>469</v>
      </c>
      <c r="B7" s="1125"/>
      <c r="C7" s="1125"/>
      <c r="D7" s="1125"/>
      <c r="E7" s="1125"/>
      <c r="F7" s="1125"/>
      <c r="G7" s="1125"/>
      <c r="H7" s="1163"/>
    </row>
    <row r="8" spans="1:9" ht="18" x14ac:dyDescent="0.25">
      <c r="A8" s="1101"/>
      <c r="B8" s="1125"/>
      <c r="C8" s="1125"/>
      <c r="D8" s="1125"/>
      <c r="E8" s="1125"/>
      <c r="F8" s="1125"/>
      <c r="G8" s="1125"/>
      <c r="H8" s="1163"/>
    </row>
    <row r="9" spans="1:9" s="1122" customFormat="1" ht="15" x14ac:dyDescent="0.25">
      <c r="A9" s="1118"/>
      <c r="B9" s="1118"/>
      <c r="C9" s="1118"/>
      <c r="D9" s="1118"/>
      <c r="E9" s="1119"/>
      <c r="F9" s="1119"/>
      <c r="G9" s="1119"/>
      <c r="H9" s="1138"/>
      <c r="I9" s="1194"/>
    </row>
    <row r="10" spans="1:9" ht="18" hidden="1" x14ac:dyDescent="0.25">
      <c r="A10" s="1103" t="s">
        <v>41</v>
      </c>
      <c r="B10" s="1125"/>
      <c r="C10" s="1125"/>
      <c r="D10" s="1125"/>
      <c r="E10" s="1125"/>
      <c r="F10" s="1125"/>
      <c r="G10" s="1125"/>
      <c r="H10" s="1163"/>
    </row>
    <row r="11" spans="1:9" ht="16.5" hidden="1" thickBot="1" x14ac:dyDescent="0.3">
      <c r="A11" s="1102" t="s">
        <v>1775</v>
      </c>
      <c r="H11" s="1120" t="s">
        <v>92</v>
      </c>
    </row>
    <row r="12" spans="1:9" s="1037" customFormat="1" ht="25.5" hidden="1" thickTop="1" thickBot="1" x14ac:dyDescent="0.25">
      <c r="A12" s="1104" t="s">
        <v>93</v>
      </c>
      <c r="B12" s="1105" t="s">
        <v>392</v>
      </c>
      <c r="C12" s="1105" t="s">
        <v>209</v>
      </c>
      <c r="D12" s="1106" t="s">
        <v>95</v>
      </c>
      <c r="E12" s="1127" t="s">
        <v>328</v>
      </c>
      <c r="F12" s="1127" t="s">
        <v>329</v>
      </c>
      <c r="G12" s="1128" t="s">
        <v>448</v>
      </c>
      <c r="H12" s="1129" t="s">
        <v>449</v>
      </c>
    </row>
    <row r="13" spans="1:9" s="1037" customFormat="1" ht="13.5" hidden="1" thickTop="1" thickBot="1" x14ac:dyDescent="0.25">
      <c r="A13" s="1042">
        <v>1</v>
      </c>
      <c r="B13" s="1041">
        <v>2</v>
      </c>
      <c r="C13" s="1041">
        <v>3</v>
      </c>
      <c r="D13" s="1041">
        <v>4</v>
      </c>
      <c r="E13" s="1040">
        <v>5</v>
      </c>
      <c r="F13" s="1040">
        <v>6</v>
      </c>
      <c r="G13" s="1164">
        <v>7</v>
      </c>
      <c r="H13" s="1186" t="s">
        <v>33</v>
      </c>
    </row>
    <row r="14" spans="1:9" s="1037" customFormat="1" ht="16.5" hidden="1" thickTop="1" thickBot="1" x14ac:dyDescent="0.3">
      <c r="A14" s="1181">
        <v>6330</v>
      </c>
      <c r="B14" s="1187">
        <v>5345</v>
      </c>
      <c r="C14" s="2190" t="s">
        <v>871</v>
      </c>
      <c r="D14" s="1172" t="s">
        <v>397</v>
      </c>
      <c r="E14" s="1135">
        <v>0</v>
      </c>
      <c r="F14" s="1135">
        <v>0</v>
      </c>
      <c r="G14" s="1135">
        <v>0</v>
      </c>
      <c r="H14" s="1116" t="e">
        <f t="shared" ref="H14:H20" si="0">G14/F14*100</f>
        <v>#DIV/0!</v>
      </c>
    </row>
    <row r="15" spans="1:9" ht="15" hidden="1" x14ac:dyDescent="0.2">
      <c r="A15" s="1181">
        <v>3121</v>
      </c>
      <c r="B15" s="1187">
        <v>6121</v>
      </c>
      <c r="C15" s="1190">
        <v>54100874</v>
      </c>
      <c r="D15" s="1130" t="s">
        <v>312</v>
      </c>
      <c r="E15" s="1135"/>
      <c r="F15" s="1135"/>
      <c r="G15" s="1135"/>
      <c r="H15" s="1116" t="e">
        <f t="shared" si="0"/>
        <v>#DIV/0!</v>
      </c>
    </row>
    <row r="16" spans="1:9" ht="15" hidden="1" x14ac:dyDescent="0.2">
      <c r="A16" s="1181">
        <v>3121</v>
      </c>
      <c r="B16" s="1187">
        <v>6121</v>
      </c>
      <c r="C16" s="1190">
        <v>54100880</v>
      </c>
      <c r="D16" s="1130" t="s">
        <v>312</v>
      </c>
      <c r="E16" s="1135"/>
      <c r="F16" s="1135"/>
      <c r="G16" s="1135"/>
      <c r="H16" s="1116" t="e">
        <f t="shared" si="0"/>
        <v>#DIV/0!</v>
      </c>
    </row>
    <row r="17" spans="1:9" ht="15" hidden="1" x14ac:dyDescent="0.2">
      <c r="A17" s="1181">
        <v>3121</v>
      </c>
      <c r="B17" s="1187">
        <v>6121</v>
      </c>
      <c r="C17" s="1190">
        <v>54100884</v>
      </c>
      <c r="D17" s="1130" t="s">
        <v>312</v>
      </c>
      <c r="E17" s="1135"/>
      <c r="F17" s="1135"/>
      <c r="G17" s="1135"/>
      <c r="H17" s="1116" t="e">
        <f t="shared" si="0"/>
        <v>#DIV/0!</v>
      </c>
    </row>
    <row r="18" spans="1:9" ht="15" hidden="1" x14ac:dyDescent="0.2">
      <c r="A18" s="1181">
        <v>3121</v>
      </c>
      <c r="B18" s="1187">
        <v>6121</v>
      </c>
      <c r="C18" s="1190">
        <v>54190877</v>
      </c>
      <c r="D18" s="1130" t="s">
        <v>312</v>
      </c>
      <c r="E18" s="1135"/>
      <c r="F18" s="1135"/>
      <c r="G18" s="1135"/>
      <c r="H18" s="1116" t="e">
        <f t="shared" si="0"/>
        <v>#DIV/0!</v>
      </c>
    </row>
    <row r="19" spans="1:9" ht="15.75" hidden="1" thickBot="1" x14ac:dyDescent="0.25">
      <c r="A19" s="1181">
        <v>3121</v>
      </c>
      <c r="B19" s="1187">
        <v>6121</v>
      </c>
      <c r="C19" s="1190">
        <v>54515835</v>
      </c>
      <c r="D19" s="1130" t="s">
        <v>312</v>
      </c>
      <c r="E19" s="1135"/>
      <c r="F19" s="1135"/>
      <c r="G19" s="1135"/>
      <c r="H19" s="1116" t="e">
        <f t="shared" si="0"/>
        <v>#DIV/0!</v>
      </c>
    </row>
    <row r="20" spans="1:9" s="1122" customFormat="1" ht="16.5" hidden="1" thickTop="1" thickBot="1" x14ac:dyDescent="0.3">
      <c r="A20" s="3317" t="s">
        <v>394</v>
      </c>
      <c r="B20" s="3318"/>
      <c r="C20" s="3318"/>
      <c r="D20" s="3318"/>
      <c r="E20" s="1113">
        <f>SUM(E14:E19)</f>
        <v>0</v>
      </c>
      <c r="F20" s="1113">
        <f>SUM(F14:F19)</f>
        <v>0</v>
      </c>
      <c r="G20" s="1113">
        <f>SUM(G14:G19)</f>
        <v>0</v>
      </c>
      <c r="H20" s="1117" t="e">
        <f t="shared" si="0"/>
        <v>#DIV/0!</v>
      </c>
      <c r="I20" s="1194"/>
    </row>
    <row r="21" spans="1:9" s="1122" customFormat="1" ht="15" x14ac:dyDescent="0.25">
      <c r="A21" s="1118"/>
      <c r="B21" s="1118"/>
      <c r="C21" s="1118"/>
      <c r="D21" s="1118"/>
      <c r="E21" s="1119"/>
      <c r="F21" s="1119"/>
      <c r="G21" s="1119"/>
      <c r="H21" s="1138"/>
      <c r="I21" s="1194"/>
    </row>
    <row r="22" spans="1:9" ht="18" x14ac:dyDescent="0.25">
      <c r="A22" s="1103" t="s">
        <v>1708</v>
      </c>
      <c r="B22" s="1125"/>
      <c r="C22" s="1125"/>
      <c r="D22" s="1125"/>
      <c r="E22" s="1125"/>
      <c r="F22" s="1125"/>
      <c r="G22" s="1125"/>
      <c r="H22" s="1163"/>
    </row>
    <row r="23" spans="1:9" ht="16.5" thickBot="1" x14ac:dyDescent="0.3">
      <c r="A23" s="1102" t="s">
        <v>1707</v>
      </c>
      <c r="H23" s="1120" t="s">
        <v>92</v>
      </c>
    </row>
    <row r="24" spans="1:9" s="1037" customFormat="1" ht="25.5" thickTop="1" thickBot="1" x14ac:dyDescent="0.25">
      <c r="A24" s="1104" t="s">
        <v>93</v>
      </c>
      <c r="B24" s="1105" t="s">
        <v>392</v>
      </c>
      <c r="C24" s="1105" t="s">
        <v>209</v>
      </c>
      <c r="D24" s="1106" t="s">
        <v>95</v>
      </c>
      <c r="E24" s="1127" t="s">
        <v>328</v>
      </c>
      <c r="F24" s="1127" t="s">
        <v>329</v>
      </c>
      <c r="G24" s="1128" t="s">
        <v>448</v>
      </c>
      <c r="H24" s="1129" t="s">
        <v>449</v>
      </c>
    </row>
    <row r="25" spans="1:9" s="1037" customFormat="1" ht="13.5" thickTop="1" thickBot="1" x14ac:dyDescent="0.25">
      <c r="A25" s="1042">
        <v>1</v>
      </c>
      <c r="B25" s="1041">
        <v>2</v>
      </c>
      <c r="C25" s="1041">
        <v>3</v>
      </c>
      <c r="D25" s="1041">
        <v>4</v>
      </c>
      <c r="E25" s="1040">
        <v>5</v>
      </c>
      <c r="F25" s="1040">
        <v>6</v>
      </c>
      <c r="G25" s="1164">
        <v>7</v>
      </c>
      <c r="H25" s="1186" t="s">
        <v>33</v>
      </c>
    </row>
    <row r="26" spans="1:9" ht="16.5" thickTop="1" thickBot="1" x14ac:dyDescent="0.3">
      <c r="A26" s="1181">
        <v>6330</v>
      </c>
      <c r="B26" s="1187">
        <v>5345</v>
      </c>
      <c r="C26" s="2190" t="s">
        <v>871</v>
      </c>
      <c r="D26" s="1172" t="s">
        <v>397</v>
      </c>
      <c r="E26" s="1135">
        <v>0</v>
      </c>
      <c r="F26" s="1135">
        <v>0</v>
      </c>
      <c r="G26" s="1135">
        <v>303</v>
      </c>
      <c r="H26" s="3050">
        <v>0</v>
      </c>
    </row>
    <row r="27" spans="1:9" ht="15.75" hidden="1" thickBot="1" x14ac:dyDescent="0.25">
      <c r="A27" s="1181">
        <v>3122</v>
      </c>
      <c r="B27" s="1187">
        <v>6121</v>
      </c>
      <c r="C27" s="2190" t="s">
        <v>1006</v>
      </c>
      <c r="D27" s="1130" t="s">
        <v>312</v>
      </c>
      <c r="E27" s="1135"/>
      <c r="F27" s="1135"/>
      <c r="G27" s="1135"/>
      <c r="H27" s="3050" t="e">
        <f>G27/F27*100</f>
        <v>#DIV/0!</v>
      </c>
    </row>
    <row r="28" spans="1:9" ht="15.75" hidden="1" thickBot="1" x14ac:dyDescent="0.25">
      <c r="A28" s="1181">
        <v>3122</v>
      </c>
      <c r="B28" s="1187">
        <v>6121</v>
      </c>
      <c r="C28" s="2190" t="s">
        <v>1018</v>
      </c>
      <c r="D28" s="1130" t="s">
        <v>312</v>
      </c>
      <c r="E28" s="1135"/>
      <c r="F28" s="1135"/>
      <c r="G28" s="1135"/>
      <c r="H28" s="3050" t="e">
        <f>G28/F28*100</f>
        <v>#DIV/0!</v>
      </c>
    </row>
    <row r="29" spans="1:9" ht="15.75" hidden="1" thickBot="1" x14ac:dyDescent="0.25">
      <c r="A29" s="1181">
        <v>3122</v>
      </c>
      <c r="B29" s="1187">
        <v>6121</v>
      </c>
      <c r="C29" s="2190" t="s">
        <v>1017</v>
      </c>
      <c r="D29" s="1130" t="s">
        <v>312</v>
      </c>
      <c r="E29" s="1135"/>
      <c r="F29" s="1135"/>
      <c r="G29" s="1135"/>
      <c r="H29" s="3050" t="e">
        <f>G29/F29*100</f>
        <v>#DIV/0!</v>
      </c>
    </row>
    <row r="30" spans="1:9" s="1122" customFormat="1" ht="16.5" thickTop="1" thickBot="1" x14ac:dyDescent="0.3">
      <c r="A30" s="3317" t="s">
        <v>394</v>
      </c>
      <c r="B30" s="3318"/>
      <c r="C30" s="3318"/>
      <c r="D30" s="3318"/>
      <c r="E30" s="1113">
        <f>SUM(E26:E29)</f>
        <v>0</v>
      </c>
      <c r="F30" s="1113">
        <f>SUM(F26:F29)</f>
        <v>0</v>
      </c>
      <c r="G30" s="1113">
        <f>SUM(G26:G29)</f>
        <v>303</v>
      </c>
      <c r="H30" s="1381">
        <v>0</v>
      </c>
      <c r="I30" s="1194"/>
    </row>
    <row r="31" spans="1:9" s="1122" customFormat="1" ht="15.75" thickTop="1" x14ac:dyDescent="0.25">
      <c r="A31" s="1118"/>
      <c r="B31" s="1118"/>
      <c r="C31" s="1118"/>
      <c r="D31" s="1118"/>
      <c r="E31" s="1119"/>
      <c r="F31" s="1119"/>
      <c r="G31" s="1119"/>
      <c r="H31" s="1138"/>
      <c r="I31" s="1194"/>
    </row>
    <row r="32" spans="1:9" ht="30" customHeight="1" x14ac:dyDescent="0.25">
      <c r="A32" s="3335" t="s">
        <v>1025</v>
      </c>
      <c r="B32" s="3210"/>
      <c r="C32" s="3210"/>
      <c r="D32" s="3210"/>
      <c r="E32" s="3210"/>
      <c r="F32" s="3210"/>
      <c r="G32" s="3210"/>
      <c r="H32" s="1163"/>
    </row>
    <row r="33" spans="1:9" ht="16.5" thickBot="1" x14ac:dyDescent="0.3">
      <c r="A33" s="1102" t="s">
        <v>1024</v>
      </c>
      <c r="H33" s="1120" t="s">
        <v>92</v>
      </c>
    </row>
    <row r="34" spans="1:9" s="1037" customFormat="1" ht="25.5" thickTop="1" thickBot="1" x14ac:dyDescent="0.25">
      <c r="A34" s="1104" t="s">
        <v>93</v>
      </c>
      <c r="B34" s="1105" t="s">
        <v>392</v>
      </c>
      <c r="C34" s="1105" t="s">
        <v>209</v>
      </c>
      <c r="D34" s="1106" t="s">
        <v>95</v>
      </c>
      <c r="E34" s="1127" t="s">
        <v>328</v>
      </c>
      <c r="F34" s="1127" t="s">
        <v>329</v>
      </c>
      <c r="G34" s="1128" t="s">
        <v>448</v>
      </c>
      <c r="H34" s="1129" t="s">
        <v>449</v>
      </c>
    </row>
    <row r="35" spans="1:9" s="1037" customFormat="1" ht="13.5" thickTop="1" thickBot="1" x14ac:dyDescent="0.25">
      <c r="A35" s="1042">
        <v>1</v>
      </c>
      <c r="B35" s="1041">
        <v>2</v>
      </c>
      <c r="C35" s="1041">
        <v>3</v>
      </c>
      <c r="D35" s="1041">
        <v>4</v>
      </c>
      <c r="E35" s="1040">
        <v>5</v>
      </c>
      <c r="F35" s="1040">
        <v>6</v>
      </c>
      <c r="G35" s="1164">
        <v>7</v>
      </c>
      <c r="H35" s="1186" t="s">
        <v>33</v>
      </c>
    </row>
    <row r="36" spans="1:9" ht="16.5" thickTop="1" thickBot="1" x14ac:dyDescent="0.3">
      <c r="A36" s="1181">
        <v>6330</v>
      </c>
      <c r="B36" s="1187">
        <v>5345</v>
      </c>
      <c r="C36" s="2190" t="s">
        <v>871</v>
      </c>
      <c r="D36" s="1172" t="s">
        <v>397</v>
      </c>
      <c r="E36" s="1135">
        <v>0</v>
      </c>
      <c r="F36" s="1135">
        <v>0</v>
      </c>
      <c r="G36" s="1135">
        <v>33</v>
      </c>
      <c r="H36" s="3050">
        <v>0</v>
      </c>
    </row>
    <row r="37" spans="1:9" ht="15.75" hidden="1" thickBot="1" x14ac:dyDescent="0.25">
      <c r="A37" s="1181">
        <v>3122</v>
      </c>
      <c r="B37" s="1187">
        <v>6121</v>
      </c>
      <c r="C37" s="1190">
        <v>54100880</v>
      </c>
      <c r="D37" s="1130" t="s">
        <v>312</v>
      </c>
      <c r="E37" s="1135"/>
      <c r="F37" s="1135"/>
      <c r="G37" s="1135"/>
      <c r="H37" s="3050" t="e">
        <f t="shared" ref="H37:H40" si="1">G37/F37*100</f>
        <v>#DIV/0!</v>
      </c>
    </row>
    <row r="38" spans="1:9" ht="15.75" hidden="1" thickBot="1" x14ac:dyDescent="0.25">
      <c r="A38" s="1181">
        <v>3122</v>
      </c>
      <c r="B38" s="1187">
        <v>6121</v>
      </c>
      <c r="C38" s="1190">
        <v>54100884</v>
      </c>
      <c r="D38" s="1130" t="s">
        <v>312</v>
      </c>
      <c r="E38" s="1135"/>
      <c r="F38" s="1135"/>
      <c r="G38" s="1135"/>
      <c r="H38" s="3050" t="e">
        <f t="shared" si="1"/>
        <v>#DIV/0!</v>
      </c>
    </row>
    <row r="39" spans="1:9" ht="15.75" hidden="1" thickBot="1" x14ac:dyDescent="0.25">
      <c r="A39" s="1181">
        <v>3122</v>
      </c>
      <c r="B39" s="1187">
        <v>6121</v>
      </c>
      <c r="C39" s="1190">
        <v>54190877</v>
      </c>
      <c r="D39" s="1130" t="s">
        <v>312</v>
      </c>
      <c r="E39" s="1135"/>
      <c r="F39" s="1135"/>
      <c r="G39" s="1135"/>
      <c r="H39" s="3050" t="e">
        <f t="shared" si="1"/>
        <v>#DIV/0!</v>
      </c>
    </row>
    <row r="40" spans="1:9" ht="15.75" hidden="1" thickBot="1" x14ac:dyDescent="0.25">
      <c r="A40" s="1181">
        <v>3122</v>
      </c>
      <c r="B40" s="1187">
        <v>6121</v>
      </c>
      <c r="C40" s="1190">
        <v>54515835</v>
      </c>
      <c r="D40" s="1130" t="s">
        <v>312</v>
      </c>
      <c r="E40" s="1135"/>
      <c r="F40" s="1135"/>
      <c r="G40" s="1135"/>
      <c r="H40" s="3050" t="e">
        <f t="shared" si="1"/>
        <v>#DIV/0!</v>
      </c>
    </row>
    <row r="41" spans="1:9" s="1122" customFormat="1" ht="16.5" thickTop="1" thickBot="1" x14ac:dyDescent="0.3">
      <c r="A41" s="3317" t="s">
        <v>394</v>
      </c>
      <c r="B41" s="3318"/>
      <c r="C41" s="3318"/>
      <c r="D41" s="3318"/>
      <c r="E41" s="1113">
        <f>SUM(E36:E40)</f>
        <v>0</v>
      </c>
      <c r="F41" s="1113">
        <f>SUM(F36:F40)</f>
        <v>0</v>
      </c>
      <c r="G41" s="1113">
        <f>SUM(G36:G40)</f>
        <v>33</v>
      </c>
      <c r="H41" s="1381">
        <v>0</v>
      </c>
      <c r="I41" s="1194"/>
    </row>
    <row r="42" spans="1:9" s="1122" customFormat="1" ht="15.75" thickTop="1" x14ac:dyDescent="0.25">
      <c r="A42" s="1118"/>
      <c r="B42" s="1118"/>
      <c r="C42" s="1118"/>
      <c r="D42" s="1118"/>
      <c r="E42" s="1119"/>
      <c r="F42" s="1119"/>
      <c r="G42" s="1119"/>
      <c r="H42" s="1138"/>
      <c r="I42" s="1194"/>
    </row>
    <row r="43" spans="1:9" ht="18" hidden="1" x14ac:dyDescent="0.25">
      <c r="A43" s="1103" t="s">
        <v>840</v>
      </c>
      <c r="B43" s="1125"/>
      <c r="C43" s="1125"/>
      <c r="D43" s="1125"/>
      <c r="E43" s="1125"/>
      <c r="F43" s="1125"/>
      <c r="G43" s="1125"/>
      <c r="H43" s="1163"/>
    </row>
    <row r="44" spans="1:9" ht="15.75" hidden="1" x14ac:dyDescent="0.25">
      <c r="A44" s="1102" t="s">
        <v>45</v>
      </c>
      <c r="H44" s="1120" t="s">
        <v>92</v>
      </c>
    </row>
    <row r="45" spans="1:9" s="1037" customFormat="1" ht="25.5" hidden="1" thickTop="1" thickBot="1" x14ac:dyDescent="0.25">
      <c r="A45" s="1104" t="s">
        <v>93</v>
      </c>
      <c r="B45" s="1105" t="s">
        <v>392</v>
      </c>
      <c r="C45" s="1105" t="s">
        <v>209</v>
      </c>
      <c r="D45" s="1106" t="s">
        <v>95</v>
      </c>
      <c r="E45" s="1127" t="s">
        <v>328</v>
      </c>
      <c r="F45" s="1127" t="s">
        <v>329</v>
      </c>
      <c r="G45" s="1128" t="s">
        <v>448</v>
      </c>
      <c r="H45" s="1129" t="s">
        <v>449</v>
      </c>
    </row>
    <row r="46" spans="1:9" s="1037" customFormat="1" ht="13.5" hidden="1" thickTop="1" thickBot="1" x14ac:dyDescent="0.25">
      <c r="A46" s="1042">
        <v>1</v>
      </c>
      <c r="B46" s="1041">
        <v>2</v>
      </c>
      <c r="C46" s="1041">
        <v>3</v>
      </c>
      <c r="D46" s="1041">
        <v>4</v>
      </c>
      <c r="E46" s="1040">
        <v>5</v>
      </c>
      <c r="F46" s="1040">
        <v>6</v>
      </c>
      <c r="G46" s="1164">
        <v>7</v>
      </c>
      <c r="H46" s="1186" t="s">
        <v>33</v>
      </c>
    </row>
    <row r="47" spans="1:9" ht="15" hidden="1" x14ac:dyDescent="0.2">
      <c r="A47" s="1181">
        <v>3123</v>
      </c>
      <c r="B47" s="1187">
        <v>6121</v>
      </c>
      <c r="C47" s="1190">
        <v>10</v>
      </c>
      <c r="D47" s="1130" t="s">
        <v>312</v>
      </c>
      <c r="E47" s="1135"/>
      <c r="F47" s="1135"/>
      <c r="G47" s="1135"/>
      <c r="H47" s="1116">
        <v>0</v>
      </c>
    </row>
    <row r="48" spans="1:9" ht="15" hidden="1" x14ac:dyDescent="0.2">
      <c r="A48" s="1181">
        <v>3123</v>
      </c>
      <c r="B48" s="1187">
        <v>6121</v>
      </c>
      <c r="C48" s="1190">
        <v>53100884</v>
      </c>
      <c r="D48" s="1130" t="s">
        <v>312</v>
      </c>
      <c r="E48" s="1135"/>
      <c r="F48" s="1135"/>
      <c r="G48" s="1135"/>
      <c r="H48" s="1116" t="e">
        <f t="shared" ref="H48:H53" si="2">G48/F48*100</f>
        <v>#DIV/0!</v>
      </c>
    </row>
    <row r="49" spans="1:9" ht="15" hidden="1" x14ac:dyDescent="0.2">
      <c r="A49" s="1181">
        <v>3123</v>
      </c>
      <c r="B49" s="1187">
        <v>6121</v>
      </c>
      <c r="C49" s="1190">
        <v>54100880</v>
      </c>
      <c r="D49" s="1130" t="s">
        <v>312</v>
      </c>
      <c r="E49" s="1135"/>
      <c r="F49" s="1135"/>
      <c r="G49" s="1135"/>
      <c r="H49" s="1116" t="e">
        <f t="shared" si="2"/>
        <v>#DIV/0!</v>
      </c>
    </row>
    <row r="50" spans="1:9" ht="15" hidden="1" x14ac:dyDescent="0.2">
      <c r="A50" s="1181">
        <v>3123</v>
      </c>
      <c r="B50" s="1187">
        <v>6121</v>
      </c>
      <c r="C50" s="1190">
        <v>54100884</v>
      </c>
      <c r="D50" s="1130" t="s">
        <v>312</v>
      </c>
      <c r="E50" s="1135"/>
      <c r="F50" s="1135"/>
      <c r="G50" s="1135"/>
      <c r="H50" s="1116" t="e">
        <f t="shared" si="2"/>
        <v>#DIV/0!</v>
      </c>
    </row>
    <row r="51" spans="1:9" ht="15" hidden="1" x14ac:dyDescent="0.2">
      <c r="A51" s="1181">
        <v>3123</v>
      </c>
      <c r="B51" s="1187">
        <v>6121</v>
      </c>
      <c r="C51" s="1190">
        <v>54190877</v>
      </c>
      <c r="D51" s="1130" t="s">
        <v>312</v>
      </c>
      <c r="E51" s="1135"/>
      <c r="F51" s="1135"/>
      <c r="G51" s="1135"/>
      <c r="H51" s="1116" t="e">
        <f t="shared" si="2"/>
        <v>#DIV/0!</v>
      </c>
    </row>
    <row r="52" spans="1:9" ht="15" hidden="1" x14ac:dyDescent="0.2">
      <c r="A52" s="1181">
        <v>3123</v>
      </c>
      <c r="B52" s="1187">
        <v>6121</v>
      </c>
      <c r="C52" s="1190">
        <v>54515835</v>
      </c>
      <c r="D52" s="1130" t="s">
        <v>312</v>
      </c>
      <c r="E52" s="1135"/>
      <c r="F52" s="1135"/>
      <c r="G52" s="1135"/>
      <c r="H52" s="1116" t="e">
        <f t="shared" si="2"/>
        <v>#DIV/0!</v>
      </c>
    </row>
    <row r="53" spans="1:9" s="1122" customFormat="1" ht="16.5" hidden="1" thickTop="1" thickBot="1" x14ac:dyDescent="0.3">
      <c r="A53" s="3317" t="s">
        <v>394</v>
      </c>
      <c r="B53" s="3318"/>
      <c r="C53" s="3318"/>
      <c r="D53" s="3318"/>
      <c r="E53" s="1113">
        <f>SUM(E47:E52)</f>
        <v>0</v>
      </c>
      <c r="F53" s="1113">
        <f>SUM(F47:F52)</f>
        <v>0</v>
      </c>
      <c r="G53" s="1113">
        <f>SUM(G47:G52)</f>
        <v>0</v>
      </c>
      <c r="H53" s="1117" t="e">
        <f t="shared" si="2"/>
        <v>#DIV/0!</v>
      </c>
      <c r="I53" s="1194"/>
    </row>
    <row r="54" spans="1:9" s="1122" customFormat="1" ht="15" hidden="1" x14ac:dyDescent="0.25">
      <c r="A54" s="1118"/>
      <c r="B54" s="1118"/>
      <c r="C54" s="1118"/>
      <c r="D54" s="1118"/>
      <c r="E54" s="1119"/>
      <c r="F54" s="1119"/>
      <c r="G54" s="1119"/>
      <c r="H54" s="1138"/>
      <c r="I54" s="1194"/>
    </row>
    <row r="55" spans="1:9" s="1122" customFormat="1" ht="15" hidden="1" x14ac:dyDescent="0.25">
      <c r="A55" s="1118"/>
      <c r="B55" s="1118"/>
      <c r="C55" s="1118"/>
      <c r="D55" s="1118"/>
      <c r="E55" s="1119"/>
      <c r="F55" s="1119"/>
      <c r="G55" s="1119"/>
      <c r="H55" s="1138"/>
      <c r="I55" s="1194"/>
    </row>
    <row r="56" spans="1:9" ht="18" hidden="1" x14ac:dyDescent="0.25">
      <c r="A56" s="1103" t="s">
        <v>46</v>
      </c>
      <c r="B56" s="1125"/>
      <c r="C56" s="1125"/>
      <c r="D56" s="1125"/>
      <c r="E56" s="1125"/>
      <c r="F56" s="1125"/>
      <c r="G56" s="1125"/>
      <c r="H56" s="1163"/>
    </row>
    <row r="57" spans="1:9" ht="15.75" hidden="1" x14ac:dyDescent="0.25">
      <c r="A57" s="1102" t="s">
        <v>47</v>
      </c>
      <c r="H57" s="1120" t="s">
        <v>92</v>
      </c>
    </row>
    <row r="58" spans="1:9" s="1037" customFormat="1" ht="25.5" hidden="1" thickTop="1" thickBot="1" x14ac:dyDescent="0.25">
      <c r="A58" s="1104" t="s">
        <v>93</v>
      </c>
      <c r="B58" s="1105" t="s">
        <v>392</v>
      </c>
      <c r="C58" s="1105" t="s">
        <v>209</v>
      </c>
      <c r="D58" s="1106" t="s">
        <v>95</v>
      </c>
      <c r="E58" s="1127" t="s">
        <v>328</v>
      </c>
      <c r="F58" s="1127" t="s">
        <v>329</v>
      </c>
      <c r="G58" s="1128" t="s">
        <v>448</v>
      </c>
      <c r="H58" s="1129" t="s">
        <v>449</v>
      </c>
    </row>
    <row r="59" spans="1:9" s="1037" customFormat="1" ht="13.5" hidden="1" thickTop="1" thickBot="1" x14ac:dyDescent="0.25">
      <c r="A59" s="1042">
        <v>1</v>
      </c>
      <c r="B59" s="1041">
        <v>2</v>
      </c>
      <c r="C59" s="1041">
        <v>3</v>
      </c>
      <c r="D59" s="1041">
        <v>4</v>
      </c>
      <c r="E59" s="1040">
        <v>5</v>
      </c>
      <c r="F59" s="1040">
        <v>6</v>
      </c>
      <c r="G59" s="1164">
        <v>7</v>
      </c>
      <c r="H59" s="1186" t="s">
        <v>33</v>
      </c>
    </row>
    <row r="60" spans="1:9" s="1037" customFormat="1" ht="15.75" hidden="1" thickTop="1" x14ac:dyDescent="0.2">
      <c r="A60" s="1181">
        <v>3122</v>
      </c>
      <c r="B60" s="1187">
        <v>6121</v>
      </c>
      <c r="C60" s="1190">
        <v>53100870</v>
      </c>
      <c r="D60" s="1130" t="s">
        <v>312</v>
      </c>
      <c r="E60" s="1126"/>
      <c r="F60" s="1574"/>
      <c r="G60" s="1126"/>
      <c r="H60" s="1372" t="e">
        <f t="shared" ref="H60:H71" si="3">G60/F60*100</f>
        <v>#DIV/0!</v>
      </c>
    </row>
    <row r="61" spans="1:9" s="1037" customFormat="1" ht="15" hidden="1" x14ac:dyDescent="0.2">
      <c r="A61" s="1181">
        <v>3122</v>
      </c>
      <c r="B61" s="1187">
        <v>6121</v>
      </c>
      <c r="C61" s="1190">
        <v>53100872</v>
      </c>
      <c r="D61" s="1130" t="s">
        <v>312</v>
      </c>
      <c r="E61" s="1135"/>
      <c r="F61" s="1135"/>
      <c r="G61" s="1135"/>
      <c r="H61" s="1372" t="e">
        <f t="shared" si="3"/>
        <v>#DIV/0!</v>
      </c>
    </row>
    <row r="62" spans="1:9" s="1037" customFormat="1" ht="15" hidden="1" x14ac:dyDescent="0.2">
      <c r="A62" s="1181">
        <v>3122</v>
      </c>
      <c r="B62" s="1187">
        <v>6121</v>
      </c>
      <c r="C62" s="1190">
        <v>53100874</v>
      </c>
      <c r="D62" s="1130" t="s">
        <v>312</v>
      </c>
      <c r="E62" s="1135"/>
      <c r="F62" s="1135"/>
      <c r="G62" s="1135"/>
      <c r="H62" s="1372" t="e">
        <f t="shared" si="3"/>
        <v>#DIV/0!</v>
      </c>
    </row>
    <row r="63" spans="1:9" s="1037" customFormat="1" ht="15" hidden="1" x14ac:dyDescent="0.2">
      <c r="A63" s="1181">
        <v>3122</v>
      </c>
      <c r="B63" s="1187">
        <v>6121</v>
      </c>
      <c r="C63" s="1190">
        <v>53500871</v>
      </c>
      <c r="D63" s="1130" t="s">
        <v>312</v>
      </c>
      <c r="E63" s="1135"/>
      <c r="F63" s="1135"/>
      <c r="G63" s="1135"/>
      <c r="H63" s="1372" t="e">
        <f t="shared" si="3"/>
        <v>#DIV/0!</v>
      </c>
    </row>
    <row r="64" spans="1:9" s="1037" customFormat="1" ht="15" hidden="1" x14ac:dyDescent="0.2">
      <c r="A64" s="1181">
        <v>3122</v>
      </c>
      <c r="B64" s="1187">
        <v>6121</v>
      </c>
      <c r="C64" s="1190">
        <v>54100870</v>
      </c>
      <c r="D64" s="1130" t="s">
        <v>312</v>
      </c>
      <c r="E64" s="1135"/>
      <c r="F64" s="1135"/>
      <c r="G64" s="1135"/>
      <c r="H64" s="1372" t="e">
        <f t="shared" si="3"/>
        <v>#DIV/0!</v>
      </c>
    </row>
    <row r="65" spans="1:9" s="1037" customFormat="1" ht="15" hidden="1" x14ac:dyDescent="0.2">
      <c r="A65" s="1181">
        <v>3122</v>
      </c>
      <c r="B65" s="1187">
        <v>6121</v>
      </c>
      <c r="C65" s="1190">
        <v>54100872</v>
      </c>
      <c r="D65" s="1130" t="s">
        <v>312</v>
      </c>
      <c r="E65" s="1135"/>
      <c r="F65" s="1135"/>
      <c r="G65" s="1135"/>
      <c r="H65" s="1372" t="e">
        <f t="shared" si="3"/>
        <v>#DIV/0!</v>
      </c>
    </row>
    <row r="66" spans="1:9" s="1037" customFormat="1" ht="15" hidden="1" x14ac:dyDescent="0.2">
      <c r="A66" s="1181">
        <v>3122</v>
      </c>
      <c r="B66" s="1187">
        <v>6121</v>
      </c>
      <c r="C66" s="1190">
        <v>54100874</v>
      </c>
      <c r="D66" s="1130" t="s">
        <v>312</v>
      </c>
      <c r="E66" s="1371"/>
      <c r="F66" s="1135"/>
      <c r="G66" s="1135"/>
      <c r="H66" s="1372" t="e">
        <f t="shared" si="3"/>
        <v>#DIV/0!</v>
      </c>
    </row>
    <row r="67" spans="1:9" s="1037" customFormat="1" ht="15" hidden="1" x14ac:dyDescent="0.2">
      <c r="A67" s="1181">
        <v>3122</v>
      </c>
      <c r="B67" s="1187">
        <v>6121</v>
      </c>
      <c r="C67" s="1190">
        <v>54100880</v>
      </c>
      <c r="D67" s="1130" t="s">
        <v>312</v>
      </c>
      <c r="E67" s="1135"/>
      <c r="F67" s="1135"/>
      <c r="G67" s="1135"/>
      <c r="H67" s="1372" t="e">
        <f t="shared" si="3"/>
        <v>#DIV/0!</v>
      </c>
    </row>
    <row r="68" spans="1:9" s="1037" customFormat="1" ht="15" hidden="1" x14ac:dyDescent="0.2">
      <c r="A68" s="1181">
        <v>3122</v>
      </c>
      <c r="B68" s="1187">
        <v>6121</v>
      </c>
      <c r="C68" s="1190">
        <v>54100884</v>
      </c>
      <c r="D68" s="1130" t="s">
        <v>312</v>
      </c>
      <c r="E68" s="1371"/>
      <c r="F68" s="1135"/>
      <c r="G68" s="1135"/>
      <c r="H68" s="1372" t="e">
        <f t="shared" si="3"/>
        <v>#DIV/0!</v>
      </c>
    </row>
    <row r="69" spans="1:9" ht="15" hidden="1" x14ac:dyDescent="0.2">
      <c r="A69" s="1181">
        <v>3122</v>
      </c>
      <c r="B69" s="1187">
        <v>6121</v>
      </c>
      <c r="C69" s="1190">
        <v>54190877</v>
      </c>
      <c r="D69" s="1130" t="s">
        <v>312</v>
      </c>
      <c r="E69" s="1135"/>
      <c r="F69" s="1135"/>
      <c r="G69" s="1135"/>
      <c r="H69" s="1372" t="e">
        <f t="shared" si="3"/>
        <v>#DIV/0!</v>
      </c>
    </row>
    <row r="70" spans="1:9" ht="15" hidden="1" x14ac:dyDescent="0.2">
      <c r="A70" s="1181">
        <v>3122</v>
      </c>
      <c r="B70" s="1187">
        <v>6121</v>
      </c>
      <c r="C70" s="1190">
        <v>54500871</v>
      </c>
      <c r="D70" s="1130" t="s">
        <v>312</v>
      </c>
      <c r="E70" s="1135"/>
      <c r="F70" s="1135"/>
      <c r="G70" s="1135"/>
      <c r="H70" s="1372" t="e">
        <f t="shared" si="3"/>
        <v>#DIV/0!</v>
      </c>
    </row>
    <row r="71" spans="1:9" ht="15" hidden="1" x14ac:dyDescent="0.2">
      <c r="A71" s="1181">
        <v>3122</v>
      </c>
      <c r="B71" s="1187">
        <v>6121</v>
      </c>
      <c r="C71" s="1190">
        <v>54515835</v>
      </c>
      <c r="D71" s="1130" t="s">
        <v>312</v>
      </c>
      <c r="E71" s="1135"/>
      <c r="F71" s="1135"/>
      <c r="G71" s="1135"/>
      <c r="H71" s="1116" t="e">
        <f t="shared" si="3"/>
        <v>#DIV/0!</v>
      </c>
    </row>
    <row r="72" spans="1:9" ht="15.75" hidden="1" thickBot="1" x14ac:dyDescent="0.25">
      <c r="A72" s="1181">
        <v>3122</v>
      </c>
      <c r="B72" s="1187">
        <v>6121</v>
      </c>
      <c r="C72" s="1190">
        <v>53500871</v>
      </c>
      <c r="D72" s="1130" t="s">
        <v>312</v>
      </c>
      <c r="E72" s="1135">
        <v>0</v>
      </c>
      <c r="F72" s="1135"/>
      <c r="G72" s="1135"/>
      <c r="H72" s="1121">
        <v>0</v>
      </c>
    </row>
    <row r="73" spans="1:9" s="1122" customFormat="1" ht="16.5" hidden="1" thickTop="1" thickBot="1" x14ac:dyDescent="0.3">
      <c r="A73" s="3317" t="s">
        <v>394</v>
      </c>
      <c r="B73" s="3318"/>
      <c r="C73" s="3318"/>
      <c r="D73" s="3318"/>
      <c r="E73" s="1113">
        <f>SUM(E60:E72)</f>
        <v>0</v>
      </c>
      <c r="F73" s="1113">
        <f>SUM(F60:F72)</f>
        <v>0</v>
      </c>
      <c r="G73" s="1113">
        <f>SUM(G60:G72)</f>
        <v>0</v>
      </c>
      <c r="H73" s="1117" t="e">
        <f>G73/F73*100</f>
        <v>#DIV/0!</v>
      </c>
      <c r="I73" s="1194"/>
    </row>
    <row r="74" spans="1:9" s="1122" customFormat="1" ht="15" hidden="1" x14ac:dyDescent="0.25">
      <c r="A74" s="1118"/>
      <c r="B74" s="1118"/>
      <c r="C74" s="1118"/>
      <c r="D74" s="1118"/>
      <c r="E74" s="1119"/>
      <c r="F74" s="1119"/>
      <c r="G74" s="1119"/>
      <c r="H74" s="1138"/>
      <c r="I74" s="1194"/>
    </row>
    <row r="75" spans="1:9" ht="18" hidden="1" x14ac:dyDescent="0.25">
      <c r="A75" s="1103" t="s">
        <v>48</v>
      </c>
      <c r="B75" s="1125"/>
      <c r="C75" s="1125"/>
      <c r="D75" s="1125"/>
      <c r="E75" s="1125"/>
      <c r="F75" s="1125"/>
      <c r="G75" s="1125"/>
      <c r="H75" s="1163"/>
    </row>
    <row r="76" spans="1:9" ht="15.75" hidden="1" x14ac:dyDescent="0.25">
      <c r="A76" s="1102" t="s">
        <v>49</v>
      </c>
      <c r="H76" s="1120" t="s">
        <v>92</v>
      </c>
    </row>
    <row r="77" spans="1:9" s="1037" customFormat="1" ht="25.5" hidden="1" thickTop="1" thickBot="1" x14ac:dyDescent="0.25">
      <c r="A77" s="1104" t="s">
        <v>93</v>
      </c>
      <c r="B77" s="1105" t="s">
        <v>392</v>
      </c>
      <c r="C77" s="1105" t="s">
        <v>209</v>
      </c>
      <c r="D77" s="1106" t="s">
        <v>95</v>
      </c>
      <c r="E77" s="1127" t="s">
        <v>328</v>
      </c>
      <c r="F77" s="1127" t="s">
        <v>329</v>
      </c>
      <c r="G77" s="1128" t="s">
        <v>448</v>
      </c>
      <c r="H77" s="1129" t="s">
        <v>449</v>
      </c>
    </row>
    <row r="78" spans="1:9" s="1037" customFormat="1" ht="13.5" hidden="1" thickTop="1" thickBot="1" x14ac:dyDescent="0.25">
      <c r="A78" s="1042">
        <v>1</v>
      </c>
      <c r="B78" s="1041">
        <v>2</v>
      </c>
      <c r="C78" s="1041">
        <v>3</v>
      </c>
      <c r="D78" s="1041">
        <v>4</v>
      </c>
      <c r="E78" s="1040">
        <v>5</v>
      </c>
      <c r="F78" s="1040">
        <v>6</v>
      </c>
      <c r="G78" s="1164">
        <v>7</v>
      </c>
      <c r="H78" s="1186" t="s">
        <v>33</v>
      </c>
    </row>
    <row r="79" spans="1:9" ht="15" hidden="1" x14ac:dyDescent="0.2">
      <c r="A79" s="1181">
        <v>3122</v>
      </c>
      <c r="B79" s="1187">
        <v>6121</v>
      </c>
      <c r="C79" s="1190">
        <v>54100870</v>
      </c>
      <c r="D79" s="1130" t="s">
        <v>312</v>
      </c>
      <c r="E79" s="1135"/>
      <c r="F79" s="1135"/>
      <c r="G79" s="1135"/>
      <c r="H79" s="1116" t="e">
        <f t="shared" ref="H79:H85" si="4">G79/F79*100</f>
        <v>#DIV/0!</v>
      </c>
    </row>
    <row r="80" spans="1:9" ht="15" hidden="1" x14ac:dyDescent="0.2">
      <c r="A80" s="1181">
        <v>3122</v>
      </c>
      <c r="B80" s="1187">
        <v>6121</v>
      </c>
      <c r="C80" s="1190">
        <v>54100874</v>
      </c>
      <c r="D80" s="1130" t="s">
        <v>312</v>
      </c>
      <c r="E80" s="1135"/>
      <c r="F80" s="1135"/>
      <c r="G80" s="1135"/>
      <c r="H80" s="1116" t="e">
        <f t="shared" si="4"/>
        <v>#DIV/0!</v>
      </c>
    </row>
    <row r="81" spans="1:9" ht="15" hidden="1" x14ac:dyDescent="0.2">
      <c r="A81" s="1181">
        <v>3122</v>
      </c>
      <c r="B81" s="1187">
        <v>6121</v>
      </c>
      <c r="C81" s="1190">
        <v>54100880</v>
      </c>
      <c r="D81" s="1130" t="s">
        <v>312</v>
      </c>
      <c r="E81" s="1135"/>
      <c r="F81" s="1135"/>
      <c r="G81" s="1135"/>
      <c r="H81" s="1116" t="e">
        <f t="shared" si="4"/>
        <v>#DIV/0!</v>
      </c>
    </row>
    <row r="82" spans="1:9" ht="15" hidden="1" x14ac:dyDescent="0.2">
      <c r="A82" s="1181">
        <v>3122</v>
      </c>
      <c r="B82" s="1187">
        <v>6121</v>
      </c>
      <c r="C82" s="1190">
        <v>54100884</v>
      </c>
      <c r="D82" s="1130" t="s">
        <v>312</v>
      </c>
      <c r="E82" s="1135"/>
      <c r="F82" s="1135"/>
      <c r="G82" s="1135"/>
      <c r="H82" s="1116" t="e">
        <f t="shared" si="4"/>
        <v>#DIV/0!</v>
      </c>
    </row>
    <row r="83" spans="1:9" ht="15" hidden="1" x14ac:dyDescent="0.2">
      <c r="A83" s="1181">
        <v>3122</v>
      </c>
      <c r="B83" s="1187">
        <v>6121</v>
      </c>
      <c r="C83" s="1190">
        <v>54190877</v>
      </c>
      <c r="D83" s="1130" t="s">
        <v>312</v>
      </c>
      <c r="E83" s="1135"/>
      <c r="F83" s="1135"/>
      <c r="G83" s="1135"/>
      <c r="H83" s="1116" t="e">
        <f t="shared" si="4"/>
        <v>#DIV/0!</v>
      </c>
    </row>
    <row r="84" spans="1:9" ht="15" hidden="1" x14ac:dyDescent="0.2">
      <c r="A84" s="1181">
        <v>3122</v>
      </c>
      <c r="B84" s="1187">
        <v>6121</v>
      </c>
      <c r="C84" s="1190">
        <v>54515835</v>
      </c>
      <c r="D84" s="1130" t="s">
        <v>312</v>
      </c>
      <c r="E84" s="1135"/>
      <c r="F84" s="1135"/>
      <c r="G84" s="1135"/>
      <c r="H84" s="1116" t="e">
        <f t="shared" si="4"/>
        <v>#DIV/0!</v>
      </c>
    </row>
    <row r="85" spans="1:9" s="1122" customFormat="1" ht="16.5" hidden="1" thickTop="1" thickBot="1" x14ac:dyDescent="0.3">
      <c r="A85" s="3317" t="s">
        <v>394</v>
      </c>
      <c r="B85" s="3318"/>
      <c r="C85" s="3318"/>
      <c r="D85" s="3318"/>
      <c r="E85" s="1113">
        <f>SUM(E79:E84)</f>
        <v>0</v>
      </c>
      <c r="F85" s="1113">
        <f>SUM(F79:F84)</f>
        <v>0</v>
      </c>
      <c r="G85" s="1113">
        <f>SUM(G79:G84)</f>
        <v>0</v>
      </c>
      <c r="H85" s="1117" t="e">
        <f t="shared" si="4"/>
        <v>#DIV/0!</v>
      </c>
      <c r="I85" s="1194"/>
    </row>
    <row r="86" spans="1:9" s="1122" customFormat="1" ht="15" hidden="1" x14ac:dyDescent="0.25">
      <c r="A86" s="1118"/>
      <c r="B86" s="1118"/>
      <c r="C86" s="1118"/>
      <c r="D86" s="1118"/>
      <c r="E86" s="1119"/>
      <c r="F86" s="1119"/>
      <c r="G86" s="1119"/>
      <c r="H86" s="1138"/>
      <c r="I86" s="1194"/>
    </row>
    <row r="87" spans="1:9" ht="18" hidden="1" x14ac:dyDescent="0.25">
      <c r="A87" s="1103" t="s">
        <v>793</v>
      </c>
      <c r="B87" s="1125"/>
      <c r="C87" s="1125"/>
      <c r="D87" s="1125"/>
      <c r="E87" s="1125"/>
      <c r="F87" s="1125"/>
      <c r="G87" s="1125"/>
      <c r="H87" s="1163"/>
    </row>
    <row r="88" spans="1:9" ht="15.75" hidden="1" x14ac:dyDescent="0.25">
      <c r="A88" s="1102" t="s">
        <v>50</v>
      </c>
      <c r="H88" s="1120" t="s">
        <v>92</v>
      </c>
    </row>
    <row r="89" spans="1:9" s="1037" customFormat="1" ht="25.5" hidden="1" thickTop="1" thickBot="1" x14ac:dyDescent="0.25">
      <c r="A89" s="1104" t="s">
        <v>93</v>
      </c>
      <c r="B89" s="1105" t="s">
        <v>392</v>
      </c>
      <c r="C89" s="1105" t="s">
        <v>209</v>
      </c>
      <c r="D89" s="1106" t="s">
        <v>95</v>
      </c>
      <c r="E89" s="1127" t="s">
        <v>328</v>
      </c>
      <c r="F89" s="1127" t="s">
        <v>329</v>
      </c>
      <c r="G89" s="1128" t="s">
        <v>448</v>
      </c>
      <c r="H89" s="1129" t="s">
        <v>449</v>
      </c>
    </row>
    <row r="90" spans="1:9" s="1037" customFormat="1" ht="13.5" hidden="1" thickTop="1" thickBot="1" x14ac:dyDescent="0.25">
      <c r="A90" s="1042">
        <v>1</v>
      </c>
      <c r="B90" s="1041">
        <v>2</v>
      </c>
      <c r="C90" s="1041">
        <v>3</v>
      </c>
      <c r="D90" s="1041">
        <v>4</v>
      </c>
      <c r="E90" s="1040">
        <v>5</v>
      </c>
      <c r="F90" s="1040">
        <v>6</v>
      </c>
      <c r="G90" s="1164">
        <v>7</v>
      </c>
      <c r="H90" s="1186" t="s">
        <v>33</v>
      </c>
    </row>
    <row r="91" spans="1:9" ht="15.75" hidden="1" thickTop="1" x14ac:dyDescent="0.2">
      <c r="A91" s="1181">
        <v>3121</v>
      </c>
      <c r="B91" s="1187">
        <v>6121</v>
      </c>
      <c r="C91" s="1190">
        <v>54100870</v>
      </c>
      <c r="D91" s="1130" t="s">
        <v>312</v>
      </c>
      <c r="E91" s="1126"/>
      <c r="F91" s="1126"/>
      <c r="G91" s="1126"/>
      <c r="H91" s="1114" t="e">
        <f t="shared" ref="H91:H97" si="5">G91/F91*100</f>
        <v>#DIV/0!</v>
      </c>
    </row>
    <row r="92" spans="1:9" ht="15" hidden="1" x14ac:dyDescent="0.2">
      <c r="A92" s="1181">
        <v>3121</v>
      </c>
      <c r="B92" s="1187">
        <v>6121</v>
      </c>
      <c r="C92" s="1190">
        <v>54100874</v>
      </c>
      <c r="D92" s="1130" t="s">
        <v>312</v>
      </c>
      <c r="E92" s="1135"/>
      <c r="F92" s="1135"/>
      <c r="G92" s="1135"/>
      <c r="H92" s="1116" t="e">
        <f t="shared" si="5"/>
        <v>#DIV/0!</v>
      </c>
    </row>
    <row r="93" spans="1:9" ht="15" hidden="1" x14ac:dyDescent="0.2">
      <c r="A93" s="1181">
        <v>3121</v>
      </c>
      <c r="B93" s="1187">
        <v>6121</v>
      </c>
      <c r="C93" s="1190">
        <v>54100880</v>
      </c>
      <c r="D93" s="1130" t="s">
        <v>312</v>
      </c>
      <c r="E93" s="1135"/>
      <c r="F93" s="1135"/>
      <c r="G93" s="1135"/>
      <c r="H93" s="1116" t="e">
        <f t="shared" si="5"/>
        <v>#DIV/0!</v>
      </c>
    </row>
    <row r="94" spans="1:9" ht="15" hidden="1" x14ac:dyDescent="0.2">
      <c r="A94" s="1181">
        <v>3121</v>
      </c>
      <c r="B94" s="1187">
        <v>6121</v>
      </c>
      <c r="C94" s="1190">
        <v>54100884</v>
      </c>
      <c r="D94" s="1130" t="s">
        <v>312</v>
      </c>
      <c r="E94" s="1135"/>
      <c r="F94" s="1135"/>
      <c r="G94" s="1135"/>
      <c r="H94" s="1116" t="e">
        <f t="shared" si="5"/>
        <v>#DIV/0!</v>
      </c>
    </row>
    <row r="95" spans="1:9" ht="15" hidden="1" x14ac:dyDescent="0.2">
      <c r="A95" s="1181">
        <v>3121</v>
      </c>
      <c r="B95" s="1187">
        <v>6121</v>
      </c>
      <c r="C95" s="1190">
        <v>54190877</v>
      </c>
      <c r="D95" s="1130" t="s">
        <v>312</v>
      </c>
      <c r="E95" s="1135"/>
      <c r="F95" s="1135"/>
      <c r="G95" s="1135"/>
      <c r="H95" s="1116" t="e">
        <f t="shared" si="5"/>
        <v>#DIV/0!</v>
      </c>
    </row>
    <row r="96" spans="1:9" ht="15" hidden="1" x14ac:dyDescent="0.2">
      <c r="A96" s="1181">
        <v>3121</v>
      </c>
      <c r="B96" s="1187">
        <v>6121</v>
      </c>
      <c r="C96" s="1190">
        <v>54515835</v>
      </c>
      <c r="D96" s="1130" t="s">
        <v>312</v>
      </c>
      <c r="E96" s="1135"/>
      <c r="F96" s="1135"/>
      <c r="G96" s="1135"/>
      <c r="H96" s="1116" t="e">
        <f t="shared" si="5"/>
        <v>#DIV/0!</v>
      </c>
    </row>
    <row r="97" spans="1:9" s="1122" customFormat="1" ht="16.5" hidden="1" thickTop="1" thickBot="1" x14ac:dyDescent="0.3">
      <c r="A97" s="3317" t="s">
        <v>394</v>
      </c>
      <c r="B97" s="3318"/>
      <c r="C97" s="3318"/>
      <c r="D97" s="3318"/>
      <c r="E97" s="1113">
        <f>SUM(E91:E96)</f>
        <v>0</v>
      </c>
      <c r="F97" s="1113">
        <f>SUM(F91:F96)</f>
        <v>0</v>
      </c>
      <c r="G97" s="1113">
        <f>SUM(G91:G96)</f>
        <v>0</v>
      </c>
      <c r="H97" s="1117" t="e">
        <f t="shared" si="5"/>
        <v>#DIV/0!</v>
      </c>
      <c r="I97" s="1194"/>
    </row>
    <row r="98" spans="1:9" hidden="1" x14ac:dyDescent="0.2"/>
    <row r="99" spans="1:9" ht="18" hidden="1" x14ac:dyDescent="0.25">
      <c r="A99" s="1103" t="s">
        <v>51</v>
      </c>
      <c r="B99" s="1125"/>
      <c r="C99" s="1125"/>
      <c r="D99" s="1125"/>
      <c r="E99" s="1125"/>
      <c r="F99" s="1125"/>
      <c r="G99" s="1125"/>
      <c r="H99" s="1163"/>
    </row>
    <row r="100" spans="1:9" ht="15.75" hidden="1" x14ac:dyDescent="0.25">
      <c r="A100" s="1102" t="s">
        <v>52</v>
      </c>
      <c r="H100" s="1120" t="s">
        <v>92</v>
      </c>
    </row>
    <row r="101" spans="1:9" s="1037" customFormat="1" ht="25.5" hidden="1" thickTop="1" thickBot="1" x14ac:dyDescent="0.25">
      <c r="A101" s="1104" t="s">
        <v>93</v>
      </c>
      <c r="B101" s="1105" t="s">
        <v>392</v>
      </c>
      <c r="C101" s="1105" t="s">
        <v>209</v>
      </c>
      <c r="D101" s="1106" t="s">
        <v>95</v>
      </c>
      <c r="E101" s="1127" t="s">
        <v>328</v>
      </c>
      <c r="F101" s="1127" t="s">
        <v>329</v>
      </c>
      <c r="G101" s="1128" t="s">
        <v>448</v>
      </c>
      <c r="H101" s="1129" t="s">
        <v>449</v>
      </c>
    </row>
    <row r="102" spans="1:9" s="1037" customFormat="1" ht="13.5" hidden="1" thickTop="1" thickBot="1" x14ac:dyDescent="0.25">
      <c r="A102" s="1042">
        <v>1</v>
      </c>
      <c r="B102" s="1041">
        <v>2</v>
      </c>
      <c r="C102" s="1041">
        <v>3</v>
      </c>
      <c r="D102" s="1041">
        <v>4</v>
      </c>
      <c r="E102" s="1040">
        <v>5</v>
      </c>
      <c r="F102" s="1040">
        <v>6</v>
      </c>
      <c r="G102" s="1164">
        <v>7</v>
      </c>
      <c r="H102" s="1186" t="s">
        <v>33</v>
      </c>
    </row>
    <row r="103" spans="1:9" ht="15" hidden="1" x14ac:dyDescent="0.2">
      <c r="A103" s="1181">
        <v>3122</v>
      </c>
      <c r="B103" s="1187">
        <v>6121</v>
      </c>
      <c r="C103" s="1190">
        <v>53100870</v>
      </c>
      <c r="D103" s="1130" t="s">
        <v>312</v>
      </c>
      <c r="E103" s="1135"/>
      <c r="F103" s="1135"/>
      <c r="G103" s="1135"/>
      <c r="H103" s="1116">
        <v>0</v>
      </c>
    </row>
    <row r="104" spans="1:9" ht="15" hidden="1" x14ac:dyDescent="0.2">
      <c r="A104" s="1181">
        <v>3122</v>
      </c>
      <c r="B104" s="1187">
        <v>6121</v>
      </c>
      <c r="C104" s="1190">
        <v>53100872</v>
      </c>
      <c r="D104" s="1130" t="s">
        <v>312</v>
      </c>
      <c r="E104" s="1135"/>
      <c r="F104" s="1135"/>
      <c r="G104" s="1135"/>
      <c r="H104" s="1116">
        <v>0</v>
      </c>
    </row>
    <row r="105" spans="1:9" ht="15" hidden="1" x14ac:dyDescent="0.2">
      <c r="A105" s="1181">
        <v>3122</v>
      </c>
      <c r="B105" s="1187">
        <v>6121</v>
      </c>
      <c r="C105" s="1190">
        <v>53500871</v>
      </c>
      <c r="D105" s="1130" t="s">
        <v>312</v>
      </c>
      <c r="E105" s="1135"/>
      <c r="F105" s="1135"/>
      <c r="G105" s="1135"/>
      <c r="H105" s="1116" t="e">
        <f t="shared" ref="H105:H111" si="6">G105/F105*100</f>
        <v>#DIV/0!</v>
      </c>
    </row>
    <row r="106" spans="1:9" ht="15" hidden="1" x14ac:dyDescent="0.2">
      <c r="A106" s="1181">
        <v>3122</v>
      </c>
      <c r="B106" s="1187">
        <v>6121</v>
      </c>
      <c r="C106" s="1190">
        <v>54100870</v>
      </c>
      <c r="D106" s="1130" t="s">
        <v>312</v>
      </c>
      <c r="E106" s="1135"/>
      <c r="F106" s="1135"/>
      <c r="G106" s="1135"/>
      <c r="H106" s="1116" t="e">
        <f t="shared" si="6"/>
        <v>#DIV/0!</v>
      </c>
    </row>
    <row r="107" spans="1:9" ht="15" hidden="1" x14ac:dyDescent="0.2">
      <c r="A107" s="1181">
        <v>3122</v>
      </c>
      <c r="B107" s="1187">
        <v>6121</v>
      </c>
      <c r="C107" s="1190">
        <v>54100874</v>
      </c>
      <c r="D107" s="1130" t="s">
        <v>312</v>
      </c>
      <c r="E107" s="1135"/>
      <c r="F107" s="1135"/>
      <c r="G107" s="1135"/>
      <c r="H107" s="1116" t="e">
        <f t="shared" si="6"/>
        <v>#DIV/0!</v>
      </c>
    </row>
    <row r="108" spans="1:9" ht="15" hidden="1" x14ac:dyDescent="0.2">
      <c r="A108" s="1181">
        <v>3122</v>
      </c>
      <c r="B108" s="1187">
        <v>6121</v>
      </c>
      <c r="C108" s="1190">
        <v>54100880</v>
      </c>
      <c r="D108" s="1130" t="s">
        <v>312</v>
      </c>
      <c r="E108" s="1135"/>
      <c r="F108" s="1135"/>
      <c r="G108" s="1135"/>
      <c r="H108" s="1116" t="e">
        <f t="shared" si="6"/>
        <v>#DIV/0!</v>
      </c>
    </row>
    <row r="109" spans="1:9" ht="15" hidden="1" x14ac:dyDescent="0.2">
      <c r="A109" s="1181">
        <v>3122</v>
      </c>
      <c r="B109" s="1187">
        <v>6121</v>
      </c>
      <c r="C109" s="1190">
        <v>54100884</v>
      </c>
      <c r="D109" s="1130" t="s">
        <v>312</v>
      </c>
      <c r="E109" s="1135"/>
      <c r="F109" s="1135"/>
      <c r="G109" s="1135"/>
      <c r="H109" s="1116" t="e">
        <f t="shared" si="6"/>
        <v>#DIV/0!</v>
      </c>
    </row>
    <row r="110" spans="1:9" ht="15" hidden="1" x14ac:dyDescent="0.2">
      <c r="A110" s="1181">
        <v>3122</v>
      </c>
      <c r="B110" s="1187">
        <v>6121</v>
      </c>
      <c r="C110" s="1190">
        <v>54190877</v>
      </c>
      <c r="D110" s="1130" t="s">
        <v>312</v>
      </c>
      <c r="E110" s="1135"/>
      <c r="F110" s="1135"/>
      <c r="G110" s="1135"/>
      <c r="H110" s="1116" t="e">
        <f t="shared" si="6"/>
        <v>#DIV/0!</v>
      </c>
    </row>
    <row r="111" spans="1:9" ht="15" hidden="1" x14ac:dyDescent="0.2">
      <c r="A111" s="1181">
        <v>3122</v>
      </c>
      <c r="B111" s="1187">
        <v>6121</v>
      </c>
      <c r="C111" s="1190">
        <v>54515835</v>
      </c>
      <c r="D111" s="1130" t="s">
        <v>312</v>
      </c>
      <c r="E111" s="1135"/>
      <c r="F111" s="1135"/>
      <c r="G111" s="1135"/>
      <c r="H111" s="1116" t="e">
        <f t="shared" si="6"/>
        <v>#DIV/0!</v>
      </c>
    </row>
    <row r="112" spans="1:9" ht="15.75" hidden="1" thickBot="1" x14ac:dyDescent="0.25">
      <c r="A112" s="1181">
        <v>3122</v>
      </c>
      <c r="B112" s="1187">
        <v>6121</v>
      </c>
      <c r="C112" s="1190">
        <v>53500871</v>
      </c>
      <c r="D112" s="1130" t="s">
        <v>312</v>
      </c>
      <c r="E112" s="1135">
        <v>0</v>
      </c>
      <c r="F112" s="1135"/>
      <c r="G112" s="1135"/>
      <c r="H112" s="1121">
        <v>0</v>
      </c>
    </row>
    <row r="113" spans="1:9" s="1122" customFormat="1" ht="16.5" hidden="1" thickTop="1" thickBot="1" x14ac:dyDescent="0.3">
      <c r="A113" s="3317" t="s">
        <v>394</v>
      </c>
      <c r="B113" s="3318"/>
      <c r="C113" s="3318"/>
      <c r="D113" s="3318"/>
      <c r="E113" s="1113">
        <f>SUM(E103:E112)</f>
        <v>0</v>
      </c>
      <c r="F113" s="1113">
        <f>SUM(F103:F112)</f>
        <v>0</v>
      </c>
      <c r="G113" s="1113">
        <f>SUM(G103:G112)</f>
        <v>0</v>
      </c>
      <c r="H113" s="1117" t="e">
        <f>G113/F113*100</f>
        <v>#DIV/0!</v>
      </c>
      <c r="I113" s="1194"/>
    </row>
    <row r="114" spans="1:9" s="1122" customFormat="1" ht="15" hidden="1" x14ac:dyDescent="0.25">
      <c r="A114" s="1118"/>
      <c r="B114" s="1118"/>
      <c r="C114" s="1118"/>
      <c r="D114" s="1118"/>
      <c r="E114" s="1119"/>
      <c r="F114" s="1119"/>
      <c r="G114" s="1119"/>
      <c r="H114" s="1138"/>
      <c r="I114" s="1194"/>
    </row>
    <row r="115" spans="1:9" ht="18" hidden="1" x14ac:dyDescent="0.25">
      <c r="A115" s="1103" t="s">
        <v>770</v>
      </c>
      <c r="B115" s="1125"/>
      <c r="C115" s="1125"/>
      <c r="D115" s="1125"/>
      <c r="E115" s="1125"/>
      <c r="F115" s="1125"/>
      <c r="G115" s="1125"/>
      <c r="H115" s="1163"/>
    </row>
    <row r="116" spans="1:9" ht="15.75" hidden="1" x14ac:dyDescent="0.25">
      <c r="A116" s="1102" t="s">
        <v>53</v>
      </c>
      <c r="H116" s="1120" t="s">
        <v>92</v>
      </c>
    </row>
    <row r="117" spans="1:9" s="1037" customFormat="1" ht="25.5" hidden="1" thickTop="1" thickBot="1" x14ac:dyDescent="0.25">
      <c r="A117" s="1104" t="s">
        <v>93</v>
      </c>
      <c r="B117" s="1105" t="s">
        <v>392</v>
      </c>
      <c r="C117" s="1105" t="s">
        <v>209</v>
      </c>
      <c r="D117" s="1106" t="s">
        <v>95</v>
      </c>
      <c r="E117" s="1127" t="s">
        <v>328</v>
      </c>
      <c r="F117" s="1127" t="s">
        <v>329</v>
      </c>
      <c r="G117" s="1128" t="s">
        <v>448</v>
      </c>
      <c r="H117" s="1129" t="s">
        <v>449</v>
      </c>
    </row>
    <row r="118" spans="1:9" s="1037" customFormat="1" ht="13.5" hidden="1" thickTop="1" thickBot="1" x14ac:dyDescent="0.25">
      <c r="A118" s="1042">
        <v>1</v>
      </c>
      <c r="B118" s="1041">
        <v>2</v>
      </c>
      <c r="C118" s="1041">
        <v>3</v>
      </c>
      <c r="D118" s="1041">
        <v>4</v>
      </c>
      <c r="E118" s="1040">
        <v>5</v>
      </c>
      <c r="F118" s="1040">
        <v>6</v>
      </c>
      <c r="G118" s="1164">
        <v>7</v>
      </c>
      <c r="H118" s="1186" t="s">
        <v>33</v>
      </c>
    </row>
    <row r="119" spans="1:9" ht="15.75" hidden="1" thickTop="1" x14ac:dyDescent="0.2">
      <c r="A119" s="1181">
        <v>3122</v>
      </c>
      <c r="B119" s="1187">
        <v>6121</v>
      </c>
      <c r="C119" s="1190">
        <v>54100870</v>
      </c>
      <c r="D119" s="1130" t="s">
        <v>312</v>
      </c>
      <c r="E119" s="1126"/>
      <c r="F119" s="1126"/>
      <c r="G119" s="1126"/>
      <c r="H119" s="1114" t="e">
        <f t="shared" ref="H119:H125" si="7">G119/F119*100</f>
        <v>#DIV/0!</v>
      </c>
    </row>
    <row r="120" spans="1:9" ht="15" hidden="1" x14ac:dyDescent="0.2">
      <c r="A120" s="1181">
        <v>3122</v>
      </c>
      <c r="B120" s="1187">
        <v>6121</v>
      </c>
      <c r="C120" s="1190">
        <v>54100874</v>
      </c>
      <c r="D120" s="1130" t="s">
        <v>312</v>
      </c>
      <c r="E120" s="1135"/>
      <c r="F120" s="1135"/>
      <c r="G120" s="1135"/>
      <c r="H120" s="1116" t="e">
        <f t="shared" si="7"/>
        <v>#DIV/0!</v>
      </c>
    </row>
    <row r="121" spans="1:9" ht="15" hidden="1" x14ac:dyDescent="0.2">
      <c r="A121" s="1181">
        <v>3122</v>
      </c>
      <c r="B121" s="1187">
        <v>6121</v>
      </c>
      <c r="C121" s="1190">
        <v>54100880</v>
      </c>
      <c r="D121" s="1130" t="s">
        <v>312</v>
      </c>
      <c r="E121" s="1135"/>
      <c r="F121" s="1135"/>
      <c r="G121" s="1135"/>
      <c r="H121" s="1116" t="e">
        <f t="shared" si="7"/>
        <v>#DIV/0!</v>
      </c>
    </row>
    <row r="122" spans="1:9" ht="15" hidden="1" x14ac:dyDescent="0.2">
      <c r="A122" s="1181">
        <v>3122</v>
      </c>
      <c r="B122" s="1187">
        <v>6121</v>
      </c>
      <c r="C122" s="1190">
        <v>54100884</v>
      </c>
      <c r="D122" s="1130" t="s">
        <v>312</v>
      </c>
      <c r="E122" s="1135"/>
      <c r="F122" s="1135"/>
      <c r="G122" s="1135"/>
      <c r="H122" s="1116" t="e">
        <f t="shared" si="7"/>
        <v>#DIV/0!</v>
      </c>
    </row>
    <row r="123" spans="1:9" ht="15" hidden="1" x14ac:dyDescent="0.2">
      <c r="A123" s="1181">
        <v>3122</v>
      </c>
      <c r="B123" s="1187">
        <v>6121</v>
      </c>
      <c r="C123" s="1190">
        <v>54190877</v>
      </c>
      <c r="D123" s="1130" t="s">
        <v>312</v>
      </c>
      <c r="E123" s="1135"/>
      <c r="F123" s="1135"/>
      <c r="G123" s="1135"/>
      <c r="H123" s="1116" t="e">
        <f t="shared" si="7"/>
        <v>#DIV/0!</v>
      </c>
    </row>
    <row r="124" spans="1:9" ht="15" hidden="1" x14ac:dyDescent="0.2">
      <c r="A124" s="1181">
        <v>3122</v>
      </c>
      <c r="B124" s="1187">
        <v>6121</v>
      </c>
      <c r="C124" s="1190">
        <v>54515835</v>
      </c>
      <c r="D124" s="1130" t="s">
        <v>312</v>
      </c>
      <c r="E124" s="1135"/>
      <c r="F124" s="1135"/>
      <c r="G124" s="1135"/>
      <c r="H124" s="1116" t="e">
        <f t="shared" si="7"/>
        <v>#DIV/0!</v>
      </c>
    </row>
    <row r="125" spans="1:9" s="1122" customFormat="1" ht="16.5" hidden="1" thickTop="1" thickBot="1" x14ac:dyDescent="0.3">
      <c r="A125" s="3317" t="s">
        <v>394</v>
      </c>
      <c r="B125" s="3318"/>
      <c r="C125" s="3318"/>
      <c r="D125" s="3318"/>
      <c r="E125" s="1113">
        <f>SUM(E119:E124)</f>
        <v>0</v>
      </c>
      <c r="F125" s="1113">
        <f>SUM(F119:F124)</f>
        <v>0</v>
      </c>
      <c r="G125" s="1113">
        <f>SUM(G119:G124)</f>
        <v>0</v>
      </c>
      <c r="H125" s="1117" t="e">
        <f t="shared" si="7"/>
        <v>#DIV/0!</v>
      </c>
      <c r="I125" s="1194"/>
    </row>
    <row r="126" spans="1:9" s="1122" customFormat="1" ht="15" hidden="1" x14ac:dyDescent="0.25">
      <c r="A126" s="1118"/>
      <c r="B126" s="1118"/>
      <c r="C126" s="1118"/>
      <c r="D126" s="1118"/>
      <c r="E126" s="1119"/>
      <c r="F126" s="1119"/>
      <c r="G126" s="1119"/>
      <c r="H126" s="1138"/>
      <c r="I126" s="1194"/>
    </row>
    <row r="127" spans="1:9" ht="18" hidden="1" x14ac:dyDescent="0.25">
      <c r="A127" s="1103" t="s">
        <v>54</v>
      </c>
      <c r="B127" s="1125"/>
      <c r="C127" s="1125"/>
      <c r="D127" s="1125"/>
      <c r="E127" s="1125"/>
      <c r="F127" s="1125"/>
      <c r="G127" s="1125"/>
      <c r="H127" s="1163"/>
    </row>
    <row r="128" spans="1:9" ht="15.75" hidden="1" x14ac:dyDescent="0.25">
      <c r="A128" s="1102" t="s">
        <v>55</v>
      </c>
      <c r="H128" s="1120" t="s">
        <v>92</v>
      </c>
    </row>
    <row r="129" spans="1:9" s="1037" customFormat="1" ht="25.5" hidden="1" thickTop="1" thickBot="1" x14ac:dyDescent="0.25">
      <c r="A129" s="1104" t="s">
        <v>93</v>
      </c>
      <c r="B129" s="1105" t="s">
        <v>392</v>
      </c>
      <c r="C129" s="1105" t="s">
        <v>209</v>
      </c>
      <c r="D129" s="1106" t="s">
        <v>95</v>
      </c>
      <c r="E129" s="1127" t="s">
        <v>328</v>
      </c>
      <c r="F129" s="1127" t="s">
        <v>329</v>
      </c>
      <c r="G129" s="1128" t="s">
        <v>448</v>
      </c>
      <c r="H129" s="1129" t="s">
        <v>449</v>
      </c>
    </row>
    <row r="130" spans="1:9" s="1037" customFormat="1" ht="13.5" hidden="1" thickTop="1" thickBot="1" x14ac:dyDescent="0.25">
      <c r="A130" s="1042">
        <v>1</v>
      </c>
      <c r="B130" s="1041">
        <v>2</v>
      </c>
      <c r="C130" s="1041">
        <v>3</v>
      </c>
      <c r="D130" s="1041">
        <v>4</v>
      </c>
      <c r="E130" s="1040">
        <v>5</v>
      </c>
      <c r="F130" s="1040">
        <v>6</v>
      </c>
      <c r="G130" s="1164">
        <v>7</v>
      </c>
      <c r="H130" s="1186" t="s">
        <v>33</v>
      </c>
    </row>
    <row r="131" spans="1:9" ht="15" hidden="1" x14ac:dyDescent="0.2">
      <c r="A131" s="1181">
        <v>3122</v>
      </c>
      <c r="B131" s="1187">
        <v>6121</v>
      </c>
      <c r="C131" s="1190">
        <v>53100870</v>
      </c>
      <c r="D131" s="1130" t="s">
        <v>312</v>
      </c>
      <c r="E131" s="1135"/>
      <c r="F131" s="1135"/>
      <c r="G131" s="1135"/>
      <c r="H131" s="1116" t="e">
        <f t="shared" ref="H131:H139" si="8">G131/F131*100</f>
        <v>#DIV/0!</v>
      </c>
    </row>
    <row r="132" spans="1:9" ht="15" hidden="1" x14ac:dyDescent="0.2">
      <c r="A132" s="1181">
        <v>3122</v>
      </c>
      <c r="B132" s="1187">
        <v>6121</v>
      </c>
      <c r="C132" s="1190">
        <v>53100872</v>
      </c>
      <c r="D132" s="1130" t="s">
        <v>312</v>
      </c>
      <c r="E132" s="1135"/>
      <c r="F132" s="1135"/>
      <c r="G132" s="1135"/>
      <c r="H132" s="1116" t="e">
        <f t="shared" si="8"/>
        <v>#DIV/0!</v>
      </c>
    </row>
    <row r="133" spans="1:9" ht="15" hidden="1" x14ac:dyDescent="0.2">
      <c r="A133" s="1181">
        <v>3122</v>
      </c>
      <c r="B133" s="1187">
        <v>6121</v>
      </c>
      <c r="C133" s="1190">
        <v>5310874</v>
      </c>
      <c r="D133" s="1130" t="s">
        <v>312</v>
      </c>
      <c r="E133" s="1135"/>
      <c r="F133" s="1135"/>
      <c r="G133" s="1135"/>
      <c r="H133" s="1116" t="e">
        <f t="shared" si="8"/>
        <v>#DIV/0!</v>
      </c>
    </row>
    <row r="134" spans="1:9" ht="15" hidden="1" x14ac:dyDescent="0.2">
      <c r="A134" s="1181">
        <v>3122</v>
      </c>
      <c r="B134" s="1187">
        <v>6121</v>
      </c>
      <c r="C134" s="1190">
        <v>53500871</v>
      </c>
      <c r="D134" s="1130" t="s">
        <v>312</v>
      </c>
      <c r="E134" s="1135"/>
      <c r="F134" s="1135"/>
      <c r="G134" s="1135"/>
      <c r="H134" s="1116" t="e">
        <f t="shared" si="8"/>
        <v>#DIV/0!</v>
      </c>
    </row>
    <row r="135" spans="1:9" ht="15" hidden="1" x14ac:dyDescent="0.2">
      <c r="A135" s="1181">
        <v>3122</v>
      </c>
      <c r="B135" s="1187">
        <v>6121</v>
      </c>
      <c r="C135" s="1190">
        <v>54100870</v>
      </c>
      <c r="D135" s="1130" t="s">
        <v>312</v>
      </c>
      <c r="E135" s="1135"/>
      <c r="F135" s="1135"/>
      <c r="G135" s="1135"/>
      <c r="H135" s="1116" t="e">
        <f t="shared" si="8"/>
        <v>#DIV/0!</v>
      </c>
    </row>
    <row r="136" spans="1:9" ht="15" hidden="1" x14ac:dyDescent="0.2">
      <c r="A136" s="1181">
        <v>3122</v>
      </c>
      <c r="B136" s="1187">
        <v>6121</v>
      </c>
      <c r="C136" s="1190">
        <v>54100874</v>
      </c>
      <c r="D136" s="1130" t="s">
        <v>312</v>
      </c>
      <c r="E136" s="1135"/>
      <c r="F136" s="1135"/>
      <c r="G136" s="1135"/>
      <c r="H136" s="1116" t="e">
        <f t="shared" si="8"/>
        <v>#DIV/0!</v>
      </c>
    </row>
    <row r="137" spans="1:9" ht="15" hidden="1" x14ac:dyDescent="0.2">
      <c r="A137" s="1181">
        <v>3122</v>
      </c>
      <c r="B137" s="1187">
        <v>6121</v>
      </c>
      <c r="C137" s="1190">
        <v>54100880</v>
      </c>
      <c r="D137" s="1130" t="s">
        <v>312</v>
      </c>
      <c r="E137" s="1135"/>
      <c r="F137" s="1135"/>
      <c r="G137" s="1135"/>
      <c r="H137" s="1116" t="e">
        <f t="shared" si="8"/>
        <v>#DIV/0!</v>
      </c>
    </row>
    <row r="138" spans="1:9" ht="15" hidden="1" x14ac:dyDescent="0.2">
      <c r="A138" s="1181">
        <v>3122</v>
      </c>
      <c r="B138" s="1187">
        <v>6121</v>
      </c>
      <c r="C138" s="1190">
        <v>54100884</v>
      </c>
      <c r="D138" s="1130" t="s">
        <v>312</v>
      </c>
      <c r="E138" s="1135"/>
      <c r="F138" s="1135"/>
      <c r="G138" s="1135"/>
      <c r="H138" s="1116" t="e">
        <f t="shared" si="8"/>
        <v>#DIV/0!</v>
      </c>
    </row>
    <row r="139" spans="1:9" ht="15" hidden="1" x14ac:dyDescent="0.2">
      <c r="A139" s="1181">
        <v>3122</v>
      </c>
      <c r="B139" s="1187">
        <v>6121</v>
      </c>
      <c r="C139" s="1190">
        <v>54190877</v>
      </c>
      <c r="D139" s="1130" t="s">
        <v>312</v>
      </c>
      <c r="E139" s="1135"/>
      <c r="F139" s="1135"/>
      <c r="G139" s="1135"/>
      <c r="H139" s="1116" t="e">
        <f t="shared" si="8"/>
        <v>#DIV/0!</v>
      </c>
    </row>
    <row r="140" spans="1:9" ht="15.75" hidden="1" thickBot="1" x14ac:dyDescent="0.25">
      <c r="A140" s="1181">
        <v>3122</v>
      </c>
      <c r="B140" s="1187">
        <v>6121</v>
      </c>
      <c r="C140" s="1190">
        <v>54515835</v>
      </c>
      <c r="D140" s="1130" t="s">
        <v>312</v>
      </c>
      <c r="E140" s="1135"/>
      <c r="F140" s="1135"/>
      <c r="G140" s="1135"/>
      <c r="H140" s="1121">
        <v>0</v>
      </c>
    </row>
    <row r="141" spans="1:9" s="1122" customFormat="1" ht="16.5" hidden="1" thickTop="1" thickBot="1" x14ac:dyDescent="0.3">
      <c r="A141" s="3317" t="s">
        <v>394</v>
      </c>
      <c r="B141" s="3318"/>
      <c r="C141" s="3318"/>
      <c r="D141" s="3318"/>
      <c r="E141" s="1113">
        <f>SUM(E131:E140)</f>
        <v>0</v>
      </c>
      <c r="F141" s="1113">
        <f>SUM(F131:F140)</f>
        <v>0</v>
      </c>
      <c r="G141" s="1113">
        <f>SUM(G131:G140)</f>
        <v>0</v>
      </c>
      <c r="H141" s="1117" t="e">
        <f>G141/F141*100</f>
        <v>#DIV/0!</v>
      </c>
      <c r="I141" s="1194"/>
    </row>
    <row r="142" spans="1:9" s="1122" customFormat="1" ht="15" hidden="1" x14ac:dyDescent="0.25">
      <c r="A142" s="1118"/>
      <c r="B142" s="1118"/>
      <c r="C142" s="1118"/>
      <c r="D142" s="1118"/>
      <c r="E142" s="1119"/>
      <c r="F142" s="1119"/>
      <c r="G142" s="1119"/>
      <c r="H142" s="1138"/>
      <c r="I142" s="1194"/>
    </row>
    <row r="143" spans="1:9" ht="18" hidden="1" x14ac:dyDescent="0.25">
      <c r="A143" s="1103" t="s">
        <v>56</v>
      </c>
      <c r="B143" s="1125"/>
      <c r="C143" s="1125"/>
      <c r="D143" s="1125"/>
      <c r="E143" s="1125"/>
      <c r="F143" s="1125"/>
      <c r="G143" s="1125"/>
      <c r="H143" s="1163"/>
    </row>
    <row r="144" spans="1:9" ht="15.75" hidden="1" x14ac:dyDescent="0.25">
      <c r="A144" s="1102" t="s">
        <v>57</v>
      </c>
      <c r="H144" s="1120" t="s">
        <v>92</v>
      </c>
    </row>
    <row r="145" spans="1:9" s="1037" customFormat="1" ht="25.5" hidden="1" thickTop="1" thickBot="1" x14ac:dyDescent="0.25">
      <c r="A145" s="1104" t="s">
        <v>93</v>
      </c>
      <c r="B145" s="1105" t="s">
        <v>392</v>
      </c>
      <c r="C145" s="1105" t="s">
        <v>209</v>
      </c>
      <c r="D145" s="1106" t="s">
        <v>95</v>
      </c>
      <c r="E145" s="1127" t="s">
        <v>328</v>
      </c>
      <c r="F145" s="1127" t="s">
        <v>329</v>
      </c>
      <c r="G145" s="1128" t="s">
        <v>448</v>
      </c>
      <c r="H145" s="1129" t="s">
        <v>449</v>
      </c>
    </row>
    <row r="146" spans="1:9" s="1037" customFormat="1" ht="13.5" hidden="1" thickTop="1" thickBot="1" x14ac:dyDescent="0.25">
      <c r="A146" s="1042">
        <v>1</v>
      </c>
      <c r="B146" s="1041">
        <v>2</v>
      </c>
      <c r="C146" s="1041">
        <v>3</v>
      </c>
      <c r="D146" s="1041">
        <v>4</v>
      </c>
      <c r="E146" s="1040">
        <v>5</v>
      </c>
      <c r="F146" s="1040">
        <v>6</v>
      </c>
      <c r="G146" s="1164">
        <v>7</v>
      </c>
      <c r="H146" s="1186" t="s">
        <v>33</v>
      </c>
    </row>
    <row r="147" spans="1:9" ht="15" hidden="1" x14ac:dyDescent="0.2">
      <c r="A147" s="1181">
        <v>3122</v>
      </c>
      <c r="B147" s="1187">
        <v>6121</v>
      </c>
      <c r="C147" s="1190">
        <v>53100870</v>
      </c>
      <c r="D147" s="1130" t="s">
        <v>312</v>
      </c>
      <c r="E147" s="1135"/>
      <c r="F147" s="1135"/>
      <c r="G147" s="1135"/>
      <c r="H147" s="1116" t="e">
        <f t="shared" ref="H147:H154" si="9">G147/F147*100</f>
        <v>#DIV/0!</v>
      </c>
    </row>
    <row r="148" spans="1:9" ht="15" hidden="1" x14ac:dyDescent="0.2">
      <c r="A148" s="1181">
        <v>3122</v>
      </c>
      <c r="B148" s="1187">
        <v>6121</v>
      </c>
      <c r="C148" s="1190">
        <v>53100872</v>
      </c>
      <c r="D148" s="1130" t="s">
        <v>312</v>
      </c>
      <c r="E148" s="1135"/>
      <c r="F148" s="1135"/>
      <c r="G148" s="1135"/>
      <c r="H148" s="1116" t="e">
        <f t="shared" si="9"/>
        <v>#DIV/0!</v>
      </c>
    </row>
    <row r="149" spans="1:9" ht="15" hidden="1" x14ac:dyDescent="0.2">
      <c r="A149" s="1181">
        <v>3122</v>
      </c>
      <c r="B149" s="1187">
        <v>6121</v>
      </c>
      <c r="C149" s="1190">
        <v>53500871</v>
      </c>
      <c r="D149" s="1130" t="s">
        <v>312</v>
      </c>
      <c r="E149" s="1135"/>
      <c r="F149" s="1135"/>
      <c r="G149" s="1135"/>
      <c r="H149" s="1116" t="e">
        <f t="shared" si="9"/>
        <v>#DIV/0!</v>
      </c>
    </row>
    <row r="150" spans="1:9" ht="15" hidden="1" x14ac:dyDescent="0.2">
      <c r="A150" s="1181">
        <v>3122</v>
      </c>
      <c r="B150" s="1187">
        <v>6121</v>
      </c>
      <c r="C150" s="1190">
        <v>54100870</v>
      </c>
      <c r="D150" s="1130" t="s">
        <v>312</v>
      </c>
      <c r="E150" s="1135"/>
      <c r="F150" s="1135"/>
      <c r="G150" s="1135"/>
      <c r="H150" s="1116" t="e">
        <f t="shared" si="9"/>
        <v>#DIV/0!</v>
      </c>
    </row>
    <row r="151" spans="1:9" ht="15" hidden="1" x14ac:dyDescent="0.2">
      <c r="A151" s="1181">
        <v>3122</v>
      </c>
      <c r="B151" s="1187">
        <v>6121</v>
      </c>
      <c r="C151" s="1190">
        <v>54100874</v>
      </c>
      <c r="D151" s="1130" t="s">
        <v>312</v>
      </c>
      <c r="E151" s="1135"/>
      <c r="F151" s="1135"/>
      <c r="G151" s="1135"/>
      <c r="H151" s="1116" t="e">
        <f t="shared" si="9"/>
        <v>#DIV/0!</v>
      </c>
    </row>
    <row r="152" spans="1:9" ht="15" hidden="1" x14ac:dyDescent="0.2">
      <c r="A152" s="1181">
        <v>3122</v>
      </c>
      <c r="B152" s="1187">
        <v>6121</v>
      </c>
      <c r="C152" s="1190">
        <v>54100880</v>
      </c>
      <c r="D152" s="1130" t="s">
        <v>312</v>
      </c>
      <c r="E152" s="1135"/>
      <c r="F152" s="1135"/>
      <c r="G152" s="1135"/>
      <c r="H152" s="1116" t="e">
        <f t="shared" si="9"/>
        <v>#DIV/0!</v>
      </c>
    </row>
    <row r="153" spans="1:9" ht="15" hidden="1" x14ac:dyDescent="0.2">
      <c r="A153" s="1181">
        <v>3122</v>
      </c>
      <c r="B153" s="1187">
        <v>6121</v>
      </c>
      <c r="C153" s="1190">
        <v>54100884</v>
      </c>
      <c r="D153" s="1130" t="s">
        <v>312</v>
      </c>
      <c r="E153" s="1135"/>
      <c r="F153" s="1135"/>
      <c r="G153" s="1135"/>
      <c r="H153" s="1116" t="e">
        <f t="shared" si="9"/>
        <v>#DIV/0!</v>
      </c>
    </row>
    <row r="154" spans="1:9" ht="15" hidden="1" x14ac:dyDescent="0.2">
      <c r="A154" s="1181">
        <v>3122</v>
      </c>
      <c r="B154" s="1187">
        <v>6121</v>
      </c>
      <c r="C154" s="1190">
        <v>54190877</v>
      </c>
      <c r="D154" s="1130" t="s">
        <v>312</v>
      </c>
      <c r="E154" s="1135"/>
      <c r="F154" s="1135"/>
      <c r="G154" s="1135"/>
      <c r="H154" s="1116" t="e">
        <f t="shared" si="9"/>
        <v>#DIV/0!</v>
      </c>
    </row>
    <row r="155" spans="1:9" ht="15.75" hidden="1" thickBot="1" x14ac:dyDescent="0.25">
      <c r="A155" s="1181">
        <v>3122</v>
      </c>
      <c r="B155" s="1187">
        <v>6121</v>
      </c>
      <c r="C155" s="1190">
        <v>54515835</v>
      </c>
      <c r="D155" s="1130" t="s">
        <v>312</v>
      </c>
      <c r="E155" s="1135"/>
      <c r="F155" s="1135"/>
      <c r="G155" s="1135"/>
      <c r="H155" s="1121">
        <v>0</v>
      </c>
    </row>
    <row r="156" spans="1:9" s="1122" customFormat="1" ht="16.5" hidden="1" thickTop="1" thickBot="1" x14ac:dyDescent="0.3">
      <c r="A156" s="3317" t="s">
        <v>394</v>
      </c>
      <c r="B156" s="3318"/>
      <c r="C156" s="3318"/>
      <c r="D156" s="3318"/>
      <c r="E156" s="1113">
        <f>SUM(E147:E155)</f>
        <v>0</v>
      </c>
      <c r="F156" s="1113">
        <f>SUM(F147:F155)</f>
        <v>0</v>
      </c>
      <c r="G156" s="1113">
        <f>SUM(G147:G155)</f>
        <v>0</v>
      </c>
      <c r="H156" s="1117" t="e">
        <f>G156/F156*100</f>
        <v>#DIV/0!</v>
      </c>
      <c r="I156" s="1194"/>
    </row>
    <row r="157" spans="1:9" s="1122" customFormat="1" ht="15" hidden="1" x14ac:dyDescent="0.25">
      <c r="A157" s="1118"/>
      <c r="B157" s="1118"/>
      <c r="C157" s="1118"/>
      <c r="D157" s="1118"/>
      <c r="E157" s="1119"/>
      <c r="F157" s="1119"/>
      <c r="G157" s="1119"/>
      <c r="H157" s="1138"/>
      <c r="I157" s="1194"/>
    </row>
    <row r="158" spans="1:9" ht="18" hidden="1" x14ac:dyDescent="0.25">
      <c r="A158" s="1103" t="s">
        <v>58</v>
      </c>
      <c r="B158" s="1125"/>
      <c r="C158" s="1125"/>
      <c r="D158" s="1125"/>
      <c r="E158" s="1125"/>
      <c r="F158" s="1125"/>
      <c r="G158" s="1125"/>
      <c r="H158" s="1163"/>
    </row>
    <row r="159" spans="1:9" ht="15.75" hidden="1" x14ac:dyDescent="0.25">
      <c r="A159" s="1102" t="s">
        <v>59</v>
      </c>
      <c r="H159" s="1120" t="s">
        <v>92</v>
      </c>
    </row>
    <row r="160" spans="1:9" s="1037" customFormat="1" ht="25.5" hidden="1" thickTop="1" thickBot="1" x14ac:dyDescent="0.25">
      <c r="A160" s="1104" t="s">
        <v>93</v>
      </c>
      <c r="B160" s="1105" t="s">
        <v>392</v>
      </c>
      <c r="C160" s="1105" t="s">
        <v>209</v>
      </c>
      <c r="D160" s="1106" t="s">
        <v>95</v>
      </c>
      <c r="E160" s="1127" t="s">
        <v>328</v>
      </c>
      <c r="F160" s="1127" t="s">
        <v>329</v>
      </c>
      <c r="G160" s="1128" t="s">
        <v>448</v>
      </c>
      <c r="H160" s="1129" t="s">
        <v>449</v>
      </c>
    </row>
    <row r="161" spans="1:9" s="1037" customFormat="1" ht="13.5" hidden="1" thickTop="1" thickBot="1" x14ac:dyDescent="0.25">
      <c r="A161" s="1042">
        <v>1</v>
      </c>
      <c r="B161" s="1041">
        <v>2</v>
      </c>
      <c r="C161" s="1041">
        <v>3</v>
      </c>
      <c r="D161" s="1041">
        <v>4</v>
      </c>
      <c r="E161" s="1040">
        <v>5</v>
      </c>
      <c r="F161" s="1040">
        <v>6</v>
      </c>
      <c r="G161" s="1164">
        <v>7</v>
      </c>
      <c r="H161" s="1186" t="s">
        <v>33</v>
      </c>
    </row>
    <row r="162" spans="1:9" ht="15.75" hidden="1" thickTop="1" x14ac:dyDescent="0.2">
      <c r="A162" s="1181">
        <v>3122</v>
      </c>
      <c r="B162" s="1187">
        <v>6121</v>
      </c>
      <c r="C162" s="1190">
        <v>53100870</v>
      </c>
      <c r="D162" s="1130" t="s">
        <v>312</v>
      </c>
      <c r="E162" s="1126"/>
      <c r="F162" s="1126"/>
      <c r="G162" s="1126"/>
      <c r="H162" s="1116" t="e">
        <f t="shared" ref="H162:H167" si="10">G162/F162*100</f>
        <v>#DIV/0!</v>
      </c>
    </row>
    <row r="163" spans="1:9" ht="15" hidden="1" x14ac:dyDescent="0.2">
      <c r="A163" s="1181">
        <v>3122</v>
      </c>
      <c r="B163" s="1187">
        <v>6121</v>
      </c>
      <c r="C163" s="1190">
        <v>53100872</v>
      </c>
      <c r="D163" s="1130" t="s">
        <v>312</v>
      </c>
      <c r="E163" s="1135"/>
      <c r="F163" s="1135"/>
      <c r="G163" s="1135"/>
      <c r="H163" s="1116" t="e">
        <f t="shared" si="10"/>
        <v>#DIV/0!</v>
      </c>
    </row>
    <row r="164" spans="1:9" ht="15" hidden="1" x14ac:dyDescent="0.2">
      <c r="A164" s="1181">
        <v>3122</v>
      </c>
      <c r="B164" s="1187">
        <v>6121</v>
      </c>
      <c r="C164" s="1190">
        <v>53100874</v>
      </c>
      <c r="D164" s="1130" t="s">
        <v>312</v>
      </c>
      <c r="E164" s="1135"/>
      <c r="F164" s="1135"/>
      <c r="G164" s="1135"/>
      <c r="H164" s="1116" t="e">
        <f t="shared" si="10"/>
        <v>#DIV/0!</v>
      </c>
    </row>
    <row r="165" spans="1:9" ht="15" hidden="1" x14ac:dyDescent="0.2">
      <c r="A165" s="1181">
        <v>3122</v>
      </c>
      <c r="B165" s="1187">
        <v>6121</v>
      </c>
      <c r="C165" s="1190">
        <v>53500871</v>
      </c>
      <c r="D165" s="1130" t="s">
        <v>312</v>
      </c>
      <c r="E165" s="1135"/>
      <c r="F165" s="1135"/>
      <c r="G165" s="1135"/>
      <c r="H165" s="1116" t="e">
        <f t="shared" si="10"/>
        <v>#DIV/0!</v>
      </c>
    </row>
    <row r="166" spans="1:9" ht="15" hidden="1" x14ac:dyDescent="0.2">
      <c r="A166" s="1181">
        <v>3122</v>
      </c>
      <c r="B166" s="1187">
        <v>6121</v>
      </c>
      <c r="C166" s="1190">
        <v>54100870</v>
      </c>
      <c r="D166" s="1130" t="s">
        <v>312</v>
      </c>
      <c r="E166" s="1135"/>
      <c r="F166" s="1135"/>
      <c r="G166" s="1135"/>
      <c r="H166" s="1116" t="e">
        <f t="shared" si="10"/>
        <v>#DIV/0!</v>
      </c>
    </row>
    <row r="167" spans="1:9" ht="15" hidden="1" x14ac:dyDescent="0.2">
      <c r="A167" s="1181">
        <v>3122</v>
      </c>
      <c r="B167" s="1187">
        <v>6121</v>
      </c>
      <c r="C167" s="1190">
        <v>54190877</v>
      </c>
      <c r="D167" s="1130" t="s">
        <v>312</v>
      </c>
      <c r="E167" s="1135"/>
      <c r="F167" s="1135"/>
      <c r="G167" s="1135"/>
      <c r="H167" s="1116" t="e">
        <f t="shared" si="10"/>
        <v>#DIV/0!</v>
      </c>
    </row>
    <row r="168" spans="1:9" ht="15.75" hidden="1" thickBot="1" x14ac:dyDescent="0.25">
      <c r="A168" s="1181">
        <v>3122</v>
      </c>
      <c r="B168" s="1187">
        <v>6121</v>
      </c>
      <c r="C168" s="1190">
        <v>54515835</v>
      </c>
      <c r="D168" s="1130" t="s">
        <v>312</v>
      </c>
      <c r="E168" s="1135"/>
      <c r="F168" s="1135"/>
      <c r="G168" s="1135"/>
      <c r="H168" s="1121">
        <v>0</v>
      </c>
    </row>
    <row r="169" spans="1:9" s="1122" customFormat="1" ht="16.5" hidden="1" thickTop="1" thickBot="1" x14ac:dyDescent="0.3">
      <c r="A169" s="3317" t="s">
        <v>394</v>
      </c>
      <c r="B169" s="3318"/>
      <c r="C169" s="3318"/>
      <c r="D169" s="3318"/>
      <c r="E169" s="1113">
        <f>SUM(E162:E168)</f>
        <v>0</v>
      </c>
      <c r="F169" s="1113">
        <f>SUM(F162:F168)</f>
        <v>0</v>
      </c>
      <c r="G169" s="1113">
        <f>SUM(G162:G168)</f>
        <v>0</v>
      </c>
      <c r="H169" s="1117" t="e">
        <f>G169/F169*100</f>
        <v>#DIV/0!</v>
      </c>
      <c r="I169" s="1194"/>
    </row>
    <row r="170" spans="1:9" s="1122" customFormat="1" ht="15" hidden="1" x14ac:dyDescent="0.25">
      <c r="A170" s="1118"/>
      <c r="B170" s="1118"/>
      <c r="C170" s="1118"/>
      <c r="D170" s="1118"/>
      <c r="E170" s="1119"/>
      <c r="F170" s="1119"/>
      <c r="G170" s="1119"/>
      <c r="H170" s="1138"/>
      <c r="I170" s="1194"/>
    </row>
    <row r="171" spans="1:9" ht="18" hidden="1" x14ac:dyDescent="0.25">
      <c r="A171" s="1103" t="s">
        <v>60</v>
      </c>
      <c r="B171" s="1125"/>
      <c r="C171" s="1125"/>
      <c r="D171" s="1125"/>
      <c r="E171" s="1125"/>
      <c r="F171" s="1125"/>
      <c r="G171" s="1125"/>
      <c r="H171" s="1163"/>
    </row>
    <row r="172" spans="1:9" ht="15.75" hidden="1" x14ac:dyDescent="0.25">
      <c r="A172" s="1102" t="s">
        <v>61</v>
      </c>
      <c r="H172" s="1120" t="s">
        <v>92</v>
      </c>
    </row>
    <row r="173" spans="1:9" s="1037" customFormat="1" ht="25.5" hidden="1" thickTop="1" thickBot="1" x14ac:dyDescent="0.25">
      <c r="A173" s="1104" t="s">
        <v>93</v>
      </c>
      <c r="B173" s="1105" t="s">
        <v>392</v>
      </c>
      <c r="C173" s="1105" t="s">
        <v>209</v>
      </c>
      <c r="D173" s="1106" t="s">
        <v>95</v>
      </c>
      <c r="E173" s="1127" t="s">
        <v>328</v>
      </c>
      <c r="F173" s="1127" t="s">
        <v>329</v>
      </c>
      <c r="G173" s="1128" t="s">
        <v>448</v>
      </c>
      <c r="H173" s="1129" t="s">
        <v>449</v>
      </c>
    </row>
    <row r="174" spans="1:9" s="1037" customFormat="1" ht="13.5" hidden="1" thickTop="1" thickBot="1" x14ac:dyDescent="0.25">
      <c r="A174" s="1042">
        <v>1</v>
      </c>
      <c r="B174" s="1041">
        <v>2</v>
      </c>
      <c r="C174" s="1041">
        <v>3</v>
      </c>
      <c r="D174" s="1041">
        <v>4</v>
      </c>
      <c r="E174" s="1040">
        <v>5</v>
      </c>
      <c r="F174" s="1040">
        <v>6</v>
      </c>
      <c r="G174" s="1164">
        <v>7</v>
      </c>
      <c r="H174" s="1186" t="s">
        <v>33</v>
      </c>
    </row>
    <row r="175" spans="1:9" ht="15.75" hidden="1" thickTop="1" x14ac:dyDescent="0.2">
      <c r="A175" s="1181">
        <v>3113</v>
      </c>
      <c r="B175" s="1187">
        <v>6121</v>
      </c>
      <c r="C175" s="1190">
        <v>54100870</v>
      </c>
      <c r="D175" s="1130" t="s">
        <v>312</v>
      </c>
      <c r="E175" s="1126"/>
      <c r="F175" s="1126"/>
      <c r="G175" s="1126"/>
      <c r="H175" s="1116" t="e">
        <f>G175/F175*100</f>
        <v>#DIV/0!</v>
      </c>
    </row>
    <row r="176" spans="1:9" ht="15" hidden="1" x14ac:dyDescent="0.2">
      <c r="A176" s="1181">
        <v>3113</v>
      </c>
      <c r="B176" s="1187">
        <v>6121</v>
      </c>
      <c r="C176" s="1190">
        <v>54100874</v>
      </c>
      <c r="D176" s="1130" t="s">
        <v>312</v>
      </c>
      <c r="E176" s="1135"/>
      <c r="F176" s="1135"/>
      <c r="G176" s="1135"/>
      <c r="H176" s="1116" t="e">
        <f>G176/F176*100</f>
        <v>#DIV/0!</v>
      </c>
    </row>
    <row r="177" spans="1:9" ht="15" hidden="1" x14ac:dyDescent="0.2">
      <c r="A177" s="1181">
        <v>3113</v>
      </c>
      <c r="B177" s="1187">
        <v>6121</v>
      </c>
      <c r="C177" s="1190">
        <v>54100880</v>
      </c>
      <c r="D177" s="1130" t="s">
        <v>312</v>
      </c>
      <c r="E177" s="1135"/>
      <c r="F177" s="1135"/>
      <c r="G177" s="1135"/>
      <c r="H177" s="1116" t="e">
        <f>G177/F177*100</f>
        <v>#DIV/0!</v>
      </c>
    </row>
    <row r="178" spans="1:9" ht="15" hidden="1" x14ac:dyDescent="0.2">
      <c r="A178" s="1181">
        <v>3113</v>
      </c>
      <c r="B178" s="1187">
        <v>6121</v>
      </c>
      <c r="C178" s="1190">
        <v>54100884</v>
      </c>
      <c r="D178" s="1130" t="s">
        <v>312</v>
      </c>
      <c r="E178" s="1135"/>
      <c r="F178" s="1135"/>
      <c r="G178" s="1135"/>
      <c r="H178" s="1116" t="e">
        <f>G178/F178*100</f>
        <v>#DIV/0!</v>
      </c>
    </row>
    <row r="179" spans="1:9" ht="15" hidden="1" x14ac:dyDescent="0.2">
      <c r="A179" s="1181">
        <v>3113</v>
      </c>
      <c r="B179" s="1187">
        <v>6121</v>
      </c>
      <c r="C179" s="1190">
        <v>54190877</v>
      </c>
      <c r="D179" s="1130" t="s">
        <v>312</v>
      </c>
      <c r="E179" s="1135"/>
      <c r="F179" s="1135"/>
      <c r="G179" s="1135"/>
      <c r="H179" s="1116" t="e">
        <f>G179/F179*100</f>
        <v>#DIV/0!</v>
      </c>
    </row>
    <row r="180" spans="1:9" ht="15.75" hidden="1" thickBot="1" x14ac:dyDescent="0.25">
      <c r="A180" s="1181">
        <v>3113</v>
      </c>
      <c r="B180" s="1187">
        <v>6121</v>
      </c>
      <c r="C180" s="1190">
        <v>54515835</v>
      </c>
      <c r="D180" s="1130" t="s">
        <v>312</v>
      </c>
      <c r="E180" s="1135"/>
      <c r="F180" s="1135"/>
      <c r="G180" s="1135"/>
      <c r="H180" s="1121">
        <v>0</v>
      </c>
    </row>
    <row r="181" spans="1:9" s="1122" customFormat="1" ht="16.5" hidden="1" thickTop="1" thickBot="1" x14ac:dyDescent="0.3">
      <c r="A181" s="3317" t="s">
        <v>394</v>
      </c>
      <c r="B181" s="3318"/>
      <c r="C181" s="3318"/>
      <c r="D181" s="3318"/>
      <c r="E181" s="1113">
        <f>SUM(E175:E180)</f>
        <v>0</v>
      </c>
      <c r="F181" s="1113">
        <f>SUM(F175:F180)</f>
        <v>0</v>
      </c>
      <c r="G181" s="1113">
        <f>SUM(G175:G180)</f>
        <v>0</v>
      </c>
      <c r="H181" s="1117" t="e">
        <f>G181/F181*100</f>
        <v>#DIV/0!</v>
      </c>
      <c r="I181" s="1194"/>
    </row>
    <row r="182" spans="1:9" s="1122" customFormat="1" ht="15" hidden="1" x14ac:dyDescent="0.25">
      <c r="A182" s="1118"/>
      <c r="B182" s="1118"/>
      <c r="C182" s="1118"/>
      <c r="D182" s="1118"/>
      <c r="E182" s="1119"/>
      <c r="F182" s="1119"/>
      <c r="G182" s="1119"/>
      <c r="H182" s="1138"/>
      <c r="I182" s="1194"/>
    </row>
    <row r="183" spans="1:9" ht="18" hidden="1" x14ac:dyDescent="0.25">
      <c r="A183" s="1103" t="s">
        <v>604</v>
      </c>
      <c r="B183" s="1125"/>
      <c r="C183" s="1125"/>
      <c r="D183" s="1125"/>
      <c r="E183" s="1125"/>
      <c r="F183" s="1125"/>
      <c r="G183" s="1125"/>
      <c r="H183" s="1163"/>
    </row>
    <row r="184" spans="1:9" ht="15.75" hidden="1" x14ac:dyDescent="0.25">
      <c r="A184" s="1102" t="s">
        <v>605</v>
      </c>
      <c r="H184" s="1120" t="s">
        <v>92</v>
      </c>
    </row>
    <row r="185" spans="1:9" s="1037" customFormat="1" ht="25.5" hidden="1" thickTop="1" thickBot="1" x14ac:dyDescent="0.25">
      <c r="A185" s="1104" t="s">
        <v>93</v>
      </c>
      <c r="B185" s="1105" t="s">
        <v>392</v>
      </c>
      <c r="C185" s="1105" t="s">
        <v>209</v>
      </c>
      <c r="D185" s="1106" t="s">
        <v>95</v>
      </c>
      <c r="E185" s="1127" t="s">
        <v>328</v>
      </c>
      <c r="F185" s="1127" t="s">
        <v>329</v>
      </c>
      <c r="G185" s="1128" t="s">
        <v>448</v>
      </c>
      <c r="H185" s="1129" t="s">
        <v>449</v>
      </c>
    </row>
    <row r="186" spans="1:9" s="1037" customFormat="1" ht="13.5" hidden="1" thickTop="1" thickBot="1" x14ac:dyDescent="0.25">
      <c r="A186" s="1042">
        <v>1</v>
      </c>
      <c r="B186" s="1041">
        <v>2</v>
      </c>
      <c r="C186" s="1041">
        <v>3</v>
      </c>
      <c r="D186" s="1041">
        <v>4</v>
      </c>
      <c r="E186" s="1040">
        <v>5</v>
      </c>
      <c r="F186" s="1040">
        <v>6</v>
      </c>
      <c r="G186" s="1164">
        <v>7</v>
      </c>
      <c r="H186" s="1186" t="s">
        <v>33</v>
      </c>
    </row>
    <row r="187" spans="1:9" ht="15.75" hidden="1" thickTop="1" x14ac:dyDescent="0.2">
      <c r="A187" s="1181">
        <v>3122</v>
      </c>
      <c r="B187" s="1187">
        <v>6121</v>
      </c>
      <c r="C187" s="1190">
        <v>53100874</v>
      </c>
      <c r="D187" s="1130" t="s">
        <v>312</v>
      </c>
      <c r="E187" s="1126"/>
      <c r="F187" s="1126"/>
      <c r="G187" s="1126"/>
      <c r="H187" s="1116" t="e">
        <f t="shared" ref="H187:H192" si="11">G187/F187*100</f>
        <v>#DIV/0!</v>
      </c>
    </row>
    <row r="188" spans="1:9" ht="15" hidden="1" x14ac:dyDescent="0.2">
      <c r="A188" s="1181">
        <v>3122</v>
      </c>
      <c r="B188" s="1187">
        <v>6121</v>
      </c>
      <c r="C188" s="1190">
        <v>54100870</v>
      </c>
      <c r="D188" s="1130" t="s">
        <v>312</v>
      </c>
      <c r="E188" s="1135"/>
      <c r="F188" s="1135"/>
      <c r="G188" s="1135"/>
      <c r="H188" s="1116" t="e">
        <f t="shared" si="11"/>
        <v>#DIV/0!</v>
      </c>
    </row>
    <row r="189" spans="1:9" ht="15" hidden="1" x14ac:dyDescent="0.2">
      <c r="A189" s="1181">
        <v>3122</v>
      </c>
      <c r="B189" s="1187">
        <v>6121</v>
      </c>
      <c r="C189" s="1190">
        <v>54100874</v>
      </c>
      <c r="D189" s="1130" t="s">
        <v>312</v>
      </c>
      <c r="E189" s="1135"/>
      <c r="F189" s="1135"/>
      <c r="G189" s="1135"/>
      <c r="H189" s="1116" t="e">
        <f t="shared" si="11"/>
        <v>#DIV/0!</v>
      </c>
    </row>
    <row r="190" spans="1:9" ht="15" hidden="1" x14ac:dyDescent="0.2">
      <c r="A190" s="1181">
        <v>3122</v>
      </c>
      <c r="B190" s="1187">
        <v>6121</v>
      </c>
      <c r="C190" s="1190">
        <v>54100880</v>
      </c>
      <c r="D190" s="1130" t="s">
        <v>312</v>
      </c>
      <c r="E190" s="1135"/>
      <c r="F190" s="1135"/>
      <c r="G190" s="1135"/>
      <c r="H190" s="1116" t="e">
        <f t="shared" si="11"/>
        <v>#DIV/0!</v>
      </c>
    </row>
    <row r="191" spans="1:9" ht="15" hidden="1" x14ac:dyDescent="0.2">
      <c r="A191" s="1181">
        <v>3122</v>
      </c>
      <c r="B191" s="1187">
        <v>6121</v>
      </c>
      <c r="C191" s="1190">
        <v>54100884</v>
      </c>
      <c r="D191" s="1130" t="s">
        <v>312</v>
      </c>
      <c r="E191" s="1135"/>
      <c r="F191" s="1135"/>
      <c r="G191" s="1135"/>
      <c r="H191" s="1116" t="e">
        <f t="shared" si="11"/>
        <v>#DIV/0!</v>
      </c>
    </row>
    <row r="192" spans="1:9" ht="15" hidden="1" x14ac:dyDescent="0.2">
      <c r="A192" s="1181">
        <v>3122</v>
      </c>
      <c r="B192" s="1187">
        <v>6121</v>
      </c>
      <c r="C192" s="1190">
        <v>54190877</v>
      </c>
      <c r="D192" s="1130" t="s">
        <v>312</v>
      </c>
      <c r="E192" s="1135"/>
      <c r="F192" s="1135"/>
      <c r="G192" s="1135"/>
      <c r="H192" s="1116" t="e">
        <f t="shared" si="11"/>
        <v>#DIV/0!</v>
      </c>
    </row>
    <row r="193" spans="1:9" ht="15.75" hidden="1" thickBot="1" x14ac:dyDescent="0.25">
      <c r="A193" s="1181">
        <v>3122</v>
      </c>
      <c r="B193" s="1187">
        <v>6121</v>
      </c>
      <c r="C193" s="1190">
        <v>54515835</v>
      </c>
      <c r="D193" s="1130" t="s">
        <v>312</v>
      </c>
      <c r="E193" s="1135"/>
      <c r="F193" s="1135"/>
      <c r="G193" s="1135"/>
      <c r="H193" s="1121">
        <v>0</v>
      </c>
    </row>
    <row r="194" spans="1:9" s="1122" customFormat="1" ht="16.5" hidden="1" thickTop="1" thickBot="1" x14ac:dyDescent="0.3">
      <c r="A194" s="3317" t="s">
        <v>394</v>
      </c>
      <c r="B194" s="3318"/>
      <c r="C194" s="3318"/>
      <c r="D194" s="3318"/>
      <c r="E194" s="1113">
        <f>SUM(E187:E193)</f>
        <v>0</v>
      </c>
      <c r="F194" s="1113">
        <f>SUM(F187:F193)</f>
        <v>0</v>
      </c>
      <c r="G194" s="1113">
        <f>SUM(G187:G193)</f>
        <v>0</v>
      </c>
      <c r="H194" s="1117" t="e">
        <f>G194/F194*100</f>
        <v>#DIV/0!</v>
      </c>
      <c r="I194" s="1194"/>
    </row>
    <row r="195" spans="1:9" s="1122" customFormat="1" ht="15" hidden="1" x14ac:dyDescent="0.25">
      <c r="A195" s="1118"/>
      <c r="B195" s="1118"/>
      <c r="C195" s="1118"/>
      <c r="D195" s="1118"/>
      <c r="E195" s="1119"/>
      <c r="F195" s="1119"/>
      <c r="G195" s="1119"/>
      <c r="H195" s="1138"/>
      <c r="I195" s="1194"/>
    </row>
    <row r="196" spans="1:9" ht="18" hidden="1" x14ac:dyDescent="0.25">
      <c r="A196" s="1103" t="s">
        <v>606</v>
      </c>
      <c r="B196" s="1125"/>
      <c r="C196" s="1125"/>
      <c r="D196" s="1125"/>
      <c r="E196" s="1125"/>
      <c r="F196" s="1125"/>
      <c r="G196" s="1125"/>
      <c r="H196" s="1163"/>
    </row>
    <row r="197" spans="1:9" ht="15.75" hidden="1" x14ac:dyDescent="0.25">
      <c r="A197" s="1102" t="s">
        <v>607</v>
      </c>
      <c r="H197" s="1120" t="s">
        <v>92</v>
      </c>
    </row>
    <row r="198" spans="1:9" s="1037" customFormat="1" ht="25.5" hidden="1" thickTop="1" thickBot="1" x14ac:dyDescent="0.25">
      <c r="A198" s="1104" t="s">
        <v>93</v>
      </c>
      <c r="B198" s="1105" t="s">
        <v>392</v>
      </c>
      <c r="C198" s="1105" t="s">
        <v>209</v>
      </c>
      <c r="D198" s="1106" t="s">
        <v>95</v>
      </c>
      <c r="E198" s="1127" t="s">
        <v>328</v>
      </c>
      <c r="F198" s="1127" t="s">
        <v>329</v>
      </c>
      <c r="G198" s="1128" t="s">
        <v>448</v>
      </c>
      <c r="H198" s="1129" t="s">
        <v>449</v>
      </c>
    </row>
    <row r="199" spans="1:9" s="1037" customFormat="1" ht="13.5" hidden="1" thickTop="1" thickBot="1" x14ac:dyDescent="0.25">
      <c r="A199" s="1042">
        <v>1</v>
      </c>
      <c r="B199" s="1041">
        <v>2</v>
      </c>
      <c r="C199" s="1041">
        <v>3</v>
      </c>
      <c r="D199" s="1041">
        <v>4</v>
      </c>
      <c r="E199" s="1040">
        <v>5</v>
      </c>
      <c r="F199" s="1040">
        <v>6</v>
      </c>
      <c r="G199" s="1164">
        <v>7</v>
      </c>
      <c r="H199" s="1186" t="s">
        <v>33</v>
      </c>
    </row>
    <row r="200" spans="1:9" ht="15.75" hidden="1" thickTop="1" x14ac:dyDescent="0.2">
      <c r="A200" s="1181">
        <v>3122</v>
      </c>
      <c r="B200" s="1187">
        <v>6121</v>
      </c>
      <c r="C200" s="1190">
        <v>53100870</v>
      </c>
      <c r="D200" s="1130" t="s">
        <v>312</v>
      </c>
      <c r="E200" s="1126"/>
      <c r="F200" s="1126"/>
      <c r="G200" s="1126"/>
      <c r="H200" s="1116" t="e">
        <f>G200/F200*100</f>
        <v>#DIV/0!</v>
      </c>
    </row>
    <row r="201" spans="1:9" ht="15" hidden="1" x14ac:dyDescent="0.2">
      <c r="A201" s="1181">
        <v>3122</v>
      </c>
      <c r="B201" s="1187">
        <v>6121</v>
      </c>
      <c r="C201" s="1190">
        <v>53100872</v>
      </c>
      <c r="D201" s="1130" t="s">
        <v>312</v>
      </c>
      <c r="E201" s="1135"/>
      <c r="F201" s="1135"/>
      <c r="G201" s="1135"/>
      <c r="H201" s="1116">
        <v>0</v>
      </c>
    </row>
    <row r="202" spans="1:9" ht="15" hidden="1" x14ac:dyDescent="0.2">
      <c r="A202" s="1181">
        <v>3122</v>
      </c>
      <c r="B202" s="1187">
        <v>6121</v>
      </c>
      <c r="C202" s="1190">
        <v>53100874</v>
      </c>
      <c r="D202" s="1130" t="s">
        <v>312</v>
      </c>
      <c r="E202" s="1135"/>
      <c r="F202" s="1135"/>
      <c r="G202" s="1135"/>
      <c r="H202" s="1116" t="e">
        <f>G202/F202*100</f>
        <v>#DIV/0!</v>
      </c>
    </row>
    <row r="203" spans="1:9" ht="15" hidden="1" x14ac:dyDescent="0.2">
      <c r="A203" s="1181">
        <v>3122</v>
      </c>
      <c r="B203" s="1187">
        <v>6121</v>
      </c>
      <c r="C203" s="1190">
        <v>53500871</v>
      </c>
      <c r="D203" s="1130" t="s">
        <v>312</v>
      </c>
      <c r="E203" s="1135"/>
      <c r="F203" s="1135"/>
      <c r="G203" s="1135"/>
      <c r="H203" s="1116" t="e">
        <f>G203/F203*100</f>
        <v>#DIV/0!</v>
      </c>
    </row>
    <row r="204" spans="1:9" ht="15" hidden="1" x14ac:dyDescent="0.2">
      <c r="A204" s="1181">
        <v>3122</v>
      </c>
      <c r="B204" s="1187">
        <v>6121</v>
      </c>
      <c r="C204" s="1190">
        <v>54100870</v>
      </c>
      <c r="D204" s="1130" t="s">
        <v>312</v>
      </c>
      <c r="E204" s="1135"/>
      <c r="F204" s="1135"/>
      <c r="G204" s="1135"/>
      <c r="H204" s="1116" t="e">
        <f>G204/F204*100</f>
        <v>#DIV/0!</v>
      </c>
    </row>
    <row r="205" spans="1:9" ht="15" hidden="1" x14ac:dyDescent="0.2">
      <c r="A205" s="1181">
        <v>3122</v>
      </c>
      <c r="B205" s="1187">
        <v>6121</v>
      </c>
      <c r="C205" s="1190">
        <v>54100874</v>
      </c>
      <c r="D205" s="1130" t="s">
        <v>312</v>
      </c>
      <c r="E205" s="1135"/>
      <c r="F205" s="1135"/>
      <c r="G205" s="1135"/>
      <c r="H205" s="1116" t="e">
        <f>G205/F205*100</f>
        <v>#DIV/0!</v>
      </c>
    </row>
    <row r="206" spans="1:9" ht="15" hidden="1" x14ac:dyDescent="0.2">
      <c r="A206" s="1181">
        <v>3122</v>
      </c>
      <c r="B206" s="1187">
        <v>6121</v>
      </c>
      <c r="C206" s="1190">
        <v>54190877</v>
      </c>
      <c r="D206" s="1130" t="s">
        <v>312</v>
      </c>
      <c r="E206" s="1135"/>
      <c r="F206" s="1135"/>
      <c r="G206" s="1135"/>
      <c r="H206" s="1116" t="e">
        <f>G206/F206*100</f>
        <v>#DIV/0!</v>
      </c>
    </row>
    <row r="207" spans="1:9" ht="15.75" hidden="1" thickBot="1" x14ac:dyDescent="0.25">
      <c r="A207" s="1181">
        <v>3122</v>
      </c>
      <c r="B207" s="1187">
        <v>6121</v>
      </c>
      <c r="C207" s="1190">
        <v>54515835</v>
      </c>
      <c r="D207" s="1130" t="s">
        <v>312</v>
      </c>
      <c r="E207" s="1135"/>
      <c r="F207" s="1135"/>
      <c r="G207" s="1135"/>
      <c r="H207" s="1121">
        <v>0</v>
      </c>
    </row>
    <row r="208" spans="1:9" s="1122" customFormat="1" ht="16.5" hidden="1" thickTop="1" thickBot="1" x14ac:dyDescent="0.3">
      <c r="A208" s="3317" t="s">
        <v>394</v>
      </c>
      <c r="B208" s="3318"/>
      <c r="C208" s="3318"/>
      <c r="D208" s="3318"/>
      <c r="E208" s="1113">
        <f>SUM(E200:E207)</f>
        <v>0</v>
      </c>
      <c r="F208" s="1113">
        <f>SUM(F200:F207)</f>
        <v>0</v>
      </c>
      <c r="G208" s="1113">
        <f>SUM(G200:G207)</f>
        <v>0</v>
      </c>
      <c r="H208" s="1117" t="e">
        <f>G208/F208*100</f>
        <v>#DIV/0!</v>
      </c>
      <c r="I208" s="1194"/>
    </row>
    <row r="209" spans="1:9" s="1122" customFormat="1" ht="15" hidden="1" x14ac:dyDescent="0.25">
      <c r="A209" s="1118"/>
      <c r="B209" s="1118"/>
      <c r="C209" s="1118"/>
      <c r="D209" s="1118"/>
      <c r="E209" s="1119"/>
      <c r="F209" s="1119"/>
      <c r="G209" s="1119"/>
      <c r="H209" s="1138"/>
      <c r="I209" s="1194"/>
    </row>
    <row r="210" spans="1:9" ht="18" hidden="1" x14ac:dyDescent="0.25">
      <c r="A210" s="1103" t="s">
        <v>608</v>
      </c>
      <c r="B210" s="1125"/>
      <c r="C210" s="1125"/>
      <c r="D210" s="1125"/>
      <c r="E210" s="1125"/>
      <c r="F210" s="1125"/>
      <c r="G210" s="1125"/>
      <c r="H210" s="1163"/>
    </row>
    <row r="211" spans="1:9" ht="15.75" hidden="1" x14ac:dyDescent="0.25">
      <c r="A211" s="1102" t="s">
        <v>609</v>
      </c>
      <c r="H211" s="1120" t="s">
        <v>92</v>
      </c>
    </row>
    <row r="212" spans="1:9" s="1037" customFormat="1" ht="25.5" hidden="1" thickTop="1" thickBot="1" x14ac:dyDescent="0.25">
      <c r="A212" s="1104" t="s">
        <v>93</v>
      </c>
      <c r="B212" s="1105" t="s">
        <v>392</v>
      </c>
      <c r="C212" s="1105" t="s">
        <v>209</v>
      </c>
      <c r="D212" s="1106" t="s">
        <v>95</v>
      </c>
      <c r="E212" s="1127" t="s">
        <v>328</v>
      </c>
      <c r="F212" s="1127" t="s">
        <v>329</v>
      </c>
      <c r="G212" s="1128" t="s">
        <v>448</v>
      </c>
      <c r="H212" s="1129" t="s">
        <v>449</v>
      </c>
    </row>
    <row r="213" spans="1:9" s="1037" customFormat="1" ht="13.5" hidden="1" thickTop="1" thickBot="1" x14ac:dyDescent="0.25">
      <c r="A213" s="1042">
        <v>1</v>
      </c>
      <c r="B213" s="1041">
        <v>2</v>
      </c>
      <c r="C213" s="1041">
        <v>3</v>
      </c>
      <c r="D213" s="1041">
        <v>4</v>
      </c>
      <c r="E213" s="1040">
        <v>5</v>
      </c>
      <c r="F213" s="1040">
        <v>6</v>
      </c>
      <c r="G213" s="1164">
        <v>7</v>
      </c>
      <c r="H213" s="1186" t="s">
        <v>33</v>
      </c>
    </row>
    <row r="214" spans="1:9" ht="15" hidden="1" x14ac:dyDescent="0.2">
      <c r="A214" s="1181">
        <v>3121</v>
      </c>
      <c r="B214" s="1187">
        <v>6121</v>
      </c>
      <c r="C214" s="1190">
        <v>53100874</v>
      </c>
      <c r="D214" s="1130" t="s">
        <v>312</v>
      </c>
      <c r="E214" s="1135"/>
      <c r="F214" s="1135"/>
      <c r="G214" s="1135"/>
      <c r="H214" s="1116" t="e">
        <f t="shared" ref="H214:H221" si="12">G214/F214*100</f>
        <v>#DIV/0!</v>
      </c>
    </row>
    <row r="215" spans="1:9" ht="15" hidden="1" x14ac:dyDescent="0.2">
      <c r="A215" s="1181">
        <v>3121</v>
      </c>
      <c r="B215" s="1187">
        <v>6121</v>
      </c>
      <c r="C215" s="1190">
        <v>54100870</v>
      </c>
      <c r="D215" s="1130" t="s">
        <v>312</v>
      </c>
      <c r="E215" s="1135"/>
      <c r="F215" s="1135"/>
      <c r="G215" s="1135"/>
      <c r="H215" s="1116" t="e">
        <f t="shared" si="12"/>
        <v>#DIV/0!</v>
      </c>
    </row>
    <row r="216" spans="1:9" ht="15" hidden="1" x14ac:dyDescent="0.2">
      <c r="A216" s="1181">
        <v>3121</v>
      </c>
      <c r="B216" s="1187">
        <v>6121</v>
      </c>
      <c r="C216" s="1190">
        <v>54100874</v>
      </c>
      <c r="D216" s="1130" t="s">
        <v>312</v>
      </c>
      <c r="E216" s="1135"/>
      <c r="F216" s="1135"/>
      <c r="G216" s="1135"/>
      <c r="H216" s="1116" t="e">
        <f t="shared" si="12"/>
        <v>#DIV/0!</v>
      </c>
    </row>
    <row r="217" spans="1:9" ht="15" hidden="1" x14ac:dyDescent="0.2">
      <c r="A217" s="1181">
        <v>3121</v>
      </c>
      <c r="B217" s="1187">
        <v>6121</v>
      </c>
      <c r="C217" s="1190">
        <v>54100880</v>
      </c>
      <c r="D217" s="1130" t="s">
        <v>312</v>
      </c>
      <c r="E217" s="1135"/>
      <c r="F217" s="1135"/>
      <c r="G217" s="1135"/>
      <c r="H217" s="1116" t="e">
        <f t="shared" si="12"/>
        <v>#DIV/0!</v>
      </c>
    </row>
    <row r="218" spans="1:9" ht="15" hidden="1" x14ac:dyDescent="0.2">
      <c r="A218" s="1181">
        <v>3121</v>
      </c>
      <c r="B218" s="1187">
        <v>6121</v>
      </c>
      <c r="C218" s="1190">
        <v>54100884</v>
      </c>
      <c r="D218" s="1130" t="s">
        <v>312</v>
      </c>
      <c r="E218" s="1135"/>
      <c r="F218" s="1135"/>
      <c r="G218" s="1135"/>
      <c r="H218" s="1116" t="e">
        <f t="shared" si="12"/>
        <v>#DIV/0!</v>
      </c>
    </row>
    <row r="219" spans="1:9" ht="15" hidden="1" x14ac:dyDescent="0.2">
      <c r="A219" s="1181">
        <v>3121</v>
      </c>
      <c r="B219" s="1187">
        <v>6121</v>
      </c>
      <c r="C219" s="1190">
        <v>54190877</v>
      </c>
      <c r="D219" s="1130" t="s">
        <v>312</v>
      </c>
      <c r="E219" s="1135"/>
      <c r="F219" s="1135"/>
      <c r="G219" s="1135"/>
      <c r="H219" s="1116" t="e">
        <f t="shared" si="12"/>
        <v>#DIV/0!</v>
      </c>
    </row>
    <row r="220" spans="1:9" ht="15" hidden="1" x14ac:dyDescent="0.2">
      <c r="A220" s="1181">
        <v>3121</v>
      </c>
      <c r="B220" s="1187">
        <v>6121</v>
      </c>
      <c r="C220" s="1190">
        <v>54515835</v>
      </c>
      <c r="D220" s="1130" t="s">
        <v>312</v>
      </c>
      <c r="E220" s="1135"/>
      <c r="F220" s="1135"/>
      <c r="G220" s="1135"/>
      <c r="H220" s="1116" t="e">
        <f t="shared" si="12"/>
        <v>#DIV/0!</v>
      </c>
    </row>
    <row r="221" spans="1:9" s="1122" customFormat="1" ht="16.5" hidden="1" thickTop="1" thickBot="1" x14ac:dyDescent="0.3">
      <c r="A221" s="3317" t="s">
        <v>394</v>
      </c>
      <c r="B221" s="3318"/>
      <c r="C221" s="3318"/>
      <c r="D221" s="3318"/>
      <c r="E221" s="1113">
        <f>SUM(E214:E220)</f>
        <v>0</v>
      </c>
      <c r="F221" s="1113">
        <f>SUM(F214:F220)</f>
        <v>0</v>
      </c>
      <c r="G221" s="1113">
        <f>SUM(G214:G220)</f>
        <v>0</v>
      </c>
      <c r="H221" s="1117" t="e">
        <f t="shared" si="12"/>
        <v>#DIV/0!</v>
      </c>
      <c r="I221" s="1194"/>
    </row>
    <row r="222" spans="1:9" s="1122" customFormat="1" ht="15" hidden="1" x14ac:dyDescent="0.25">
      <c r="A222" s="1118"/>
      <c r="B222" s="1118"/>
      <c r="C222" s="1118"/>
      <c r="D222" s="1118"/>
      <c r="E222" s="1119"/>
      <c r="F222" s="1119"/>
      <c r="G222" s="1119"/>
      <c r="H222" s="1138"/>
      <c r="I222" s="1194"/>
    </row>
    <row r="223" spans="1:9" ht="18" hidden="1" x14ac:dyDescent="0.25">
      <c r="A223" s="1103" t="s">
        <v>610</v>
      </c>
      <c r="B223" s="1125"/>
      <c r="C223" s="1125"/>
      <c r="D223" s="1125"/>
      <c r="E223" s="1125"/>
      <c r="F223" s="1125"/>
      <c r="G223" s="1125"/>
      <c r="H223" s="1163"/>
    </row>
    <row r="224" spans="1:9" ht="15.75" hidden="1" x14ac:dyDescent="0.25">
      <c r="A224" s="1102" t="s">
        <v>611</v>
      </c>
      <c r="H224" s="1120" t="s">
        <v>92</v>
      </c>
    </row>
    <row r="225" spans="1:9" s="1037" customFormat="1" ht="25.5" hidden="1" thickTop="1" thickBot="1" x14ac:dyDescent="0.25">
      <c r="A225" s="1104" t="s">
        <v>93</v>
      </c>
      <c r="B225" s="1105" t="s">
        <v>392</v>
      </c>
      <c r="C225" s="1105" t="s">
        <v>209</v>
      </c>
      <c r="D225" s="1106" t="s">
        <v>95</v>
      </c>
      <c r="E225" s="1127" t="s">
        <v>328</v>
      </c>
      <c r="F225" s="1127" t="s">
        <v>329</v>
      </c>
      <c r="G225" s="1128" t="s">
        <v>448</v>
      </c>
      <c r="H225" s="1129" t="s">
        <v>449</v>
      </c>
    </row>
    <row r="226" spans="1:9" s="1037" customFormat="1" ht="13.5" hidden="1" thickTop="1" thickBot="1" x14ac:dyDescent="0.25">
      <c r="A226" s="1042">
        <v>1</v>
      </c>
      <c r="B226" s="1041">
        <v>2</v>
      </c>
      <c r="C226" s="1041">
        <v>3</v>
      </c>
      <c r="D226" s="1041">
        <v>4</v>
      </c>
      <c r="E226" s="1040">
        <v>5</v>
      </c>
      <c r="F226" s="1040">
        <v>6</v>
      </c>
      <c r="G226" s="1164">
        <v>7</v>
      </c>
      <c r="H226" s="1186" t="s">
        <v>33</v>
      </c>
    </row>
    <row r="227" spans="1:9" ht="15.75" hidden="1" thickTop="1" x14ac:dyDescent="0.2">
      <c r="A227" s="1181">
        <v>3122</v>
      </c>
      <c r="B227" s="1187">
        <v>6121</v>
      </c>
      <c r="C227" s="1190">
        <v>53100870</v>
      </c>
      <c r="D227" s="1130" t="s">
        <v>312</v>
      </c>
      <c r="E227" s="1126"/>
      <c r="F227" s="1126"/>
      <c r="G227" s="1126"/>
      <c r="H227" s="1116" t="e">
        <f t="shared" ref="H227:H236" si="13">G227/F227*100</f>
        <v>#DIV/0!</v>
      </c>
    </row>
    <row r="228" spans="1:9" ht="15" hidden="1" x14ac:dyDescent="0.2">
      <c r="A228" s="1181">
        <v>3122</v>
      </c>
      <c r="B228" s="1187">
        <v>6121</v>
      </c>
      <c r="C228" s="1190">
        <v>53100872</v>
      </c>
      <c r="D228" s="1130" t="s">
        <v>312</v>
      </c>
      <c r="E228" s="1135"/>
      <c r="F228" s="1135"/>
      <c r="G228" s="1135"/>
      <c r="H228" s="1116" t="e">
        <f t="shared" si="13"/>
        <v>#DIV/0!</v>
      </c>
    </row>
    <row r="229" spans="1:9" ht="15" hidden="1" x14ac:dyDescent="0.2">
      <c r="A229" s="1181">
        <v>3122</v>
      </c>
      <c r="B229" s="1187">
        <v>6121</v>
      </c>
      <c r="C229" s="1190">
        <v>53100874</v>
      </c>
      <c r="D229" s="1130" t="s">
        <v>312</v>
      </c>
      <c r="E229" s="1135"/>
      <c r="F229" s="1135"/>
      <c r="G229" s="1135"/>
      <c r="H229" s="1116" t="e">
        <f t="shared" si="13"/>
        <v>#DIV/0!</v>
      </c>
    </row>
    <row r="230" spans="1:9" ht="15" hidden="1" x14ac:dyDescent="0.2">
      <c r="A230" s="1181">
        <v>3122</v>
      </c>
      <c r="B230" s="1187">
        <v>6121</v>
      </c>
      <c r="C230" s="1190">
        <v>53500871</v>
      </c>
      <c r="D230" s="1130" t="s">
        <v>312</v>
      </c>
      <c r="E230" s="1135"/>
      <c r="F230" s="1135"/>
      <c r="G230" s="1135"/>
      <c r="H230" s="1116" t="e">
        <f t="shared" si="13"/>
        <v>#DIV/0!</v>
      </c>
    </row>
    <row r="231" spans="1:9" ht="15" hidden="1" x14ac:dyDescent="0.2">
      <c r="A231" s="1181">
        <v>3122</v>
      </c>
      <c r="B231" s="1187">
        <v>6121</v>
      </c>
      <c r="C231" s="1190">
        <v>54100870</v>
      </c>
      <c r="D231" s="1130" t="s">
        <v>312</v>
      </c>
      <c r="E231" s="1135"/>
      <c r="F231" s="1135"/>
      <c r="G231" s="1135"/>
      <c r="H231" s="1116" t="e">
        <f t="shared" si="13"/>
        <v>#DIV/0!</v>
      </c>
    </row>
    <row r="232" spans="1:9" ht="15" hidden="1" x14ac:dyDescent="0.2">
      <c r="A232" s="1181">
        <v>3122</v>
      </c>
      <c r="B232" s="1187">
        <v>6121</v>
      </c>
      <c r="C232" s="1190">
        <v>54100874</v>
      </c>
      <c r="D232" s="1130" t="s">
        <v>312</v>
      </c>
      <c r="E232" s="1135"/>
      <c r="F232" s="1135"/>
      <c r="G232" s="1135"/>
      <c r="H232" s="1116" t="e">
        <f t="shared" si="13"/>
        <v>#DIV/0!</v>
      </c>
    </row>
    <row r="233" spans="1:9" ht="15" hidden="1" x14ac:dyDescent="0.2">
      <c r="A233" s="1181">
        <v>3122</v>
      </c>
      <c r="B233" s="1187">
        <v>6121</v>
      </c>
      <c r="C233" s="1190">
        <v>54100880</v>
      </c>
      <c r="D233" s="1130" t="s">
        <v>312</v>
      </c>
      <c r="E233" s="1135"/>
      <c r="F233" s="1135"/>
      <c r="G233" s="1135"/>
      <c r="H233" s="1116" t="e">
        <f t="shared" si="13"/>
        <v>#DIV/0!</v>
      </c>
    </row>
    <row r="234" spans="1:9" ht="15" hidden="1" x14ac:dyDescent="0.2">
      <c r="A234" s="1181">
        <v>3122</v>
      </c>
      <c r="B234" s="1187">
        <v>6121</v>
      </c>
      <c r="C234" s="1190">
        <v>54100884</v>
      </c>
      <c r="D234" s="1130" t="s">
        <v>312</v>
      </c>
      <c r="E234" s="1135"/>
      <c r="F234" s="1135"/>
      <c r="G234" s="1135"/>
      <c r="H234" s="1116" t="e">
        <f t="shared" si="13"/>
        <v>#DIV/0!</v>
      </c>
    </row>
    <row r="235" spans="1:9" ht="15" hidden="1" x14ac:dyDescent="0.2">
      <c r="A235" s="1181">
        <v>3122</v>
      </c>
      <c r="B235" s="1187">
        <v>6121</v>
      </c>
      <c r="C235" s="1190">
        <v>54190877</v>
      </c>
      <c r="D235" s="1130" t="s">
        <v>312</v>
      </c>
      <c r="E235" s="1135"/>
      <c r="F235" s="1135"/>
      <c r="G235" s="1135"/>
      <c r="H235" s="1116" t="e">
        <f t="shared" si="13"/>
        <v>#DIV/0!</v>
      </c>
    </row>
    <row r="236" spans="1:9" ht="15" hidden="1" x14ac:dyDescent="0.2">
      <c r="A236" s="1181">
        <v>3122</v>
      </c>
      <c r="B236" s="1187">
        <v>6121</v>
      </c>
      <c r="C236" s="1190">
        <v>54515835</v>
      </c>
      <c r="D236" s="1130" t="s">
        <v>312</v>
      </c>
      <c r="E236" s="1135"/>
      <c r="F236" s="1135"/>
      <c r="G236" s="1135"/>
      <c r="H236" s="1116" t="e">
        <f t="shared" si="13"/>
        <v>#DIV/0!</v>
      </c>
    </row>
    <row r="237" spans="1:9" ht="15.75" hidden="1" thickBot="1" x14ac:dyDescent="0.25">
      <c r="A237" s="1181">
        <v>3122</v>
      </c>
      <c r="B237" s="1187">
        <v>6121</v>
      </c>
      <c r="C237" s="1190">
        <v>53500871</v>
      </c>
      <c r="D237" s="1130" t="s">
        <v>312</v>
      </c>
      <c r="E237" s="1135">
        <v>0</v>
      </c>
      <c r="F237" s="1135"/>
      <c r="G237" s="1135"/>
      <c r="H237" s="1121">
        <v>0</v>
      </c>
    </row>
    <row r="238" spans="1:9" s="1122" customFormat="1" ht="16.5" hidden="1" thickTop="1" thickBot="1" x14ac:dyDescent="0.3">
      <c r="A238" s="3317" t="s">
        <v>394</v>
      </c>
      <c r="B238" s="3318"/>
      <c r="C238" s="3318"/>
      <c r="D238" s="3318"/>
      <c r="E238" s="1113">
        <f>SUM(E227:E237)</f>
        <v>0</v>
      </c>
      <c r="F238" s="1113">
        <f>SUM(F227:F237)</f>
        <v>0</v>
      </c>
      <c r="G238" s="1113">
        <f>SUM(G227:G237)</f>
        <v>0</v>
      </c>
      <c r="H238" s="1117" t="e">
        <f>G238/F238*100</f>
        <v>#DIV/0!</v>
      </c>
      <c r="I238" s="1194"/>
    </row>
    <row r="239" spans="1:9" s="1122" customFormat="1" ht="15" hidden="1" x14ac:dyDescent="0.25">
      <c r="A239" s="1118"/>
      <c r="B239" s="1118"/>
      <c r="C239" s="1118"/>
      <c r="D239" s="1118"/>
      <c r="E239" s="1119"/>
      <c r="F239" s="1119"/>
      <c r="G239" s="1119"/>
      <c r="H239" s="1138"/>
      <c r="I239" s="1194"/>
    </row>
    <row r="240" spans="1:9" ht="18" hidden="1" x14ac:dyDescent="0.25">
      <c r="A240" s="1103" t="s">
        <v>612</v>
      </c>
      <c r="B240" s="1125"/>
      <c r="C240" s="1125"/>
      <c r="D240" s="1125"/>
      <c r="E240" s="1125"/>
      <c r="F240" s="1125"/>
      <c r="G240" s="1125"/>
      <c r="H240" s="1163"/>
    </row>
    <row r="241" spans="1:9" ht="15.75" hidden="1" x14ac:dyDescent="0.25">
      <c r="A241" s="1102" t="s">
        <v>613</v>
      </c>
      <c r="H241" s="1120" t="s">
        <v>92</v>
      </c>
    </row>
    <row r="242" spans="1:9" s="1037" customFormat="1" ht="25.5" hidden="1" thickTop="1" thickBot="1" x14ac:dyDescent="0.25">
      <c r="A242" s="1104" t="s">
        <v>93</v>
      </c>
      <c r="B242" s="1105" t="s">
        <v>392</v>
      </c>
      <c r="C242" s="1105" t="s">
        <v>209</v>
      </c>
      <c r="D242" s="1106" t="s">
        <v>95</v>
      </c>
      <c r="E242" s="1127" t="s">
        <v>328</v>
      </c>
      <c r="F242" s="1127" t="s">
        <v>329</v>
      </c>
      <c r="G242" s="1128" t="s">
        <v>448</v>
      </c>
      <c r="H242" s="1129" t="s">
        <v>449</v>
      </c>
    </row>
    <row r="243" spans="1:9" s="1037" customFormat="1" ht="13.5" hidden="1" thickTop="1" thickBot="1" x14ac:dyDescent="0.25">
      <c r="A243" s="1042">
        <v>1</v>
      </c>
      <c r="B243" s="1041">
        <v>2</v>
      </c>
      <c r="C243" s="1041">
        <v>3</v>
      </c>
      <c r="D243" s="1041">
        <v>4</v>
      </c>
      <c r="E243" s="1040">
        <v>5</v>
      </c>
      <c r="F243" s="1040">
        <v>6</v>
      </c>
      <c r="G243" s="1164">
        <v>7</v>
      </c>
      <c r="H243" s="1186" t="s">
        <v>33</v>
      </c>
    </row>
    <row r="244" spans="1:9" ht="15.75" hidden="1" thickTop="1" x14ac:dyDescent="0.2">
      <c r="A244" s="1181">
        <v>3122</v>
      </c>
      <c r="B244" s="1187">
        <v>6121</v>
      </c>
      <c r="C244" s="1190">
        <v>53100874</v>
      </c>
      <c r="D244" s="1130" t="s">
        <v>312</v>
      </c>
      <c r="E244" s="1126"/>
      <c r="F244" s="1126"/>
      <c r="G244" s="1126"/>
      <c r="H244" s="1116" t="e">
        <f t="shared" ref="H244:H250" si="14">G244/F244*100</f>
        <v>#DIV/0!</v>
      </c>
    </row>
    <row r="245" spans="1:9" ht="15" hidden="1" x14ac:dyDescent="0.2">
      <c r="A245" s="1181">
        <v>3122</v>
      </c>
      <c r="B245" s="1187">
        <v>6121</v>
      </c>
      <c r="C245" s="1190">
        <v>54100870</v>
      </c>
      <c r="D245" s="1130" t="s">
        <v>312</v>
      </c>
      <c r="E245" s="1135"/>
      <c r="F245" s="1135"/>
      <c r="G245" s="1135"/>
      <c r="H245" s="1116" t="e">
        <f t="shared" si="14"/>
        <v>#DIV/0!</v>
      </c>
    </row>
    <row r="246" spans="1:9" ht="15" hidden="1" x14ac:dyDescent="0.2">
      <c r="A246" s="1181">
        <v>3122</v>
      </c>
      <c r="B246" s="1187">
        <v>6121</v>
      </c>
      <c r="C246" s="1190">
        <v>54100874</v>
      </c>
      <c r="D246" s="1130" t="s">
        <v>312</v>
      </c>
      <c r="E246" s="1135"/>
      <c r="F246" s="1135"/>
      <c r="G246" s="1135"/>
      <c r="H246" s="1116" t="e">
        <f t="shared" si="14"/>
        <v>#DIV/0!</v>
      </c>
    </row>
    <row r="247" spans="1:9" ht="15" hidden="1" x14ac:dyDescent="0.2">
      <c r="A247" s="1181">
        <v>3122</v>
      </c>
      <c r="B247" s="1187">
        <v>6121</v>
      </c>
      <c r="C247" s="1190">
        <v>54100880</v>
      </c>
      <c r="D247" s="1130" t="s">
        <v>312</v>
      </c>
      <c r="E247" s="1135"/>
      <c r="F247" s="1135"/>
      <c r="G247" s="1135"/>
      <c r="H247" s="1116" t="e">
        <f t="shared" si="14"/>
        <v>#DIV/0!</v>
      </c>
    </row>
    <row r="248" spans="1:9" ht="15" hidden="1" x14ac:dyDescent="0.2">
      <c r="A248" s="1181">
        <v>3122</v>
      </c>
      <c r="B248" s="1187">
        <v>6121</v>
      </c>
      <c r="C248" s="1190">
        <v>54100884</v>
      </c>
      <c r="D248" s="1130" t="s">
        <v>312</v>
      </c>
      <c r="E248" s="1135"/>
      <c r="F248" s="1135"/>
      <c r="G248" s="1135"/>
      <c r="H248" s="1116" t="e">
        <f t="shared" si="14"/>
        <v>#DIV/0!</v>
      </c>
    </row>
    <row r="249" spans="1:9" ht="15" hidden="1" x14ac:dyDescent="0.2">
      <c r="A249" s="1181">
        <v>3122</v>
      </c>
      <c r="B249" s="1187">
        <v>6121</v>
      </c>
      <c r="C249" s="1190">
        <v>54190877</v>
      </c>
      <c r="D249" s="1130" t="s">
        <v>312</v>
      </c>
      <c r="E249" s="1135"/>
      <c r="F249" s="1135"/>
      <c r="G249" s="1135"/>
      <c r="H249" s="1116" t="e">
        <f t="shared" si="14"/>
        <v>#DIV/0!</v>
      </c>
    </row>
    <row r="250" spans="1:9" ht="15" hidden="1" x14ac:dyDescent="0.2">
      <c r="A250" s="1181">
        <v>3122</v>
      </c>
      <c r="B250" s="1187">
        <v>6121</v>
      </c>
      <c r="C250" s="1190">
        <v>54515835</v>
      </c>
      <c r="D250" s="1130" t="s">
        <v>312</v>
      </c>
      <c r="E250" s="1135"/>
      <c r="F250" s="1135"/>
      <c r="G250" s="1135"/>
      <c r="H250" s="1116" t="e">
        <f t="shared" si="14"/>
        <v>#DIV/0!</v>
      </c>
    </row>
    <row r="251" spans="1:9" ht="15.75" hidden="1" thickBot="1" x14ac:dyDescent="0.25">
      <c r="A251" s="1181">
        <v>3122</v>
      </c>
      <c r="B251" s="1187">
        <v>6121</v>
      </c>
      <c r="C251" s="1190">
        <v>53500871</v>
      </c>
      <c r="D251" s="1130" t="s">
        <v>312</v>
      </c>
      <c r="E251" s="1135">
        <v>0</v>
      </c>
      <c r="F251" s="1135"/>
      <c r="G251" s="1135"/>
      <c r="H251" s="1121">
        <v>0</v>
      </c>
    </row>
    <row r="252" spans="1:9" s="1122" customFormat="1" ht="16.5" hidden="1" thickTop="1" thickBot="1" x14ac:dyDescent="0.3">
      <c r="A252" s="3317" t="s">
        <v>394</v>
      </c>
      <c r="B252" s="3318"/>
      <c r="C252" s="3318"/>
      <c r="D252" s="3318"/>
      <c r="E252" s="1113">
        <f>SUM(E244:E251)</f>
        <v>0</v>
      </c>
      <c r="F252" s="1113">
        <f>SUM(F244:F251)</f>
        <v>0</v>
      </c>
      <c r="G252" s="1113">
        <f>SUM(G244:G251)</f>
        <v>0</v>
      </c>
      <c r="H252" s="1117" t="e">
        <f>G252/F252*100</f>
        <v>#DIV/0!</v>
      </c>
      <c r="I252" s="1194"/>
    </row>
    <row r="253" spans="1:9" s="1122" customFormat="1" ht="15" hidden="1" x14ac:dyDescent="0.25">
      <c r="A253" s="1118"/>
      <c r="B253" s="1118"/>
      <c r="C253" s="1118"/>
      <c r="D253" s="1118"/>
      <c r="E253" s="1119"/>
      <c r="F253" s="1119"/>
      <c r="G253" s="1119"/>
      <c r="H253" s="1138"/>
      <c r="I253" s="1194"/>
    </row>
    <row r="254" spans="1:9" s="1122" customFormat="1" ht="15" hidden="1" x14ac:dyDescent="0.25">
      <c r="A254" s="1118"/>
      <c r="B254" s="1118"/>
      <c r="C254" s="1118"/>
      <c r="D254" s="1118"/>
      <c r="E254" s="1119"/>
      <c r="F254" s="1119"/>
      <c r="G254" s="1119"/>
      <c r="H254" s="1138"/>
      <c r="I254" s="1194"/>
    </row>
    <row r="255" spans="1:9" ht="18" hidden="1" x14ac:dyDescent="0.25">
      <c r="A255" s="1103" t="s">
        <v>614</v>
      </c>
      <c r="B255" s="1125"/>
      <c r="C255" s="1125"/>
      <c r="D255" s="1125"/>
      <c r="E255" s="1125"/>
      <c r="F255" s="1125"/>
      <c r="G255" s="1125"/>
      <c r="H255" s="1163"/>
    </row>
    <row r="256" spans="1:9" ht="15.75" hidden="1" x14ac:dyDescent="0.25">
      <c r="A256" s="1102" t="s">
        <v>615</v>
      </c>
      <c r="H256" s="1120" t="s">
        <v>92</v>
      </c>
    </row>
    <row r="257" spans="1:9" s="1037" customFormat="1" ht="25.5" hidden="1" thickTop="1" thickBot="1" x14ac:dyDescent="0.25">
      <c r="A257" s="1104" t="s">
        <v>93</v>
      </c>
      <c r="B257" s="1105" t="s">
        <v>392</v>
      </c>
      <c r="C257" s="1105" t="s">
        <v>209</v>
      </c>
      <c r="D257" s="1106" t="s">
        <v>95</v>
      </c>
      <c r="E257" s="1127" t="s">
        <v>328</v>
      </c>
      <c r="F257" s="1127" t="s">
        <v>329</v>
      </c>
      <c r="G257" s="1128" t="s">
        <v>448</v>
      </c>
      <c r="H257" s="1129" t="s">
        <v>449</v>
      </c>
    </row>
    <row r="258" spans="1:9" s="1037" customFormat="1" ht="13.5" hidden="1" thickTop="1" thickBot="1" x14ac:dyDescent="0.25">
      <c r="A258" s="1042">
        <v>1</v>
      </c>
      <c r="B258" s="1041">
        <v>2</v>
      </c>
      <c r="C258" s="1041">
        <v>3</v>
      </c>
      <c r="D258" s="1041">
        <v>4</v>
      </c>
      <c r="E258" s="1040">
        <v>5</v>
      </c>
      <c r="F258" s="1040">
        <v>6</v>
      </c>
      <c r="G258" s="1164">
        <v>7</v>
      </c>
      <c r="H258" s="1186" t="s">
        <v>33</v>
      </c>
    </row>
    <row r="259" spans="1:9" ht="15" hidden="1" x14ac:dyDescent="0.2">
      <c r="A259" s="1181">
        <v>3122</v>
      </c>
      <c r="B259" s="1187">
        <v>6121</v>
      </c>
      <c r="C259" s="1190">
        <v>53100874</v>
      </c>
      <c r="D259" s="1130" t="s">
        <v>312</v>
      </c>
      <c r="E259" s="1135"/>
      <c r="F259" s="1135"/>
      <c r="G259" s="1135"/>
      <c r="H259" s="1116" t="e">
        <f>G259/F259*100</f>
        <v>#DIV/0!</v>
      </c>
    </row>
    <row r="260" spans="1:9" ht="15" hidden="1" x14ac:dyDescent="0.2">
      <c r="A260" s="1181">
        <v>3122</v>
      </c>
      <c r="B260" s="1187">
        <v>6121</v>
      </c>
      <c r="C260" s="1190">
        <v>54100870</v>
      </c>
      <c r="D260" s="1130" t="s">
        <v>312</v>
      </c>
      <c r="E260" s="1135"/>
      <c r="F260" s="1135"/>
      <c r="G260" s="1135"/>
      <c r="H260" s="1116" t="e">
        <f>G260/F260*100</f>
        <v>#DIV/0!</v>
      </c>
    </row>
    <row r="261" spans="1:9" ht="15" hidden="1" x14ac:dyDescent="0.2">
      <c r="A261" s="1181">
        <v>3122</v>
      </c>
      <c r="B261" s="1187">
        <v>6121</v>
      </c>
      <c r="C261" s="1190">
        <v>54100874</v>
      </c>
      <c r="D261" s="1130" t="s">
        <v>312</v>
      </c>
      <c r="E261" s="1135"/>
      <c r="F261" s="1135"/>
      <c r="G261" s="1135"/>
      <c r="H261" s="1116" t="e">
        <f>G261/F261*100</f>
        <v>#DIV/0!</v>
      </c>
    </row>
    <row r="262" spans="1:9" ht="15" hidden="1" x14ac:dyDescent="0.2">
      <c r="A262" s="1181">
        <v>3122</v>
      </c>
      <c r="B262" s="1187">
        <v>6121</v>
      </c>
      <c r="C262" s="1190">
        <v>54100880</v>
      </c>
      <c r="D262" s="1130" t="s">
        <v>312</v>
      </c>
      <c r="E262" s="1135"/>
      <c r="F262" s="1135"/>
      <c r="G262" s="1135"/>
      <c r="H262" s="1116" t="e">
        <f>G262/F262*100</f>
        <v>#DIV/0!</v>
      </c>
    </row>
    <row r="263" spans="1:9" ht="15" hidden="1" x14ac:dyDescent="0.2">
      <c r="A263" s="1181">
        <v>3122</v>
      </c>
      <c r="B263" s="1187">
        <v>6121</v>
      </c>
      <c r="C263" s="1190">
        <v>54190877</v>
      </c>
      <c r="D263" s="1130" t="s">
        <v>312</v>
      </c>
      <c r="E263" s="1135"/>
      <c r="F263" s="1135"/>
      <c r="G263" s="1135"/>
      <c r="H263" s="1116" t="e">
        <f>G263/F263*100</f>
        <v>#DIV/0!</v>
      </c>
    </row>
    <row r="264" spans="1:9" ht="15.75" hidden="1" thickBot="1" x14ac:dyDescent="0.25">
      <c r="A264" s="1181">
        <v>3122</v>
      </c>
      <c r="B264" s="1187">
        <v>6121</v>
      </c>
      <c r="C264" s="1190">
        <v>54515835</v>
      </c>
      <c r="D264" s="1130" t="s">
        <v>312</v>
      </c>
      <c r="E264" s="1135"/>
      <c r="F264" s="1135"/>
      <c r="G264" s="1135"/>
      <c r="H264" s="1121">
        <v>0</v>
      </c>
    </row>
    <row r="265" spans="1:9" s="1122" customFormat="1" ht="16.5" hidden="1" thickTop="1" thickBot="1" x14ac:dyDescent="0.3">
      <c r="A265" s="3317" t="s">
        <v>394</v>
      </c>
      <c r="B265" s="3318"/>
      <c r="C265" s="3318"/>
      <c r="D265" s="3318"/>
      <c r="E265" s="1113">
        <f>SUM(E259:E264)</f>
        <v>0</v>
      </c>
      <c r="F265" s="1113">
        <f>SUM(F259:F264)</f>
        <v>0</v>
      </c>
      <c r="G265" s="1113">
        <f>SUM(G259:G264)</f>
        <v>0</v>
      </c>
      <c r="H265" s="1117" t="e">
        <f>G265/F265*100</f>
        <v>#DIV/0!</v>
      </c>
      <c r="I265" s="1194"/>
    </row>
    <row r="266" spans="1:9" s="1122" customFormat="1" ht="15" hidden="1" x14ac:dyDescent="0.25">
      <c r="A266" s="1118"/>
      <c r="B266" s="1118"/>
      <c r="C266" s="1118"/>
      <c r="D266" s="1118"/>
      <c r="E266" s="1119"/>
      <c r="F266" s="1119"/>
      <c r="G266" s="1119"/>
      <c r="H266" s="1138"/>
      <c r="I266" s="1194"/>
    </row>
    <row r="267" spans="1:9" ht="18" hidden="1" x14ac:dyDescent="0.25">
      <c r="A267" s="1103" t="s">
        <v>841</v>
      </c>
      <c r="B267" s="1125"/>
      <c r="C267" s="1125"/>
      <c r="D267" s="1125"/>
      <c r="E267" s="1125"/>
      <c r="F267" s="1125"/>
      <c r="G267" s="1125"/>
      <c r="H267" s="1163"/>
    </row>
    <row r="268" spans="1:9" ht="15.75" hidden="1" x14ac:dyDescent="0.25">
      <c r="A268" s="1102" t="s">
        <v>842</v>
      </c>
      <c r="H268" s="1120" t="s">
        <v>92</v>
      </c>
    </row>
    <row r="269" spans="1:9" s="1037" customFormat="1" ht="25.5" hidden="1" thickTop="1" thickBot="1" x14ac:dyDescent="0.25">
      <c r="A269" s="1104" t="s">
        <v>93</v>
      </c>
      <c r="B269" s="1105" t="s">
        <v>392</v>
      </c>
      <c r="C269" s="1105" t="s">
        <v>209</v>
      </c>
      <c r="D269" s="1106" t="s">
        <v>95</v>
      </c>
      <c r="E269" s="1127" t="s">
        <v>328</v>
      </c>
      <c r="F269" s="1127" t="s">
        <v>329</v>
      </c>
      <c r="G269" s="1128" t="s">
        <v>448</v>
      </c>
      <c r="H269" s="1129" t="s">
        <v>449</v>
      </c>
    </row>
    <row r="270" spans="1:9" s="1037" customFormat="1" ht="13.5" hidden="1" thickTop="1" thickBot="1" x14ac:dyDescent="0.25">
      <c r="A270" s="1042">
        <v>1</v>
      </c>
      <c r="B270" s="1041">
        <v>2</v>
      </c>
      <c r="C270" s="1041">
        <v>3</v>
      </c>
      <c r="D270" s="1041">
        <v>4</v>
      </c>
      <c r="E270" s="1040">
        <v>5</v>
      </c>
      <c r="F270" s="1040">
        <v>6</v>
      </c>
      <c r="G270" s="1164">
        <v>7</v>
      </c>
      <c r="H270" s="1186" t="s">
        <v>33</v>
      </c>
    </row>
    <row r="271" spans="1:9" ht="15.75" hidden="1" thickTop="1" x14ac:dyDescent="0.2">
      <c r="A271" s="1181">
        <v>3122</v>
      </c>
      <c r="B271" s="1187">
        <v>6121</v>
      </c>
      <c r="C271" s="1190">
        <v>53100870</v>
      </c>
      <c r="D271" s="1130" t="s">
        <v>312</v>
      </c>
      <c r="E271" s="1126">
        <v>0</v>
      </c>
      <c r="F271" s="1126">
        <v>0</v>
      </c>
      <c r="G271" s="1126">
        <v>0</v>
      </c>
      <c r="H271" s="1114" t="e">
        <f>G271/F271*100</f>
        <v>#DIV/0!</v>
      </c>
    </row>
    <row r="272" spans="1:9" ht="15" hidden="1" x14ac:dyDescent="0.2">
      <c r="A272" s="1181">
        <v>3122</v>
      </c>
      <c r="B272" s="1187">
        <v>6121</v>
      </c>
      <c r="C272" s="1190">
        <v>53100872</v>
      </c>
      <c r="D272" s="1130" t="s">
        <v>312</v>
      </c>
      <c r="E272" s="1135">
        <v>0</v>
      </c>
      <c r="F272" s="1135"/>
      <c r="G272" s="1135"/>
      <c r="H272" s="1116" t="e">
        <f>G272/F272*100</f>
        <v>#DIV/0!</v>
      </c>
    </row>
    <row r="273" spans="1:9" ht="15" hidden="1" x14ac:dyDescent="0.2">
      <c r="A273" s="1181">
        <v>3122</v>
      </c>
      <c r="B273" s="1187">
        <v>6121</v>
      </c>
      <c r="C273" s="1190">
        <v>54100884</v>
      </c>
      <c r="D273" s="1130" t="s">
        <v>312</v>
      </c>
      <c r="E273" s="1135"/>
      <c r="F273" s="1135"/>
      <c r="G273" s="1135"/>
      <c r="H273" s="1116" t="e">
        <f>G273/F273*100</f>
        <v>#DIV/0!</v>
      </c>
    </row>
    <row r="274" spans="1:9" ht="15.75" hidden="1" thickBot="1" x14ac:dyDescent="0.25">
      <c r="A274" s="1181">
        <v>3122</v>
      </c>
      <c r="B274" s="1187">
        <v>6121</v>
      </c>
      <c r="C274" s="1190">
        <v>53500871</v>
      </c>
      <c r="D274" s="1130" t="s">
        <v>312</v>
      </c>
      <c r="E274" s="1135">
        <v>0</v>
      </c>
      <c r="F274" s="1135"/>
      <c r="G274" s="1135"/>
      <c r="H274" s="1121">
        <v>0</v>
      </c>
    </row>
    <row r="275" spans="1:9" s="1122" customFormat="1" ht="16.5" hidden="1" thickTop="1" thickBot="1" x14ac:dyDescent="0.3">
      <c r="A275" s="3317" t="s">
        <v>394</v>
      </c>
      <c r="B275" s="3318"/>
      <c r="C275" s="3318"/>
      <c r="D275" s="3318"/>
      <c r="E275" s="1113">
        <f>SUM(E271:E274)</f>
        <v>0</v>
      </c>
      <c r="F275" s="1113">
        <f>SUM(F271:F274)</f>
        <v>0</v>
      </c>
      <c r="G275" s="1113">
        <f>SUM(G271:G274)</f>
        <v>0</v>
      </c>
      <c r="H275" s="1117" t="e">
        <f>G275/F275*100</f>
        <v>#DIV/0!</v>
      </c>
      <c r="I275" s="1194"/>
    </row>
    <row r="276" spans="1:9" s="1122" customFormat="1" ht="15" hidden="1" x14ac:dyDescent="0.25">
      <c r="A276" s="1118"/>
      <c r="B276" s="1118"/>
      <c r="C276" s="1118"/>
      <c r="D276" s="1118"/>
      <c r="E276" s="1119"/>
      <c r="F276" s="1119"/>
      <c r="G276" s="1119"/>
      <c r="H276" s="1138"/>
      <c r="I276" s="1194"/>
    </row>
    <row r="277" spans="1:9" ht="18" hidden="1" x14ac:dyDescent="0.25">
      <c r="A277" s="1103" t="s">
        <v>724</v>
      </c>
      <c r="B277" s="1125"/>
      <c r="C277" s="1125"/>
      <c r="D277" s="1125"/>
      <c r="E277" s="1125"/>
      <c r="F277" s="1125"/>
      <c r="G277" s="1125"/>
      <c r="H277" s="1163"/>
    </row>
    <row r="278" spans="1:9" ht="15.75" hidden="1" x14ac:dyDescent="0.25">
      <c r="A278" s="1102" t="s">
        <v>725</v>
      </c>
      <c r="H278" s="1120" t="s">
        <v>92</v>
      </c>
    </row>
    <row r="279" spans="1:9" s="1037" customFormat="1" ht="25.5" hidden="1" thickTop="1" thickBot="1" x14ac:dyDescent="0.25">
      <c r="A279" s="1104" t="s">
        <v>93</v>
      </c>
      <c r="B279" s="1105" t="s">
        <v>392</v>
      </c>
      <c r="C279" s="1105" t="s">
        <v>209</v>
      </c>
      <c r="D279" s="1106" t="s">
        <v>95</v>
      </c>
      <c r="E279" s="1127" t="s">
        <v>328</v>
      </c>
      <c r="F279" s="1127" t="s">
        <v>329</v>
      </c>
      <c r="G279" s="1128" t="s">
        <v>448</v>
      </c>
      <c r="H279" s="1129" t="s">
        <v>449</v>
      </c>
    </row>
    <row r="280" spans="1:9" s="1037" customFormat="1" ht="13.5" hidden="1" thickTop="1" thickBot="1" x14ac:dyDescent="0.25">
      <c r="A280" s="1042">
        <v>1</v>
      </c>
      <c r="B280" s="1041">
        <v>2</v>
      </c>
      <c r="C280" s="1041">
        <v>3</v>
      </c>
      <c r="D280" s="1041">
        <v>4</v>
      </c>
      <c r="E280" s="1040">
        <v>5</v>
      </c>
      <c r="F280" s="1040">
        <v>6</v>
      </c>
      <c r="G280" s="1164">
        <v>7</v>
      </c>
      <c r="H280" s="1186" t="s">
        <v>33</v>
      </c>
    </row>
    <row r="281" spans="1:9" ht="15.75" hidden="1" thickTop="1" x14ac:dyDescent="0.2">
      <c r="A281" s="1181">
        <v>3122</v>
      </c>
      <c r="B281" s="1187">
        <v>6121</v>
      </c>
      <c r="C281" s="1190">
        <v>53100870</v>
      </c>
      <c r="D281" s="1130" t="s">
        <v>312</v>
      </c>
      <c r="E281" s="1126"/>
      <c r="F281" s="1126"/>
      <c r="G281" s="1126"/>
      <c r="H281" s="1114">
        <v>0</v>
      </c>
    </row>
    <row r="282" spans="1:9" ht="15" hidden="1" x14ac:dyDescent="0.2">
      <c r="A282" s="1181">
        <v>3122</v>
      </c>
      <c r="B282" s="1187">
        <v>6121</v>
      </c>
      <c r="C282" s="1190">
        <v>53100872</v>
      </c>
      <c r="D282" s="1130" t="s">
        <v>312</v>
      </c>
      <c r="E282" s="1135"/>
      <c r="F282" s="1135"/>
      <c r="G282" s="1135"/>
      <c r="H282" s="1116">
        <v>0</v>
      </c>
    </row>
    <row r="283" spans="1:9" ht="15" hidden="1" x14ac:dyDescent="0.2">
      <c r="A283" s="1181">
        <v>3122</v>
      </c>
      <c r="B283" s="1187">
        <v>6121</v>
      </c>
      <c r="C283" s="1190">
        <v>53100874</v>
      </c>
      <c r="D283" s="1130" t="s">
        <v>312</v>
      </c>
      <c r="E283" s="1135"/>
      <c r="F283" s="1135"/>
      <c r="G283" s="1135"/>
      <c r="H283" s="1116">
        <v>0</v>
      </c>
    </row>
    <row r="284" spans="1:9" ht="15" hidden="1" x14ac:dyDescent="0.2">
      <c r="A284" s="1181">
        <v>3122</v>
      </c>
      <c r="B284" s="1187">
        <v>6121</v>
      </c>
      <c r="C284" s="1190">
        <v>53500871</v>
      </c>
      <c r="D284" s="1130" t="s">
        <v>312</v>
      </c>
      <c r="E284" s="1135"/>
      <c r="F284" s="1135"/>
      <c r="G284" s="1135"/>
      <c r="H284" s="1116">
        <v>0</v>
      </c>
    </row>
    <row r="285" spans="1:9" ht="15" hidden="1" x14ac:dyDescent="0.2">
      <c r="A285" s="1181">
        <v>3122</v>
      </c>
      <c r="B285" s="1187">
        <v>6121</v>
      </c>
      <c r="C285" s="1190">
        <v>54100870</v>
      </c>
      <c r="D285" s="1130" t="s">
        <v>312</v>
      </c>
      <c r="E285" s="1135"/>
      <c r="F285" s="1135"/>
      <c r="G285" s="1135"/>
      <c r="H285" s="1116">
        <v>0</v>
      </c>
    </row>
    <row r="286" spans="1:9" ht="15" hidden="1" x14ac:dyDescent="0.2">
      <c r="A286" s="1181">
        <v>3122</v>
      </c>
      <c r="B286" s="1187">
        <v>6121</v>
      </c>
      <c r="C286" s="1190">
        <v>54100872</v>
      </c>
      <c r="D286" s="1130" t="s">
        <v>312</v>
      </c>
      <c r="E286" s="1135"/>
      <c r="F286" s="1135"/>
      <c r="G286" s="1135"/>
      <c r="H286" s="1116">
        <v>0</v>
      </c>
    </row>
    <row r="287" spans="1:9" ht="15" hidden="1" x14ac:dyDescent="0.2">
      <c r="A287" s="1181">
        <v>3122</v>
      </c>
      <c r="B287" s="1187">
        <v>6121</v>
      </c>
      <c r="C287" s="1190">
        <v>54100874</v>
      </c>
      <c r="D287" s="1130" t="s">
        <v>312</v>
      </c>
      <c r="E287" s="1135"/>
      <c r="F287" s="1135"/>
      <c r="G287" s="1135"/>
      <c r="H287" s="1116">
        <v>0</v>
      </c>
    </row>
    <row r="288" spans="1:9" ht="15" hidden="1" x14ac:dyDescent="0.2">
      <c r="A288" s="1181">
        <v>3122</v>
      </c>
      <c r="B288" s="1187">
        <v>6121</v>
      </c>
      <c r="C288" s="1190">
        <v>54100880</v>
      </c>
      <c r="D288" s="1130" t="s">
        <v>312</v>
      </c>
      <c r="E288" s="1135"/>
      <c r="F288" s="1135"/>
      <c r="G288" s="1135"/>
      <c r="H288" s="1116">
        <v>0</v>
      </c>
    </row>
    <row r="289" spans="1:9" ht="15" hidden="1" x14ac:dyDescent="0.2">
      <c r="A289" s="1181">
        <v>3122</v>
      </c>
      <c r="B289" s="1187">
        <v>6121</v>
      </c>
      <c r="C289" s="1190">
        <v>54100884</v>
      </c>
      <c r="D289" s="1130" t="s">
        <v>312</v>
      </c>
      <c r="E289" s="1135"/>
      <c r="F289" s="1135"/>
      <c r="G289" s="1135"/>
      <c r="H289" s="1116">
        <v>0</v>
      </c>
    </row>
    <row r="290" spans="1:9" ht="15" hidden="1" x14ac:dyDescent="0.2">
      <c r="A290" s="1181">
        <v>3122</v>
      </c>
      <c r="B290" s="1187">
        <v>6121</v>
      </c>
      <c r="C290" s="1190">
        <v>54190877</v>
      </c>
      <c r="D290" s="1130" t="s">
        <v>312</v>
      </c>
      <c r="E290" s="1135"/>
      <c r="F290" s="1135"/>
      <c r="G290" s="1135"/>
      <c r="H290" s="1116">
        <v>0</v>
      </c>
    </row>
    <row r="291" spans="1:9" ht="15" hidden="1" x14ac:dyDescent="0.2">
      <c r="A291" s="1181">
        <v>3122</v>
      </c>
      <c r="B291" s="1187">
        <v>6121</v>
      </c>
      <c r="C291" s="1190">
        <v>54500870</v>
      </c>
      <c r="D291" s="1130" t="s">
        <v>312</v>
      </c>
      <c r="E291" s="1135"/>
      <c r="F291" s="1135"/>
      <c r="G291" s="1135"/>
      <c r="H291" s="1116">
        <v>0</v>
      </c>
    </row>
    <row r="292" spans="1:9" ht="15" hidden="1" x14ac:dyDescent="0.2">
      <c r="A292" s="1181">
        <v>3122</v>
      </c>
      <c r="B292" s="1187">
        <v>6121</v>
      </c>
      <c r="C292" s="1190">
        <v>54500871</v>
      </c>
      <c r="D292" s="1130" t="s">
        <v>312</v>
      </c>
      <c r="E292" s="1135"/>
      <c r="F292" s="1135"/>
      <c r="G292" s="1135"/>
      <c r="H292" s="1116">
        <v>0</v>
      </c>
    </row>
    <row r="293" spans="1:9" ht="15" hidden="1" x14ac:dyDescent="0.2">
      <c r="A293" s="1181">
        <v>3122</v>
      </c>
      <c r="B293" s="1187">
        <v>6121</v>
      </c>
      <c r="C293" s="1190">
        <v>54500872</v>
      </c>
      <c r="D293" s="1130" t="s">
        <v>312</v>
      </c>
      <c r="E293" s="1135"/>
      <c r="F293" s="1135"/>
      <c r="G293" s="1135"/>
      <c r="H293" s="1116" t="e">
        <f>G293/F293*100</f>
        <v>#DIV/0!</v>
      </c>
    </row>
    <row r="294" spans="1:9" ht="15" hidden="1" x14ac:dyDescent="0.2">
      <c r="A294" s="1181">
        <v>3122</v>
      </c>
      <c r="B294" s="1187">
        <v>6121</v>
      </c>
      <c r="C294" s="1190">
        <v>54515835</v>
      </c>
      <c r="D294" s="1130" t="s">
        <v>312</v>
      </c>
      <c r="E294" s="1135"/>
      <c r="F294" s="1135"/>
      <c r="G294" s="1135"/>
      <c r="H294" s="1116" t="e">
        <f>G294/F294*100</f>
        <v>#DIV/0!</v>
      </c>
    </row>
    <row r="295" spans="1:9" s="1122" customFormat="1" ht="16.5" hidden="1" thickTop="1" thickBot="1" x14ac:dyDescent="0.3">
      <c r="A295" s="3317" t="s">
        <v>394</v>
      </c>
      <c r="B295" s="3318"/>
      <c r="C295" s="3318"/>
      <c r="D295" s="3318"/>
      <c r="E295" s="1113">
        <f>SUM(E281:E294)</f>
        <v>0</v>
      </c>
      <c r="F295" s="1113">
        <f>SUM(F281:F294)</f>
        <v>0</v>
      </c>
      <c r="G295" s="1113">
        <f>SUM(G281:G294)</f>
        <v>0</v>
      </c>
      <c r="H295" s="1117" t="e">
        <f>G295/F295*100</f>
        <v>#DIV/0!</v>
      </c>
      <c r="I295" s="1194"/>
    </row>
    <row r="296" spans="1:9" s="1122" customFormat="1" ht="15" hidden="1" x14ac:dyDescent="0.25">
      <c r="A296" s="1118"/>
      <c r="B296" s="1118"/>
      <c r="C296" s="1118"/>
      <c r="D296" s="1118"/>
      <c r="E296" s="1119"/>
      <c r="F296" s="1119"/>
      <c r="G296" s="1119"/>
      <c r="H296" s="1138"/>
      <c r="I296" s="1194"/>
    </row>
    <row r="297" spans="1:9" ht="18" hidden="1" x14ac:dyDescent="0.25">
      <c r="A297" s="1103" t="s">
        <v>788</v>
      </c>
      <c r="B297" s="1125"/>
      <c r="C297" s="1125"/>
      <c r="D297" s="1125"/>
      <c r="E297" s="1125"/>
      <c r="F297" s="1125"/>
      <c r="G297" s="1125"/>
      <c r="H297" s="1163"/>
    </row>
    <row r="298" spans="1:9" ht="15.75" hidden="1" x14ac:dyDescent="0.25">
      <c r="A298" s="1102" t="s">
        <v>789</v>
      </c>
      <c r="H298" s="1120" t="s">
        <v>92</v>
      </c>
    </row>
    <row r="299" spans="1:9" s="1037" customFormat="1" ht="25.5" hidden="1" thickTop="1" thickBot="1" x14ac:dyDescent="0.25">
      <c r="A299" s="1104" t="s">
        <v>93</v>
      </c>
      <c r="B299" s="1105" t="s">
        <v>392</v>
      </c>
      <c r="C299" s="1105" t="s">
        <v>209</v>
      </c>
      <c r="D299" s="1106" t="s">
        <v>95</v>
      </c>
      <c r="E299" s="1127" t="s">
        <v>328</v>
      </c>
      <c r="F299" s="1127" t="s">
        <v>329</v>
      </c>
      <c r="G299" s="1128" t="s">
        <v>448</v>
      </c>
      <c r="H299" s="1129" t="s">
        <v>449</v>
      </c>
    </row>
    <row r="300" spans="1:9" s="1037" customFormat="1" ht="13.5" hidden="1" thickTop="1" thickBot="1" x14ac:dyDescent="0.25">
      <c r="A300" s="1042">
        <v>1</v>
      </c>
      <c r="B300" s="1041">
        <v>2</v>
      </c>
      <c r="C300" s="1041">
        <v>3</v>
      </c>
      <c r="D300" s="1041">
        <v>4</v>
      </c>
      <c r="E300" s="1040">
        <v>5</v>
      </c>
      <c r="F300" s="1040">
        <v>6</v>
      </c>
      <c r="G300" s="1164">
        <v>7</v>
      </c>
      <c r="H300" s="1186" t="s">
        <v>33</v>
      </c>
    </row>
    <row r="301" spans="1:9" ht="15.75" hidden="1" thickTop="1" x14ac:dyDescent="0.2">
      <c r="A301" s="1181">
        <v>3122</v>
      </c>
      <c r="B301" s="1187">
        <v>6121</v>
      </c>
      <c r="C301" s="1190">
        <v>53100870</v>
      </c>
      <c r="D301" s="1130" t="s">
        <v>312</v>
      </c>
      <c r="E301" s="1126"/>
      <c r="F301" s="1126"/>
      <c r="G301" s="1126"/>
      <c r="H301" s="1114" t="e">
        <f t="shared" ref="H301:H310" si="15">G301/F301*100</f>
        <v>#DIV/0!</v>
      </c>
    </row>
    <row r="302" spans="1:9" ht="15" hidden="1" x14ac:dyDescent="0.2">
      <c r="A302" s="1181">
        <v>3122</v>
      </c>
      <c r="B302" s="1187">
        <v>6121</v>
      </c>
      <c r="C302" s="1190">
        <v>53100872</v>
      </c>
      <c r="D302" s="1130" t="s">
        <v>312</v>
      </c>
      <c r="E302" s="1135"/>
      <c r="F302" s="1135"/>
      <c r="G302" s="1135"/>
      <c r="H302" s="1116" t="e">
        <f t="shared" si="15"/>
        <v>#DIV/0!</v>
      </c>
    </row>
    <row r="303" spans="1:9" ht="15" hidden="1" x14ac:dyDescent="0.2">
      <c r="A303" s="1181">
        <v>3122</v>
      </c>
      <c r="B303" s="1187">
        <v>6121</v>
      </c>
      <c r="C303" s="1190">
        <v>53100874</v>
      </c>
      <c r="D303" s="1130" t="s">
        <v>312</v>
      </c>
      <c r="E303" s="1135"/>
      <c r="F303" s="1135"/>
      <c r="G303" s="1135"/>
      <c r="H303" s="1116" t="e">
        <f t="shared" si="15"/>
        <v>#DIV/0!</v>
      </c>
    </row>
    <row r="304" spans="1:9" ht="15" hidden="1" x14ac:dyDescent="0.2">
      <c r="A304" s="1181">
        <v>3122</v>
      </c>
      <c r="B304" s="1187">
        <v>6121</v>
      </c>
      <c r="C304" s="1190">
        <v>53500871</v>
      </c>
      <c r="D304" s="1130" t="s">
        <v>312</v>
      </c>
      <c r="E304" s="1135"/>
      <c r="F304" s="1135"/>
      <c r="G304" s="1135"/>
      <c r="H304" s="1116" t="e">
        <f t="shared" si="15"/>
        <v>#DIV/0!</v>
      </c>
    </row>
    <row r="305" spans="1:9" ht="15" hidden="1" x14ac:dyDescent="0.2">
      <c r="A305" s="1181">
        <v>3122</v>
      </c>
      <c r="B305" s="1187">
        <v>6121</v>
      </c>
      <c r="C305" s="1190">
        <v>54100870</v>
      </c>
      <c r="D305" s="1130" t="s">
        <v>312</v>
      </c>
      <c r="E305" s="1135"/>
      <c r="F305" s="1135"/>
      <c r="G305" s="1135"/>
      <c r="H305" s="1116" t="e">
        <f t="shared" si="15"/>
        <v>#DIV/0!</v>
      </c>
    </row>
    <row r="306" spans="1:9" ht="15" hidden="1" x14ac:dyDescent="0.2">
      <c r="A306" s="1181">
        <v>3122</v>
      </c>
      <c r="B306" s="1187">
        <v>6121</v>
      </c>
      <c r="C306" s="1190">
        <v>54100874</v>
      </c>
      <c r="D306" s="1130" t="s">
        <v>312</v>
      </c>
      <c r="E306" s="1135"/>
      <c r="F306" s="1135"/>
      <c r="G306" s="1135"/>
      <c r="H306" s="1116" t="e">
        <f t="shared" si="15"/>
        <v>#DIV/0!</v>
      </c>
    </row>
    <row r="307" spans="1:9" ht="15" hidden="1" x14ac:dyDescent="0.2">
      <c r="A307" s="1181">
        <v>3122</v>
      </c>
      <c r="B307" s="1187">
        <v>6121</v>
      </c>
      <c r="C307" s="1190">
        <v>54100884</v>
      </c>
      <c r="D307" s="1130" t="s">
        <v>312</v>
      </c>
      <c r="E307" s="1135"/>
      <c r="F307" s="1135"/>
      <c r="G307" s="1135"/>
      <c r="H307" s="1116" t="e">
        <f t="shared" si="15"/>
        <v>#DIV/0!</v>
      </c>
    </row>
    <row r="308" spans="1:9" ht="15" hidden="1" x14ac:dyDescent="0.2">
      <c r="A308" s="1181">
        <v>3122</v>
      </c>
      <c r="B308" s="1187">
        <v>6121</v>
      </c>
      <c r="C308" s="1190">
        <v>54190877</v>
      </c>
      <c r="D308" s="1130" t="s">
        <v>312</v>
      </c>
      <c r="E308" s="1135"/>
      <c r="F308" s="1135"/>
      <c r="G308" s="1135"/>
      <c r="H308" s="1116" t="e">
        <f t="shared" si="15"/>
        <v>#DIV/0!</v>
      </c>
    </row>
    <row r="309" spans="1:9" ht="15" hidden="1" x14ac:dyDescent="0.2">
      <c r="A309" s="1181">
        <v>3122</v>
      </c>
      <c r="B309" s="1187">
        <v>6121</v>
      </c>
      <c r="C309" s="1190">
        <v>54515835</v>
      </c>
      <c r="D309" s="1130" t="s">
        <v>312</v>
      </c>
      <c r="E309" s="1135"/>
      <c r="F309" s="1135"/>
      <c r="G309" s="1135"/>
      <c r="H309" s="1116" t="e">
        <f t="shared" si="15"/>
        <v>#DIV/0!</v>
      </c>
    </row>
    <row r="310" spans="1:9" s="1122" customFormat="1" ht="16.5" hidden="1" thickTop="1" thickBot="1" x14ac:dyDescent="0.3">
      <c r="A310" s="3317" t="s">
        <v>394</v>
      </c>
      <c r="B310" s="3318"/>
      <c r="C310" s="3318"/>
      <c r="D310" s="3318"/>
      <c r="E310" s="1113">
        <f>SUM(E301:E309)</f>
        <v>0</v>
      </c>
      <c r="F310" s="1113">
        <f>SUM(F301:F309)</f>
        <v>0</v>
      </c>
      <c r="G310" s="1113">
        <f>SUM(G301:G309)</f>
        <v>0</v>
      </c>
      <c r="H310" s="1117" t="e">
        <f t="shared" si="15"/>
        <v>#DIV/0!</v>
      </c>
      <c r="I310" s="1194"/>
    </row>
    <row r="311" spans="1:9" s="1122" customFormat="1" ht="15" hidden="1" x14ac:dyDescent="0.25">
      <c r="A311" s="1118"/>
      <c r="B311" s="1118"/>
      <c r="C311" s="1118"/>
      <c r="D311" s="1118"/>
      <c r="E311" s="1119"/>
      <c r="F311" s="1119"/>
      <c r="G311" s="1119"/>
      <c r="H311" s="1138"/>
      <c r="I311" s="1194"/>
    </row>
    <row r="312" spans="1:9" ht="18" hidden="1" x14ac:dyDescent="0.25">
      <c r="A312" s="1103" t="s">
        <v>790</v>
      </c>
      <c r="B312" s="1125"/>
      <c r="C312" s="1125"/>
      <c r="D312" s="1125"/>
      <c r="E312" s="1125"/>
      <c r="F312" s="1125"/>
      <c r="G312" s="1125"/>
      <c r="H312" s="1163"/>
    </row>
    <row r="313" spans="1:9" ht="15.75" hidden="1" x14ac:dyDescent="0.25">
      <c r="A313" s="1102" t="s">
        <v>791</v>
      </c>
      <c r="H313" s="1120" t="s">
        <v>92</v>
      </c>
    </row>
    <row r="314" spans="1:9" s="1037" customFormat="1" ht="25.5" hidden="1" thickTop="1" thickBot="1" x14ac:dyDescent="0.25">
      <c r="A314" s="1104" t="s">
        <v>93</v>
      </c>
      <c r="B314" s="1105" t="s">
        <v>392</v>
      </c>
      <c r="C314" s="1105" t="s">
        <v>209</v>
      </c>
      <c r="D314" s="1106" t="s">
        <v>95</v>
      </c>
      <c r="E314" s="1127" t="s">
        <v>328</v>
      </c>
      <c r="F314" s="1127" t="s">
        <v>329</v>
      </c>
      <c r="G314" s="1128" t="s">
        <v>448</v>
      </c>
      <c r="H314" s="1129" t="s">
        <v>449</v>
      </c>
    </row>
    <row r="315" spans="1:9" s="1037" customFormat="1" ht="13.5" hidden="1" thickTop="1" thickBot="1" x14ac:dyDescent="0.25">
      <c r="A315" s="1042">
        <v>1</v>
      </c>
      <c r="B315" s="1041">
        <v>2</v>
      </c>
      <c r="C315" s="1041">
        <v>3</v>
      </c>
      <c r="D315" s="1041">
        <v>4</v>
      </c>
      <c r="E315" s="1040">
        <v>5</v>
      </c>
      <c r="F315" s="1040">
        <v>6</v>
      </c>
      <c r="G315" s="1164">
        <v>7</v>
      </c>
      <c r="H315" s="1186" t="s">
        <v>33</v>
      </c>
    </row>
    <row r="316" spans="1:9" ht="15.75" hidden="1" thickTop="1" x14ac:dyDescent="0.2">
      <c r="A316" s="1181">
        <v>3122</v>
      </c>
      <c r="B316" s="1187">
        <v>6121</v>
      </c>
      <c r="C316" s="1190">
        <v>53100870</v>
      </c>
      <c r="D316" s="1130" t="s">
        <v>312</v>
      </c>
      <c r="E316" s="1126">
        <v>0</v>
      </c>
      <c r="F316" s="1126">
        <v>0</v>
      </c>
      <c r="G316" s="1126">
        <v>0</v>
      </c>
      <c r="H316" s="1114" t="e">
        <f>G316/F316*100</f>
        <v>#DIV/0!</v>
      </c>
    </row>
    <row r="317" spans="1:9" ht="15" hidden="1" x14ac:dyDescent="0.2">
      <c r="A317" s="1181">
        <v>3122</v>
      </c>
      <c r="B317" s="1187">
        <v>6121</v>
      </c>
      <c r="C317" s="1190">
        <v>53100872</v>
      </c>
      <c r="D317" s="1130" t="s">
        <v>312</v>
      </c>
      <c r="E317" s="1135">
        <v>0</v>
      </c>
      <c r="F317" s="1135"/>
      <c r="G317" s="1135"/>
      <c r="H317" s="1116" t="e">
        <f>G317/F317*100</f>
        <v>#DIV/0!</v>
      </c>
    </row>
    <row r="318" spans="1:9" ht="15" hidden="1" x14ac:dyDescent="0.2">
      <c r="A318" s="1181">
        <v>3121</v>
      </c>
      <c r="B318" s="1187">
        <v>6121</v>
      </c>
      <c r="C318" s="1190">
        <v>53100874</v>
      </c>
      <c r="D318" s="1130" t="s">
        <v>312</v>
      </c>
      <c r="E318" s="1135"/>
      <c r="F318" s="1135"/>
      <c r="G318" s="1265"/>
      <c r="H318" s="1116" t="e">
        <f>G318/F318*100</f>
        <v>#DIV/0!</v>
      </c>
    </row>
    <row r="319" spans="1:9" ht="15.75" hidden="1" thickBot="1" x14ac:dyDescent="0.25">
      <c r="A319" s="1181">
        <v>3122</v>
      </c>
      <c r="B319" s="1187">
        <v>6121</v>
      </c>
      <c r="C319" s="1190">
        <v>53500871</v>
      </c>
      <c r="D319" s="1130" t="s">
        <v>312</v>
      </c>
      <c r="E319" s="1135">
        <v>0</v>
      </c>
      <c r="F319" s="1135"/>
      <c r="G319" s="1135"/>
      <c r="H319" s="1121">
        <v>0</v>
      </c>
    </row>
    <row r="320" spans="1:9" s="1122" customFormat="1" ht="16.5" hidden="1" thickTop="1" thickBot="1" x14ac:dyDescent="0.3">
      <c r="A320" s="3317" t="s">
        <v>394</v>
      </c>
      <c r="B320" s="3318"/>
      <c r="C320" s="3318"/>
      <c r="D320" s="3318"/>
      <c r="E320" s="1113">
        <f>SUM(E316:E319)</f>
        <v>0</v>
      </c>
      <c r="F320" s="1113">
        <f>SUM(F316:F319)</f>
        <v>0</v>
      </c>
      <c r="G320" s="1113">
        <f>SUM(G316:G319)</f>
        <v>0</v>
      </c>
      <c r="H320" s="1117" t="e">
        <f>G320/F320*100</f>
        <v>#DIV/0!</v>
      </c>
      <c r="I320" s="1194"/>
    </row>
    <row r="321" spans="1:9" s="1122" customFormat="1" ht="15" hidden="1" x14ac:dyDescent="0.25">
      <c r="A321" s="1118"/>
      <c r="B321" s="1118"/>
      <c r="C321" s="1118"/>
      <c r="D321" s="1118"/>
      <c r="E321" s="1119"/>
      <c r="F321" s="1119"/>
      <c r="G321" s="1119"/>
      <c r="H321" s="1138"/>
      <c r="I321" s="1194"/>
    </row>
    <row r="322" spans="1:9" ht="18" x14ac:dyDescent="0.25">
      <c r="A322" s="1103" t="s">
        <v>1477</v>
      </c>
      <c r="B322" s="1125"/>
      <c r="C322" s="1125"/>
      <c r="D322" s="1125"/>
      <c r="E322" s="1125"/>
      <c r="F322" s="1125"/>
      <c r="G322" s="1125"/>
      <c r="H322" s="1163"/>
    </row>
    <row r="323" spans="1:9" ht="16.5" thickBot="1" x14ac:dyDescent="0.3">
      <c r="A323" s="1102" t="s">
        <v>1476</v>
      </c>
      <c r="H323" s="1120" t="s">
        <v>92</v>
      </c>
    </row>
    <row r="324" spans="1:9" s="1037" customFormat="1" ht="25.5" thickTop="1" thickBot="1" x14ac:dyDescent="0.25">
      <c r="A324" s="1104" t="s">
        <v>93</v>
      </c>
      <c r="B324" s="1105" t="s">
        <v>392</v>
      </c>
      <c r="C324" s="1105" t="s">
        <v>209</v>
      </c>
      <c r="D324" s="1106" t="s">
        <v>95</v>
      </c>
      <c r="E324" s="1127" t="s">
        <v>328</v>
      </c>
      <c r="F324" s="1127" t="s">
        <v>329</v>
      </c>
      <c r="G324" s="1128" t="s">
        <v>448</v>
      </c>
      <c r="H324" s="1129" t="s">
        <v>449</v>
      </c>
    </row>
    <row r="325" spans="1:9" s="1037" customFormat="1" ht="13.5" thickTop="1" thickBot="1" x14ac:dyDescent="0.25">
      <c r="A325" s="1042">
        <v>1</v>
      </c>
      <c r="B325" s="1041">
        <v>2</v>
      </c>
      <c r="C325" s="1041">
        <v>3</v>
      </c>
      <c r="D325" s="1041">
        <v>4</v>
      </c>
      <c r="E325" s="1040">
        <v>5</v>
      </c>
      <c r="F325" s="1040">
        <v>6</v>
      </c>
      <c r="G325" s="1164">
        <v>7</v>
      </c>
      <c r="H325" s="1186" t="s">
        <v>33</v>
      </c>
    </row>
    <row r="326" spans="1:9" ht="16.5" thickTop="1" thickBot="1" x14ac:dyDescent="0.3">
      <c r="A326" s="1181">
        <v>6330</v>
      </c>
      <c r="B326" s="1187">
        <v>5345</v>
      </c>
      <c r="C326" s="2190" t="s">
        <v>871</v>
      </c>
      <c r="D326" s="1172" t="s">
        <v>397</v>
      </c>
      <c r="E326" s="1126">
        <v>0</v>
      </c>
      <c r="F326" s="1126">
        <v>0</v>
      </c>
      <c r="G326" s="1126">
        <v>10</v>
      </c>
      <c r="H326" s="3051">
        <v>0</v>
      </c>
    </row>
    <row r="327" spans="1:9" ht="15.75" hidden="1" thickBot="1" x14ac:dyDescent="0.25">
      <c r="A327" s="1181">
        <v>3122</v>
      </c>
      <c r="B327" s="1187">
        <v>6121</v>
      </c>
      <c r="C327" s="2190" t="s">
        <v>1006</v>
      </c>
      <c r="D327" s="1130" t="s">
        <v>312</v>
      </c>
      <c r="E327" s="1135"/>
      <c r="F327" s="1135"/>
      <c r="G327" s="1135"/>
      <c r="H327" s="3050" t="e">
        <f t="shared" ref="H327:H330" si="16">G327/F327*100</f>
        <v>#DIV/0!</v>
      </c>
    </row>
    <row r="328" spans="1:9" ht="15.75" hidden="1" thickBot="1" x14ac:dyDescent="0.25">
      <c r="A328" s="1181">
        <v>3122</v>
      </c>
      <c r="B328" s="1187">
        <v>6121</v>
      </c>
      <c r="C328" s="2190" t="s">
        <v>1021</v>
      </c>
      <c r="D328" s="1130" t="s">
        <v>312</v>
      </c>
      <c r="E328" s="1135"/>
      <c r="F328" s="1135"/>
      <c r="G328" s="1135"/>
      <c r="H328" s="3050" t="e">
        <f t="shared" si="16"/>
        <v>#DIV/0!</v>
      </c>
    </row>
    <row r="329" spans="1:9" ht="15.75" hidden="1" thickBot="1" x14ac:dyDescent="0.25">
      <c r="A329" s="1181">
        <v>3122</v>
      </c>
      <c r="B329" s="1187">
        <v>6121</v>
      </c>
      <c r="C329" s="2190" t="s">
        <v>1018</v>
      </c>
      <c r="D329" s="1130" t="s">
        <v>312</v>
      </c>
      <c r="E329" s="1135"/>
      <c r="F329" s="1135"/>
      <c r="G329" s="1135"/>
      <c r="H329" s="3050" t="e">
        <f t="shared" si="16"/>
        <v>#DIV/0!</v>
      </c>
    </row>
    <row r="330" spans="1:9" ht="15.75" hidden="1" thickBot="1" x14ac:dyDescent="0.25">
      <c r="A330" s="1181">
        <v>3122</v>
      </c>
      <c r="B330" s="1187">
        <v>6121</v>
      </c>
      <c r="C330" s="2190" t="s">
        <v>1017</v>
      </c>
      <c r="D330" s="1130" t="s">
        <v>312</v>
      </c>
      <c r="E330" s="1135"/>
      <c r="F330" s="1135"/>
      <c r="G330" s="1135"/>
      <c r="H330" s="3050" t="e">
        <f t="shared" si="16"/>
        <v>#DIV/0!</v>
      </c>
    </row>
    <row r="331" spans="1:9" s="1122" customFormat="1" ht="16.5" thickTop="1" thickBot="1" x14ac:dyDescent="0.3">
      <c r="A331" s="3317" t="s">
        <v>394</v>
      </c>
      <c r="B331" s="3318"/>
      <c r="C331" s="3318"/>
      <c r="D331" s="3318"/>
      <c r="E331" s="1113">
        <f>SUM(E326:E330)</f>
        <v>0</v>
      </c>
      <c r="F331" s="1113">
        <f>SUM(F326:F330)</f>
        <v>0</v>
      </c>
      <c r="G331" s="1113">
        <f>SUM(G326:G330)</f>
        <v>10</v>
      </c>
      <c r="H331" s="1381">
        <v>0</v>
      </c>
      <c r="I331" s="1194"/>
    </row>
    <row r="332" spans="1:9" s="1122" customFormat="1" ht="15.75" thickTop="1" x14ac:dyDescent="0.25">
      <c r="A332" s="1118"/>
      <c r="B332" s="1118"/>
      <c r="C332" s="1118"/>
      <c r="D332" s="1118"/>
      <c r="E332" s="1119"/>
      <c r="F332" s="1119"/>
      <c r="G332" s="1119"/>
      <c r="H332" s="1138"/>
      <c r="I332" s="1194"/>
    </row>
    <row r="333" spans="1:9" ht="18" x14ac:dyDescent="0.25">
      <c r="A333" s="1103" t="s">
        <v>1710</v>
      </c>
      <c r="B333" s="1125"/>
      <c r="C333" s="1125"/>
      <c r="D333" s="1125"/>
      <c r="E333" s="1125"/>
      <c r="F333" s="1125"/>
      <c r="G333" s="1125"/>
      <c r="H333" s="1163"/>
    </row>
    <row r="334" spans="1:9" ht="16.5" thickBot="1" x14ac:dyDescent="0.3">
      <c r="A334" s="1102" t="s">
        <v>1709</v>
      </c>
      <c r="H334" s="1120" t="s">
        <v>92</v>
      </c>
    </row>
    <row r="335" spans="1:9" s="1037" customFormat="1" ht="25.5" thickTop="1" thickBot="1" x14ac:dyDescent="0.25">
      <c r="A335" s="1104" t="s">
        <v>93</v>
      </c>
      <c r="B335" s="1105" t="s">
        <v>392</v>
      </c>
      <c r="C335" s="1105" t="s">
        <v>209</v>
      </c>
      <c r="D335" s="1106" t="s">
        <v>95</v>
      </c>
      <c r="E335" s="1127" t="s">
        <v>328</v>
      </c>
      <c r="F335" s="1127" t="s">
        <v>329</v>
      </c>
      <c r="G335" s="1128" t="s">
        <v>448</v>
      </c>
      <c r="H335" s="1129" t="s">
        <v>449</v>
      </c>
    </row>
    <row r="336" spans="1:9" s="1037" customFormat="1" ht="13.5" thickTop="1" thickBot="1" x14ac:dyDescent="0.25">
      <c r="A336" s="1042">
        <v>1</v>
      </c>
      <c r="B336" s="1041">
        <v>2</v>
      </c>
      <c r="C336" s="1041">
        <v>3</v>
      </c>
      <c r="D336" s="1041">
        <v>4</v>
      </c>
      <c r="E336" s="1040">
        <v>5</v>
      </c>
      <c r="F336" s="1040">
        <v>6</v>
      </c>
      <c r="G336" s="1164">
        <v>7</v>
      </c>
      <c r="H336" s="1186" t="s">
        <v>33</v>
      </c>
    </row>
    <row r="337" spans="1:9" ht="16.5" thickTop="1" thickBot="1" x14ac:dyDescent="0.3">
      <c r="A337" s="1181">
        <v>6330</v>
      </c>
      <c r="B337" s="1187">
        <v>5345</v>
      </c>
      <c r="C337" s="2190" t="s">
        <v>871</v>
      </c>
      <c r="D337" s="1172" t="s">
        <v>397</v>
      </c>
      <c r="E337" s="1126">
        <v>0</v>
      </c>
      <c r="F337" s="1126">
        <v>0</v>
      </c>
      <c r="G337" s="1126">
        <v>8132</v>
      </c>
      <c r="H337" s="3051">
        <v>0</v>
      </c>
    </row>
    <row r="338" spans="1:9" ht="15.75" hidden="1" thickBot="1" x14ac:dyDescent="0.25">
      <c r="A338" s="1181">
        <v>3113</v>
      </c>
      <c r="B338" s="1187">
        <v>6121</v>
      </c>
      <c r="C338" s="2190" t="s">
        <v>1006</v>
      </c>
      <c r="D338" s="1130" t="s">
        <v>312</v>
      </c>
      <c r="E338" s="1135"/>
      <c r="F338" s="1135"/>
      <c r="G338" s="1135"/>
      <c r="H338" s="3050" t="e">
        <f>G338/F338*100</f>
        <v>#DIV/0!</v>
      </c>
    </row>
    <row r="339" spans="1:9" ht="15.75" hidden="1" thickBot="1" x14ac:dyDescent="0.25">
      <c r="A339" s="1181">
        <v>3113</v>
      </c>
      <c r="B339" s="1187">
        <v>6121</v>
      </c>
      <c r="C339" s="2190" t="s">
        <v>1018</v>
      </c>
      <c r="D339" s="1130" t="s">
        <v>312</v>
      </c>
      <c r="E339" s="1135"/>
      <c r="F339" s="1135"/>
      <c r="G339" s="1135"/>
      <c r="H339" s="3050" t="e">
        <f>G339/F339*100</f>
        <v>#DIV/0!</v>
      </c>
    </row>
    <row r="340" spans="1:9" ht="15.75" hidden="1" thickBot="1" x14ac:dyDescent="0.25">
      <c r="A340" s="1181">
        <v>3113</v>
      </c>
      <c r="B340" s="1187">
        <v>6121</v>
      </c>
      <c r="C340" s="2190" t="s">
        <v>1017</v>
      </c>
      <c r="D340" s="1130" t="s">
        <v>312</v>
      </c>
      <c r="E340" s="1135"/>
      <c r="F340" s="1135"/>
      <c r="G340" s="1135"/>
      <c r="H340" s="3050" t="e">
        <f>G340/F340*100</f>
        <v>#DIV/0!</v>
      </c>
    </row>
    <row r="341" spans="1:9" ht="15.75" hidden="1" thickBot="1" x14ac:dyDescent="0.25">
      <c r="A341" s="1181">
        <v>3122</v>
      </c>
      <c r="B341" s="1187">
        <v>6121</v>
      </c>
      <c r="C341" s="1190">
        <v>53500871</v>
      </c>
      <c r="D341" s="1130" t="s">
        <v>312</v>
      </c>
      <c r="E341" s="1135">
        <v>0</v>
      </c>
      <c r="F341" s="1135"/>
      <c r="G341" s="1135"/>
      <c r="H341" s="1384">
        <v>0</v>
      </c>
    </row>
    <row r="342" spans="1:9" s="1122" customFormat="1" ht="16.5" thickTop="1" thickBot="1" x14ac:dyDescent="0.3">
      <c r="A342" s="3317" t="s">
        <v>394</v>
      </c>
      <c r="B342" s="3318"/>
      <c r="C342" s="3318"/>
      <c r="D342" s="3318"/>
      <c r="E342" s="1113">
        <f>SUM(E337:E341)</f>
        <v>0</v>
      </c>
      <c r="F342" s="1113">
        <f>SUM(F337:F341)</f>
        <v>0</v>
      </c>
      <c r="G342" s="1113">
        <f>SUM(G337:G341)</f>
        <v>8132</v>
      </c>
      <c r="H342" s="1381">
        <v>0</v>
      </c>
      <c r="I342" s="1194"/>
    </row>
    <row r="343" spans="1:9" s="1122" customFormat="1" ht="15.75" thickTop="1" x14ac:dyDescent="0.25">
      <c r="A343" s="1118"/>
      <c r="B343" s="1118"/>
      <c r="C343" s="1118"/>
      <c r="D343" s="1118"/>
      <c r="E343" s="1119"/>
      <c r="F343" s="1119"/>
      <c r="G343" s="1119"/>
      <c r="H343" s="1138"/>
      <c r="I343" s="1194"/>
    </row>
    <row r="344" spans="1:9" ht="18" hidden="1" x14ac:dyDescent="0.25">
      <c r="A344" s="1103" t="s">
        <v>843</v>
      </c>
      <c r="B344" s="1125"/>
      <c r="C344" s="1125"/>
      <c r="D344" s="1125"/>
      <c r="E344" s="1125"/>
      <c r="F344" s="1125"/>
      <c r="G344" s="1125"/>
      <c r="H344" s="1163"/>
    </row>
    <row r="345" spans="1:9" ht="15.75" hidden="1" x14ac:dyDescent="0.25">
      <c r="A345" s="1102" t="s">
        <v>844</v>
      </c>
      <c r="H345" s="1120" t="s">
        <v>92</v>
      </c>
    </row>
    <row r="346" spans="1:9" s="1037" customFormat="1" ht="25.5" hidden="1" thickTop="1" thickBot="1" x14ac:dyDescent="0.25">
      <c r="A346" s="1104" t="s">
        <v>93</v>
      </c>
      <c r="B346" s="1105" t="s">
        <v>392</v>
      </c>
      <c r="C346" s="1105" t="s">
        <v>209</v>
      </c>
      <c r="D346" s="1106" t="s">
        <v>95</v>
      </c>
      <c r="E346" s="1127" t="s">
        <v>328</v>
      </c>
      <c r="F346" s="1127" t="s">
        <v>329</v>
      </c>
      <c r="G346" s="1128" t="s">
        <v>448</v>
      </c>
      <c r="H346" s="1129" t="s">
        <v>449</v>
      </c>
    </row>
    <row r="347" spans="1:9" s="1037" customFormat="1" ht="13.5" hidden="1" thickTop="1" thickBot="1" x14ac:dyDescent="0.25">
      <c r="A347" s="1042">
        <v>1</v>
      </c>
      <c r="B347" s="1041">
        <v>2</v>
      </c>
      <c r="C347" s="1041">
        <v>3</v>
      </c>
      <c r="D347" s="1041">
        <v>4</v>
      </c>
      <c r="E347" s="1040">
        <v>5</v>
      </c>
      <c r="F347" s="1040">
        <v>6</v>
      </c>
      <c r="G347" s="1164">
        <v>7</v>
      </c>
      <c r="H347" s="1186" t="s">
        <v>33</v>
      </c>
    </row>
    <row r="348" spans="1:9" ht="15.75" hidden="1" thickTop="1" x14ac:dyDescent="0.2">
      <c r="A348" s="1181">
        <v>3122</v>
      </c>
      <c r="B348" s="1187">
        <v>6121</v>
      </c>
      <c r="C348" s="1190">
        <v>53100870</v>
      </c>
      <c r="D348" s="1130" t="s">
        <v>312</v>
      </c>
      <c r="E348" s="1126">
        <v>0</v>
      </c>
      <c r="F348" s="1126">
        <v>0</v>
      </c>
      <c r="G348" s="1126">
        <v>0</v>
      </c>
      <c r="H348" s="1114" t="e">
        <f>G348/F348*100</f>
        <v>#DIV/0!</v>
      </c>
    </row>
    <row r="349" spans="1:9" ht="15" hidden="1" x14ac:dyDescent="0.2">
      <c r="A349" s="1181">
        <v>3123</v>
      </c>
      <c r="B349" s="1187">
        <v>6121</v>
      </c>
      <c r="C349" s="1190">
        <v>54100880</v>
      </c>
      <c r="D349" s="1130" t="s">
        <v>312</v>
      </c>
      <c r="E349" s="1135">
        <v>0</v>
      </c>
      <c r="F349" s="1135">
        <v>0</v>
      </c>
      <c r="G349" s="1135">
        <v>0</v>
      </c>
      <c r="H349" s="1116" t="e">
        <f>G349/F349*100</f>
        <v>#DIV/0!</v>
      </c>
    </row>
    <row r="350" spans="1:9" ht="15" hidden="1" x14ac:dyDescent="0.2">
      <c r="A350" s="1181">
        <v>3123</v>
      </c>
      <c r="B350" s="1187">
        <v>6121</v>
      </c>
      <c r="C350" s="1190">
        <v>54100884</v>
      </c>
      <c r="D350" s="1130" t="s">
        <v>312</v>
      </c>
      <c r="E350" s="1135"/>
      <c r="F350" s="1135"/>
      <c r="G350" s="1135"/>
      <c r="H350" s="1116" t="e">
        <f>G350/F350*100</f>
        <v>#DIV/0!</v>
      </c>
    </row>
    <row r="351" spans="1:9" ht="15.75" hidden="1" thickBot="1" x14ac:dyDescent="0.25">
      <c r="A351" s="1181">
        <v>3122</v>
      </c>
      <c r="B351" s="1187">
        <v>6121</v>
      </c>
      <c r="C351" s="1190">
        <v>53500871</v>
      </c>
      <c r="D351" s="1130" t="s">
        <v>312</v>
      </c>
      <c r="E351" s="1135">
        <v>0</v>
      </c>
      <c r="F351" s="1135"/>
      <c r="G351" s="1135"/>
      <c r="H351" s="1121">
        <v>0</v>
      </c>
    </row>
    <row r="352" spans="1:9" s="1122" customFormat="1" ht="16.5" hidden="1" thickTop="1" thickBot="1" x14ac:dyDescent="0.3">
      <c r="A352" s="3317" t="s">
        <v>394</v>
      </c>
      <c r="B352" s="3318"/>
      <c r="C352" s="3318"/>
      <c r="D352" s="3318"/>
      <c r="E352" s="1113">
        <f>SUM(E348:E351)</f>
        <v>0</v>
      </c>
      <c r="F352" s="1113">
        <f>SUM(F348:F351)</f>
        <v>0</v>
      </c>
      <c r="G352" s="1113">
        <f>SUM(G348:G351)</f>
        <v>0</v>
      </c>
      <c r="H352" s="1117" t="e">
        <f>G352/F352*100</f>
        <v>#DIV/0!</v>
      </c>
      <c r="I352" s="1194"/>
    </row>
    <row r="353" spans="1:9" s="1122" customFormat="1" ht="15" hidden="1" x14ac:dyDescent="0.25">
      <c r="A353" s="1118"/>
      <c r="B353" s="1118"/>
      <c r="C353" s="1118"/>
      <c r="D353" s="1118"/>
      <c r="E353" s="1119"/>
      <c r="F353" s="1119"/>
      <c r="G353" s="1119"/>
      <c r="H353" s="1138"/>
      <c r="I353" s="1194"/>
    </row>
    <row r="354" spans="1:9" ht="18" x14ac:dyDescent="0.25">
      <c r="A354" s="1103" t="s">
        <v>1712</v>
      </c>
      <c r="B354" s="1125"/>
      <c r="C354" s="1125"/>
      <c r="D354" s="1125"/>
      <c r="E354" s="1125"/>
      <c r="F354" s="1125"/>
      <c r="G354" s="1125"/>
      <c r="H354" s="1163"/>
    </row>
    <row r="355" spans="1:9" ht="16.5" thickBot="1" x14ac:dyDescent="0.3">
      <c r="A355" s="1102" t="s">
        <v>1711</v>
      </c>
      <c r="H355" s="1120" t="s">
        <v>92</v>
      </c>
    </row>
    <row r="356" spans="1:9" s="1037" customFormat="1" ht="25.5" thickTop="1" thickBot="1" x14ac:dyDescent="0.25">
      <c r="A356" s="1104" t="s">
        <v>93</v>
      </c>
      <c r="B356" s="1105" t="s">
        <v>392</v>
      </c>
      <c r="C356" s="1105" t="s">
        <v>209</v>
      </c>
      <c r="D356" s="1106" t="s">
        <v>95</v>
      </c>
      <c r="E356" s="1127" t="s">
        <v>328</v>
      </c>
      <c r="F356" s="1127" t="s">
        <v>329</v>
      </c>
      <c r="G356" s="1128" t="s">
        <v>448</v>
      </c>
      <c r="H356" s="1129" t="s">
        <v>449</v>
      </c>
    </row>
    <row r="357" spans="1:9" s="1037" customFormat="1" ht="13.5" thickTop="1" thickBot="1" x14ac:dyDescent="0.25">
      <c r="A357" s="1042">
        <v>1</v>
      </c>
      <c r="B357" s="1041">
        <v>2</v>
      </c>
      <c r="C357" s="1041">
        <v>3</v>
      </c>
      <c r="D357" s="1041">
        <v>4</v>
      </c>
      <c r="E357" s="1040">
        <v>5</v>
      </c>
      <c r="F357" s="1040">
        <v>6</v>
      </c>
      <c r="G357" s="1164">
        <v>7</v>
      </c>
      <c r="H357" s="1186" t="s">
        <v>33</v>
      </c>
    </row>
    <row r="358" spans="1:9" ht="16.5" thickTop="1" thickBot="1" x14ac:dyDescent="0.3">
      <c r="A358" s="1181">
        <v>6330</v>
      </c>
      <c r="B358" s="1187">
        <v>5345</v>
      </c>
      <c r="C358" s="2190" t="s">
        <v>871</v>
      </c>
      <c r="D358" s="1172" t="s">
        <v>397</v>
      </c>
      <c r="E358" s="1126">
        <v>0</v>
      </c>
      <c r="F358" s="1126">
        <v>0</v>
      </c>
      <c r="G358" s="1126">
        <v>2889</v>
      </c>
      <c r="H358" s="3051">
        <v>0</v>
      </c>
    </row>
    <row r="359" spans="1:9" ht="15.75" hidden="1" thickBot="1" x14ac:dyDescent="0.25">
      <c r="A359" s="1181">
        <v>3122</v>
      </c>
      <c r="B359" s="1187">
        <v>6121</v>
      </c>
      <c r="C359" s="2190" t="s">
        <v>1006</v>
      </c>
      <c r="D359" s="1130" t="s">
        <v>312</v>
      </c>
      <c r="E359" s="1135"/>
      <c r="F359" s="1135"/>
      <c r="G359" s="1135"/>
      <c r="H359" s="3050" t="e">
        <f t="shared" ref="H359:H363" si="17">G359/F359*100</f>
        <v>#DIV/0!</v>
      </c>
    </row>
    <row r="360" spans="1:9" ht="15.75" hidden="1" thickBot="1" x14ac:dyDescent="0.25">
      <c r="A360" s="1181">
        <v>3122</v>
      </c>
      <c r="B360" s="1187">
        <v>6121</v>
      </c>
      <c r="C360" s="2190" t="s">
        <v>1021</v>
      </c>
      <c r="D360" s="1130" t="s">
        <v>312</v>
      </c>
      <c r="E360" s="1135"/>
      <c r="F360" s="1135"/>
      <c r="G360" s="1135"/>
      <c r="H360" s="3050" t="e">
        <f t="shared" si="17"/>
        <v>#DIV/0!</v>
      </c>
    </row>
    <row r="361" spans="1:9" ht="15.75" hidden="1" thickBot="1" x14ac:dyDescent="0.25">
      <c r="A361" s="1181">
        <v>3122</v>
      </c>
      <c r="B361" s="1187">
        <v>6121</v>
      </c>
      <c r="C361" s="2190" t="s">
        <v>1018</v>
      </c>
      <c r="D361" s="1130" t="s">
        <v>312</v>
      </c>
      <c r="E361" s="1135"/>
      <c r="F361" s="1135"/>
      <c r="G361" s="1135"/>
      <c r="H361" s="3050" t="e">
        <f t="shared" si="17"/>
        <v>#DIV/0!</v>
      </c>
    </row>
    <row r="362" spans="1:9" ht="15.75" hidden="1" thickBot="1" x14ac:dyDescent="0.25">
      <c r="A362" s="1181">
        <v>3122</v>
      </c>
      <c r="B362" s="1187">
        <v>6121</v>
      </c>
      <c r="C362" s="2190" t="s">
        <v>1017</v>
      </c>
      <c r="D362" s="1130" t="s">
        <v>312</v>
      </c>
      <c r="E362" s="1135"/>
      <c r="F362" s="1135"/>
      <c r="G362" s="1135"/>
      <c r="H362" s="3050" t="e">
        <f t="shared" si="17"/>
        <v>#DIV/0!</v>
      </c>
    </row>
    <row r="363" spans="1:9" ht="15.75" hidden="1" thickBot="1" x14ac:dyDescent="0.25">
      <c r="A363" s="1181">
        <v>3122</v>
      </c>
      <c r="B363" s="1187">
        <v>6127</v>
      </c>
      <c r="C363" s="2190" t="s">
        <v>1006</v>
      </c>
      <c r="D363" s="1130" t="s">
        <v>884</v>
      </c>
      <c r="E363" s="1135"/>
      <c r="F363" s="1135"/>
      <c r="G363" s="1135"/>
      <c r="H363" s="3050" t="e">
        <f t="shared" si="17"/>
        <v>#DIV/0!</v>
      </c>
    </row>
    <row r="364" spans="1:9" s="1122" customFormat="1" ht="16.5" thickTop="1" thickBot="1" x14ac:dyDescent="0.3">
      <c r="A364" s="3317" t="s">
        <v>394</v>
      </c>
      <c r="B364" s="3318"/>
      <c r="C364" s="3318"/>
      <c r="D364" s="3318"/>
      <c r="E364" s="1113">
        <f>SUM(E358:E363)</f>
        <v>0</v>
      </c>
      <c r="F364" s="1113">
        <f>SUM(F358:F363)</f>
        <v>0</v>
      </c>
      <c r="G364" s="1113">
        <f>SUM(G358:G363)</f>
        <v>2889</v>
      </c>
      <c r="H364" s="1381">
        <v>0</v>
      </c>
      <c r="I364" s="1194"/>
    </row>
    <row r="365" spans="1:9" s="1122" customFormat="1" ht="15.75" thickTop="1" x14ac:dyDescent="0.25">
      <c r="A365" s="1118"/>
      <c r="B365" s="1118"/>
      <c r="C365" s="1118"/>
      <c r="D365" s="1118"/>
      <c r="E365" s="1119"/>
      <c r="F365" s="1119"/>
      <c r="G365" s="1119"/>
      <c r="H365" s="1138"/>
      <c r="I365" s="1194"/>
    </row>
    <row r="366" spans="1:9" ht="18" x14ac:dyDescent="0.25">
      <c r="A366" s="1103" t="s">
        <v>841</v>
      </c>
      <c r="B366" s="1125"/>
      <c r="C366" s="1125"/>
      <c r="D366" s="1125"/>
      <c r="E366" s="1125"/>
      <c r="F366" s="1125"/>
      <c r="G366" s="1125"/>
      <c r="H366" s="1163"/>
    </row>
    <row r="367" spans="1:9" ht="16.5" thickBot="1" x14ac:dyDescent="0.3">
      <c r="A367" s="1102" t="s">
        <v>842</v>
      </c>
      <c r="H367" s="1120" t="s">
        <v>92</v>
      </c>
    </row>
    <row r="368" spans="1:9" s="1037" customFormat="1" ht="25.5" thickTop="1" thickBot="1" x14ac:dyDescent="0.25">
      <c r="A368" s="1104" t="s">
        <v>93</v>
      </c>
      <c r="B368" s="1105" t="s">
        <v>392</v>
      </c>
      <c r="C368" s="1105" t="s">
        <v>209</v>
      </c>
      <c r="D368" s="1106" t="s">
        <v>95</v>
      </c>
      <c r="E368" s="1127" t="s">
        <v>328</v>
      </c>
      <c r="F368" s="1127" t="s">
        <v>329</v>
      </c>
      <c r="G368" s="1128" t="s">
        <v>448</v>
      </c>
      <c r="H368" s="1129" t="s">
        <v>449</v>
      </c>
    </row>
    <row r="369" spans="1:9" s="1037" customFormat="1" ht="13.5" thickTop="1" thickBot="1" x14ac:dyDescent="0.25">
      <c r="A369" s="1042">
        <v>1</v>
      </c>
      <c r="B369" s="1041">
        <v>2</v>
      </c>
      <c r="C369" s="1041">
        <v>3</v>
      </c>
      <c r="D369" s="1041">
        <v>4</v>
      </c>
      <c r="E369" s="1040">
        <v>5</v>
      </c>
      <c r="F369" s="1040">
        <v>6</v>
      </c>
      <c r="G369" s="1164">
        <v>7</v>
      </c>
      <c r="H369" s="1186" t="s">
        <v>33</v>
      </c>
    </row>
    <row r="370" spans="1:9" ht="16.5" thickTop="1" thickBot="1" x14ac:dyDescent="0.25">
      <c r="A370" s="1181">
        <v>3122</v>
      </c>
      <c r="B370" s="1187">
        <v>6121</v>
      </c>
      <c r="C370" s="2190" t="s">
        <v>972</v>
      </c>
      <c r="D370" s="1130" t="s">
        <v>312</v>
      </c>
      <c r="E370" s="1126">
        <v>200</v>
      </c>
      <c r="F370" s="1126">
        <v>415</v>
      </c>
      <c r="G370" s="1126">
        <v>0</v>
      </c>
      <c r="H370" s="3051">
        <f>G370/F370*100</f>
        <v>0</v>
      </c>
    </row>
    <row r="371" spans="1:9" ht="15.75" hidden="1" thickBot="1" x14ac:dyDescent="0.25">
      <c r="A371" s="1181">
        <v>3122</v>
      </c>
      <c r="B371" s="1187">
        <v>6121</v>
      </c>
      <c r="C371" s="2190" t="s">
        <v>1006</v>
      </c>
      <c r="D371" s="1130" t="s">
        <v>312</v>
      </c>
      <c r="E371" s="1135"/>
      <c r="F371" s="1135"/>
      <c r="G371" s="1135"/>
      <c r="H371" s="3050" t="e">
        <f>G371/F371*100</f>
        <v>#DIV/0!</v>
      </c>
    </row>
    <row r="372" spans="1:9" ht="15.75" hidden="1" thickBot="1" x14ac:dyDescent="0.25">
      <c r="A372" s="1181">
        <v>3122</v>
      </c>
      <c r="B372" s="1187">
        <v>6121</v>
      </c>
      <c r="C372" s="2190" t="s">
        <v>1018</v>
      </c>
      <c r="D372" s="1130" t="s">
        <v>312</v>
      </c>
      <c r="E372" s="1135"/>
      <c r="F372" s="1135"/>
      <c r="G372" s="1135"/>
      <c r="H372" s="3050" t="e">
        <f>G372/F372*100</f>
        <v>#DIV/0!</v>
      </c>
    </row>
    <row r="373" spans="1:9" ht="15.75" hidden="1" thickBot="1" x14ac:dyDescent="0.25">
      <c r="A373" s="1181">
        <v>3122</v>
      </c>
      <c r="B373" s="1187">
        <v>6121</v>
      </c>
      <c r="C373" s="2190" t="s">
        <v>1017</v>
      </c>
      <c r="D373" s="1130" t="s">
        <v>312</v>
      </c>
      <c r="E373" s="1135"/>
      <c r="F373" s="1135"/>
      <c r="G373" s="1135"/>
      <c r="H373" s="3050" t="e">
        <f>G373/F373*100</f>
        <v>#DIV/0!</v>
      </c>
    </row>
    <row r="374" spans="1:9" s="1122" customFormat="1" ht="16.5" thickTop="1" thickBot="1" x14ac:dyDescent="0.3">
      <c r="A374" s="3317" t="s">
        <v>394</v>
      </c>
      <c r="B374" s="3318"/>
      <c r="C374" s="3318"/>
      <c r="D374" s="3318"/>
      <c r="E374" s="1113">
        <f>SUM(E370:E373)</f>
        <v>200</v>
      </c>
      <c r="F374" s="1113">
        <f>SUM(F370:F373)</f>
        <v>415</v>
      </c>
      <c r="G374" s="1113">
        <f>SUM(G370:G373)</f>
        <v>0</v>
      </c>
      <c r="H374" s="1381">
        <f>G374/F374*100</f>
        <v>0</v>
      </c>
      <c r="I374" s="1194"/>
    </row>
    <row r="375" spans="1:9" s="1122" customFormat="1" ht="15.75" thickTop="1" x14ac:dyDescent="0.25">
      <c r="A375" s="1118"/>
      <c r="B375" s="1118"/>
      <c r="C375" s="1118"/>
      <c r="D375" s="1118"/>
      <c r="E375" s="1119"/>
      <c r="F375" s="1119"/>
      <c r="G375" s="1119"/>
      <c r="H375" s="1138"/>
      <c r="I375" s="1194"/>
    </row>
    <row r="376" spans="1:9" ht="28.5" customHeight="1" x14ac:dyDescent="0.25">
      <c r="A376" s="3335" t="s">
        <v>1714</v>
      </c>
      <c r="B376" s="3334"/>
      <c r="C376" s="3334"/>
      <c r="D376" s="3334"/>
      <c r="E376" s="3334"/>
      <c r="F376" s="3334"/>
      <c r="G376" s="3334"/>
      <c r="H376" s="3334"/>
    </row>
    <row r="377" spans="1:9" ht="16.5" thickBot="1" x14ac:dyDescent="0.3">
      <c r="A377" s="1102" t="s">
        <v>1713</v>
      </c>
      <c r="H377" s="1120" t="s">
        <v>92</v>
      </c>
    </row>
    <row r="378" spans="1:9" s="1037" customFormat="1" ht="25.5" thickTop="1" thickBot="1" x14ac:dyDescent="0.25">
      <c r="A378" s="1104" t="s">
        <v>93</v>
      </c>
      <c r="B378" s="1105" t="s">
        <v>392</v>
      </c>
      <c r="C378" s="1105" t="s">
        <v>209</v>
      </c>
      <c r="D378" s="1106" t="s">
        <v>95</v>
      </c>
      <c r="E378" s="1127" t="s">
        <v>328</v>
      </c>
      <c r="F378" s="1127" t="s">
        <v>329</v>
      </c>
      <c r="G378" s="1128" t="s">
        <v>448</v>
      </c>
      <c r="H378" s="1129" t="s">
        <v>449</v>
      </c>
    </row>
    <row r="379" spans="1:9" s="1037" customFormat="1" ht="13.5" thickTop="1" thickBot="1" x14ac:dyDescent="0.25">
      <c r="A379" s="1042">
        <v>1</v>
      </c>
      <c r="B379" s="1041">
        <v>2</v>
      </c>
      <c r="C379" s="1041">
        <v>3</v>
      </c>
      <c r="D379" s="1041">
        <v>4</v>
      </c>
      <c r="E379" s="1040">
        <v>5</v>
      </c>
      <c r="F379" s="1040">
        <v>6</v>
      </c>
      <c r="G379" s="1164">
        <v>7</v>
      </c>
      <c r="H379" s="1186" t="s">
        <v>33</v>
      </c>
    </row>
    <row r="380" spans="1:9" ht="16.5" thickTop="1" thickBot="1" x14ac:dyDescent="0.25">
      <c r="A380" s="1181">
        <v>3122</v>
      </c>
      <c r="B380" s="1187">
        <v>6121</v>
      </c>
      <c r="C380" s="2190" t="s">
        <v>972</v>
      </c>
      <c r="D380" s="1130" t="s">
        <v>312</v>
      </c>
      <c r="E380" s="1126">
        <v>100</v>
      </c>
      <c r="F380" s="1126">
        <v>100</v>
      </c>
      <c r="G380" s="1126">
        <v>0</v>
      </c>
      <c r="H380" s="3051">
        <f>G380/F380*100</f>
        <v>0</v>
      </c>
    </row>
    <row r="381" spans="1:9" ht="15.75" hidden="1" thickBot="1" x14ac:dyDescent="0.25">
      <c r="A381" s="1181">
        <v>3122</v>
      </c>
      <c r="B381" s="1187">
        <v>6122</v>
      </c>
      <c r="C381" s="2190" t="s">
        <v>972</v>
      </c>
      <c r="D381" s="1130" t="s">
        <v>313</v>
      </c>
      <c r="E381" s="1135"/>
      <c r="F381" s="1135"/>
      <c r="G381" s="1135"/>
      <c r="H381" s="3050" t="e">
        <f>G381/F381*100</f>
        <v>#DIV/0!</v>
      </c>
    </row>
    <row r="382" spans="1:9" ht="15.75" hidden="1" thickBot="1" x14ac:dyDescent="0.25">
      <c r="A382" s="1181">
        <v>3122</v>
      </c>
      <c r="B382" s="1187">
        <v>6121</v>
      </c>
      <c r="C382" s="2190" t="s">
        <v>1018</v>
      </c>
      <c r="D382" s="1130" t="s">
        <v>312</v>
      </c>
      <c r="E382" s="1135"/>
      <c r="F382" s="1135"/>
      <c r="G382" s="1135"/>
      <c r="H382" s="3050" t="e">
        <f>G382/F382*100</f>
        <v>#DIV/0!</v>
      </c>
    </row>
    <row r="383" spans="1:9" ht="15.75" hidden="1" thickBot="1" x14ac:dyDescent="0.25">
      <c r="A383" s="1181">
        <v>3122</v>
      </c>
      <c r="B383" s="1187">
        <v>6121</v>
      </c>
      <c r="C383" s="2190" t="s">
        <v>1017</v>
      </c>
      <c r="D383" s="1130" t="s">
        <v>312</v>
      </c>
      <c r="E383" s="1135"/>
      <c r="F383" s="1135"/>
      <c r="G383" s="1135"/>
      <c r="H383" s="3050" t="e">
        <f>G383/F383*100</f>
        <v>#DIV/0!</v>
      </c>
    </row>
    <row r="384" spans="1:9" s="1122" customFormat="1" ht="16.5" thickTop="1" thickBot="1" x14ac:dyDescent="0.3">
      <c r="A384" s="3317" t="s">
        <v>394</v>
      </c>
      <c r="B384" s="3318"/>
      <c r="C384" s="3318"/>
      <c r="D384" s="3318"/>
      <c r="E384" s="1113">
        <f>SUM(E380:E383)</f>
        <v>100</v>
      </c>
      <c r="F384" s="1113">
        <f>SUM(F380:F383)</f>
        <v>100</v>
      </c>
      <c r="G384" s="1113">
        <f>SUM(G380:G383)</f>
        <v>0</v>
      </c>
      <c r="H384" s="1381">
        <f>G384/F384*100</f>
        <v>0</v>
      </c>
      <c r="I384" s="1194"/>
    </row>
    <row r="385" spans="1:9" s="1122" customFormat="1" ht="15.75" thickTop="1" x14ac:dyDescent="0.25">
      <c r="A385" s="1118"/>
      <c r="B385" s="1118"/>
      <c r="C385" s="1118"/>
      <c r="D385" s="1118"/>
      <c r="E385" s="1119"/>
      <c r="F385" s="1119"/>
      <c r="G385" s="1119"/>
      <c r="H385" s="1138"/>
      <c r="I385" s="1194"/>
    </row>
    <row r="386" spans="1:9" ht="28.5" customHeight="1" x14ac:dyDescent="0.25">
      <c r="A386" s="3335" t="s">
        <v>843</v>
      </c>
      <c r="B386" s="3334"/>
      <c r="C386" s="3334"/>
      <c r="D386" s="3334"/>
      <c r="E386" s="3334"/>
      <c r="F386" s="3334"/>
      <c r="G386" s="3334"/>
      <c r="H386" s="3334"/>
    </row>
    <row r="387" spans="1:9" ht="16.5" thickBot="1" x14ac:dyDescent="0.3">
      <c r="A387" s="1102" t="s">
        <v>844</v>
      </c>
      <c r="H387" s="1120" t="s">
        <v>92</v>
      </c>
    </row>
    <row r="388" spans="1:9" s="1037" customFormat="1" ht="25.5" thickTop="1" thickBot="1" x14ac:dyDescent="0.25">
      <c r="A388" s="1104" t="s">
        <v>93</v>
      </c>
      <c r="B388" s="1105" t="s">
        <v>392</v>
      </c>
      <c r="C388" s="1105" t="s">
        <v>209</v>
      </c>
      <c r="D388" s="1106" t="s">
        <v>95</v>
      </c>
      <c r="E388" s="1127" t="s">
        <v>328</v>
      </c>
      <c r="F388" s="1127" t="s">
        <v>329</v>
      </c>
      <c r="G388" s="1128" t="s">
        <v>448</v>
      </c>
      <c r="H388" s="1129" t="s">
        <v>449</v>
      </c>
    </row>
    <row r="389" spans="1:9" s="1037" customFormat="1" ht="13.5" thickTop="1" thickBot="1" x14ac:dyDescent="0.25">
      <c r="A389" s="1042">
        <v>1</v>
      </c>
      <c r="B389" s="1041">
        <v>2</v>
      </c>
      <c r="C389" s="1041">
        <v>3</v>
      </c>
      <c r="D389" s="1041">
        <v>4</v>
      </c>
      <c r="E389" s="1040">
        <v>5</v>
      </c>
      <c r="F389" s="1040">
        <v>6</v>
      </c>
      <c r="G389" s="1164">
        <v>7</v>
      </c>
      <c r="H389" s="1186" t="s">
        <v>33</v>
      </c>
    </row>
    <row r="390" spans="1:9" ht="15.75" thickTop="1" x14ac:dyDescent="0.2">
      <c r="A390" s="1181">
        <v>3123</v>
      </c>
      <c r="B390" s="1187">
        <v>6121</v>
      </c>
      <c r="C390" s="2190" t="s">
        <v>1451</v>
      </c>
      <c r="D390" s="1130" t="s">
        <v>312</v>
      </c>
      <c r="E390" s="1126">
        <v>20850</v>
      </c>
      <c r="F390" s="1126">
        <v>500</v>
      </c>
      <c r="G390" s="1126">
        <v>189</v>
      </c>
      <c r="H390" s="3051">
        <f>G390/F390*100</f>
        <v>37.799999999999997</v>
      </c>
    </row>
    <row r="391" spans="1:9" ht="15" x14ac:dyDescent="0.2">
      <c r="A391" s="1181">
        <v>3123</v>
      </c>
      <c r="B391" s="1187">
        <v>6121</v>
      </c>
      <c r="C391" s="2190" t="s">
        <v>1715</v>
      </c>
      <c r="D391" s="1130" t="s">
        <v>312</v>
      </c>
      <c r="E391" s="1135">
        <v>7479</v>
      </c>
      <c r="F391" s="1135">
        <v>1979</v>
      </c>
      <c r="G391" s="1135">
        <v>67</v>
      </c>
      <c r="H391" s="3050">
        <f>G391/F391*100</f>
        <v>3.3855482566953006</v>
      </c>
    </row>
    <row r="392" spans="1:9" ht="15.75" thickBot="1" x14ac:dyDescent="0.25">
      <c r="A392" s="1181">
        <v>3123</v>
      </c>
      <c r="B392" s="1187">
        <v>6121</v>
      </c>
      <c r="C392" s="2190" t="s">
        <v>1716</v>
      </c>
      <c r="D392" s="1130" t="s">
        <v>312</v>
      </c>
      <c r="E392" s="1135">
        <v>5902</v>
      </c>
      <c r="F392" s="1135">
        <v>0</v>
      </c>
      <c r="G392" s="1135">
        <v>0</v>
      </c>
      <c r="H392" s="3050">
        <v>0</v>
      </c>
    </row>
    <row r="393" spans="1:9" ht="15.75" hidden="1" thickBot="1" x14ac:dyDescent="0.25">
      <c r="A393" s="1181">
        <v>3121</v>
      </c>
      <c r="B393" s="1187">
        <v>6121</v>
      </c>
      <c r="C393" s="2190" t="s">
        <v>1017</v>
      </c>
      <c r="D393" s="1130" t="s">
        <v>312</v>
      </c>
      <c r="E393" s="1135"/>
      <c r="F393" s="1135"/>
      <c r="G393" s="1135"/>
      <c r="H393" s="3050" t="e">
        <f>G393/F393*100</f>
        <v>#DIV/0!</v>
      </c>
    </row>
    <row r="394" spans="1:9" s="1122" customFormat="1" ht="16.5" thickTop="1" thickBot="1" x14ac:dyDescent="0.3">
      <c r="A394" s="3317" t="s">
        <v>394</v>
      </c>
      <c r="B394" s="3318"/>
      <c r="C394" s="3318"/>
      <c r="D394" s="3318"/>
      <c r="E394" s="1113">
        <f>SUM(E390:E393)</f>
        <v>34231</v>
      </c>
      <c r="F394" s="1113">
        <f>SUM(F390:F393)</f>
        <v>2479</v>
      </c>
      <c r="G394" s="1113">
        <f>SUM(G390:G393)</f>
        <v>256</v>
      </c>
      <c r="H394" s="1381">
        <f>G394/F394*100</f>
        <v>10.326744655102864</v>
      </c>
      <c r="I394" s="1194"/>
    </row>
    <row r="395" spans="1:9" s="1122" customFormat="1" ht="15.75" thickTop="1" x14ac:dyDescent="0.25">
      <c r="A395" s="1118"/>
      <c r="B395" s="1118"/>
      <c r="C395" s="1118"/>
      <c r="D395" s="1118"/>
      <c r="E395" s="1119"/>
      <c r="F395" s="1119"/>
      <c r="G395" s="1119"/>
      <c r="H395" s="1138"/>
      <c r="I395" s="1194"/>
    </row>
    <row r="396" spans="1:9" ht="18" x14ac:dyDescent="0.25">
      <c r="A396" s="1103" t="s">
        <v>1718</v>
      </c>
      <c r="B396" s="1125"/>
      <c r="C396" s="1125"/>
      <c r="D396" s="1125"/>
      <c r="E396" s="1125"/>
      <c r="F396" s="1125"/>
      <c r="G396" s="1125"/>
      <c r="H396" s="1163"/>
    </row>
    <row r="397" spans="1:9" ht="16.5" thickBot="1" x14ac:dyDescent="0.3">
      <c r="A397" s="1102" t="s">
        <v>1717</v>
      </c>
      <c r="H397" s="1120" t="s">
        <v>92</v>
      </c>
    </row>
    <row r="398" spans="1:9" s="1037" customFormat="1" ht="25.5" thickTop="1" thickBot="1" x14ac:dyDescent="0.25">
      <c r="A398" s="1104" t="s">
        <v>93</v>
      </c>
      <c r="B398" s="1105" t="s">
        <v>392</v>
      </c>
      <c r="C398" s="1105" t="s">
        <v>209</v>
      </c>
      <c r="D398" s="1106" t="s">
        <v>95</v>
      </c>
      <c r="E398" s="1127" t="s">
        <v>328</v>
      </c>
      <c r="F398" s="1127" t="s">
        <v>329</v>
      </c>
      <c r="G398" s="1128" t="s">
        <v>448</v>
      </c>
      <c r="H398" s="1129" t="s">
        <v>449</v>
      </c>
    </row>
    <row r="399" spans="1:9" s="1037" customFormat="1" ht="13.5" thickTop="1" thickBot="1" x14ac:dyDescent="0.25">
      <c r="A399" s="1042">
        <v>1</v>
      </c>
      <c r="B399" s="1041">
        <v>2</v>
      </c>
      <c r="C399" s="1041">
        <v>3</v>
      </c>
      <c r="D399" s="1041">
        <v>4</v>
      </c>
      <c r="E399" s="1040">
        <v>5</v>
      </c>
      <c r="F399" s="1040">
        <v>6</v>
      </c>
      <c r="G399" s="1164">
        <v>7</v>
      </c>
      <c r="H399" s="1186" t="s">
        <v>33</v>
      </c>
    </row>
    <row r="400" spans="1:9" ht="16.5" thickTop="1" thickBot="1" x14ac:dyDescent="0.25">
      <c r="A400" s="1181">
        <v>3122</v>
      </c>
      <c r="B400" s="1187">
        <v>6121</v>
      </c>
      <c r="C400" s="2190" t="s">
        <v>972</v>
      </c>
      <c r="D400" s="1130" t="s">
        <v>312</v>
      </c>
      <c r="E400" s="1126">
        <v>200</v>
      </c>
      <c r="F400" s="1126">
        <v>100</v>
      </c>
      <c r="G400" s="1126">
        <v>17</v>
      </c>
      <c r="H400" s="3051">
        <f>G400/F400*100</f>
        <v>17</v>
      </c>
    </row>
    <row r="401" spans="1:9" ht="15.75" hidden="1" thickBot="1" x14ac:dyDescent="0.25">
      <c r="A401" s="1181">
        <v>3122</v>
      </c>
      <c r="B401" s="1187">
        <v>6121</v>
      </c>
      <c r="C401" s="2190" t="s">
        <v>1006</v>
      </c>
      <c r="D401" s="1130" t="s">
        <v>312</v>
      </c>
      <c r="E401" s="1135"/>
      <c r="F401" s="1135"/>
      <c r="G401" s="1135"/>
      <c r="H401" s="3050" t="e">
        <f>G401/F401*100</f>
        <v>#DIV/0!</v>
      </c>
    </row>
    <row r="402" spans="1:9" ht="15.75" hidden="1" thickBot="1" x14ac:dyDescent="0.25">
      <c r="A402" s="1181">
        <v>3122</v>
      </c>
      <c r="B402" s="1187">
        <v>6121</v>
      </c>
      <c r="C402" s="2190" t="s">
        <v>1018</v>
      </c>
      <c r="D402" s="1130" t="s">
        <v>312</v>
      </c>
      <c r="E402" s="1135"/>
      <c r="F402" s="1135"/>
      <c r="G402" s="1135"/>
      <c r="H402" s="3050" t="e">
        <f>G402/F402*100</f>
        <v>#DIV/0!</v>
      </c>
    </row>
    <row r="403" spans="1:9" ht="15.75" hidden="1" thickBot="1" x14ac:dyDescent="0.25">
      <c r="A403" s="1181">
        <v>3122</v>
      </c>
      <c r="B403" s="1187">
        <v>6121</v>
      </c>
      <c r="C403" s="2190" t="s">
        <v>1017</v>
      </c>
      <c r="D403" s="1130" t="s">
        <v>312</v>
      </c>
      <c r="E403" s="1135"/>
      <c r="F403" s="1135"/>
      <c r="G403" s="1135"/>
      <c r="H403" s="3050" t="e">
        <f>G403/F403*100</f>
        <v>#DIV/0!</v>
      </c>
    </row>
    <row r="404" spans="1:9" s="1122" customFormat="1" ht="16.5" thickTop="1" thickBot="1" x14ac:dyDescent="0.3">
      <c r="A404" s="3317" t="s">
        <v>1020</v>
      </c>
      <c r="B404" s="3318"/>
      <c r="C404" s="3318"/>
      <c r="D404" s="3318"/>
      <c r="E404" s="1113">
        <f>SUM(E400:E403)</f>
        <v>200</v>
      </c>
      <c r="F404" s="1113">
        <f>SUM(F400:F403)</f>
        <v>100</v>
      </c>
      <c r="G404" s="1113">
        <f>SUM(G400:G403)</f>
        <v>17</v>
      </c>
      <c r="H404" s="1381">
        <f>G404/F404*100</f>
        <v>17</v>
      </c>
      <c r="I404" s="1194"/>
    </row>
    <row r="405" spans="1:9" s="1122" customFormat="1" ht="15.75" thickTop="1" x14ac:dyDescent="0.25">
      <c r="A405" s="1118"/>
      <c r="B405" s="1118"/>
      <c r="C405" s="1118"/>
      <c r="D405" s="1118"/>
      <c r="E405" s="1119"/>
      <c r="F405" s="1119"/>
      <c r="G405" s="1119"/>
      <c r="H405" s="1138"/>
      <c r="I405" s="1194"/>
    </row>
    <row r="406" spans="1:9" ht="32.25" customHeight="1" x14ac:dyDescent="0.25">
      <c r="A406" s="3335" t="s">
        <v>1720</v>
      </c>
      <c r="B406" s="3334"/>
      <c r="C406" s="3334"/>
      <c r="D406" s="3334"/>
      <c r="E406" s="3334"/>
      <c r="F406" s="3334"/>
      <c r="G406" s="3334"/>
      <c r="H406" s="3334"/>
    </row>
    <row r="407" spans="1:9" ht="16.5" thickBot="1" x14ac:dyDescent="0.3">
      <c r="A407" s="1102" t="s">
        <v>1719</v>
      </c>
      <c r="H407" s="1120" t="s">
        <v>92</v>
      </c>
    </row>
    <row r="408" spans="1:9" s="1037" customFormat="1" ht="25.5" thickTop="1" thickBot="1" x14ac:dyDescent="0.25">
      <c r="A408" s="1104" t="s">
        <v>93</v>
      </c>
      <c r="B408" s="1105" t="s">
        <v>392</v>
      </c>
      <c r="C408" s="1105" t="s">
        <v>209</v>
      </c>
      <c r="D408" s="1106" t="s">
        <v>95</v>
      </c>
      <c r="E408" s="1127" t="s">
        <v>328</v>
      </c>
      <c r="F408" s="1127" t="s">
        <v>329</v>
      </c>
      <c r="G408" s="1128" t="s">
        <v>448</v>
      </c>
      <c r="H408" s="1129" t="s">
        <v>449</v>
      </c>
    </row>
    <row r="409" spans="1:9" s="1037" customFormat="1" ht="13.5" thickTop="1" thickBot="1" x14ac:dyDescent="0.25">
      <c r="A409" s="1042">
        <v>1</v>
      </c>
      <c r="B409" s="1041">
        <v>2</v>
      </c>
      <c r="C409" s="1041">
        <v>3</v>
      </c>
      <c r="D409" s="1041">
        <v>4</v>
      </c>
      <c r="E409" s="1040">
        <v>5</v>
      </c>
      <c r="F409" s="1040">
        <v>6</v>
      </c>
      <c r="G409" s="1164">
        <v>7</v>
      </c>
      <c r="H409" s="1186" t="s">
        <v>33</v>
      </c>
    </row>
    <row r="410" spans="1:9" ht="16.5" thickTop="1" thickBot="1" x14ac:dyDescent="0.25">
      <c r="A410" s="1181">
        <v>3122</v>
      </c>
      <c r="B410" s="1187">
        <v>6121</v>
      </c>
      <c r="C410" s="2190" t="s">
        <v>972</v>
      </c>
      <c r="D410" s="1130" t="s">
        <v>312</v>
      </c>
      <c r="E410" s="1126">
        <v>100</v>
      </c>
      <c r="F410" s="1126">
        <v>100</v>
      </c>
      <c r="G410" s="1126">
        <v>9</v>
      </c>
      <c r="H410" s="3051">
        <f>G410/F410*100</f>
        <v>9</v>
      </c>
    </row>
    <row r="411" spans="1:9" ht="15.75" hidden="1" thickBot="1" x14ac:dyDescent="0.25">
      <c r="A411" s="1181">
        <v>3122</v>
      </c>
      <c r="B411" s="1187">
        <v>6121</v>
      </c>
      <c r="C411" s="2190" t="s">
        <v>1006</v>
      </c>
      <c r="D411" s="1130" t="s">
        <v>312</v>
      </c>
      <c r="E411" s="1135"/>
      <c r="F411" s="1135"/>
      <c r="G411" s="1135"/>
      <c r="H411" s="3050" t="e">
        <f>G411/F411*100</f>
        <v>#DIV/0!</v>
      </c>
    </row>
    <row r="412" spans="1:9" ht="15.75" hidden="1" thickBot="1" x14ac:dyDescent="0.25">
      <c r="A412" s="1181">
        <v>3122</v>
      </c>
      <c r="B412" s="1187">
        <v>6121</v>
      </c>
      <c r="C412" s="2190" t="s">
        <v>1018</v>
      </c>
      <c r="D412" s="1130" t="s">
        <v>312</v>
      </c>
      <c r="E412" s="1135"/>
      <c r="F412" s="1135"/>
      <c r="G412" s="1135"/>
      <c r="H412" s="3050" t="e">
        <f>G412/F412*100</f>
        <v>#DIV/0!</v>
      </c>
    </row>
    <row r="413" spans="1:9" ht="15.75" hidden="1" thickBot="1" x14ac:dyDescent="0.25">
      <c r="A413" s="1181">
        <v>3122</v>
      </c>
      <c r="B413" s="1187">
        <v>6121</v>
      </c>
      <c r="C413" s="2190" t="s">
        <v>1017</v>
      </c>
      <c r="D413" s="1130" t="s">
        <v>312</v>
      </c>
      <c r="E413" s="1135"/>
      <c r="F413" s="1135"/>
      <c r="G413" s="1135"/>
      <c r="H413" s="1384">
        <v>0</v>
      </c>
    </row>
    <row r="414" spans="1:9" s="1122" customFormat="1" ht="16.5" thickTop="1" thickBot="1" x14ac:dyDescent="0.3">
      <c r="A414" s="3317" t="s">
        <v>394</v>
      </c>
      <c r="B414" s="3318"/>
      <c r="C414" s="3318"/>
      <c r="D414" s="3318"/>
      <c r="E414" s="1113">
        <f>SUM(E410:E413)</f>
        <v>100</v>
      </c>
      <c r="F414" s="1113">
        <f>SUM(F410:F413)</f>
        <v>100</v>
      </c>
      <c r="G414" s="1113">
        <f>SUM(G410:G413)</f>
        <v>9</v>
      </c>
      <c r="H414" s="1381">
        <f>G414/F414*100</f>
        <v>9</v>
      </c>
      <c r="I414" s="1194"/>
    </row>
    <row r="415" spans="1:9" s="1122" customFormat="1" ht="15.75" thickTop="1" x14ac:dyDescent="0.25">
      <c r="A415" s="1118"/>
      <c r="B415" s="1118"/>
      <c r="C415" s="1118"/>
      <c r="D415" s="1118"/>
      <c r="E415" s="1119"/>
      <c r="F415" s="1119"/>
      <c r="G415" s="1119"/>
      <c r="H415" s="1138"/>
      <c r="I415" s="1194"/>
    </row>
    <row r="416" spans="1:9" ht="18" hidden="1" x14ac:dyDescent="0.25">
      <c r="A416" s="1103" t="s">
        <v>267</v>
      </c>
      <c r="B416" s="1125"/>
      <c r="C416" s="1125"/>
      <c r="D416" s="1125"/>
      <c r="E416" s="1125"/>
      <c r="F416" s="1125"/>
      <c r="G416" s="1125"/>
      <c r="H416" s="1163"/>
    </row>
    <row r="417" spans="1:9" ht="15.75" hidden="1" x14ac:dyDescent="0.25">
      <c r="A417" s="1102" t="s">
        <v>268</v>
      </c>
      <c r="H417" s="1120" t="s">
        <v>92</v>
      </c>
    </row>
    <row r="418" spans="1:9" s="1037" customFormat="1" ht="25.5" hidden="1" thickTop="1" thickBot="1" x14ac:dyDescent="0.25">
      <c r="A418" s="1104" t="s">
        <v>93</v>
      </c>
      <c r="B418" s="1105" t="s">
        <v>392</v>
      </c>
      <c r="C418" s="1105" t="s">
        <v>209</v>
      </c>
      <c r="D418" s="1106" t="s">
        <v>95</v>
      </c>
      <c r="E418" s="1127" t="s">
        <v>328</v>
      </c>
      <c r="F418" s="1127" t="s">
        <v>329</v>
      </c>
      <c r="G418" s="1128" t="s">
        <v>448</v>
      </c>
      <c r="H418" s="1129" t="s">
        <v>449</v>
      </c>
    </row>
    <row r="419" spans="1:9" s="1037" customFormat="1" ht="13.5" hidden="1" thickTop="1" thickBot="1" x14ac:dyDescent="0.25">
      <c r="A419" s="1042">
        <v>1</v>
      </c>
      <c r="B419" s="1041">
        <v>2</v>
      </c>
      <c r="C419" s="1041">
        <v>3</v>
      </c>
      <c r="D419" s="1041">
        <v>4</v>
      </c>
      <c r="E419" s="1040">
        <v>5</v>
      </c>
      <c r="F419" s="1040">
        <v>6</v>
      </c>
      <c r="G419" s="1164">
        <v>7</v>
      </c>
      <c r="H419" s="1186" t="s">
        <v>33</v>
      </c>
    </row>
    <row r="420" spans="1:9" ht="15.75" hidden="1" thickTop="1" x14ac:dyDescent="0.2">
      <c r="A420" s="1181">
        <v>4357</v>
      </c>
      <c r="B420" s="1187">
        <v>6121</v>
      </c>
      <c r="C420" s="1190">
        <v>53100874</v>
      </c>
      <c r="D420" s="1130" t="s">
        <v>312</v>
      </c>
      <c r="E420" s="1126"/>
      <c r="F420" s="1126"/>
      <c r="G420" s="1126"/>
      <c r="H420" s="1116" t="e">
        <f t="shared" ref="H420:H426" si="18">G420/F420*100</f>
        <v>#DIV/0!</v>
      </c>
    </row>
    <row r="421" spans="1:9" ht="15" hidden="1" x14ac:dyDescent="0.2">
      <c r="A421" s="1181">
        <v>4357</v>
      </c>
      <c r="B421" s="1187">
        <v>6121</v>
      </c>
      <c r="C421" s="1190">
        <v>54100870</v>
      </c>
      <c r="D421" s="1130" t="s">
        <v>312</v>
      </c>
      <c r="E421" s="1135"/>
      <c r="F421" s="1135"/>
      <c r="G421" s="1135"/>
      <c r="H421" s="1116" t="e">
        <f t="shared" si="18"/>
        <v>#DIV/0!</v>
      </c>
    </row>
    <row r="422" spans="1:9" ht="15" hidden="1" x14ac:dyDescent="0.2">
      <c r="A422" s="1181">
        <v>4357</v>
      </c>
      <c r="B422" s="1187">
        <v>6121</v>
      </c>
      <c r="C422" s="1190">
        <v>54100872</v>
      </c>
      <c r="D422" s="1130" t="s">
        <v>312</v>
      </c>
      <c r="E422" s="1135"/>
      <c r="F422" s="1135"/>
      <c r="G422" s="1135"/>
      <c r="H422" s="1116" t="e">
        <f t="shared" si="18"/>
        <v>#DIV/0!</v>
      </c>
    </row>
    <row r="423" spans="1:9" ht="15" hidden="1" x14ac:dyDescent="0.2">
      <c r="A423" s="1181">
        <v>4357</v>
      </c>
      <c r="B423" s="1187">
        <v>6121</v>
      </c>
      <c r="C423" s="1190">
        <v>54100874</v>
      </c>
      <c r="D423" s="1130" t="s">
        <v>312</v>
      </c>
      <c r="E423" s="1135"/>
      <c r="F423" s="1135"/>
      <c r="G423" s="1135"/>
      <c r="H423" s="1116" t="e">
        <f t="shared" si="18"/>
        <v>#DIV/0!</v>
      </c>
    </row>
    <row r="424" spans="1:9" ht="15" hidden="1" x14ac:dyDescent="0.2">
      <c r="A424" s="1181">
        <v>4357</v>
      </c>
      <c r="B424" s="1187">
        <v>6121</v>
      </c>
      <c r="C424" s="1190">
        <v>54100884</v>
      </c>
      <c r="D424" s="1130" t="s">
        <v>312</v>
      </c>
      <c r="E424" s="1135"/>
      <c r="F424" s="1135"/>
      <c r="G424" s="1135"/>
      <c r="H424" s="1116" t="e">
        <f t="shared" si="18"/>
        <v>#DIV/0!</v>
      </c>
    </row>
    <row r="425" spans="1:9" ht="15" hidden="1" x14ac:dyDescent="0.2">
      <c r="A425" s="1181">
        <v>4357</v>
      </c>
      <c r="B425" s="1187">
        <v>6121</v>
      </c>
      <c r="C425" s="1190">
        <v>54190877</v>
      </c>
      <c r="D425" s="1130" t="s">
        <v>312</v>
      </c>
      <c r="E425" s="1135"/>
      <c r="F425" s="1135"/>
      <c r="G425" s="1135"/>
      <c r="H425" s="1116" t="e">
        <f t="shared" si="18"/>
        <v>#DIV/0!</v>
      </c>
    </row>
    <row r="426" spans="1:9" ht="15" hidden="1" x14ac:dyDescent="0.2">
      <c r="A426" s="1181">
        <v>4357</v>
      </c>
      <c r="B426" s="1187">
        <v>6121</v>
      </c>
      <c r="C426" s="1190">
        <v>54500871</v>
      </c>
      <c r="D426" s="1130" t="s">
        <v>312</v>
      </c>
      <c r="E426" s="1135"/>
      <c r="F426" s="1135"/>
      <c r="G426" s="1135"/>
      <c r="H426" s="1116" t="e">
        <f t="shared" si="18"/>
        <v>#DIV/0!</v>
      </c>
    </row>
    <row r="427" spans="1:9" ht="15.75" hidden="1" thickBot="1" x14ac:dyDescent="0.25">
      <c r="A427" s="1181">
        <v>4357</v>
      </c>
      <c r="B427" s="1187">
        <v>6121</v>
      </c>
      <c r="C427" s="1190">
        <v>54515835</v>
      </c>
      <c r="D427" s="1130" t="s">
        <v>312</v>
      </c>
      <c r="E427" s="1135"/>
      <c r="F427" s="1135"/>
      <c r="G427" s="1135"/>
      <c r="H427" s="1121">
        <v>0</v>
      </c>
    </row>
    <row r="428" spans="1:9" s="1122" customFormat="1" ht="16.5" hidden="1" thickTop="1" thickBot="1" x14ac:dyDescent="0.3">
      <c r="A428" s="3317" t="s">
        <v>394</v>
      </c>
      <c r="B428" s="3318"/>
      <c r="C428" s="3318"/>
      <c r="D428" s="3318"/>
      <c r="E428" s="1113">
        <f>SUM(E420:E427)</f>
        <v>0</v>
      </c>
      <c r="F428" s="1113">
        <f>SUM(F420:F427)</f>
        <v>0</v>
      </c>
      <c r="G428" s="1113">
        <f>SUM(G420:G427)</f>
        <v>0</v>
      </c>
      <c r="H428" s="1117" t="e">
        <f>G428/F428*100</f>
        <v>#DIV/0!</v>
      </c>
      <c r="I428" s="1194"/>
    </row>
    <row r="429" spans="1:9" s="1122" customFormat="1" ht="15" hidden="1" x14ac:dyDescent="0.25">
      <c r="A429" s="1118"/>
      <c r="B429" s="1118"/>
      <c r="C429" s="1118"/>
      <c r="D429" s="1118"/>
      <c r="E429" s="1119"/>
      <c r="F429" s="1119"/>
      <c r="G429" s="1119"/>
      <c r="H429" s="1138"/>
      <c r="I429" s="1194"/>
    </row>
    <row r="430" spans="1:9" ht="18" x14ac:dyDescent="0.25">
      <c r="A430" s="1103" t="s">
        <v>1722</v>
      </c>
      <c r="B430" s="1125"/>
      <c r="C430" s="1125"/>
      <c r="D430" s="1125"/>
      <c r="E430" s="1125"/>
      <c r="F430" s="1125"/>
      <c r="G430" s="1125"/>
      <c r="H430" s="1163"/>
    </row>
    <row r="431" spans="1:9" ht="16.5" thickBot="1" x14ac:dyDescent="0.3">
      <c r="A431" s="1102" t="s">
        <v>1721</v>
      </c>
      <c r="H431" s="1120" t="s">
        <v>92</v>
      </c>
    </row>
    <row r="432" spans="1:9" s="1037" customFormat="1" ht="25.5" thickTop="1" thickBot="1" x14ac:dyDescent="0.25">
      <c r="A432" s="1104" t="s">
        <v>93</v>
      </c>
      <c r="B432" s="1105" t="s">
        <v>392</v>
      </c>
      <c r="C432" s="1105" t="s">
        <v>209</v>
      </c>
      <c r="D432" s="1106" t="s">
        <v>95</v>
      </c>
      <c r="E432" s="1127" t="s">
        <v>328</v>
      </c>
      <c r="F432" s="1127" t="s">
        <v>329</v>
      </c>
      <c r="G432" s="1128" t="s">
        <v>448</v>
      </c>
      <c r="H432" s="1129" t="s">
        <v>449</v>
      </c>
    </row>
    <row r="433" spans="1:10" s="1037" customFormat="1" ht="13.5" thickTop="1" thickBot="1" x14ac:dyDescent="0.25">
      <c r="A433" s="1042">
        <v>1</v>
      </c>
      <c r="B433" s="1041">
        <v>2</v>
      </c>
      <c r="C433" s="1041">
        <v>3</v>
      </c>
      <c r="D433" s="1041">
        <v>4</v>
      </c>
      <c r="E433" s="1040">
        <v>5</v>
      </c>
      <c r="F433" s="1040">
        <v>6</v>
      </c>
      <c r="G433" s="1164">
        <v>7</v>
      </c>
      <c r="H433" s="1186" t="s">
        <v>33</v>
      </c>
    </row>
    <row r="434" spans="1:10" ht="16.5" thickTop="1" thickBot="1" x14ac:dyDescent="0.25">
      <c r="A434" s="1181">
        <v>3122</v>
      </c>
      <c r="B434" s="1187">
        <v>6121</v>
      </c>
      <c r="C434" s="2190" t="s">
        <v>972</v>
      </c>
      <c r="D434" s="1130" t="s">
        <v>312</v>
      </c>
      <c r="E434" s="1126">
        <v>200</v>
      </c>
      <c r="F434" s="1126">
        <v>188</v>
      </c>
      <c r="G434" s="1126">
        <v>95</v>
      </c>
      <c r="H434" s="3051">
        <f>G434/F434*100</f>
        <v>50.531914893617028</v>
      </c>
    </row>
    <row r="435" spans="1:10" ht="15.75" hidden="1" thickBot="1" x14ac:dyDescent="0.25">
      <c r="A435" s="1181">
        <v>4357</v>
      </c>
      <c r="B435" s="1187">
        <v>6121</v>
      </c>
      <c r="C435" s="1190">
        <v>53100872</v>
      </c>
      <c r="D435" s="1130" t="s">
        <v>312</v>
      </c>
      <c r="E435" s="1135"/>
      <c r="F435" s="1135"/>
      <c r="G435" s="1135"/>
      <c r="H435" s="3050" t="e">
        <f>G435/F435*100</f>
        <v>#DIV/0!</v>
      </c>
      <c r="J435" s="1139"/>
    </row>
    <row r="436" spans="1:10" ht="15.75" hidden="1" thickBot="1" x14ac:dyDescent="0.25">
      <c r="A436" s="1181">
        <v>4357</v>
      </c>
      <c r="B436" s="1187">
        <v>6121</v>
      </c>
      <c r="C436" s="1190">
        <v>53100874</v>
      </c>
      <c r="D436" s="1130" t="s">
        <v>312</v>
      </c>
      <c r="E436" s="1135"/>
      <c r="F436" s="1135"/>
      <c r="G436" s="1135"/>
      <c r="H436" s="3050" t="e">
        <f>G436/F436*100</f>
        <v>#DIV/0!</v>
      </c>
    </row>
    <row r="437" spans="1:10" ht="15.75" hidden="1" thickBot="1" x14ac:dyDescent="0.25">
      <c r="A437" s="1181">
        <v>4357</v>
      </c>
      <c r="B437" s="1187">
        <v>6121</v>
      </c>
      <c r="C437" s="1190">
        <v>53500871</v>
      </c>
      <c r="D437" s="1130" t="s">
        <v>312</v>
      </c>
      <c r="E437" s="1135"/>
      <c r="F437" s="1135"/>
      <c r="G437" s="1135"/>
      <c r="H437" s="3050" t="e">
        <f>G437/F437*100</f>
        <v>#DIV/0!</v>
      </c>
    </row>
    <row r="438" spans="1:10" ht="15" hidden="1" customHeight="1" x14ac:dyDescent="0.2">
      <c r="A438" s="1181">
        <v>4357</v>
      </c>
      <c r="B438" s="1187">
        <v>6121</v>
      </c>
      <c r="C438" s="2190" t="s">
        <v>971</v>
      </c>
      <c r="D438" s="1130" t="s">
        <v>312</v>
      </c>
      <c r="E438" s="1135"/>
      <c r="F438" s="1135"/>
      <c r="G438" s="1135"/>
      <c r="H438" s="3050">
        <v>0</v>
      </c>
    </row>
    <row r="439" spans="1:10" ht="15.75" hidden="1" thickBot="1" x14ac:dyDescent="0.25">
      <c r="A439" s="1181">
        <v>4357</v>
      </c>
      <c r="B439" s="1187">
        <v>6121</v>
      </c>
      <c r="C439" s="2190" t="s">
        <v>1019</v>
      </c>
      <c r="D439" s="1130" t="s">
        <v>312</v>
      </c>
      <c r="E439" s="1135"/>
      <c r="F439" s="1135"/>
      <c r="G439" s="1135"/>
      <c r="H439" s="3050" t="e">
        <f t="shared" ref="H439:H444" si="19">G439/F439*100</f>
        <v>#DIV/0!</v>
      </c>
    </row>
    <row r="440" spans="1:10" ht="15.75" hidden="1" thickBot="1" x14ac:dyDescent="0.25">
      <c r="A440" s="1181">
        <v>4357</v>
      </c>
      <c r="B440" s="1187">
        <v>6121</v>
      </c>
      <c r="C440" s="1190">
        <v>54100880</v>
      </c>
      <c r="D440" s="1130" t="s">
        <v>312</v>
      </c>
      <c r="E440" s="1135"/>
      <c r="F440" s="1135"/>
      <c r="G440" s="1135"/>
      <c r="H440" s="3050" t="e">
        <f t="shared" si="19"/>
        <v>#DIV/0!</v>
      </c>
    </row>
    <row r="441" spans="1:10" ht="15.75" hidden="1" thickBot="1" x14ac:dyDescent="0.25">
      <c r="A441" s="1181">
        <v>4357</v>
      </c>
      <c r="B441" s="1187">
        <v>6121</v>
      </c>
      <c r="C441" s="1190">
        <v>54100884</v>
      </c>
      <c r="D441" s="1130" t="s">
        <v>312</v>
      </c>
      <c r="E441" s="1135"/>
      <c r="F441" s="1135"/>
      <c r="G441" s="1135"/>
      <c r="H441" s="3050" t="e">
        <f t="shared" si="19"/>
        <v>#DIV/0!</v>
      </c>
    </row>
    <row r="442" spans="1:10" ht="15.75" hidden="1" thickBot="1" x14ac:dyDescent="0.25">
      <c r="A442" s="1181">
        <v>4357</v>
      </c>
      <c r="B442" s="1187">
        <v>6121</v>
      </c>
      <c r="C442" s="1190">
        <v>54190877</v>
      </c>
      <c r="D442" s="1130" t="s">
        <v>312</v>
      </c>
      <c r="E442" s="1135"/>
      <c r="F442" s="1135"/>
      <c r="G442" s="1135"/>
      <c r="H442" s="3050" t="e">
        <f t="shared" si="19"/>
        <v>#DIV/0!</v>
      </c>
    </row>
    <row r="443" spans="1:10" ht="15.75" hidden="1" thickBot="1" x14ac:dyDescent="0.3">
      <c r="A443" s="1181">
        <v>6330</v>
      </c>
      <c r="B443" s="1187">
        <v>5345</v>
      </c>
      <c r="C443" s="1190">
        <v>0</v>
      </c>
      <c r="D443" s="1172" t="s">
        <v>397</v>
      </c>
      <c r="E443" s="1135">
        <v>0</v>
      </c>
      <c r="F443" s="1135">
        <v>0</v>
      </c>
      <c r="G443" s="1135">
        <v>0</v>
      </c>
      <c r="H443" s="1384" t="e">
        <f t="shared" si="19"/>
        <v>#DIV/0!</v>
      </c>
    </row>
    <row r="444" spans="1:10" s="1122" customFormat="1" ht="16.5" thickTop="1" thickBot="1" x14ac:dyDescent="0.3">
      <c r="A444" s="3317" t="s">
        <v>394</v>
      </c>
      <c r="B444" s="3318"/>
      <c r="C444" s="3318"/>
      <c r="D444" s="3318"/>
      <c r="E444" s="1113">
        <f>SUM(E434:E443)</f>
        <v>200</v>
      </c>
      <c r="F444" s="1113">
        <f>SUM(F434:F443)</f>
        <v>188</v>
      </c>
      <c r="G444" s="1113">
        <f>SUM(G434:G443)</f>
        <v>95</v>
      </c>
      <c r="H444" s="1381">
        <f t="shared" si="19"/>
        <v>50.531914893617028</v>
      </c>
      <c r="I444" s="1194"/>
    </row>
    <row r="445" spans="1:10" s="1122" customFormat="1" ht="15.75" thickTop="1" x14ac:dyDescent="0.25">
      <c r="A445" s="1118"/>
      <c r="B445" s="1118"/>
      <c r="C445" s="1118"/>
      <c r="D445" s="1118"/>
      <c r="E445" s="1119"/>
      <c r="F445" s="1119"/>
      <c r="G445" s="1119"/>
      <c r="H445" s="1138"/>
      <c r="I445" s="1194"/>
    </row>
    <row r="446" spans="1:10" ht="18" hidden="1" x14ac:dyDescent="0.25">
      <c r="A446" s="1103" t="s">
        <v>269</v>
      </c>
      <c r="B446" s="1125"/>
      <c r="C446" s="1125"/>
      <c r="D446" s="1125"/>
      <c r="E446" s="1125"/>
      <c r="F446" s="1125"/>
      <c r="G446" s="1125"/>
      <c r="H446" s="1163"/>
    </row>
    <row r="447" spans="1:10" ht="15.75" hidden="1" x14ac:dyDescent="0.25">
      <c r="A447" s="1102" t="s">
        <v>270</v>
      </c>
      <c r="H447" s="1120" t="s">
        <v>92</v>
      </c>
    </row>
    <row r="448" spans="1:10" s="1037" customFormat="1" ht="25.5" hidden="1" thickTop="1" thickBot="1" x14ac:dyDescent="0.25">
      <c r="A448" s="1104" t="s">
        <v>93</v>
      </c>
      <c r="B448" s="1105" t="s">
        <v>392</v>
      </c>
      <c r="C448" s="1105" t="s">
        <v>209</v>
      </c>
      <c r="D448" s="1106" t="s">
        <v>95</v>
      </c>
      <c r="E448" s="1127" t="s">
        <v>328</v>
      </c>
      <c r="F448" s="1127" t="s">
        <v>329</v>
      </c>
      <c r="G448" s="1128" t="s">
        <v>448</v>
      </c>
      <c r="H448" s="1129" t="s">
        <v>449</v>
      </c>
    </row>
    <row r="449" spans="1:9" s="1037" customFormat="1" ht="13.5" hidden="1" thickTop="1" thickBot="1" x14ac:dyDescent="0.25">
      <c r="A449" s="1042">
        <v>1</v>
      </c>
      <c r="B449" s="1041">
        <v>2</v>
      </c>
      <c r="C449" s="1041">
        <v>3</v>
      </c>
      <c r="D449" s="1041">
        <v>4</v>
      </c>
      <c r="E449" s="1040">
        <v>5</v>
      </c>
      <c r="F449" s="1040">
        <v>6</v>
      </c>
      <c r="G449" s="1164">
        <v>7</v>
      </c>
      <c r="H449" s="1186" t="s">
        <v>33</v>
      </c>
    </row>
    <row r="450" spans="1:9" ht="15.75" hidden="1" thickTop="1" x14ac:dyDescent="0.2">
      <c r="A450" s="1181">
        <v>4357</v>
      </c>
      <c r="B450" s="1187">
        <v>6121</v>
      </c>
      <c r="C450" s="1190">
        <v>53100870</v>
      </c>
      <c r="D450" s="1130" t="s">
        <v>312</v>
      </c>
      <c r="E450" s="1126">
        <v>0</v>
      </c>
      <c r="F450" s="1126">
        <v>0</v>
      </c>
      <c r="G450" s="1126">
        <v>0</v>
      </c>
      <c r="H450" s="1114" t="e">
        <f t="shared" ref="H450:H456" si="20">G450/F450*100</f>
        <v>#DIV/0!</v>
      </c>
    </row>
    <row r="451" spans="1:9" ht="15" hidden="1" x14ac:dyDescent="0.2">
      <c r="A451" s="1181">
        <v>4357</v>
      </c>
      <c r="B451" s="1187">
        <v>6121</v>
      </c>
      <c r="C451" s="1190">
        <v>53100872</v>
      </c>
      <c r="D451" s="1130" t="s">
        <v>312</v>
      </c>
      <c r="E451" s="1135">
        <v>0</v>
      </c>
      <c r="F451" s="1135">
        <v>0</v>
      </c>
      <c r="G451" s="1135">
        <v>0</v>
      </c>
      <c r="H451" s="1116" t="e">
        <f t="shared" si="20"/>
        <v>#DIV/0!</v>
      </c>
    </row>
    <row r="452" spans="1:9" ht="15" hidden="1" x14ac:dyDescent="0.2">
      <c r="A452" s="1181">
        <v>4357</v>
      </c>
      <c r="B452" s="1187">
        <v>6121</v>
      </c>
      <c r="C452" s="1190">
        <v>53100874</v>
      </c>
      <c r="D452" s="1130" t="s">
        <v>312</v>
      </c>
      <c r="E452" s="1135">
        <v>0</v>
      </c>
      <c r="F452" s="1135">
        <v>0</v>
      </c>
      <c r="G452" s="1135">
        <v>0</v>
      </c>
      <c r="H452" s="1116" t="e">
        <f t="shared" si="20"/>
        <v>#DIV/0!</v>
      </c>
    </row>
    <row r="453" spans="1:9" ht="15" hidden="1" x14ac:dyDescent="0.2">
      <c r="A453" s="1181">
        <v>4357</v>
      </c>
      <c r="B453" s="1187">
        <v>6121</v>
      </c>
      <c r="C453" s="1190">
        <v>53190877</v>
      </c>
      <c r="D453" s="1130" t="s">
        <v>312</v>
      </c>
      <c r="E453" s="1135">
        <v>0</v>
      </c>
      <c r="F453" s="1135">
        <v>0</v>
      </c>
      <c r="G453" s="1135">
        <v>0</v>
      </c>
      <c r="H453" s="1116" t="e">
        <f t="shared" si="20"/>
        <v>#DIV/0!</v>
      </c>
    </row>
    <row r="454" spans="1:9" ht="15" hidden="1" x14ac:dyDescent="0.2">
      <c r="A454" s="1181">
        <v>4357</v>
      </c>
      <c r="B454" s="1187">
        <v>6121</v>
      </c>
      <c r="C454" s="1190">
        <v>53500871</v>
      </c>
      <c r="D454" s="1130" t="s">
        <v>312</v>
      </c>
      <c r="E454" s="1135">
        <v>0</v>
      </c>
      <c r="F454" s="1135">
        <v>0</v>
      </c>
      <c r="G454" s="1135">
        <v>0</v>
      </c>
      <c r="H454" s="1116" t="e">
        <f t="shared" si="20"/>
        <v>#DIV/0!</v>
      </c>
    </row>
    <row r="455" spans="1:9" ht="15" hidden="1" x14ac:dyDescent="0.2">
      <c r="A455" s="1181">
        <v>4357</v>
      </c>
      <c r="B455" s="1187">
        <v>6121</v>
      </c>
      <c r="C455" s="1190">
        <v>53515835</v>
      </c>
      <c r="D455" s="1130" t="s">
        <v>312</v>
      </c>
      <c r="E455" s="1135">
        <v>0</v>
      </c>
      <c r="F455" s="1135">
        <v>0</v>
      </c>
      <c r="G455" s="1135">
        <v>0</v>
      </c>
      <c r="H455" s="1116" t="e">
        <f t="shared" si="20"/>
        <v>#DIV/0!</v>
      </c>
    </row>
    <row r="456" spans="1:9" s="1122" customFormat="1" ht="16.5" hidden="1" thickTop="1" thickBot="1" x14ac:dyDescent="0.3">
      <c r="A456" s="3317" t="s">
        <v>394</v>
      </c>
      <c r="B456" s="3318"/>
      <c r="C456" s="3318"/>
      <c r="D456" s="3318"/>
      <c r="E456" s="1113">
        <f>SUM(E450:E454)</f>
        <v>0</v>
      </c>
      <c r="F456" s="1113">
        <f>SUM(F450:F455)</f>
        <v>0</v>
      </c>
      <c r="G456" s="1113">
        <f>SUM(G450:G455)</f>
        <v>0</v>
      </c>
      <c r="H456" s="1117" t="e">
        <f t="shared" si="20"/>
        <v>#DIV/0!</v>
      </c>
      <c r="I456" s="1194"/>
    </row>
    <row r="457" spans="1:9" s="1122" customFormat="1" ht="15" hidden="1" x14ac:dyDescent="0.25">
      <c r="A457" s="1118"/>
      <c r="B457" s="1118"/>
      <c r="C457" s="1118"/>
      <c r="D457" s="1118"/>
      <c r="E457" s="1119"/>
      <c r="F457" s="1119"/>
      <c r="G457" s="1119"/>
      <c r="H457" s="1138"/>
      <c r="I457" s="1194"/>
    </row>
    <row r="458" spans="1:9" ht="18" hidden="1" x14ac:dyDescent="0.25">
      <c r="A458" s="1103" t="s">
        <v>271</v>
      </c>
      <c r="B458" s="1125"/>
      <c r="C458" s="1125"/>
      <c r="D458" s="1125"/>
      <c r="E458" s="1125"/>
      <c r="F458" s="1125"/>
      <c r="G458" s="1125"/>
      <c r="H458" s="1163"/>
    </row>
    <row r="459" spans="1:9" ht="15.75" hidden="1" x14ac:dyDescent="0.25">
      <c r="A459" s="1102" t="s">
        <v>272</v>
      </c>
      <c r="H459" s="1120" t="s">
        <v>92</v>
      </c>
    </row>
    <row r="460" spans="1:9" s="1037" customFormat="1" ht="25.5" hidden="1" thickTop="1" thickBot="1" x14ac:dyDescent="0.25">
      <c r="A460" s="1104" t="s">
        <v>93</v>
      </c>
      <c r="B460" s="1105" t="s">
        <v>392</v>
      </c>
      <c r="C460" s="1105" t="s">
        <v>209</v>
      </c>
      <c r="D460" s="1106" t="s">
        <v>95</v>
      </c>
      <c r="E460" s="1127" t="s">
        <v>328</v>
      </c>
      <c r="F460" s="1127" t="s">
        <v>329</v>
      </c>
      <c r="G460" s="1128" t="s">
        <v>448</v>
      </c>
      <c r="H460" s="1129" t="s">
        <v>449</v>
      </c>
    </row>
    <row r="461" spans="1:9" s="1037" customFormat="1" ht="13.5" hidden="1" thickTop="1" thickBot="1" x14ac:dyDescent="0.25">
      <c r="A461" s="1042">
        <v>1</v>
      </c>
      <c r="B461" s="1041">
        <v>2</v>
      </c>
      <c r="C461" s="1041">
        <v>3</v>
      </c>
      <c r="D461" s="1041">
        <v>4</v>
      </c>
      <c r="E461" s="1040">
        <v>5</v>
      </c>
      <c r="F461" s="1040">
        <v>6</v>
      </c>
      <c r="G461" s="1164">
        <v>7</v>
      </c>
      <c r="H461" s="1186" t="s">
        <v>33</v>
      </c>
    </row>
    <row r="462" spans="1:9" ht="15.75" hidden="1" thickTop="1" x14ac:dyDescent="0.2">
      <c r="A462" s="1181">
        <v>4357</v>
      </c>
      <c r="B462" s="1187">
        <v>6121</v>
      </c>
      <c r="C462" s="1190">
        <v>53100874</v>
      </c>
      <c r="D462" s="1130" t="s">
        <v>312</v>
      </c>
      <c r="E462" s="1126"/>
      <c r="F462" s="1126"/>
      <c r="G462" s="1126"/>
      <c r="H462" s="1114" t="e">
        <f>G462/F462*100</f>
        <v>#DIV/0!</v>
      </c>
    </row>
    <row r="463" spans="1:9" ht="15" hidden="1" x14ac:dyDescent="0.2">
      <c r="A463" s="1181">
        <v>4357</v>
      </c>
      <c r="B463" s="1187">
        <v>6121</v>
      </c>
      <c r="C463" s="1190">
        <v>54100870</v>
      </c>
      <c r="D463" s="1130" t="s">
        <v>312</v>
      </c>
      <c r="E463" s="1135"/>
      <c r="F463" s="1135"/>
      <c r="G463" s="1135"/>
      <c r="H463" s="1116" t="e">
        <f>G463/F463*100</f>
        <v>#DIV/0!</v>
      </c>
    </row>
    <row r="464" spans="1:9" ht="15" hidden="1" x14ac:dyDescent="0.2">
      <c r="A464" s="1181">
        <v>4357</v>
      </c>
      <c r="B464" s="1187">
        <v>6121</v>
      </c>
      <c r="C464" s="1190">
        <v>54100872</v>
      </c>
      <c r="D464" s="1130" t="s">
        <v>312</v>
      </c>
      <c r="E464" s="1135"/>
      <c r="F464" s="1135"/>
      <c r="G464" s="1135"/>
      <c r="H464" s="1116">
        <v>0</v>
      </c>
    </row>
    <row r="465" spans="1:10" ht="15" hidden="1" x14ac:dyDescent="0.2">
      <c r="A465" s="1181">
        <v>4357</v>
      </c>
      <c r="B465" s="1187">
        <v>6121</v>
      </c>
      <c r="C465" s="1190">
        <v>54100874</v>
      </c>
      <c r="D465" s="1130" t="s">
        <v>312</v>
      </c>
      <c r="E465" s="1135"/>
      <c r="F465" s="1135"/>
      <c r="G465" s="1135"/>
      <c r="H465" s="1116" t="e">
        <f t="shared" ref="H465:H471" si="21">G465/F465*100</f>
        <v>#DIV/0!</v>
      </c>
    </row>
    <row r="466" spans="1:10" ht="15" hidden="1" x14ac:dyDescent="0.2">
      <c r="A466" s="1181">
        <v>4357</v>
      </c>
      <c r="B466" s="1187">
        <v>6121</v>
      </c>
      <c r="C466" s="1190">
        <v>54100880</v>
      </c>
      <c r="D466" s="1130" t="s">
        <v>312</v>
      </c>
      <c r="E466" s="1135"/>
      <c r="F466" s="1135"/>
      <c r="G466" s="1135"/>
      <c r="H466" s="1116" t="e">
        <f t="shared" si="21"/>
        <v>#DIV/0!</v>
      </c>
    </row>
    <row r="467" spans="1:10" ht="15" hidden="1" x14ac:dyDescent="0.2">
      <c r="A467" s="1181">
        <v>4357</v>
      </c>
      <c r="B467" s="1187">
        <v>6121</v>
      </c>
      <c r="C467" s="1190">
        <v>54100884</v>
      </c>
      <c r="D467" s="1130" t="s">
        <v>312</v>
      </c>
      <c r="E467" s="1135"/>
      <c r="F467" s="1135"/>
      <c r="G467" s="1135"/>
      <c r="H467" s="1116" t="e">
        <f t="shared" si="21"/>
        <v>#DIV/0!</v>
      </c>
    </row>
    <row r="468" spans="1:10" ht="15" hidden="1" x14ac:dyDescent="0.2">
      <c r="A468" s="1181">
        <v>4357</v>
      </c>
      <c r="B468" s="1187">
        <v>6121</v>
      </c>
      <c r="C468" s="1190">
        <v>54190877</v>
      </c>
      <c r="D468" s="1130" t="s">
        <v>312</v>
      </c>
      <c r="E468" s="1135"/>
      <c r="F468" s="1135"/>
      <c r="G468" s="1135"/>
      <c r="H468" s="1116" t="e">
        <f t="shared" si="21"/>
        <v>#DIV/0!</v>
      </c>
    </row>
    <row r="469" spans="1:10" ht="15" hidden="1" x14ac:dyDescent="0.2">
      <c r="A469" s="1181">
        <v>4357</v>
      </c>
      <c r="B469" s="1187">
        <v>6121</v>
      </c>
      <c r="C469" s="1190">
        <v>54500871</v>
      </c>
      <c r="D469" s="1130" t="s">
        <v>312</v>
      </c>
      <c r="E469" s="1135"/>
      <c r="F469" s="1135"/>
      <c r="G469" s="1135"/>
      <c r="H469" s="1116" t="e">
        <f t="shared" si="21"/>
        <v>#DIV/0!</v>
      </c>
    </row>
    <row r="470" spans="1:10" ht="15" hidden="1" x14ac:dyDescent="0.2">
      <c r="A470" s="1181">
        <v>4357</v>
      </c>
      <c r="B470" s="1187">
        <v>6121</v>
      </c>
      <c r="C470" s="1190">
        <v>54515835</v>
      </c>
      <c r="D470" s="1130" t="s">
        <v>312</v>
      </c>
      <c r="E470" s="1135"/>
      <c r="F470" s="1135"/>
      <c r="G470" s="1135"/>
      <c r="H470" s="1116" t="e">
        <f t="shared" si="21"/>
        <v>#DIV/0!</v>
      </c>
    </row>
    <row r="471" spans="1:10" s="1122" customFormat="1" ht="16.5" hidden="1" thickTop="1" thickBot="1" x14ac:dyDescent="0.3">
      <c r="A471" s="3317" t="s">
        <v>394</v>
      </c>
      <c r="B471" s="3318"/>
      <c r="C471" s="3318"/>
      <c r="D471" s="3318"/>
      <c r="E471" s="1113">
        <f>SUM(E462:E470)</f>
        <v>0</v>
      </c>
      <c r="F471" s="1113">
        <f>SUM(F462:F470)</f>
        <v>0</v>
      </c>
      <c r="G471" s="1113">
        <f>SUM(G462:G470)</f>
        <v>0</v>
      </c>
      <c r="H471" s="1117" t="e">
        <f t="shared" si="21"/>
        <v>#DIV/0!</v>
      </c>
      <c r="I471" s="1194"/>
    </row>
    <row r="472" spans="1:10" s="1122" customFormat="1" ht="15" hidden="1" x14ac:dyDescent="0.25">
      <c r="A472" s="1118"/>
      <c r="B472" s="1118"/>
      <c r="C472" s="1118"/>
      <c r="D472" s="1118"/>
      <c r="E472" s="1119"/>
      <c r="F472" s="1119"/>
      <c r="G472" s="1119"/>
      <c r="H472" s="1138"/>
      <c r="I472" s="1194"/>
    </row>
    <row r="473" spans="1:10" ht="18" hidden="1" x14ac:dyDescent="0.25">
      <c r="A473" s="1103" t="s">
        <v>734</v>
      </c>
      <c r="B473" s="1125"/>
      <c r="C473" s="1125"/>
      <c r="D473" s="1125"/>
      <c r="E473" s="1125"/>
      <c r="F473" s="1125"/>
      <c r="G473" s="1125"/>
      <c r="H473" s="1163"/>
    </row>
    <row r="474" spans="1:10" ht="15.75" hidden="1" x14ac:dyDescent="0.25">
      <c r="A474" s="1102" t="s">
        <v>735</v>
      </c>
      <c r="H474" s="1120" t="s">
        <v>92</v>
      </c>
    </row>
    <row r="475" spans="1:10" s="1037" customFormat="1" ht="25.5" hidden="1" thickTop="1" thickBot="1" x14ac:dyDescent="0.25">
      <c r="A475" s="1104" t="s">
        <v>93</v>
      </c>
      <c r="B475" s="1105" t="s">
        <v>392</v>
      </c>
      <c r="C475" s="1105" t="s">
        <v>209</v>
      </c>
      <c r="D475" s="1106" t="s">
        <v>95</v>
      </c>
      <c r="E475" s="1127" t="s">
        <v>328</v>
      </c>
      <c r="F475" s="1127" t="s">
        <v>329</v>
      </c>
      <c r="G475" s="1128" t="s">
        <v>448</v>
      </c>
      <c r="H475" s="1129" t="s">
        <v>449</v>
      </c>
    </row>
    <row r="476" spans="1:10" s="1037" customFormat="1" ht="13.5" hidden="1" thickTop="1" thickBot="1" x14ac:dyDescent="0.25">
      <c r="A476" s="1042">
        <v>1</v>
      </c>
      <c r="B476" s="1041">
        <v>2</v>
      </c>
      <c r="C476" s="1041">
        <v>3</v>
      </c>
      <c r="D476" s="1041">
        <v>4</v>
      </c>
      <c r="E476" s="1040">
        <v>5</v>
      </c>
      <c r="F476" s="1040">
        <v>6</v>
      </c>
      <c r="G476" s="1164">
        <v>7</v>
      </c>
      <c r="H476" s="1186" t="s">
        <v>33</v>
      </c>
    </row>
    <row r="477" spans="1:10" ht="15.75" hidden="1" thickTop="1" x14ac:dyDescent="0.2">
      <c r="A477" s="1181">
        <v>3122</v>
      </c>
      <c r="B477" s="1187">
        <v>6121</v>
      </c>
      <c r="C477" s="1190">
        <v>54190877</v>
      </c>
      <c r="D477" s="1130" t="s">
        <v>312</v>
      </c>
      <c r="E477" s="1126"/>
      <c r="F477" s="1126"/>
      <c r="G477" s="1126"/>
      <c r="H477" s="1116" t="e">
        <f>G477/F477*100</f>
        <v>#DIV/0!</v>
      </c>
    </row>
    <row r="478" spans="1:10" ht="15" hidden="1" x14ac:dyDescent="0.2">
      <c r="A478" s="1181">
        <v>3122</v>
      </c>
      <c r="B478" s="1187">
        <v>6121</v>
      </c>
      <c r="C478" s="1190">
        <v>54515835</v>
      </c>
      <c r="D478" s="1130" t="s">
        <v>312</v>
      </c>
      <c r="E478" s="1135"/>
      <c r="F478" s="1135"/>
      <c r="G478" s="1135"/>
      <c r="H478" s="1116" t="e">
        <f>G478/F478*100</f>
        <v>#DIV/0!</v>
      </c>
    </row>
    <row r="479" spans="1:10" ht="15" hidden="1" x14ac:dyDescent="0.2">
      <c r="A479" s="1181">
        <v>4357</v>
      </c>
      <c r="B479" s="1187">
        <v>6121</v>
      </c>
      <c r="C479" s="1190">
        <v>53100870</v>
      </c>
      <c r="D479" s="1130" t="s">
        <v>312</v>
      </c>
      <c r="E479" s="1135"/>
      <c r="F479" s="1135"/>
      <c r="G479" s="1135"/>
      <c r="H479" s="1116">
        <v>0</v>
      </c>
    </row>
    <row r="480" spans="1:10" ht="15" hidden="1" x14ac:dyDescent="0.2">
      <c r="A480" s="1181">
        <v>4357</v>
      </c>
      <c r="B480" s="1187">
        <v>6121</v>
      </c>
      <c r="C480" s="1190">
        <v>53100872</v>
      </c>
      <c r="D480" s="1130" t="s">
        <v>312</v>
      </c>
      <c r="E480" s="1135"/>
      <c r="F480" s="1135"/>
      <c r="G480" s="1135"/>
      <c r="H480" s="1116">
        <v>0</v>
      </c>
      <c r="J480" s="1139"/>
    </row>
    <row r="481" spans="1:9" ht="15" hidden="1" x14ac:dyDescent="0.2">
      <c r="A481" s="1181">
        <v>4357</v>
      </c>
      <c r="B481" s="1187">
        <v>6121</v>
      </c>
      <c r="C481" s="1190">
        <v>54100870</v>
      </c>
      <c r="D481" s="1130" t="s">
        <v>312</v>
      </c>
      <c r="E481" s="1135"/>
      <c r="F481" s="1135"/>
      <c r="G481" s="1135"/>
      <c r="H481" s="1116" t="e">
        <f>G481/F481*100</f>
        <v>#DIV/0!</v>
      </c>
    </row>
    <row r="482" spans="1:9" ht="15" hidden="1" x14ac:dyDescent="0.2">
      <c r="A482" s="1181">
        <v>4357</v>
      </c>
      <c r="B482" s="1187">
        <v>6121</v>
      </c>
      <c r="C482" s="1190">
        <v>54100874</v>
      </c>
      <c r="D482" s="1130" t="s">
        <v>312</v>
      </c>
      <c r="E482" s="1135"/>
      <c r="F482" s="1135"/>
      <c r="G482" s="1135"/>
      <c r="H482" s="1116" t="e">
        <f>G482/F482*100</f>
        <v>#DIV/0!</v>
      </c>
    </row>
    <row r="483" spans="1:9" ht="15" hidden="1" x14ac:dyDescent="0.2">
      <c r="A483" s="1181">
        <v>4357</v>
      </c>
      <c r="B483" s="1187">
        <v>6121</v>
      </c>
      <c r="C483" s="1190">
        <v>54100880</v>
      </c>
      <c r="D483" s="1130" t="s">
        <v>312</v>
      </c>
      <c r="E483" s="1135"/>
      <c r="F483" s="1135"/>
      <c r="G483" s="1135"/>
      <c r="H483" s="1116" t="e">
        <f>G483/F483*100</f>
        <v>#DIV/0!</v>
      </c>
    </row>
    <row r="484" spans="1:9" ht="15" hidden="1" x14ac:dyDescent="0.2">
      <c r="A484" s="1181">
        <v>4357</v>
      </c>
      <c r="B484" s="1187">
        <v>6121</v>
      </c>
      <c r="C484" s="1190">
        <v>54100884</v>
      </c>
      <c r="D484" s="1130" t="s">
        <v>312</v>
      </c>
      <c r="E484" s="1135"/>
      <c r="F484" s="1135"/>
      <c r="G484" s="1135"/>
      <c r="H484" s="1116" t="e">
        <f>G484/F484*100</f>
        <v>#DIV/0!</v>
      </c>
    </row>
    <row r="485" spans="1:9" ht="15" hidden="1" x14ac:dyDescent="0.2">
      <c r="A485" s="1181">
        <v>4357</v>
      </c>
      <c r="B485" s="1187">
        <v>6121</v>
      </c>
      <c r="C485" s="1190">
        <v>54190877</v>
      </c>
      <c r="D485" s="1130" t="s">
        <v>312</v>
      </c>
      <c r="E485" s="1135"/>
      <c r="F485" s="1135"/>
      <c r="G485" s="1135"/>
      <c r="H485" s="1116" t="e">
        <f>G485/F485*100</f>
        <v>#DIV/0!</v>
      </c>
    </row>
    <row r="486" spans="1:9" ht="15.75" hidden="1" thickBot="1" x14ac:dyDescent="0.25">
      <c r="A486" s="1181">
        <v>4357</v>
      </c>
      <c r="B486" s="1187">
        <v>6121</v>
      </c>
      <c r="C486" s="1190">
        <v>54515835</v>
      </c>
      <c r="D486" s="1130" t="s">
        <v>312</v>
      </c>
      <c r="E486" s="1135"/>
      <c r="F486" s="1135"/>
      <c r="G486" s="1135"/>
      <c r="H486" s="1121">
        <v>0</v>
      </c>
    </row>
    <row r="487" spans="1:9" s="1122" customFormat="1" ht="16.5" hidden="1" thickTop="1" thickBot="1" x14ac:dyDescent="0.3">
      <c r="A487" s="3317" t="s">
        <v>394</v>
      </c>
      <c r="B487" s="3318"/>
      <c r="C487" s="3318"/>
      <c r="D487" s="3318"/>
      <c r="E487" s="1113">
        <f>SUM(E477:E486)</f>
        <v>0</v>
      </c>
      <c r="F487" s="1113">
        <f>SUM(F477:F486)</f>
        <v>0</v>
      </c>
      <c r="G487" s="1113">
        <f>SUM(G477:G486)</f>
        <v>0</v>
      </c>
      <c r="H487" s="1117" t="e">
        <f>G487/F487*100</f>
        <v>#DIV/0!</v>
      </c>
      <c r="I487" s="1194"/>
    </row>
    <row r="488" spans="1:9" s="1122" customFormat="1" ht="15" hidden="1" x14ac:dyDescent="0.25">
      <c r="A488" s="1118"/>
      <c r="B488" s="1118"/>
      <c r="C488" s="1118"/>
      <c r="D488" s="1118"/>
      <c r="E488" s="1119"/>
      <c r="F488" s="1119"/>
      <c r="G488" s="1119"/>
      <c r="H488" s="1138"/>
      <c r="I488" s="1194"/>
    </row>
    <row r="489" spans="1:9" ht="18" x14ac:dyDescent="0.25">
      <c r="A489" s="1103" t="s">
        <v>1828</v>
      </c>
      <c r="B489" s="1125"/>
      <c r="C489" s="1125"/>
      <c r="D489" s="1125"/>
      <c r="E489" s="1125"/>
      <c r="F489" s="1125"/>
      <c r="G489" s="1125"/>
      <c r="H489" s="1163"/>
    </row>
    <row r="490" spans="1:9" ht="16.5" thickBot="1" x14ac:dyDescent="0.3">
      <c r="A490" s="1102" t="s">
        <v>1723</v>
      </c>
      <c r="H490" s="1120" t="s">
        <v>92</v>
      </c>
    </row>
    <row r="491" spans="1:9" s="1037" customFormat="1" ht="25.5" thickTop="1" thickBot="1" x14ac:dyDescent="0.25">
      <c r="A491" s="1104" t="s">
        <v>93</v>
      </c>
      <c r="B491" s="1105" t="s">
        <v>392</v>
      </c>
      <c r="C491" s="1105" t="s">
        <v>209</v>
      </c>
      <c r="D491" s="1106" t="s">
        <v>95</v>
      </c>
      <c r="E491" s="1127" t="s">
        <v>328</v>
      </c>
      <c r="F491" s="1127" t="s">
        <v>329</v>
      </c>
      <c r="G491" s="1128" t="s">
        <v>448</v>
      </c>
      <c r="H491" s="1129" t="s">
        <v>449</v>
      </c>
    </row>
    <row r="492" spans="1:9" s="1037" customFormat="1" ht="13.5" thickTop="1" thickBot="1" x14ac:dyDescent="0.25">
      <c r="A492" s="1042">
        <v>1</v>
      </c>
      <c r="B492" s="1041">
        <v>2</v>
      </c>
      <c r="C492" s="1041">
        <v>3</v>
      </c>
      <c r="D492" s="1041">
        <v>4</v>
      </c>
      <c r="E492" s="1040">
        <v>5</v>
      </c>
      <c r="F492" s="1040">
        <v>6</v>
      </c>
      <c r="G492" s="1164">
        <v>7</v>
      </c>
      <c r="H492" s="1186" t="s">
        <v>33</v>
      </c>
    </row>
    <row r="493" spans="1:9" ht="16.5" thickTop="1" thickBot="1" x14ac:dyDescent="0.25">
      <c r="A493" s="1181">
        <v>3133</v>
      </c>
      <c r="B493" s="1187">
        <v>6121</v>
      </c>
      <c r="C493" s="2190" t="s">
        <v>972</v>
      </c>
      <c r="D493" s="1130" t="s">
        <v>312</v>
      </c>
      <c r="E493" s="1126">
        <v>200</v>
      </c>
      <c r="F493" s="1126">
        <v>195</v>
      </c>
      <c r="G493" s="1126">
        <v>28</v>
      </c>
      <c r="H493" s="3050">
        <f>G493/F493*100</f>
        <v>14.358974358974358</v>
      </c>
    </row>
    <row r="494" spans="1:9" ht="15.75" hidden="1" thickBot="1" x14ac:dyDescent="0.25">
      <c r="A494" s="1181">
        <v>4357</v>
      </c>
      <c r="B494" s="1187">
        <v>6121</v>
      </c>
      <c r="C494" s="2190" t="s">
        <v>1006</v>
      </c>
      <c r="D494" s="1130" t="s">
        <v>312</v>
      </c>
      <c r="E494" s="1135"/>
      <c r="F494" s="1135"/>
      <c r="G494" s="1135"/>
      <c r="H494" s="3050" t="e">
        <f>G494/F494*100</f>
        <v>#DIV/0!</v>
      </c>
    </row>
    <row r="495" spans="1:9" ht="15.75" hidden="1" thickBot="1" x14ac:dyDescent="0.25">
      <c r="A495" s="1181">
        <v>4357</v>
      </c>
      <c r="B495" s="1187">
        <v>6121</v>
      </c>
      <c r="C495" s="2190" t="s">
        <v>1018</v>
      </c>
      <c r="D495" s="1130" t="s">
        <v>312</v>
      </c>
      <c r="E495" s="1135"/>
      <c r="F495" s="1135"/>
      <c r="G495" s="1135"/>
      <c r="H495" s="3050" t="e">
        <f>G495/F495*100</f>
        <v>#DIV/0!</v>
      </c>
    </row>
    <row r="496" spans="1:9" ht="15.75" hidden="1" thickBot="1" x14ac:dyDescent="0.25">
      <c r="A496" s="1181">
        <v>4357</v>
      </c>
      <c r="B496" s="1187">
        <v>6121</v>
      </c>
      <c r="C496" s="2190" t="s">
        <v>1017</v>
      </c>
      <c r="D496" s="1130" t="s">
        <v>312</v>
      </c>
      <c r="E496" s="1135"/>
      <c r="F496" s="1135"/>
      <c r="G496" s="1135"/>
      <c r="H496" s="1384">
        <v>0</v>
      </c>
    </row>
    <row r="497" spans="1:9" s="1122" customFormat="1" ht="16.5" thickTop="1" thickBot="1" x14ac:dyDescent="0.3">
      <c r="A497" s="3317" t="s">
        <v>394</v>
      </c>
      <c r="B497" s="3318"/>
      <c r="C497" s="3318"/>
      <c r="D497" s="3318"/>
      <c r="E497" s="1113">
        <f>SUM(E493:E496)</f>
        <v>200</v>
      </c>
      <c r="F497" s="1113">
        <f>SUM(F493:F496)</f>
        <v>195</v>
      </c>
      <c r="G497" s="1113">
        <f>SUM(G493:G496)</f>
        <v>28</v>
      </c>
      <c r="H497" s="1381">
        <f>G497/F497*100</f>
        <v>14.358974358974358</v>
      </c>
      <c r="I497" s="1194"/>
    </row>
    <row r="498" spans="1:9" s="1122" customFormat="1" ht="15.75" thickTop="1" x14ac:dyDescent="0.25">
      <c r="A498" s="1118"/>
      <c r="B498" s="1118"/>
      <c r="C498" s="1118"/>
      <c r="D498" s="1118"/>
      <c r="E498" s="1119"/>
      <c r="F498" s="1119"/>
      <c r="G498" s="1119"/>
      <c r="H498" s="1138"/>
      <c r="I498" s="1194"/>
    </row>
    <row r="499" spans="1:9" ht="18" x14ac:dyDescent="0.25">
      <c r="A499" s="1103" t="s">
        <v>1725</v>
      </c>
      <c r="B499" s="1125"/>
      <c r="C499" s="1125"/>
      <c r="D499" s="1125"/>
      <c r="E499" s="1125"/>
      <c r="F499" s="1125"/>
      <c r="G499" s="1125"/>
      <c r="H499" s="1163"/>
    </row>
    <row r="500" spans="1:9" ht="16.5" thickBot="1" x14ac:dyDescent="0.3">
      <c r="A500" s="1102" t="s">
        <v>1724</v>
      </c>
      <c r="H500" s="1120" t="s">
        <v>92</v>
      </c>
    </row>
    <row r="501" spans="1:9" s="1037" customFormat="1" ht="25.5" thickTop="1" thickBot="1" x14ac:dyDescent="0.25">
      <c r="A501" s="1104" t="s">
        <v>93</v>
      </c>
      <c r="B501" s="1105" t="s">
        <v>392</v>
      </c>
      <c r="C501" s="1105" t="s">
        <v>209</v>
      </c>
      <c r="D501" s="1106" t="s">
        <v>95</v>
      </c>
      <c r="E501" s="1127" t="s">
        <v>328</v>
      </c>
      <c r="F501" s="1127" t="s">
        <v>329</v>
      </c>
      <c r="G501" s="1128" t="s">
        <v>448</v>
      </c>
      <c r="H501" s="1129" t="s">
        <v>449</v>
      </c>
    </row>
    <row r="502" spans="1:9" s="1037" customFormat="1" ht="13.5" thickTop="1" thickBot="1" x14ac:dyDescent="0.25">
      <c r="A502" s="1042">
        <v>1</v>
      </c>
      <c r="B502" s="1041">
        <v>2</v>
      </c>
      <c r="C502" s="1041">
        <v>3</v>
      </c>
      <c r="D502" s="1041">
        <v>4</v>
      </c>
      <c r="E502" s="1040">
        <v>5</v>
      </c>
      <c r="F502" s="1040">
        <v>6</v>
      </c>
      <c r="G502" s="1164">
        <v>7</v>
      </c>
      <c r="H502" s="1186" t="s">
        <v>33</v>
      </c>
    </row>
    <row r="503" spans="1:9" ht="16.5" thickTop="1" thickBot="1" x14ac:dyDescent="0.25">
      <c r="A503" s="1181">
        <v>3114</v>
      </c>
      <c r="B503" s="1187">
        <v>6121</v>
      </c>
      <c r="C503" s="2190" t="s">
        <v>972</v>
      </c>
      <c r="D503" s="1130" t="s">
        <v>312</v>
      </c>
      <c r="E503" s="1126">
        <v>100</v>
      </c>
      <c r="F503" s="1126">
        <v>100</v>
      </c>
      <c r="G503" s="1126">
        <v>12</v>
      </c>
      <c r="H503" s="3050">
        <f t="shared" ref="H503:H508" si="22">G503/F503*100</f>
        <v>12</v>
      </c>
    </row>
    <row r="504" spans="1:9" ht="15.75" hidden="1" thickBot="1" x14ac:dyDescent="0.25">
      <c r="A504" s="1181">
        <v>4354</v>
      </c>
      <c r="B504" s="1187">
        <v>6121</v>
      </c>
      <c r="C504" s="2190" t="s">
        <v>1006</v>
      </c>
      <c r="D504" s="1130" t="s">
        <v>312</v>
      </c>
      <c r="E504" s="1135"/>
      <c r="F504" s="1135"/>
      <c r="G504" s="1135"/>
      <c r="H504" s="3050" t="e">
        <f t="shared" si="22"/>
        <v>#DIV/0!</v>
      </c>
    </row>
    <row r="505" spans="1:9" ht="15.75" hidden="1" thickBot="1" x14ac:dyDescent="0.25">
      <c r="A505" s="1181">
        <v>4354</v>
      </c>
      <c r="B505" s="1187">
        <v>6121</v>
      </c>
      <c r="C505" s="2190" t="s">
        <v>1005</v>
      </c>
      <c r="D505" s="1130" t="s">
        <v>312</v>
      </c>
      <c r="E505" s="1135"/>
      <c r="F505" s="1135"/>
      <c r="G505" s="1135"/>
      <c r="H505" s="3050" t="e">
        <f t="shared" si="22"/>
        <v>#DIV/0!</v>
      </c>
    </row>
    <row r="506" spans="1:9" ht="15.75" hidden="1" thickBot="1" x14ac:dyDescent="0.25">
      <c r="A506" s="1181">
        <v>4354</v>
      </c>
      <c r="B506" s="1187">
        <v>6121</v>
      </c>
      <c r="C506" s="2190" t="s">
        <v>1018</v>
      </c>
      <c r="D506" s="1130" t="s">
        <v>312</v>
      </c>
      <c r="E506" s="1135"/>
      <c r="F506" s="1135"/>
      <c r="G506" s="1135"/>
      <c r="H506" s="3050" t="e">
        <f t="shared" si="22"/>
        <v>#DIV/0!</v>
      </c>
    </row>
    <row r="507" spans="1:9" ht="15.75" hidden="1" thickBot="1" x14ac:dyDescent="0.25">
      <c r="A507" s="1181">
        <v>4354</v>
      </c>
      <c r="B507" s="1187">
        <v>6121</v>
      </c>
      <c r="C507" s="2190" t="s">
        <v>1017</v>
      </c>
      <c r="D507" s="1130" t="s">
        <v>312</v>
      </c>
      <c r="E507" s="1135"/>
      <c r="F507" s="1135"/>
      <c r="G507" s="1135"/>
      <c r="H507" s="3050" t="e">
        <f t="shared" si="22"/>
        <v>#DIV/0!</v>
      </c>
    </row>
    <row r="508" spans="1:9" s="1122" customFormat="1" ht="16.5" thickTop="1" thickBot="1" x14ac:dyDescent="0.3">
      <c r="A508" s="3317" t="s">
        <v>394</v>
      </c>
      <c r="B508" s="3318"/>
      <c r="C508" s="3318"/>
      <c r="D508" s="3318"/>
      <c r="E508" s="1113">
        <f>SUM(E503:E507)</f>
        <v>100</v>
      </c>
      <c r="F508" s="1113">
        <f>SUM(F503:F507)</f>
        <v>100</v>
      </c>
      <c r="G508" s="1113">
        <f>SUM(G503:G507)</f>
        <v>12</v>
      </c>
      <c r="H508" s="1381">
        <f t="shared" si="22"/>
        <v>12</v>
      </c>
      <c r="I508" s="1194"/>
    </row>
    <row r="509" spans="1:9" s="1122" customFormat="1" ht="15.75" thickTop="1" x14ac:dyDescent="0.25">
      <c r="A509" s="1118"/>
      <c r="B509" s="1118"/>
      <c r="C509" s="1118"/>
      <c r="D509" s="1118"/>
      <c r="E509" s="1119"/>
      <c r="F509" s="1119"/>
      <c r="G509" s="1119"/>
      <c r="H509" s="1138"/>
      <c r="I509" s="1194"/>
    </row>
    <row r="510" spans="1:9" ht="18" x14ac:dyDescent="0.25">
      <c r="A510" s="1103" t="s">
        <v>1727</v>
      </c>
      <c r="B510" s="1125"/>
      <c r="C510" s="1125"/>
      <c r="D510" s="1125"/>
      <c r="E510" s="1125"/>
      <c r="F510" s="1125"/>
      <c r="G510" s="1125"/>
      <c r="H510" s="1163"/>
    </row>
    <row r="511" spans="1:9" ht="16.5" thickBot="1" x14ac:dyDescent="0.3">
      <c r="A511" s="1102" t="s">
        <v>1726</v>
      </c>
      <c r="H511" s="1120" t="s">
        <v>92</v>
      </c>
    </row>
    <row r="512" spans="1:9" s="1037" customFormat="1" ht="25.5" thickTop="1" thickBot="1" x14ac:dyDescent="0.25">
      <c r="A512" s="1104" t="s">
        <v>93</v>
      </c>
      <c r="B512" s="1105" t="s">
        <v>392</v>
      </c>
      <c r="C512" s="1105" t="s">
        <v>209</v>
      </c>
      <c r="D512" s="1106" t="s">
        <v>95</v>
      </c>
      <c r="E512" s="1127" t="s">
        <v>328</v>
      </c>
      <c r="F512" s="1127" t="s">
        <v>329</v>
      </c>
      <c r="G512" s="1128" t="s">
        <v>448</v>
      </c>
      <c r="H512" s="1129" t="s">
        <v>449</v>
      </c>
    </row>
    <row r="513" spans="1:9" s="1037" customFormat="1" ht="13.5" thickTop="1" thickBot="1" x14ac:dyDescent="0.25">
      <c r="A513" s="1042">
        <v>1</v>
      </c>
      <c r="B513" s="1041">
        <v>2</v>
      </c>
      <c r="C513" s="1041">
        <v>3</v>
      </c>
      <c r="D513" s="1041">
        <v>4</v>
      </c>
      <c r="E513" s="1040">
        <v>5</v>
      </c>
      <c r="F513" s="1040">
        <v>6</v>
      </c>
      <c r="G513" s="1164">
        <v>7</v>
      </c>
      <c r="H513" s="1186" t="s">
        <v>33</v>
      </c>
    </row>
    <row r="514" spans="1:9" ht="16.5" thickTop="1" thickBot="1" x14ac:dyDescent="0.25">
      <c r="A514" s="1181">
        <v>3122</v>
      </c>
      <c r="B514" s="1187">
        <v>6121</v>
      </c>
      <c r="C514" s="2190" t="s">
        <v>972</v>
      </c>
      <c r="D514" s="1130" t="s">
        <v>312</v>
      </c>
      <c r="E514" s="1126">
        <v>200</v>
      </c>
      <c r="F514" s="1126">
        <v>188</v>
      </c>
      <c r="G514" s="1126">
        <v>12</v>
      </c>
      <c r="H514" s="3050">
        <f>G514/F514*100</f>
        <v>6.3829787234042552</v>
      </c>
    </row>
    <row r="515" spans="1:9" ht="15.75" hidden="1" thickBot="1" x14ac:dyDescent="0.25">
      <c r="A515" s="1181">
        <v>3523</v>
      </c>
      <c r="B515" s="1187">
        <v>6121</v>
      </c>
      <c r="C515" s="2190" t="s">
        <v>1426</v>
      </c>
      <c r="D515" s="1130" t="s">
        <v>312</v>
      </c>
      <c r="E515" s="1135"/>
      <c r="F515" s="1135"/>
      <c r="G515" s="1135"/>
      <c r="H515" s="3050" t="e">
        <f>G515/F515*100</f>
        <v>#DIV/0!</v>
      </c>
    </row>
    <row r="516" spans="1:9" ht="15.75" hidden="1" thickBot="1" x14ac:dyDescent="0.25">
      <c r="A516" s="1181">
        <v>3523</v>
      </c>
      <c r="B516" s="1187">
        <v>6122</v>
      </c>
      <c r="C516" s="2190" t="s">
        <v>963</v>
      </c>
      <c r="D516" s="1130" t="s">
        <v>313</v>
      </c>
      <c r="E516" s="1135"/>
      <c r="F516" s="1135"/>
      <c r="G516" s="1135"/>
      <c r="H516" s="3050" t="e">
        <f>G516/F516*100</f>
        <v>#DIV/0!</v>
      </c>
    </row>
    <row r="517" spans="1:9" ht="15.75" hidden="1" thickBot="1" x14ac:dyDescent="0.25">
      <c r="A517" s="1181">
        <v>3523</v>
      </c>
      <c r="B517" s="1187">
        <v>6122</v>
      </c>
      <c r="C517" s="2190" t="s">
        <v>1426</v>
      </c>
      <c r="D517" s="1130" t="s">
        <v>313</v>
      </c>
      <c r="E517" s="1135"/>
      <c r="F517" s="1135"/>
      <c r="G517" s="1135"/>
      <c r="H517" s="1384">
        <v>0</v>
      </c>
    </row>
    <row r="518" spans="1:9" s="1122" customFormat="1" ht="16.5" thickTop="1" thickBot="1" x14ac:dyDescent="0.3">
      <c r="A518" s="3317" t="s">
        <v>394</v>
      </c>
      <c r="B518" s="3318"/>
      <c r="C518" s="3318"/>
      <c r="D518" s="3318"/>
      <c r="E518" s="1113">
        <f>SUM(E514:E517)</f>
        <v>200</v>
      </c>
      <c r="F518" s="1113">
        <f>SUM(F514:F517)</f>
        <v>188</v>
      </c>
      <c r="G518" s="1113">
        <f>SUM(G514:G517)</f>
        <v>12</v>
      </c>
      <c r="H518" s="1381">
        <f>G518/F518*100</f>
        <v>6.3829787234042552</v>
      </c>
      <c r="I518" s="1194"/>
    </row>
    <row r="519" spans="1:9" ht="13.5" thickTop="1" x14ac:dyDescent="0.2">
      <c r="I519" s="1123"/>
    </row>
    <row r="520" spans="1:9" ht="18" hidden="1" x14ac:dyDescent="0.25">
      <c r="A520" s="1103" t="s">
        <v>845</v>
      </c>
      <c r="B520" s="1125"/>
      <c r="C520" s="1125"/>
      <c r="D520" s="1125"/>
      <c r="E520" s="1125"/>
      <c r="F520" s="1125"/>
      <c r="G520" s="1125"/>
      <c r="H520" s="1163"/>
    </row>
    <row r="521" spans="1:9" ht="15.75" hidden="1" x14ac:dyDescent="0.25">
      <c r="A521" s="1102" t="s">
        <v>846</v>
      </c>
      <c r="H521" s="1120" t="s">
        <v>92</v>
      </c>
    </row>
    <row r="522" spans="1:9" s="1037" customFormat="1" ht="25.5" hidden="1" thickTop="1" thickBot="1" x14ac:dyDescent="0.25">
      <c r="A522" s="1104" t="s">
        <v>93</v>
      </c>
      <c r="B522" s="1105" t="s">
        <v>392</v>
      </c>
      <c r="C522" s="1105" t="s">
        <v>209</v>
      </c>
      <c r="D522" s="1106" t="s">
        <v>95</v>
      </c>
      <c r="E522" s="1127" t="s">
        <v>328</v>
      </c>
      <c r="F522" s="1127" t="s">
        <v>329</v>
      </c>
      <c r="G522" s="1128" t="s">
        <v>448</v>
      </c>
      <c r="H522" s="1129" t="s">
        <v>449</v>
      </c>
    </row>
    <row r="523" spans="1:9" s="1037" customFormat="1" ht="13.5" hidden="1" thickTop="1" thickBot="1" x14ac:dyDescent="0.25">
      <c r="A523" s="1042">
        <v>1</v>
      </c>
      <c r="B523" s="1041">
        <v>2</v>
      </c>
      <c r="C523" s="1041">
        <v>3</v>
      </c>
      <c r="D523" s="1041">
        <v>4</v>
      </c>
      <c r="E523" s="1040">
        <v>5</v>
      </c>
      <c r="F523" s="1040">
        <v>6</v>
      </c>
      <c r="G523" s="1164">
        <v>7</v>
      </c>
      <c r="H523" s="1186" t="s">
        <v>33</v>
      </c>
    </row>
    <row r="524" spans="1:9" ht="15.75" hidden="1" thickTop="1" x14ac:dyDescent="0.2">
      <c r="A524" s="1181">
        <v>3522</v>
      </c>
      <c r="B524" s="1187">
        <v>6121</v>
      </c>
      <c r="C524" s="1190">
        <v>54100880</v>
      </c>
      <c r="D524" s="1130" t="s">
        <v>312</v>
      </c>
      <c r="E524" s="1126">
        <v>0</v>
      </c>
      <c r="F524" s="1126">
        <v>0</v>
      </c>
      <c r="G524" s="1126">
        <v>0</v>
      </c>
      <c r="H524" s="1116" t="e">
        <f>G524/F524*100</f>
        <v>#DIV/0!</v>
      </c>
    </row>
    <row r="525" spans="1:9" ht="15" hidden="1" x14ac:dyDescent="0.2">
      <c r="A525" s="1181">
        <v>3122</v>
      </c>
      <c r="B525" s="1187">
        <v>6121</v>
      </c>
      <c r="C525" s="1190">
        <v>53100872</v>
      </c>
      <c r="D525" s="1130" t="s">
        <v>312</v>
      </c>
      <c r="E525" s="1135">
        <v>0</v>
      </c>
      <c r="F525" s="1135"/>
      <c r="G525" s="1135"/>
      <c r="H525" s="1116" t="e">
        <f>G525/F525*100</f>
        <v>#DIV/0!</v>
      </c>
    </row>
    <row r="526" spans="1:9" ht="15" hidden="1" x14ac:dyDescent="0.2">
      <c r="A526" s="1181">
        <v>3522</v>
      </c>
      <c r="B526" s="1187">
        <v>6121</v>
      </c>
      <c r="C526" s="1190">
        <v>54100884</v>
      </c>
      <c r="D526" s="1130" t="s">
        <v>312</v>
      </c>
      <c r="E526" s="1135"/>
      <c r="F526" s="1135"/>
      <c r="G526" s="1135"/>
      <c r="H526" s="1116" t="e">
        <f>G526/F526*100</f>
        <v>#DIV/0!</v>
      </c>
    </row>
    <row r="527" spans="1:9" ht="15.75" hidden="1" thickBot="1" x14ac:dyDescent="0.25">
      <c r="A527" s="1181">
        <v>3122</v>
      </c>
      <c r="B527" s="1187">
        <v>6121</v>
      </c>
      <c r="C527" s="1190">
        <v>53500871</v>
      </c>
      <c r="D527" s="1130" t="s">
        <v>312</v>
      </c>
      <c r="E527" s="1135">
        <v>0</v>
      </c>
      <c r="F527" s="1135"/>
      <c r="G527" s="1135"/>
      <c r="H527" s="1121">
        <v>0</v>
      </c>
    </row>
    <row r="528" spans="1:9" s="1122" customFormat="1" ht="16.5" hidden="1" thickTop="1" thickBot="1" x14ac:dyDescent="0.3">
      <c r="A528" s="3317" t="s">
        <v>394</v>
      </c>
      <c r="B528" s="3318"/>
      <c r="C528" s="3318"/>
      <c r="D528" s="3318"/>
      <c r="E528" s="1113">
        <f>SUM(E524:E527)</f>
        <v>0</v>
      </c>
      <c r="F528" s="1113">
        <f>SUM(F524:F527)</f>
        <v>0</v>
      </c>
      <c r="G528" s="1113">
        <f>SUM(G524:G527)</f>
        <v>0</v>
      </c>
      <c r="H528" s="1117" t="e">
        <f>G528/F528*100</f>
        <v>#DIV/0!</v>
      </c>
      <c r="I528" s="1194"/>
    </row>
    <row r="529" spans="1:9" hidden="1" x14ac:dyDescent="0.2">
      <c r="I529" s="1123"/>
    </row>
    <row r="530" spans="1:9" ht="30" customHeight="1" x14ac:dyDescent="0.25">
      <c r="A530" s="3336" t="s">
        <v>1710</v>
      </c>
      <c r="B530" s="3336"/>
      <c r="C530" s="3336"/>
      <c r="D530" s="3336"/>
      <c r="E530" s="3336"/>
      <c r="F530" s="3336"/>
      <c r="G530" s="3336"/>
      <c r="H530" s="3336"/>
    </row>
    <row r="531" spans="1:9" ht="16.5" thickBot="1" x14ac:dyDescent="0.3">
      <c r="A531" s="2589" t="s">
        <v>1709</v>
      </c>
      <c r="B531" s="2589"/>
      <c r="C531" s="2589"/>
      <c r="D531" s="2194"/>
      <c r="E531" s="2193"/>
      <c r="F531" s="2193"/>
      <c r="G531" s="2193"/>
      <c r="H531" s="2588" t="s">
        <v>92</v>
      </c>
    </row>
    <row r="532" spans="1:9" s="1037" customFormat="1" ht="25.5" thickTop="1" thickBot="1" x14ac:dyDescent="0.25">
      <c r="A532" s="1104" t="s">
        <v>93</v>
      </c>
      <c r="B532" s="1105" t="s">
        <v>392</v>
      </c>
      <c r="C532" s="1105" t="s">
        <v>209</v>
      </c>
      <c r="D532" s="1106" t="s">
        <v>95</v>
      </c>
      <c r="E532" s="1127" t="s">
        <v>328</v>
      </c>
      <c r="F532" s="1127" t="s">
        <v>329</v>
      </c>
      <c r="G532" s="1128" t="s">
        <v>448</v>
      </c>
      <c r="H532" s="1129" t="s">
        <v>449</v>
      </c>
    </row>
    <row r="533" spans="1:9" s="1037" customFormat="1" ht="13.5" thickTop="1" thickBot="1" x14ac:dyDescent="0.25">
      <c r="A533" s="1042">
        <v>1</v>
      </c>
      <c r="B533" s="1041">
        <v>2</v>
      </c>
      <c r="C533" s="1041">
        <v>3</v>
      </c>
      <c r="D533" s="1041">
        <v>4</v>
      </c>
      <c r="E533" s="1040">
        <v>5</v>
      </c>
      <c r="F533" s="1040">
        <v>6</v>
      </c>
      <c r="G533" s="1164">
        <v>7</v>
      </c>
      <c r="H533" s="1186" t="s">
        <v>33</v>
      </c>
    </row>
    <row r="534" spans="1:9" ht="15.75" thickTop="1" x14ac:dyDescent="0.2">
      <c r="A534" s="1181">
        <v>3121</v>
      </c>
      <c r="B534" s="1187">
        <v>5137</v>
      </c>
      <c r="C534" s="2190" t="s">
        <v>1451</v>
      </c>
      <c r="D534" s="1130" t="s">
        <v>88</v>
      </c>
      <c r="E534" s="1135">
        <v>0</v>
      </c>
      <c r="F534" s="1135">
        <v>179</v>
      </c>
      <c r="G534" s="1135">
        <v>0</v>
      </c>
      <c r="H534" s="3050">
        <f t="shared" ref="H534:H542" si="23">G534/F534*100</f>
        <v>0</v>
      </c>
    </row>
    <row r="535" spans="1:9" ht="15" x14ac:dyDescent="0.2">
      <c r="A535" s="1181">
        <v>3121</v>
      </c>
      <c r="B535" s="1187">
        <v>6111</v>
      </c>
      <c r="C535" s="2190" t="s">
        <v>1715</v>
      </c>
      <c r="D535" s="1130" t="s">
        <v>457</v>
      </c>
      <c r="E535" s="1135">
        <v>0</v>
      </c>
      <c r="F535" s="1135">
        <v>151</v>
      </c>
      <c r="G535" s="1135">
        <v>151</v>
      </c>
      <c r="H535" s="3050">
        <f t="shared" si="23"/>
        <v>100</v>
      </c>
    </row>
    <row r="536" spans="1:9" ht="15" x14ac:dyDescent="0.2">
      <c r="A536" s="1181">
        <v>3121</v>
      </c>
      <c r="B536" s="1187">
        <v>6121</v>
      </c>
      <c r="C536" s="2190" t="s">
        <v>1451</v>
      </c>
      <c r="D536" s="1130" t="s">
        <v>312</v>
      </c>
      <c r="E536" s="1135">
        <v>12615</v>
      </c>
      <c r="F536" s="1135">
        <v>18960</v>
      </c>
      <c r="G536" s="1135">
        <v>18896</v>
      </c>
      <c r="H536" s="3050">
        <f t="shared" si="23"/>
        <v>99.662447257383974</v>
      </c>
    </row>
    <row r="537" spans="1:9" ht="15" x14ac:dyDescent="0.2">
      <c r="A537" s="1181">
        <v>3121</v>
      </c>
      <c r="B537" s="1187">
        <v>6121</v>
      </c>
      <c r="C537" s="2190" t="s">
        <v>1715</v>
      </c>
      <c r="D537" s="1130" t="s">
        <v>312</v>
      </c>
      <c r="E537" s="1135">
        <v>13050</v>
      </c>
      <c r="F537" s="1135">
        <v>11521</v>
      </c>
      <c r="G537" s="1135">
        <v>11333</v>
      </c>
      <c r="H537" s="3050">
        <f t="shared" si="23"/>
        <v>98.368197205103726</v>
      </c>
    </row>
    <row r="538" spans="1:9" ht="15" x14ac:dyDescent="0.2">
      <c r="A538" s="1181">
        <v>3121</v>
      </c>
      <c r="B538" s="1187">
        <v>6121</v>
      </c>
      <c r="C538" s="2190" t="s">
        <v>1716</v>
      </c>
      <c r="D538" s="1130" t="s">
        <v>312</v>
      </c>
      <c r="E538" s="1135">
        <v>3567</v>
      </c>
      <c r="F538" s="1135">
        <v>0</v>
      </c>
      <c r="G538" s="1135">
        <v>0</v>
      </c>
      <c r="H538" s="3050">
        <v>0</v>
      </c>
    </row>
    <row r="539" spans="1:9" ht="15.75" thickBot="1" x14ac:dyDescent="0.25">
      <c r="A539" s="1181">
        <v>3121</v>
      </c>
      <c r="B539" s="1187">
        <v>6122</v>
      </c>
      <c r="C539" s="2190" t="s">
        <v>1451</v>
      </c>
      <c r="D539" s="1130" t="s">
        <v>313</v>
      </c>
      <c r="E539" s="1135">
        <v>0</v>
      </c>
      <c r="F539" s="1135">
        <v>2121</v>
      </c>
      <c r="G539" s="1135">
        <v>1864</v>
      </c>
      <c r="H539" s="3050">
        <f t="shared" si="23"/>
        <v>87.883074021687875</v>
      </c>
    </row>
    <row r="540" spans="1:9" ht="15.75" hidden="1" thickBot="1" x14ac:dyDescent="0.25">
      <c r="A540" s="1181">
        <v>3121</v>
      </c>
      <c r="B540" s="1187">
        <v>5169</v>
      </c>
      <c r="C540" s="2190" t="s">
        <v>1014</v>
      </c>
      <c r="D540" s="1130" t="s">
        <v>430</v>
      </c>
      <c r="E540" s="1135"/>
      <c r="F540" s="1135"/>
      <c r="G540" s="1135"/>
      <c r="H540" s="3050" t="e">
        <f t="shared" si="23"/>
        <v>#DIV/0!</v>
      </c>
    </row>
    <row r="541" spans="1:9" ht="15.75" hidden="1" thickBot="1" x14ac:dyDescent="0.25">
      <c r="A541" s="1181">
        <v>3121</v>
      </c>
      <c r="B541" s="1187">
        <v>5169</v>
      </c>
      <c r="C541" s="2190" t="s">
        <v>1013</v>
      </c>
      <c r="D541" s="1130" t="s">
        <v>430</v>
      </c>
      <c r="E541" s="1135"/>
      <c r="F541" s="1135"/>
      <c r="G541" s="1135"/>
      <c r="H541" s="3050" t="e">
        <f t="shared" si="23"/>
        <v>#DIV/0!</v>
      </c>
    </row>
    <row r="542" spans="1:9" s="1122" customFormat="1" ht="16.5" thickTop="1" thickBot="1" x14ac:dyDescent="0.3">
      <c r="A542" s="3317" t="s">
        <v>394</v>
      </c>
      <c r="B542" s="3318"/>
      <c r="C542" s="3318"/>
      <c r="D542" s="3318"/>
      <c r="E542" s="1113">
        <f>SUM(E534:E541)</f>
        <v>29232</v>
      </c>
      <c r="F542" s="1113">
        <f>SUM(F534:F541)</f>
        <v>32932</v>
      </c>
      <c r="G542" s="1113">
        <f>SUM(G534:G541)</f>
        <v>32244</v>
      </c>
      <c r="H542" s="1381">
        <f t="shared" si="23"/>
        <v>97.910846592979468</v>
      </c>
      <c r="I542" s="1194"/>
    </row>
    <row r="543" spans="1:9" ht="13.5" thickTop="1" x14ac:dyDescent="0.2">
      <c r="I543" s="1123"/>
    </row>
    <row r="544" spans="1:9" ht="29.25" customHeight="1" x14ac:dyDescent="0.25">
      <c r="A544" s="1202" t="s">
        <v>1712</v>
      </c>
      <c r="B544" s="1202"/>
      <c r="C544" s="1202"/>
      <c r="D544" s="1202"/>
      <c r="E544" s="1202"/>
      <c r="F544" s="1202"/>
      <c r="G544" s="1202"/>
      <c r="H544" s="1202"/>
    </row>
    <row r="545" spans="1:9" ht="16.5" thickBot="1" x14ac:dyDescent="0.3">
      <c r="A545" s="2589" t="s">
        <v>1711</v>
      </c>
      <c r="B545" s="2589"/>
      <c r="C545" s="2589"/>
      <c r="D545" s="2194"/>
      <c r="E545" s="2193"/>
      <c r="F545" s="2193"/>
      <c r="G545" s="2193"/>
      <c r="H545" s="2588" t="s">
        <v>92</v>
      </c>
    </row>
    <row r="546" spans="1:9" s="1037" customFormat="1" ht="25.5" thickTop="1" thickBot="1" x14ac:dyDescent="0.25">
      <c r="A546" s="1104" t="s">
        <v>93</v>
      </c>
      <c r="B546" s="1105" t="s">
        <v>392</v>
      </c>
      <c r="C546" s="1105" t="s">
        <v>209</v>
      </c>
      <c r="D546" s="1106" t="s">
        <v>95</v>
      </c>
      <c r="E546" s="1127" t="s">
        <v>328</v>
      </c>
      <c r="F546" s="1127" t="s">
        <v>329</v>
      </c>
      <c r="G546" s="1128" t="s">
        <v>448</v>
      </c>
      <c r="H546" s="1129" t="s">
        <v>449</v>
      </c>
    </row>
    <row r="547" spans="1:9" s="1037" customFormat="1" ht="13.5" thickTop="1" thickBot="1" x14ac:dyDescent="0.25">
      <c r="A547" s="1042">
        <v>1</v>
      </c>
      <c r="B547" s="1041">
        <v>2</v>
      </c>
      <c r="C547" s="1041">
        <v>3</v>
      </c>
      <c r="D547" s="1041">
        <v>4</v>
      </c>
      <c r="E547" s="1040">
        <v>5</v>
      </c>
      <c r="F547" s="1040">
        <v>6</v>
      </c>
      <c r="G547" s="1164">
        <v>7</v>
      </c>
      <c r="H547" s="1186" t="s">
        <v>33</v>
      </c>
    </row>
    <row r="548" spans="1:9" ht="15.75" thickTop="1" x14ac:dyDescent="0.2">
      <c r="A548" s="1181">
        <v>3122</v>
      </c>
      <c r="B548" s="1187">
        <v>6121</v>
      </c>
      <c r="C548" s="2190" t="s">
        <v>1451</v>
      </c>
      <c r="D548" s="1130" t="s">
        <v>312</v>
      </c>
      <c r="E548" s="1135">
        <v>5006</v>
      </c>
      <c r="F548" s="1135">
        <v>7191</v>
      </c>
      <c r="G548" s="1135">
        <v>7071</v>
      </c>
      <c r="H548" s="3050">
        <f t="shared" ref="H548:H556" si="24">G548/F548*100</f>
        <v>98.331247392574056</v>
      </c>
    </row>
    <row r="549" spans="1:9" ht="15" x14ac:dyDescent="0.2">
      <c r="A549" s="1181">
        <v>3122</v>
      </c>
      <c r="B549" s="1187">
        <v>6121</v>
      </c>
      <c r="C549" s="2190" t="s">
        <v>1715</v>
      </c>
      <c r="D549" s="1130" t="s">
        <v>312</v>
      </c>
      <c r="E549" s="1135">
        <v>0</v>
      </c>
      <c r="F549" s="1135">
        <v>620</v>
      </c>
      <c r="G549" s="1135">
        <v>612</v>
      </c>
      <c r="H549" s="3050">
        <f t="shared" si="24"/>
        <v>98.709677419354833</v>
      </c>
    </row>
    <row r="550" spans="1:9" ht="15.75" thickBot="1" x14ac:dyDescent="0.25">
      <c r="A550" s="1181">
        <v>3122</v>
      </c>
      <c r="B550" s="1187">
        <v>6121</v>
      </c>
      <c r="C550" s="2190" t="s">
        <v>1716</v>
      </c>
      <c r="D550" s="1130" t="s">
        <v>312</v>
      </c>
      <c r="E550" s="1135">
        <v>1335</v>
      </c>
      <c r="F550" s="1135">
        <v>0</v>
      </c>
      <c r="G550" s="1135">
        <v>0</v>
      </c>
      <c r="H550" s="3050">
        <v>0</v>
      </c>
    </row>
    <row r="551" spans="1:9" ht="15.75" hidden="1" thickBot="1" x14ac:dyDescent="0.25">
      <c r="A551" s="1181">
        <v>3122</v>
      </c>
      <c r="B551" s="1187">
        <v>6122</v>
      </c>
      <c r="C551" s="2190" t="s">
        <v>1426</v>
      </c>
      <c r="D551" s="1130" t="s">
        <v>313</v>
      </c>
      <c r="E551" s="1135"/>
      <c r="F551" s="1135"/>
      <c r="G551" s="1135"/>
      <c r="H551" s="3050" t="e">
        <f t="shared" si="24"/>
        <v>#DIV/0!</v>
      </c>
    </row>
    <row r="552" spans="1:9" ht="15.75" hidden="1" thickBot="1" x14ac:dyDescent="0.25">
      <c r="A552" s="1181">
        <v>3122</v>
      </c>
      <c r="B552" s="1187">
        <v>5169</v>
      </c>
      <c r="C552" s="2190" t="s">
        <v>1016</v>
      </c>
      <c r="D552" s="1130" t="s">
        <v>430</v>
      </c>
      <c r="E552" s="1135"/>
      <c r="F552" s="1135"/>
      <c r="G552" s="1135"/>
      <c r="H552" s="3050" t="e">
        <f t="shared" si="24"/>
        <v>#DIV/0!</v>
      </c>
    </row>
    <row r="553" spans="1:9" ht="15.75" hidden="1" thickBot="1" x14ac:dyDescent="0.25">
      <c r="A553" s="1181">
        <v>3122</v>
      </c>
      <c r="B553" s="1187">
        <v>5169</v>
      </c>
      <c r="C553" s="2190" t="s">
        <v>1015</v>
      </c>
      <c r="D553" s="1130" t="s">
        <v>430</v>
      </c>
      <c r="E553" s="1135"/>
      <c r="F553" s="1135"/>
      <c r="G553" s="1135"/>
      <c r="H553" s="3050" t="e">
        <f t="shared" si="24"/>
        <v>#DIV/0!</v>
      </c>
    </row>
    <row r="554" spans="1:9" ht="15.75" hidden="1" thickBot="1" x14ac:dyDescent="0.25">
      <c r="A554" s="1181">
        <v>3122</v>
      </c>
      <c r="B554" s="1187">
        <v>5169</v>
      </c>
      <c r="C554" s="2190" t="s">
        <v>1014</v>
      </c>
      <c r="D554" s="1130" t="s">
        <v>430</v>
      </c>
      <c r="E554" s="1135"/>
      <c r="F554" s="1135"/>
      <c r="G554" s="1135"/>
      <c r="H554" s="3050" t="e">
        <f t="shared" si="24"/>
        <v>#DIV/0!</v>
      </c>
    </row>
    <row r="555" spans="1:9" ht="15.75" hidden="1" thickBot="1" x14ac:dyDescent="0.25">
      <c r="A555" s="1181">
        <v>3122</v>
      </c>
      <c r="B555" s="1187">
        <v>5169</v>
      </c>
      <c r="C555" s="2190" t="s">
        <v>1013</v>
      </c>
      <c r="D555" s="1130" t="s">
        <v>430</v>
      </c>
      <c r="E555" s="1135"/>
      <c r="F555" s="1135"/>
      <c r="G555" s="1135"/>
      <c r="H555" s="3050" t="e">
        <f t="shared" si="24"/>
        <v>#DIV/0!</v>
      </c>
    </row>
    <row r="556" spans="1:9" s="1122" customFormat="1" ht="16.5" thickTop="1" thickBot="1" x14ac:dyDescent="0.3">
      <c r="A556" s="3317" t="s">
        <v>394</v>
      </c>
      <c r="B556" s="3318"/>
      <c r="C556" s="3318"/>
      <c r="D556" s="3318"/>
      <c r="E556" s="1113">
        <f>SUM(E548:E555)</f>
        <v>6341</v>
      </c>
      <c r="F556" s="1113">
        <f>SUM(F548:F555)</f>
        <v>7811</v>
      </c>
      <c r="G556" s="1113">
        <f>SUM(G548:G555)</f>
        <v>7683</v>
      </c>
      <c r="H556" s="1381">
        <f t="shared" si="24"/>
        <v>98.361285366790412</v>
      </c>
      <c r="I556" s="1194"/>
    </row>
    <row r="557" spans="1:9" ht="13.5" thickTop="1" x14ac:dyDescent="0.2">
      <c r="I557" s="1123"/>
    </row>
    <row r="558" spans="1:9" ht="18" x14ac:dyDescent="0.25">
      <c r="A558" s="1103" t="s">
        <v>1729</v>
      </c>
      <c r="B558" s="1125"/>
      <c r="C558" s="1125"/>
      <c r="D558" s="1125"/>
      <c r="E558" s="1125"/>
      <c r="F558" s="1125"/>
      <c r="G558" s="1125"/>
      <c r="H558" s="1163"/>
    </row>
    <row r="559" spans="1:9" ht="16.5" thickBot="1" x14ac:dyDescent="0.3">
      <c r="A559" s="1102" t="s">
        <v>1728</v>
      </c>
      <c r="H559" s="1120" t="s">
        <v>92</v>
      </c>
    </row>
    <row r="560" spans="1:9" s="1037" customFormat="1" ht="25.5" thickTop="1" thickBot="1" x14ac:dyDescent="0.25">
      <c r="A560" s="1104" t="s">
        <v>93</v>
      </c>
      <c r="B560" s="1105" t="s">
        <v>392</v>
      </c>
      <c r="C560" s="1105" t="s">
        <v>209</v>
      </c>
      <c r="D560" s="1106" t="s">
        <v>95</v>
      </c>
      <c r="E560" s="1127" t="s">
        <v>328</v>
      </c>
      <c r="F560" s="1127" t="s">
        <v>329</v>
      </c>
      <c r="G560" s="1128" t="s">
        <v>448</v>
      </c>
      <c r="H560" s="1129" t="s">
        <v>449</v>
      </c>
    </row>
    <row r="561" spans="1:9" s="1037" customFormat="1" ht="13.5" thickTop="1" thickBot="1" x14ac:dyDescent="0.25">
      <c r="A561" s="1042">
        <v>1</v>
      </c>
      <c r="B561" s="1041">
        <v>2</v>
      </c>
      <c r="C561" s="1041">
        <v>3</v>
      </c>
      <c r="D561" s="1041">
        <v>4</v>
      </c>
      <c r="E561" s="1040">
        <v>5</v>
      </c>
      <c r="F561" s="1040">
        <v>6</v>
      </c>
      <c r="G561" s="1164">
        <v>7</v>
      </c>
      <c r="H561" s="1186" t="s">
        <v>33</v>
      </c>
    </row>
    <row r="562" spans="1:9" ht="16.5" thickTop="1" thickBot="1" x14ac:dyDescent="0.25">
      <c r="A562" s="1181">
        <v>3122</v>
      </c>
      <c r="B562" s="1187">
        <v>6121</v>
      </c>
      <c r="C562" s="2190" t="s">
        <v>972</v>
      </c>
      <c r="D562" s="1130" t="s">
        <v>312</v>
      </c>
      <c r="E562" s="1126">
        <v>200</v>
      </c>
      <c r="F562" s="1126">
        <v>100</v>
      </c>
      <c r="G562" s="1126">
        <v>9</v>
      </c>
      <c r="H562" s="3050">
        <f t="shared" ref="H562:H567" si="25">G562/F562*100</f>
        <v>9</v>
      </c>
    </row>
    <row r="563" spans="1:9" ht="15.75" hidden="1" thickBot="1" x14ac:dyDescent="0.25">
      <c r="A563" s="1181">
        <v>4354</v>
      </c>
      <c r="B563" s="1187">
        <v>6121</v>
      </c>
      <c r="C563" s="2190" t="s">
        <v>1006</v>
      </c>
      <c r="D563" s="1130" t="s">
        <v>312</v>
      </c>
      <c r="E563" s="1135"/>
      <c r="F563" s="1135"/>
      <c r="G563" s="1135"/>
      <c r="H563" s="3050" t="e">
        <f t="shared" si="25"/>
        <v>#DIV/0!</v>
      </c>
    </row>
    <row r="564" spans="1:9" ht="15.75" hidden="1" thickBot="1" x14ac:dyDescent="0.25">
      <c r="A564" s="1181">
        <v>4354</v>
      </c>
      <c r="B564" s="1187">
        <v>6121</v>
      </c>
      <c r="C564" s="2190" t="s">
        <v>1005</v>
      </c>
      <c r="D564" s="1130" t="s">
        <v>312</v>
      </c>
      <c r="E564" s="1135"/>
      <c r="F564" s="1135"/>
      <c r="G564" s="1135"/>
      <c r="H564" s="3050" t="e">
        <f t="shared" si="25"/>
        <v>#DIV/0!</v>
      </c>
    </row>
    <row r="565" spans="1:9" ht="15.75" hidden="1" thickBot="1" x14ac:dyDescent="0.25">
      <c r="A565" s="1181">
        <v>4354</v>
      </c>
      <c r="B565" s="1187">
        <v>6121</v>
      </c>
      <c r="C565" s="2190" t="s">
        <v>1018</v>
      </c>
      <c r="D565" s="1130" t="s">
        <v>312</v>
      </c>
      <c r="E565" s="1135"/>
      <c r="F565" s="1135"/>
      <c r="G565" s="1135"/>
      <c r="H565" s="3050" t="e">
        <f t="shared" si="25"/>
        <v>#DIV/0!</v>
      </c>
    </row>
    <row r="566" spans="1:9" ht="15.75" hidden="1" thickBot="1" x14ac:dyDescent="0.25">
      <c r="A566" s="1181">
        <v>4354</v>
      </c>
      <c r="B566" s="1187">
        <v>6121</v>
      </c>
      <c r="C566" s="2190" t="s">
        <v>1017</v>
      </c>
      <c r="D566" s="1130" t="s">
        <v>312</v>
      </c>
      <c r="E566" s="1135"/>
      <c r="F566" s="1135"/>
      <c r="G566" s="1135"/>
      <c r="H566" s="3050" t="e">
        <f t="shared" si="25"/>
        <v>#DIV/0!</v>
      </c>
    </row>
    <row r="567" spans="1:9" s="1122" customFormat="1" ht="16.5" thickTop="1" thickBot="1" x14ac:dyDescent="0.3">
      <c r="A567" s="3317" t="s">
        <v>394</v>
      </c>
      <c r="B567" s="3318"/>
      <c r="C567" s="3318"/>
      <c r="D567" s="3318"/>
      <c r="E567" s="1113">
        <f>SUM(E562:E566)</f>
        <v>200</v>
      </c>
      <c r="F567" s="1113">
        <f>SUM(F562:F566)</f>
        <v>100</v>
      </c>
      <c r="G567" s="1113">
        <f>SUM(G562:G566)</f>
        <v>9</v>
      </c>
      <c r="H567" s="1381">
        <f t="shared" si="25"/>
        <v>9</v>
      </c>
      <c r="I567" s="1194"/>
    </row>
    <row r="568" spans="1:9" ht="13.5" thickTop="1" x14ac:dyDescent="0.2">
      <c r="I568" s="1123"/>
    </row>
    <row r="569" spans="1:9" ht="18" x14ac:dyDescent="0.25">
      <c r="A569" s="1103" t="s">
        <v>1731</v>
      </c>
      <c r="B569" s="1125"/>
      <c r="C569" s="1125"/>
      <c r="D569" s="1125"/>
      <c r="E569" s="1125"/>
      <c r="F569" s="1125"/>
      <c r="G569" s="1125"/>
      <c r="H569" s="1163"/>
    </row>
    <row r="570" spans="1:9" ht="16.5" thickBot="1" x14ac:dyDescent="0.3">
      <c r="A570" s="1102" t="s">
        <v>1730</v>
      </c>
      <c r="H570" s="1120" t="s">
        <v>92</v>
      </c>
    </row>
    <row r="571" spans="1:9" s="1037" customFormat="1" ht="25.5" thickTop="1" thickBot="1" x14ac:dyDescent="0.25">
      <c r="A571" s="1104" t="s">
        <v>93</v>
      </c>
      <c r="B571" s="1105" t="s">
        <v>392</v>
      </c>
      <c r="C571" s="1105" t="s">
        <v>209</v>
      </c>
      <c r="D571" s="1106" t="s">
        <v>95</v>
      </c>
      <c r="E571" s="1127" t="s">
        <v>328</v>
      </c>
      <c r="F571" s="1127" t="s">
        <v>329</v>
      </c>
      <c r="G571" s="1128" t="s">
        <v>448</v>
      </c>
      <c r="H571" s="1129" t="s">
        <v>449</v>
      </c>
    </row>
    <row r="572" spans="1:9" s="1037" customFormat="1" ht="13.5" thickTop="1" thickBot="1" x14ac:dyDescent="0.25">
      <c r="A572" s="1042">
        <v>1</v>
      </c>
      <c r="B572" s="1041">
        <v>2</v>
      </c>
      <c r="C572" s="1041">
        <v>3</v>
      </c>
      <c r="D572" s="1041">
        <v>4</v>
      </c>
      <c r="E572" s="1040">
        <v>5</v>
      </c>
      <c r="F572" s="1040">
        <v>6</v>
      </c>
      <c r="G572" s="1164">
        <v>7</v>
      </c>
      <c r="H572" s="1186" t="s">
        <v>33</v>
      </c>
    </row>
    <row r="573" spans="1:9" ht="16.5" thickTop="1" thickBot="1" x14ac:dyDescent="0.25">
      <c r="A573" s="1181">
        <v>3122</v>
      </c>
      <c r="B573" s="1187">
        <v>6121</v>
      </c>
      <c r="C573" s="2190" t="s">
        <v>972</v>
      </c>
      <c r="D573" s="1130" t="s">
        <v>312</v>
      </c>
      <c r="E573" s="1126">
        <v>0</v>
      </c>
      <c r="F573" s="1126">
        <v>188</v>
      </c>
      <c r="G573" s="1126">
        <v>79</v>
      </c>
      <c r="H573" s="3050">
        <f t="shared" ref="H573:H578" si="26">G573/F573*100</f>
        <v>42.021276595744681</v>
      </c>
    </row>
    <row r="574" spans="1:9" ht="15.75" hidden="1" thickBot="1" x14ac:dyDescent="0.25">
      <c r="A574" s="1181">
        <v>4354</v>
      </c>
      <c r="B574" s="1187">
        <v>6121</v>
      </c>
      <c r="C574" s="2190" t="s">
        <v>1006</v>
      </c>
      <c r="D574" s="1130" t="s">
        <v>312</v>
      </c>
      <c r="E574" s="1135"/>
      <c r="F574" s="1135"/>
      <c r="G574" s="1135"/>
      <c r="H574" s="3050" t="e">
        <f t="shared" si="26"/>
        <v>#DIV/0!</v>
      </c>
    </row>
    <row r="575" spans="1:9" ht="15.75" hidden="1" thickBot="1" x14ac:dyDescent="0.25">
      <c r="A575" s="1181">
        <v>4354</v>
      </c>
      <c r="B575" s="1187">
        <v>6121</v>
      </c>
      <c r="C575" s="2190" t="s">
        <v>1005</v>
      </c>
      <c r="D575" s="1130" t="s">
        <v>312</v>
      </c>
      <c r="E575" s="1135"/>
      <c r="F575" s="1135"/>
      <c r="G575" s="1135"/>
      <c r="H575" s="3050" t="e">
        <f t="shared" si="26"/>
        <v>#DIV/0!</v>
      </c>
    </row>
    <row r="576" spans="1:9" ht="15.75" hidden="1" thickBot="1" x14ac:dyDescent="0.25">
      <c r="A576" s="1181">
        <v>4354</v>
      </c>
      <c r="B576" s="1187">
        <v>6121</v>
      </c>
      <c r="C576" s="2190" t="s">
        <v>1018</v>
      </c>
      <c r="D576" s="1130" t="s">
        <v>312</v>
      </c>
      <c r="E576" s="1135"/>
      <c r="F576" s="1135"/>
      <c r="G576" s="1135"/>
      <c r="H576" s="3050" t="e">
        <f t="shared" si="26"/>
        <v>#DIV/0!</v>
      </c>
    </row>
    <row r="577" spans="1:9" ht="15.75" hidden="1" thickBot="1" x14ac:dyDescent="0.25">
      <c r="A577" s="1181">
        <v>4354</v>
      </c>
      <c r="B577" s="1187">
        <v>6121</v>
      </c>
      <c r="C577" s="2190" t="s">
        <v>1017</v>
      </c>
      <c r="D577" s="1130" t="s">
        <v>312</v>
      </c>
      <c r="E577" s="1135"/>
      <c r="F577" s="1135"/>
      <c r="G577" s="1135"/>
      <c r="H577" s="3050" t="e">
        <f t="shared" si="26"/>
        <v>#DIV/0!</v>
      </c>
    </row>
    <row r="578" spans="1:9" s="1122" customFormat="1" ht="16.5" thickTop="1" thickBot="1" x14ac:dyDescent="0.3">
      <c r="A578" s="3317" t="s">
        <v>394</v>
      </c>
      <c r="B578" s="3318"/>
      <c r="C578" s="3318"/>
      <c r="D578" s="3318"/>
      <c r="E578" s="1113">
        <f>SUM(E573:E577)</f>
        <v>0</v>
      </c>
      <c r="F578" s="1113">
        <f>SUM(F573:F577)</f>
        <v>188</v>
      </c>
      <c r="G578" s="1113">
        <f>SUM(G573:G577)</f>
        <v>79</v>
      </c>
      <c r="H578" s="1381">
        <f t="shared" si="26"/>
        <v>42.021276595744681</v>
      </c>
      <c r="I578" s="1194"/>
    </row>
    <row r="579" spans="1:9" ht="13.5" thickTop="1" x14ac:dyDescent="0.2">
      <c r="I579" s="1123"/>
    </row>
    <row r="580" spans="1:9" ht="18" x14ac:dyDescent="0.25">
      <c r="A580" s="1103" t="s">
        <v>1777</v>
      </c>
      <c r="B580" s="1125"/>
      <c r="C580" s="1125"/>
      <c r="D580" s="1125"/>
      <c r="E580" s="1125"/>
      <c r="F580" s="1125"/>
      <c r="G580" s="1125"/>
      <c r="H580" s="1163"/>
      <c r="I580" s="1123"/>
    </row>
    <row r="581" spans="1:9" ht="16.5" thickBot="1" x14ac:dyDescent="0.3">
      <c r="A581" s="1102" t="s">
        <v>1776</v>
      </c>
      <c r="H581" s="1120" t="s">
        <v>92</v>
      </c>
      <c r="I581" s="1123"/>
    </row>
    <row r="582" spans="1:9" ht="25.5" thickTop="1" thickBot="1" x14ac:dyDescent="0.25">
      <c r="A582" s="1104" t="s">
        <v>93</v>
      </c>
      <c r="B582" s="1105" t="s">
        <v>392</v>
      </c>
      <c r="C582" s="1105" t="s">
        <v>209</v>
      </c>
      <c r="D582" s="1106" t="s">
        <v>95</v>
      </c>
      <c r="E582" s="1127" t="s">
        <v>328</v>
      </c>
      <c r="F582" s="1127" t="s">
        <v>329</v>
      </c>
      <c r="G582" s="1128" t="s">
        <v>448</v>
      </c>
      <c r="H582" s="1129" t="s">
        <v>449</v>
      </c>
      <c r="I582" s="1123"/>
    </row>
    <row r="583" spans="1:9" ht="14.25" thickTop="1" thickBot="1" x14ac:dyDescent="0.25">
      <c r="A583" s="1042">
        <v>1</v>
      </c>
      <c r="B583" s="1041">
        <v>2</v>
      </c>
      <c r="C583" s="1041">
        <v>3</v>
      </c>
      <c r="D583" s="1041">
        <v>4</v>
      </c>
      <c r="E583" s="1040">
        <v>5</v>
      </c>
      <c r="F583" s="1040">
        <v>6</v>
      </c>
      <c r="G583" s="1164">
        <v>7</v>
      </c>
      <c r="H583" s="1186" t="s">
        <v>33</v>
      </c>
      <c r="I583" s="1123"/>
    </row>
    <row r="584" spans="1:9" ht="16.5" thickTop="1" thickBot="1" x14ac:dyDescent="0.25">
      <c r="A584" s="1181">
        <v>3122</v>
      </c>
      <c r="B584" s="1187">
        <v>6121</v>
      </c>
      <c r="C584" s="2190" t="s">
        <v>972</v>
      </c>
      <c r="D584" s="1130" t="s">
        <v>312</v>
      </c>
      <c r="E584" s="1126">
        <v>200</v>
      </c>
      <c r="F584" s="1126">
        <v>200</v>
      </c>
      <c r="G584" s="1126">
        <v>103</v>
      </c>
      <c r="H584" s="3050">
        <f t="shared" ref="H584:H589" si="27">G584/F584*100</f>
        <v>51.5</v>
      </c>
      <c r="I584" s="1123"/>
    </row>
    <row r="585" spans="1:9" ht="15.75" hidden="1" thickBot="1" x14ac:dyDescent="0.25">
      <c r="A585" s="1181">
        <v>4354</v>
      </c>
      <c r="B585" s="1187">
        <v>6121</v>
      </c>
      <c r="C585" s="2190" t="s">
        <v>1006</v>
      </c>
      <c r="D585" s="1130" t="s">
        <v>312</v>
      </c>
      <c r="E585" s="1135"/>
      <c r="F585" s="1135"/>
      <c r="G585" s="1135"/>
      <c r="H585" s="3050" t="e">
        <f t="shared" si="27"/>
        <v>#DIV/0!</v>
      </c>
      <c r="I585" s="1123"/>
    </row>
    <row r="586" spans="1:9" ht="15.75" hidden="1" thickBot="1" x14ac:dyDescent="0.25">
      <c r="A586" s="1181">
        <v>4354</v>
      </c>
      <c r="B586" s="1187">
        <v>6121</v>
      </c>
      <c r="C586" s="2190" t="s">
        <v>1005</v>
      </c>
      <c r="D586" s="1130" t="s">
        <v>312</v>
      </c>
      <c r="E586" s="1135"/>
      <c r="F586" s="1135"/>
      <c r="G586" s="1135"/>
      <c r="H586" s="3050" t="e">
        <f t="shared" si="27"/>
        <v>#DIV/0!</v>
      </c>
      <c r="I586" s="1123"/>
    </row>
    <row r="587" spans="1:9" ht="15.75" hidden="1" thickBot="1" x14ac:dyDescent="0.25">
      <c r="A587" s="1181">
        <v>4354</v>
      </c>
      <c r="B587" s="1187">
        <v>6121</v>
      </c>
      <c r="C587" s="2190" t="s">
        <v>1018</v>
      </c>
      <c r="D587" s="1130" t="s">
        <v>312</v>
      </c>
      <c r="E587" s="1135"/>
      <c r="F587" s="1135"/>
      <c r="G587" s="1135"/>
      <c r="H587" s="3050" t="e">
        <f t="shared" si="27"/>
        <v>#DIV/0!</v>
      </c>
      <c r="I587" s="1123"/>
    </row>
    <row r="588" spans="1:9" ht="15.75" hidden="1" thickBot="1" x14ac:dyDescent="0.25">
      <c r="A588" s="1181">
        <v>4354</v>
      </c>
      <c r="B588" s="1187">
        <v>6121</v>
      </c>
      <c r="C588" s="2190" t="s">
        <v>1017</v>
      </c>
      <c r="D588" s="1130" t="s">
        <v>312</v>
      </c>
      <c r="E588" s="1135"/>
      <c r="F588" s="1135"/>
      <c r="G588" s="1135"/>
      <c r="H588" s="3050" t="e">
        <f t="shared" si="27"/>
        <v>#DIV/0!</v>
      </c>
      <c r="I588" s="1123"/>
    </row>
    <row r="589" spans="1:9" ht="16.5" thickTop="1" thickBot="1" x14ac:dyDescent="0.3">
      <c r="A589" s="3317" t="s">
        <v>394</v>
      </c>
      <c r="B589" s="3318"/>
      <c r="C589" s="3318"/>
      <c r="D589" s="3318"/>
      <c r="E589" s="1113">
        <f>SUM(E584:E588)</f>
        <v>200</v>
      </c>
      <c r="F589" s="1113">
        <f>SUM(F584:F588)</f>
        <v>200</v>
      </c>
      <c r="G589" s="1113">
        <f>SUM(G584:G588)</f>
        <v>103</v>
      </c>
      <c r="H589" s="1381">
        <f t="shared" si="27"/>
        <v>51.5</v>
      </c>
      <c r="I589" s="1123"/>
    </row>
    <row r="590" spans="1:9" ht="13.5" thickTop="1" x14ac:dyDescent="0.2">
      <c r="I590" s="1123"/>
    </row>
    <row r="591" spans="1:9" ht="18" x14ac:dyDescent="0.25">
      <c r="A591" s="1103" t="s">
        <v>1733</v>
      </c>
      <c r="B591" s="1125"/>
      <c r="C591" s="1125"/>
      <c r="D591" s="1125"/>
      <c r="E591" s="1125"/>
      <c r="F591" s="1125"/>
      <c r="G591" s="1125"/>
      <c r="H591" s="1163"/>
    </row>
    <row r="592" spans="1:9" ht="16.5" thickBot="1" x14ac:dyDescent="0.3">
      <c r="A592" s="1102" t="s">
        <v>1732</v>
      </c>
      <c r="H592" s="1120" t="s">
        <v>92</v>
      </c>
    </row>
    <row r="593" spans="1:9" s="1037" customFormat="1" ht="25.5" thickTop="1" thickBot="1" x14ac:dyDescent="0.25">
      <c r="A593" s="1104" t="s">
        <v>93</v>
      </c>
      <c r="B593" s="1105" t="s">
        <v>392</v>
      </c>
      <c r="C593" s="1105" t="s">
        <v>209</v>
      </c>
      <c r="D593" s="1106" t="s">
        <v>95</v>
      </c>
      <c r="E593" s="1127" t="s">
        <v>328</v>
      </c>
      <c r="F593" s="1127" t="s">
        <v>329</v>
      </c>
      <c r="G593" s="1128" t="s">
        <v>448</v>
      </c>
      <c r="H593" s="1129" t="s">
        <v>449</v>
      </c>
    </row>
    <row r="594" spans="1:9" s="1037" customFormat="1" ht="13.5" thickTop="1" thickBot="1" x14ac:dyDescent="0.25">
      <c r="A594" s="1042">
        <v>1</v>
      </c>
      <c r="B594" s="1041">
        <v>2</v>
      </c>
      <c r="C594" s="1041">
        <v>3</v>
      </c>
      <c r="D594" s="1041">
        <v>4</v>
      </c>
      <c r="E594" s="1040">
        <v>5</v>
      </c>
      <c r="F594" s="1040">
        <v>6</v>
      </c>
      <c r="G594" s="1164">
        <v>7</v>
      </c>
      <c r="H594" s="1186" t="s">
        <v>33</v>
      </c>
    </row>
    <row r="595" spans="1:9" ht="16.5" thickTop="1" thickBot="1" x14ac:dyDescent="0.25">
      <c r="A595" s="1181">
        <v>3111</v>
      </c>
      <c r="B595" s="1187">
        <v>6121</v>
      </c>
      <c r="C595" s="2190" t="s">
        <v>972</v>
      </c>
      <c r="D595" s="1130" t="s">
        <v>312</v>
      </c>
      <c r="E595" s="1126">
        <v>111</v>
      </c>
      <c r="F595" s="1126">
        <v>140</v>
      </c>
      <c r="G595" s="1126">
        <v>128</v>
      </c>
      <c r="H595" s="3050">
        <f t="shared" ref="H595:H600" si="28">G595/F595*100</f>
        <v>91.428571428571431</v>
      </c>
    </row>
    <row r="596" spans="1:9" ht="15.75" hidden="1" thickBot="1" x14ac:dyDescent="0.25">
      <c r="A596" s="1181">
        <v>4354</v>
      </c>
      <c r="B596" s="1187">
        <v>6121</v>
      </c>
      <c r="C596" s="2190" t="s">
        <v>1006</v>
      </c>
      <c r="D596" s="1130" t="s">
        <v>312</v>
      </c>
      <c r="E596" s="1135"/>
      <c r="F596" s="1135"/>
      <c r="G596" s="1135"/>
      <c r="H596" s="3050" t="e">
        <f t="shared" si="28"/>
        <v>#DIV/0!</v>
      </c>
    </row>
    <row r="597" spans="1:9" ht="15.75" hidden="1" thickBot="1" x14ac:dyDescent="0.25">
      <c r="A597" s="1181">
        <v>4354</v>
      </c>
      <c r="B597" s="1187">
        <v>6121</v>
      </c>
      <c r="C597" s="2190" t="s">
        <v>1005</v>
      </c>
      <c r="D597" s="1130" t="s">
        <v>312</v>
      </c>
      <c r="E597" s="1135"/>
      <c r="F597" s="1135"/>
      <c r="G597" s="1135"/>
      <c r="H597" s="3050" t="e">
        <f t="shared" si="28"/>
        <v>#DIV/0!</v>
      </c>
    </row>
    <row r="598" spans="1:9" ht="15.75" hidden="1" thickBot="1" x14ac:dyDescent="0.25">
      <c r="A598" s="1181">
        <v>4354</v>
      </c>
      <c r="B598" s="1187">
        <v>6121</v>
      </c>
      <c r="C598" s="2190" t="s">
        <v>1018</v>
      </c>
      <c r="D598" s="1130" t="s">
        <v>312</v>
      </c>
      <c r="E598" s="1135"/>
      <c r="F598" s="1135"/>
      <c r="G598" s="1135"/>
      <c r="H598" s="3050" t="e">
        <f t="shared" si="28"/>
        <v>#DIV/0!</v>
      </c>
    </row>
    <row r="599" spans="1:9" ht="15.75" hidden="1" thickBot="1" x14ac:dyDescent="0.25">
      <c r="A599" s="1181">
        <v>4354</v>
      </c>
      <c r="B599" s="1187">
        <v>6121</v>
      </c>
      <c r="C599" s="2190" t="s">
        <v>1017</v>
      </c>
      <c r="D599" s="1130" t="s">
        <v>312</v>
      </c>
      <c r="E599" s="1135"/>
      <c r="F599" s="1135"/>
      <c r="G599" s="1135"/>
      <c r="H599" s="3050" t="e">
        <f t="shared" si="28"/>
        <v>#DIV/0!</v>
      </c>
    </row>
    <row r="600" spans="1:9" s="1122" customFormat="1" ht="16.5" thickTop="1" thickBot="1" x14ac:dyDescent="0.3">
      <c r="A600" s="3317" t="s">
        <v>394</v>
      </c>
      <c r="B600" s="3318"/>
      <c r="C600" s="3318"/>
      <c r="D600" s="3318"/>
      <c r="E600" s="1113">
        <f>SUM(E595:E599)</f>
        <v>111</v>
      </c>
      <c r="F600" s="1113">
        <f>SUM(F595:F599)</f>
        <v>140</v>
      </c>
      <c r="G600" s="1113">
        <f>SUM(G595:G599)</f>
        <v>128</v>
      </c>
      <c r="H600" s="1381">
        <f t="shared" si="28"/>
        <v>91.428571428571431</v>
      </c>
      <c r="I600" s="1194"/>
    </row>
    <row r="601" spans="1:9" ht="13.5" thickTop="1" x14ac:dyDescent="0.2">
      <c r="I601" s="1123"/>
    </row>
    <row r="602" spans="1:9" ht="18" x14ac:dyDescent="0.25">
      <c r="A602" s="1103" t="s">
        <v>1734</v>
      </c>
      <c r="B602" s="1125"/>
      <c r="C602" s="1125"/>
      <c r="D602" s="1125"/>
      <c r="E602" s="1125"/>
      <c r="F602" s="1125"/>
      <c r="G602" s="1125"/>
      <c r="H602" s="1163"/>
    </row>
    <row r="603" spans="1:9" ht="16.5" thickBot="1" x14ac:dyDescent="0.3">
      <c r="A603" s="1102" t="s">
        <v>1446</v>
      </c>
      <c r="H603" s="1120" t="s">
        <v>92</v>
      </c>
    </row>
    <row r="604" spans="1:9" s="1037" customFormat="1" ht="25.5" thickTop="1" thickBot="1" x14ac:dyDescent="0.25">
      <c r="A604" s="1104" t="s">
        <v>93</v>
      </c>
      <c r="B604" s="1105" t="s">
        <v>392</v>
      </c>
      <c r="C604" s="1105" t="s">
        <v>209</v>
      </c>
      <c r="D604" s="1106" t="s">
        <v>95</v>
      </c>
      <c r="E604" s="1127" t="s">
        <v>328</v>
      </c>
      <c r="F604" s="1127" t="s">
        <v>329</v>
      </c>
      <c r="G604" s="1128" t="s">
        <v>448</v>
      </c>
      <c r="H604" s="1129" t="s">
        <v>449</v>
      </c>
    </row>
    <row r="605" spans="1:9" s="1037" customFormat="1" ht="13.5" thickTop="1" thickBot="1" x14ac:dyDescent="0.25">
      <c r="A605" s="1042">
        <v>1</v>
      </c>
      <c r="B605" s="1041">
        <v>2</v>
      </c>
      <c r="C605" s="1041">
        <v>3</v>
      </c>
      <c r="D605" s="1041">
        <v>4</v>
      </c>
      <c r="E605" s="1040">
        <v>5</v>
      </c>
      <c r="F605" s="1040">
        <v>6</v>
      </c>
      <c r="G605" s="1164">
        <v>7</v>
      </c>
      <c r="H605" s="1186" t="s">
        <v>33</v>
      </c>
    </row>
    <row r="606" spans="1:9" ht="16.5" thickTop="1" thickBot="1" x14ac:dyDescent="0.25">
      <c r="A606" s="1181">
        <v>3122</v>
      </c>
      <c r="B606" s="1187">
        <v>6121</v>
      </c>
      <c r="C606" s="2190" t="s">
        <v>972</v>
      </c>
      <c r="D606" s="1130" t="s">
        <v>312</v>
      </c>
      <c r="E606" s="1126">
        <v>120</v>
      </c>
      <c r="F606" s="1126">
        <v>223</v>
      </c>
      <c r="G606" s="1126">
        <v>114</v>
      </c>
      <c r="H606" s="3050">
        <f t="shared" ref="H606:H611" si="29">G606/F606*100</f>
        <v>51.121076233183857</v>
      </c>
    </row>
    <row r="607" spans="1:9" ht="15.75" hidden="1" thickBot="1" x14ac:dyDescent="0.25">
      <c r="A607" s="1181">
        <v>4354</v>
      </c>
      <c r="B607" s="1187">
        <v>6121</v>
      </c>
      <c r="C607" s="2190" t="s">
        <v>1006</v>
      </c>
      <c r="D607" s="1130" t="s">
        <v>312</v>
      </c>
      <c r="E607" s="1135"/>
      <c r="F607" s="1135"/>
      <c r="G607" s="1135"/>
      <c r="H607" s="3050" t="e">
        <f t="shared" si="29"/>
        <v>#DIV/0!</v>
      </c>
    </row>
    <row r="608" spans="1:9" ht="15.75" hidden="1" thickBot="1" x14ac:dyDescent="0.25">
      <c r="A608" s="1181">
        <v>4354</v>
      </c>
      <c r="B608" s="1187">
        <v>6121</v>
      </c>
      <c r="C608" s="2190" t="s">
        <v>1005</v>
      </c>
      <c r="D608" s="1130" t="s">
        <v>312</v>
      </c>
      <c r="E608" s="1135"/>
      <c r="F608" s="1135"/>
      <c r="G608" s="1135"/>
      <c r="H608" s="3050" t="e">
        <f t="shared" si="29"/>
        <v>#DIV/0!</v>
      </c>
    </row>
    <row r="609" spans="1:9" ht="15.75" hidden="1" thickBot="1" x14ac:dyDescent="0.25">
      <c r="A609" s="1181">
        <v>4354</v>
      </c>
      <c r="B609" s="1187">
        <v>6121</v>
      </c>
      <c r="C609" s="2190" t="s">
        <v>1018</v>
      </c>
      <c r="D609" s="1130" t="s">
        <v>312</v>
      </c>
      <c r="E609" s="1135"/>
      <c r="F609" s="1135"/>
      <c r="G609" s="1135"/>
      <c r="H609" s="3050" t="e">
        <f t="shared" si="29"/>
        <v>#DIV/0!</v>
      </c>
    </row>
    <row r="610" spans="1:9" ht="15.75" hidden="1" thickBot="1" x14ac:dyDescent="0.25">
      <c r="A610" s="1181">
        <v>4354</v>
      </c>
      <c r="B610" s="1187">
        <v>6121</v>
      </c>
      <c r="C610" s="2190" t="s">
        <v>1017</v>
      </c>
      <c r="D610" s="1130" t="s">
        <v>312</v>
      </c>
      <c r="E610" s="1135"/>
      <c r="F610" s="1135"/>
      <c r="G610" s="1135"/>
      <c r="H610" s="3050" t="e">
        <f t="shared" si="29"/>
        <v>#DIV/0!</v>
      </c>
    </row>
    <row r="611" spans="1:9" s="1122" customFormat="1" ht="16.5" thickTop="1" thickBot="1" x14ac:dyDescent="0.3">
      <c r="A611" s="3317" t="s">
        <v>394</v>
      </c>
      <c r="B611" s="3318"/>
      <c r="C611" s="3318"/>
      <c r="D611" s="3318"/>
      <c r="E611" s="1113">
        <f>SUM(E606:E610)</f>
        <v>120</v>
      </c>
      <c r="F611" s="1113">
        <f>SUM(F606:F610)</f>
        <v>223</v>
      </c>
      <c r="G611" s="1113">
        <f>SUM(G606:G610)</f>
        <v>114</v>
      </c>
      <c r="H611" s="1381">
        <f t="shared" si="29"/>
        <v>51.121076233183857</v>
      </c>
      <c r="I611" s="1194"/>
    </row>
    <row r="612" spans="1:9" ht="13.5" thickTop="1" x14ac:dyDescent="0.2">
      <c r="I612" s="1123"/>
    </row>
    <row r="613" spans="1:9" ht="18" x14ac:dyDescent="0.25">
      <c r="A613" s="1103" t="s">
        <v>1736</v>
      </c>
      <c r="B613" s="1125"/>
      <c r="C613" s="1125"/>
      <c r="D613" s="1125"/>
      <c r="E613" s="1125"/>
      <c r="F613" s="1125"/>
      <c r="G613" s="1125"/>
      <c r="H613" s="1163"/>
      <c r="I613" s="1123"/>
    </row>
    <row r="614" spans="1:9" ht="16.5" thickBot="1" x14ac:dyDescent="0.3">
      <c r="A614" s="1102" t="s">
        <v>1735</v>
      </c>
      <c r="H614" s="1120" t="s">
        <v>92</v>
      </c>
      <c r="I614" s="1123"/>
    </row>
    <row r="615" spans="1:9" ht="25.5" thickTop="1" thickBot="1" x14ac:dyDescent="0.25">
      <c r="A615" s="1104" t="s">
        <v>93</v>
      </c>
      <c r="B615" s="1105" t="s">
        <v>392</v>
      </c>
      <c r="C615" s="1105" t="s">
        <v>209</v>
      </c>
      <c r="D615" s="1106" t="s">
        <v>95</v>
      </c>
      <c r="E615" s="1127" t="s">
        <v>328</v>
      </c>
      <c r="F615" s="1127" t="s">
        <v>329</v>
      </c>
      <c r="G615" s="1128" t="s">
        <v>448</v>
      </c>
      <c r="H615" s="1129" t="s">
        <v>449</v>
      </c>
      <c r="I615" s="1123"/>
    </row>
    <row r="616" spans="1:9" ht="14.25" thickTop="1" thickBot="1" x14ac:dyDescent="0.25">
      <c r="A616" s="1042">
        <v>1</v>
      </c>
      <c r="B616" s="1041">
        <v>2</v>
      </c>
      <c r="C616" s="1041">
        <v>3</v>
      </c>
      <c r="D616" s="1041">
        <v>4</v>
      </c>
      <c r="E616" s="1040">
        <v>5</v>
      </c>
      <c r="F616" s="1040">
        <v>6</v>
      </c>
      <c r="G616" s="1164">
        <v>7</v>
      </c>
      <c r="H616" s="1186" t="s">
        <v>33</v>
      </c>
      <c r="I616" s="1123"/>
    </row>
    <row r="617" spans="1:9" ht="16.5" thickTop="1" thickBot="1" x14ac:dyDescent="0.25">
      <c r="A617" s="1181">
        <v>3122</v>
      </c>
      <c r="B617" s="1187">
        <v>6121</v>
      </c>
      <c r="C617" s="2190" t="s">
        <v>972</v>
      </c>
      <c r="D617" s="1130" t="s">
        <v>312</v>
      </c>
      <c r="E617" s="1126">
        <v>200</v>
      </c>
      <c r="F617" s="1126">
        <v>206</v>
      </c>
      <c r="G617" s="1126">
        <v>129</v>
      </c>
      <c r="H617" s="3050">
        <f t="shared" ref="H617:H622" si="30">G617/F617*100</f>
        <v>62.621359223300978</v>
      </c>
      <c r="I617" s="1123"/>
    </row>
    <row r="618" spans="1:9" ht="15.75" hidden="1" thickBot="1" x14ac:dyDescent="0.25">
      <c r="A618" s="1181">
        <v>4354</v>
      </c>
      <c r="B618" s="1187">
        <v>6121</v>
      </c>
      <c r="C618" s="2190" t="s">
        <v>1006</v>
      </c>
      <c r="D618" s="1130" t="s">
        <v>312</v>
      </c>
      <c r="E618" s="1135"/>
      <c r="F618" s="1135"/>
      <c r="G618" s="1135"/>
      <c r="H618" s="3050" t="e">
        <f t="shared" si="30"/>
        <v>#DIV/0!</v>
      </c>
      <c r="I618" s="1123"/>
    </row>
    <row r="619" spans="1:9" ht="15.75" hidden="1" thickBot="1" x14ac:dyDescent="0.25">
      <c r="A619" s="1181">
        <v>4354</v>
      </c>
      <c r="B619" s="1187">
        <v>6121</v>
      </c>
      <c r="C619" s="2190" t="s">
        <v>1005</v>
      </c>
      <c r="D619" s="1130" t="s">
        <v>312</v>
      </c>
      <c r="E619" s="1135"/>
      <c r="F619" s="1135"/>
      <c r="G619" s="1135"/>
      <c r="H619" s="3050" t="e">
        <f t="shared" si="30"/>
        <v>#DIV/0!</v>
      </c>
      <c r="I619" s="1123"/>
    </row>
    <row r="620" spans="1:9" ht="15.75" hidden="1" thickBot="1" x14ac:dyDescent="0.25">
      <c r="A620" s="1181">
        <v>4354</v>
      </c>
      <c r="B620" s="1187">
        <v>6121</v>
      </c>
      <c r="C620" s="2190" t="s">
        <v>1018</v>
      </c>
      <c r="D620" s="1130" t="s">
        <v>312</v>
      </c>
      <c r="E620" s="1135"/>
      <c r="F620" s="1135"/>
      <c r="G620" s="1135"/>
      <c r="H620" s="3050" t="e">
        <f t="shared" si="30"/>
        <v>#DIV/0!</v>
      </c>
      <c r="I620" s="1123"/>
    </row>
    <row r="621" spans="1:9" ht="15.75" hidden="1" thickBot="1" x14ac:dyDescent="0.25">
      <c r="A621" s="1181">
        <v>4354</v>
      </c>
      <c r="B621" s="1187">
        <v>6121</v>
      </c>
      <c r="C621" s="2190" t="s">
        <v>1017</v>
      </c>
      <c r="D621" s="1130" t="s">
        <v>312</v>
      </c>
      <c r="E621" s="1135"/>
      <c r="F621" s="1135"/>
      <c r="G621" s="1135"/>
      <c r="H621" s="3050" t="e">
        <f t="shared" si="30"/>
        <v>#DIV/0!</v>
      </c>
      <c r="I621" s="1123"/>
    </row>
    <row r="622" spans="1:9" ht="16.5" thickTop="1" thickBot="1" x14ac:dyDescent="0.3">
      <c r="A622" s="3317" t="s">
        <v>394</v>
      </c>
      <c r="B622" s="3318"/>
      <c r="C622" s="3318"/>
      <c r="D622" s="3318"/>
      <c r="E622" s="1113">
        <f>SUM(E617:E621)</f>
        <v>200</v>
      </c>
      <c r="F622" s="1113">
        <f>SUM(F617:F621)</f>
        <v>206</v>
      </c>
      <c r="G622" s="1113">
        <f>SUM(G617:G621)</f>
        <v>129</v>
      </c>
      <c r="H622" s="1381">
        <f t="shared" si="30"/>
        <v>62.621359223300978</v>
      </c>
      <c r="I622" s="1123"/>
    </row>
    <row r="623" spans="1:9" ht="13.5" thickTop="1" x14ac:dyDescent="0.2">
      <c r="I623" s="1123"/>
    </row>
    <row r="624" spans="1:9" ht="18" x14ac:dyDescent="0.25">
      <c r="A624" s="1103" t="s">
        <v>1445</v>
      </c>
      <c r="B624" s="1125"/>
      <c r="C624" s="1125"/>
      <c r="D624" s="1125"/>
      <c r="E624" s="1125"/>
      <c r="F624" s="1125"/>
      <c r="G624" s="1125"/>
      <c r="H624" s="1163"/>
      <c r="I624" s="1123"/>
    </row>
    <row r="625" spans="1:9" ht="16.5" thickBot="1" x14ac:dyDescent="0.3">
      <c r="A625" s="1102" t="s">
        <v>1444</v>
      </c>
      <c r="H625" s="1120" t="s">
        <v>92</v>
      </c>
      <c r="I625" s="1123"/>
    </row>
    <row r="626" spans="1:9" ht="25.5" thickTop="1" thickBot="1" x14ac:dyDescent="0.25">
      <c r="A626" s="1104" t="s">
        <v>93</v>
      </c>
      <c r="B626" s="1105" t="s">
        <v>392</v>
      </c>
      <c r="C626" s="1105" t="s">
        <v>209</v>
      </c>
      <c r="D626" s="1106" t="s">
        <v>95</v>
      </c>
      <c r="E626" s="1127" t="s">
        <v>328</v>
      </c>
      <c r="F626" s="1127" t="s">
        <v>329</v>
      </c>
      <c r="G626" s="1128" t="s">
        <v>448</v>
      </c>
      <c r="H626" s="1129" t="s">
        <v>449</v>
      </c>
      <c r="I626" s="1123"/>
    </row>
    <row r="627" spans="1:9" ht="14.25" thickTop="1" thickBot="1" x14ac:dyDescent="0.25">
      <c r="A627" s="1042">
        <v>1</v>
      </c>
      <c r="B627" s="1041">
        <v>2</v>
      </c>
      <c r="C627" s="1041">
        <v>3</v>
      </c>
      <c r="D627" s="1041">
        <v>4</v>
      </c>
      <c r="E627" s="1040">
        <v>5</v>
      </c>
      <c r="F627" s="1040">
        <v>6</v>
      </c>
      <c r="G627" s="1164">
        <v>7</v>
      </c>
      <c r="H627" s="1186" t="s">
        <v>33</v>
      </c>
      <c r="I627" s="1123"/>
    </row>
    <row r="628" spans="1:9" ht="16.5" thickTop="1" thickBot="1" x14ac:dyDescent="0.25">
      <c r="A628" s="1181">
        <v>3122</v>
      </c>
      <c r="B628" s="1187">
        <v>6121</v>
      </c>
      <c r="C628" s="2190" t="s">
        <v>972</v>
      </c>
      <c r="D628" s="1130" t="s">
        <v>312</v>
      </c>
      <c r="E628" s="1126">
        <v>100</v>
      </c>
      <c r="F628" s="1126">
        <v>21</v>
      </c>
      <c r="G628" s="1126">
        <v>0</v>
      </c>
      <c r="H628" s="3050">
        <f t="shared" ref="H628:H633" si="31">G628/F628*100</f>
        <v>0</v>
      </c>
      <c r="I628" s="1123"/>
    </row>
    <row r="629" spans="1:9" ht="15.75" hidden="1" thickBot="1" x14ac:dyDescent="0.25">
      <c r="A629" s="1181">
        <v>4354</v>
      </c>
      <c r="B629" s="1187">
        <v>6121</v>
      </c>
      <c r="C629" s="2190" t="s">
        <v>1006</v>
      </c>
      <c r="D629" s="1130" t="s">
        <v>312</v>
      </c>
      <c r="E629" s="1135"/>
      <c r="F629" s="1135"/>
      <c r="G629" s="1135"/>
      <c r="H629" s="3050" t="e">
        <f t="shared" si="31"/>
        <v>#DIV/0!</v>
      </c>
      <c r="I629" s="1123"/>
    </row>
    <row r="630" spans="1:9" ht="15.75" hidden="1" thickBot="1" x14ac:dyDescent="0.25">
      <c r="A630" s="1181">
        <v>4354</v>
      </c>
      <c r="B630" s="1187">
        <v>6121</v>
      </c>
      <c r="C630" s="2190" t="s">
        <v>1005</v>
      </c>
      <c r="D630" s="1130" t="s">
        <v>312</v>
      </c>
      <c r="E630" s="1135"/>
      <c r="F630" s="1135"/>
      <c r="G630" s="1135"/>
      <c r="H630" s="3050" t="e">
        <f t="shared" si="31"/>
        <v>#DIV/0!</v>
      </c>
      <c r="I630" s="1123"/>
    </row>
    <row r="631" spans="1:9" ht="15.75" hidden="1" thickBot="1" x14ac:dyDescent="0.25">
      <c r="A631" s="1181">
        <v>4354</v>
      </c>
      <c r="B631" s="1187">
        <v>6121</v>
      </c>
      <c r="C631" s="2190" t="s">
        <v>1018</v>
      </c>
      <c r="D631" s="1130" t="s">
        <v>312</v>
      </c>
      <c r="E631" s="1135"/>
      <c r="F631" s="1135"/>
      <c r="G631" s="1135"/>
      <c r="H631" s="3050" t="e">
        <f t="shared" si="31"/>
        <v>#DIV/0!</v>
      </c>
      <c r="I631" s="1123"/>
    </row>
    <row r="632" spans="1:9" ht="15.75" hidden="1" thickBot="1" x14ac:dyDescent="0.25">
      <c r="A632" s="1181">
        <v>4354</v>
      </c>
      <c r="B632" s="1187">
        <v>6121</v>
      </c>
      <c r="C632" s="2190" t="s">
        <v>1017</v>
      </c>
      <c r="D632" s="1130" t="s">
        <v>312</v>
      </c>
      <c r="E632" s="1135"/>
      <c r="F632" s="1135"/>
      <c r="G632" s="1135"/>
      <c r="H632" s="3050" t="e">
        <f t="shared" si="31"/>
        <v>#DIV/0!</v>
      </c>
      <c r="I632" s="1123"/>
    </row>
    <row r="633" spans="1:9" ht="16.5" thickTop="1" thickBot="1" x14ac:dyDescent="0.3">
      <c r="A633" s="3317" t="s">
        <v>394</v>
      </c>
      <c r="B633" s="3318"/>
      <c r="C633" s="3318"/>
      <c r="D633" s="3318"/>
      <c r="E633" s="1113">
        <f>SUM(E628:E632)</f>
        <v>100</v>
      </c>
      <c r="F633" s="1113">
        <f>SUM(F628:F632)</f>
        <v>21</v>
      </c>
      <c r="G633" s="1113">
        <f>SUM(G628:G632)</f>
        <v>0</v>
      </c>
      <c r="H633" s="1381">
        <f t="shared" si="31"/>
        <v>0</v>
      </c>
      <c r="I633" s="1123"/>
    </row>
    <row r="634" spans="1:9" ht="13.5" thickTop="1" x14ac:dyDescent="0.2">
      <c r="I634" s="1123"/>
    </row>
    <row r="635" spans="1:9" ht="18" x14ac:dyDescent="0.25">
      <c r="A635" s="1103" t="s">
        <v>1738</v>
      </c>
      <c r="B635" s="1125"/>
      <c r="C635" s="1125"/>
      <c r="D635" s="1125"/>
      <c r="E635" s="1125"/>
      <c r="F635" s="1125"/>
      <c r="G635" s="1125"/>
      <c r="H635" s="1163"/>
      <c r="I635" s="1123"/>
    </row>
    <row r="636" spans="1:9" ht="16.5" thickBot="1" x14ac:dyDescent="0.3">
      <c r="A636" s="1102" t="s">
        <v>1737</v>
      </c>
      <c r="H636" s="1120" t="s">
        <v>92</v>
      </c>
      <c r="I636" s="1123"/>
    </row>
    <row r="637" spans="1:9" ht="25.5" thickTop="1" thickBot="1" x14ac:dyDescent="0.25">
      <c r="A637" s="1104" t="s">
        <v>93</v>
      </c>
      <c r="B637" s="1105" t="s">
        <v>392</v>
      </c>
      <c r="C637" s="1105" t="s">
        <v>209</v>
      </c>
      <c r="D637" s="1106" t="s">
        <v>95</v>
      </c>
      <c r="E637" s="1127" t="s">
        <v>328</v>
      </c>
      <c r="F637" s="1127" t="s">
        <v>329</v>
      </c>
      <c r="G637" s="1128" t="s">
        <v>448</v>
      </c>
      <c r="H637" s="1129" t="s">
        <v>449</v>
      </c>
      <c r="I637" s="1123"/>
    </row>
    <row r="638" spans="1:9" ht="14.25" thickTop="1" thickBot="1" x14ac:dyDescent="0.25">
      <c r="A638" s="1042">
        <v>1</v>
      </c>
      <c r="B638" s="1041">
        <v>2</v>
      </c>
      <c r="C638" s="1041">
        <v>3</v>
      </c>
      <c r="D638" s="1041">
        <v>4</v>
      </c>
      <c r="E638" s="1040">
        <v>5</v>
      </c>
      <c r="F638" s="1040">
        <v>6</v>
      </c>
      <c r="G638" s="1164">
        <v>7</v>
      </c>
      <c r="H638" s="1186" t="s">
        <v>33</v>
      </c>
      <c r="I638" s="1123"/>
    </row>
    <row r="639" spans="1:9" ht="16.5" thickTop="1" thickBot="1" x14ac:dyDescent="0.25">
      <c r="A639" s="1181">
        <v>3122</v>
      </c>
      <c r="B639" s="1187">
        <v>6121</v>
      </c>
      <c r="C639" s="2190" t="s">
        <v>972</v>
      </c>
      <c r="D639" s="1130" t="s">
        <v>312</v>
      </c>
      <c r="E639" s="1126">
        <v>0</v>
      </c>
      <c r="F639" s="1126">
        <v>388</v>
      </c>
      <c r="G639" s="1126">
        <v>0</v>
      </c>
      <c r="H639" s="3050">
        <f t="shared" ref="H639:H644" si="32">G639/F639*100</f>
        <v>0</v>
      </c>
      <c r="I639" s="1123"/>
    </row>
    <row r="640" spans="1:9" ht="15.75" hidden="1" thickBot="1" x14ac:dyDescent="0.25">
      <c r="A640" s="1181">
        <v>4354</v>
      </c>
      <c r="B640" s="1187">
        <v>6121</v>
      </c>
      <c r="C640" s="2190" t="s">
        <v>1006</v>
      </c>
      <c r="D640" s="1130" t="s">
        <v>312</v>
      </c>
      <c r="E640" s="1135"/>
      <c r="F640" s="1135"/>
      <c r="G640" s="1135"/>
      <c r="H640" s="3050" t="e">
        <f t="shared" si="32"/>
        <v>#DIV/0!</v>
      </c>
      <c r="I640" s="1123"/>
    </row>
    <row r="641" spans="1:9" ht="15.75" hidden="1" thickBot="1" x14ac:dyDescent="0.25">
      <c r="A641" s="1181">
        <v>4354</v>
      </c>
      <c r="B641" s="1187">
        <v>6121</v>
      </c>
      <c r="C641" s="2190" t="s">
        <v>1005</v>
      </c>
      <c r="D641" s="1130" t="s">
        <v>312</v>
      </c>
      <c r="E641" s="1135"/>
      <c r="F641" s="1135"/>
      <c r="G641" s="1135"/>
      <c r="H641" s="3050" t="e">
        <f t="shared" si="32"/>
        <v>#DIV/0!</v>
      </c>
      <c r="I641" s="1123"/>
    </row>
    <row r="642" spans="1:9" ht="15.75" hidden="1" thickBot="1" x14ac:dyDescent="0.25">
      <c r="A642" s="1181">
        <v>4354</v>
      </c>
      <c r="B642" s="1187">
        <v>6121</v>
      </c>
      <c r="C642" s="2190" t="s">
        <v>1018</v>
      </c>
      <c r="D642" s="1130" t="s">
        <v>312</v>
      </c>
      <c r="E642" s="1135"/>
      <c r="F642" s="1135"/>
      <c r="G642" s="1135"/>
      <c r="H642" s="3050" t="e">
        <f t="shared" si="32"/>
        <v>#DIV/0!</v>
      </c>
      <c r="I642" s="1123"/>
    </row>
    <row r="643" spans="1:9" ht="15.75" hidden="1" thickBot="1" x14ac:dyDescent="0.25">
      <c r="A643" s="1181">
        <v>4354</v>
      </c>
      <c r="B643" s="1187">
        <v>6121</v>
      </c>
      <c r="C643" s="2190" t="s">
        <v>1017</v>
      </c>
      <c r="D643" s="1130" t="s">
        <v>312</v>
      </c>
      <c r="E643" s="1135"/>
      <c r="F643" s="1135"/>
      <c r="G643" s="1135"/>
      <c r="H643" s="3050" t="e">
        <f t="shared" si="32"/>
        <v>#DIV/0!</v>
      </c>
      <c r="I643" s="1123"/>
    </row>
    <row r="644" spans="1:9" ht="16.5" thickTop="1" thickBot="1" x14ac:dyDescent="0.3">
      <c r="A644" s="3317" t="s">
        <v>394</v>
      </c>
      <c r="B644" s="3318"/>
      <c r="C644" s="3318"/>
      <c r="D644" s="3318"/>
      <c r="E644" s="1113">
        <f>SUM(E639:E643)</f>
        <v>0</v>
      </c>
      <c r="F644" s="1113">
        <f>SUM(F639:F643)</f>
        <v>388</v>
      </c>
      <c r="G644" s="1113">
        <f>SUM(G639:G643)</f>
        <v>0</v>
      </c>
      <c r="H644" s="1381">
        <f t="shared" si="32"/>
        <v>0</v>
      </c>
      <c r="I644" s="1123"/>
    </row>
    <row r="645" spans="1:9" ht="13.5" thickTop="1" x14ac:dyDescent="0.2">
      <c r="I645" s="1123"/>
    </row>
    <row r="646" spans="1:9" ht="18" x14ac:dyDescent="0.25">
      <c r="A646" s="1103" t="s">
        <v>1443</v>
      </c>
      <c r="B646" s="1125"/>
      <c r="C646" s="1125"/>
      <c r="D646" s="1125"/>
      <c r="E646" s="1125"/>
      <c r="F646" s="1125"/>
      <c r="G646" s="1125"/>
      <c r="H646" s="1163"/>
      <c r="I646" s="1123"/>
    </row>
    <row r="647" spans="1:9" ht="16.5" thickBot="1" x14ac:dyDescent="0.3">
      <c r="A647" s="1102" t="s">
        <v>1442</v>
      </c>
      <c r="H647" s="1120" t="s">
        <v>92</v>
      </c>
      <c r="I647" s="1123"/>
    </row>
    <row r="648" spans="1:9" ht="25.5" thickTop="1" thickBot="1" x14ac:dyDescent="0.25">
      <c r="A648" s="1104" t="s">
        <v>93</v>
      </c>
      <c r="B648" s="1105" t="s">
        <v>392</v>
      </c>
      <c r="C648" s="1105" t="s">
        <v>209</v>
      </c>
      <c r="D648" s="1106" t="s">
        <v>95</v>
      </c>
      <c r="E648" s="1127" t="s">
        <v>328</v>
      </c>
      <c r="F648" s="1127" t="s">
        <v>329</v>
      </c>
      <c r="G648" s="1128" t="s">
        <v>448</v>
      </c>
      <c r="H648" s="1129" t="s">
        <v>449</v>
      </c>
      <c r="I648" s="1123"/>
    </row>
    <row r="649" spans="1:9" ht="14.25" thickTop="1" thickBot="1" x14ac:dyDescent="0.25">
      <c r="A649" s="1042">
        <v>1</v>
      </c>
      <c r="B649" s="1041">
        <v>2</v>
      </c>
      <c r="C649" s="1041">
        <v>3</v>
      </c>
      <c r="D649" s="1041">
        <v>4</v>
      </c>
      <c r="E649" s="1040">
        <v>5</v>
      </c>
      <c r="F649" s="1040">
        <v>6</v>
      </c>
      <c r="G649" s="1164">
        <v>7</v>
      </c>
      <c r="H649" s="1186" t="s">
        <v>33</v>
      </c>
      <c r="I649" s="1123"/>
    </row>
    <row r="650" spans="1:9" ht="16.5" thickTop="1" thickBot="1" x14ac:dyDescent="0.25">
      <c r="A650" s="1181">
        <v>3122</v>
      </c>
      <c r="B650" s="1187">
        <v>6121</v>
      </c>
      <c r="C650" s="2190" t="s">
        <v>972</v>
      </c>
      <c r="D650" s="1130" t="s">
        <v>312</v>
      </c>
      <c r="E650" s="1126">
        <v>225</v>
      </c>
      <c r="F650" s="1126">
        <v>411</v>
      </c>
      <c r="G650" s="1126">
        <v>0</v>
      </c>
      <c r="H650" s="3050">
        <f t="shared" ref="H650:H655" si="33">G650/F650*100</f>
        <v>0</v>
      </c>
      <c r="I650" s="1123"/>
    </row>
    <row r="651" spans="1:9" ht="15.75" hidden="1" thickBot="1" x14ac:dyDescent="0.25">
      <c r="A651" s="1181">
        <v>4354</v>
      </c>
      <c r="B651" s="1187">
        <v>6121</v>
      </c>
      <c r="C651" s="2190" t="s">
        <v>1006</v>
      </c>
      <c r="D651" s="1130" t="s">
        <v>312</v>
      </c>
      <c r="E651" s="1135"/>
      <c r="F651" s="1135"/>
      <c r="G651" s="1135"/>
      <c r="H651" s="3050" t="e">
        <f t="shared" si="33"/>
        <v>#DIV/0!</v>
      </c>
      <c r="I651" s="1123"/>
    </row>
    <row r="652" spans="1:9" ht="15.75" hidden="1" thickBot="1" x14ac:dyDescent="0.25">
      <c r="A652" s="1181">
        <v>4354</v>
      </c>
      <c r="B652" s="1187">
        <v>6121</v>
      </c>
      <c r="C652" s="2190" t="s">
        <v>1005</v>
      </c>
      <c r="D652" s="1130" t="s">
        <v>312</v>
      </c>
      <c r="E652" s="1135"/>
      <c r="F652" s="1135"/>
      <c r="G652" s="1135"/>
      <c r="H652" s="3050" t="e">
        <f t="shared" si="33"/>
        <v>#DIV/0!</v>
      </c>
      <c r="I652" s="1123"/>
    </row>
    <row r="653" spans="1:9" ht="15.75" hidden="1" thickBot="1" x14ac:dyDescent="0.25">
      <c r="A653" s="1181">
        <v>4354</v>
      </c>
      <c r="B653" s="1187">
        <v>6121</v>
      </c>
      <c r="C653" s="2190" t="s">
        <v>1018</v>
      </c>
      <c r="D653" s="1130" t="s">
        <v>312</v>
      </c>
      <c r="E653" s="1135"/>
      <c r="F653" s="1135"/>
      <c r="G653" s="1135"/>
      <c r="H653" s="3050" t="e">
        <f t="shared" si="33"/>
        <v>#DIV/0!</v>
      </c>
      <c r="I653" s="1123"/>
    </row>
    <row r="654" spans="1:9" ht="15.75" hidden="1" thickBot="1" x14ac:dyDescent="0.25">
      <c r="A654" s="1181">
        <v>4354</v>
      </c>
      <c r="B654" s="1187">
        <v>6121</v>
      </c>
      <c r="C654" s="2190" t="s">
        <v>1017</v>
      </c>
      <c r="D654" s="1130" t="s">
        <v>312</v>
      </c>
      <c r="E654" s="1135"/>
      <c r="F654" s="1135"/>
      <c r="G654" s="1135"/>
      <c r="H654" s="3050" t="e">
        <f t="shared" si="33"/>
        <v>#DIV/0!</v>
      </c>
      <c r="I654" s="1123"/>
    </row>
    <row r="655" spans="1:9" ht="16.5" thickTop="1" thickBot="1" x14ac:dyDescent="0.3">
      <c r="A655" s="3317" t="s">
        <v>394</v>
      </c>
      <c r="B655" s="3318"/>
      <c r="C655" s="3318"/>
      <c r="D655" s="3318"/>
      <c r="E655" s="1113">
        <f>SUM(E650:E654)</f>
        <v>225</v>
      </c>
      <c r="F655" s="1113">
        <f>SUM(F650:F654)</f>
        <v>411</v>
      </c>
      <c r="G655" s="1113">
        <f>SUM(G650:G654)</f>
        <v>0</v>
      </c>
      <c r="H655" s="1381">
        <f t="shared" si="33"/>
        <v>0</v>
      </c>
      <c r="I655" s="1123"/>
    </row>
    <row r="656" spans="1:9" ht="13.5" thickTop="1" x14ac:dyDescent="0.2">
      <c r="I656" s="1123"/>
    </row>
    <row r="657" spans="1:9" ht="18" x14ac:dyDescent="0.25">
      <c r="A657" s="1103" t="s">
        <v>1441</v>
      </c>
      <c r="B657" s="1125"/>
      <c r="C657" s="1125"/>
      <c r="D657" s="1125"/>
      <c r="E657" s="1125"/>
      <c r="F657" s="1125"/>
      <c r="G657" s="1125"/>
      <c r="H657" s="1163"/>
      <c r="I657" s="1123"/>
    </row>
    <row r="658" spans="1:9" ht="16.5" thickBot="1" x14ac:dyDescent="0.3">
      <c r="A658" s="1102" t="s">
        <v>1440</v>
      </c>
      <c r="H658" s="1120" t="s">
        <v>92</v>
      </c>
      <c r="I658" s="1123"/>
    </row>
    <row r="659" spans="1:9" ht="25.5" thickTop="1" thickBot="1" x14ac:dyDescent="0.25">
      <c r="A659" s="1104" t="s">
        <v>93</v>
      </c>
      <c r="B659" s="1105" t="s">
        <v>392</v>
      </c>
      <c r="C659" s="1105" t="s">
        <v>209</v>
      </c>
      <c r="D659" s="1106" t="s">
        <v>95</v>
      </c>
      <c r="E659" s="1127" t="s">
        <v>328</v>
      </c>
      <c r="F659" s="1127" t="s">
        <v>329</v>
      </c>
      <c r="G659" s="1128" t="s">
        <v>448</v>
      </c>
      <c r="H659" s="1129" t="s">
        <v>449</v>
      </c>
      <c r="I659" s="1123"/>
    </row>
    <row r="660" spans="1:9" ht="14.25" thickTop="1" thickBot="1" x14ac:dyDescent="0.25">
      <c r="A660" s="1042">
        <v>1</v>
      </c>
      <c r="B660" s="1041">
        <v>2</v>
      </c>
      <c r="C660" s="1041">
        <v>3</v>
      </c>
      <c r="D660" s="1041">
        <v>4</v>
      </c>
      <c r="E660" s="1040">
        <v>5</v>
      </c>
      <c r="F660" s="1040">
        <v>6</v>
      </c>
      <c r="G660" s="1164">
        <v>7</v>
      </c>
      <c r="H660" s="1186" t="s">
        <v>33</v>
      </c>
      <c r="I660" s="1123"/>
    </row>
    <row r="661" spans="1:9" ht="16.5" thickTop="1" thickBot="1" x14ac:dyDescent="0.25">
      <c r="A661" s="1181">
        <v>3122</v>
      </c>
      <c r="B661" s="1187">
        <v>6121</v>
      </c>
      <c r="C661" s="2190" t="s">
        <v>972</v>
      </c>
      <c r="D661" s="1130" t="s">
        <v>312</v>
      </c>
      <c r="E661" s="1126">
        <v>415</v>
      </c>
      <c r="F661" s="1126">
        <v>415</v>
      </c>
      <c r="G661" s="1126">
        <v>407</v>
      </c>
      <c r="H661" s="3050">
        <f t="shared" ref="H661:H666" si="34">G661/F661*100</f>
        <v>98.072289156626496</v>
      </c>
      <c r="I661" s="1123"/>
    </row>
    <row r="662" spans="1:9" ht="15.75" hidden="1" thickBot="1" x14ac:dyDescent="0.25">
      <c r="A662" s="1181">
        <v>4354</v>
      </c>
      <c r="B662" s="1187">
        <v>6121</v>
      </c>
      <c r="C662" s="2190" t="s">
        <v>1006</v>
      </c>
      <c r="D662" s="1130" t="s">
        <v>312</v>
      </c>
      <c r="E662" s="1135"/>
      <c r="F662" s="1135"/>
      <c r="G662" s="1135"/>
      <c r="H662" s="3050" t="e">
        <f t="shared" si="34"/>
        <v>#DIV/0!</v>
      </c>
      <c r="I662" s="1123"/>
    </row>
    <row r="663" spans="1:9" ht="15.75" hidden="1" thickBot="1" x14ac:dyDescent="0.25">
      <c r="A663" s="1181">
        <v>4354</v>
      </c>
      <c r="B663" s="1187">
        <v>6121</v>
      </c>
      <c r="C663" s="2190" t="s">
        <v>1005</v>
      </c>
      <c r="D663" s="1130" t="s">
        <v>312</v>
      </c>
      <c r="E663" s="1135"/>
      <c r="F663" s="1135"/>
      <c r="G663" s="1135"/>
      <c r="H663" s="3050" t="e">
        <f t="shared" si="34"/>
        <v>#DIV/0!</v>
      </c>
      <c r="I663" s="1123"/>
    </row>
    <row r="664" spans="1:9" ht="15.75" hidden="1" thickBot="1" x14ac:dyDescent="0.25">
      <c r="A664" s="1181">
        <v>4354</v>
      </c>
      <c r="B664" s="1187">
        <v>6121</v>
      </c>
      <c r="C664" s="2190" t="s">
        <v>1018</v>
      </c>
      <c r="D664" s="1130" t="s">
        <v>312</v>
      </c>
      <c r="E664" s="1135"/>
      <c r="F664" s="1135"/>
      <c r="G664" s="1135"/>
      <c r="H664" s="3050" t="e">
        <f t="shared" si="34"/>
        <v>#DIV/0!</v>
      </c>
      <c r="I664" s="1123"/>
    </row>
    <row r="665" spans="1:9" ht="15.75" hidden="1" thickBot="1" x14ac:dyDescent="0.25">
      <c r="A665" s="1181">
        <v>4354</v>
      </c>
      <c r="B665" s="1187">
        <v>6121</v>
      </c>
      <c r="C665" s="2190" t="s">
        <v>1017</v>
      </c>
      <c r="D665" s="1130" t="s">
        <v>312</v>
      </c>
      <c r="E665" s="1135"/>
      <c r="F665" s="1135"/>
      <c r="G665" s="1135"/>
      <c r="H665" s="3050" t="e">
        <f t="shared" si="34"/>
        <v>#DIV/0!</v>
      </c>
      <c r="I665" s="1123"/>
    </row>
    <row r="666" spans="1:9" ht="16.5" thickTop="1" thickBot="1" x14ac:dyDescent="0.3">
      <c r="A666" s="3317" t="s">
        <v>394</v>
      </c>
      <c r="B666" s="3318"/>
      <c r="C666" s="3318"/>
      <c r="D666" s="3318"/>
      <c r="E666" s="1113">
        <f>SUM(E661:E665)</f>
        <v>415</v>
      </c>
      <c r="F666" s="1113">
        <f>SUM(F661:F665)</f>
        <v>415</v>
      </c>
      <c r="G666" s="1113">
        <f>SUM(G661:G665)</f>
        <v>407</v>
      </c>
      <c r="H666" s="1381">
        <f t="shared" si="34"/>
        <v>98.072289156626496</v>
      </c>
      <c r="I666" s="1123"/>
    </row>
    <row r="667" spans="1:9" ht="13.5" thickTop="1" x14ac:dyDescent="0.2">
      <c r="I667" s="1123"/>
    </row>
    <row r="668" spans="1:9" ht="29.25" customHeight="1" x14ac:dyDescent="0.25">
      <c r="A668" s="3335" t="s">
        <v>1439</v>
      </c>
      <c r="B668" s="3210"/>
      <c r="C668" s="3210"/>
      <c r="D668" s="3210"/>
      <c r="E668" s="3210"/>
      <c r="F668" s="3210"/>
      <c r="G668" s="3210"/>
      <c r="H668" s="1163"/>
      <c r="I668" s="1123"/>
    </row>
    <row r="669" spans="1:9" ht="16.5" thickBot="1" x14ac:dyDescent="0.3">
      <c r="A669" s="1102" t="s">
        <v>1438</v>
      </c>
      <c r="H669" s="1120" t="s">
        <v>92</v>
      </c>
      <c r="I669" s="1123"/>
    </row>
    <row r="670" spans="1:9" ht="25.5" thickTop="1" thickBot="1" x14ac:dyDescent="0.25">
      <c r="A670" s="1104" t="s">
        <v>93</v>
      </c>
      <c r="B670" s="1105" t="s">
        <v>392</v>
      </c>
      <c r="C670" s="1105" t="s">
        <v>209</v>
      </c>
      <c r="D670" s="1106" t="s">
        <v>95</v>
      </c>
      <c r="E670" s="1127" t="s">
        <v>328</v>
      </c>
      <c r="F670" s="1127" t="s">
        <v>329</v>
      </c>
      <c r="G670" s="1128" t="s">
        <v>448</v>
      </c>
      <c r="H670" s="1129" t="s">
        <v>449</v>
      </c>
      <c r="I670" s="1123"/>
    </row>
    <row r="671" spans="1:9" ht="14.25" thickTop="1" thickBot="1" x14ac:dyDescent="0.25">
      <c r="A671" s="1042">
        <v>1</v>
      </c>
      <c r="B671" s="1041">
        <v>2</v>
      </c>
      <c r="C671" s="1041">
        <v>3</v>
      </c>
      <c r="D671" s="1041">
        <v>4</v>
      </c>
      <c r="E671" s="1040">
        <v>5</v>
      </c>
      <c r="F671" s="1040">
        <v>6</v>
      </c>
      <c r="G671" s="1164">
        <v>7</v>
      </c>
      <c r="H671" s="1186" t="s">
        <v>33</v>
      </c>
      <c r="I671" s="1123"/>
    </row>
    <row r="672" spans="1:9" ht="16.5" thickTop="1" thickBot="1" x14ac:dyDescent="0.25">
      <c r="A672" s="1181">
        <v>3122</v>
      </c>
      <c r="B672" s="1187">
        <v>6121</v>
      </c>
      <c r="C672" s="2190" t="s">
        <v>972</v>
      </c>
      <c r="D672" s="1130" t="s">
        <v>312</v>
      </c>
      <c r="E672" s="1126">
        <v>100</v>
      </c>
      <c r="F672" s="1126">
        <v>674</v>
      </c>
      <c r="G672" s="1126">
        <v>402</v>
      </c>
      <c r="H672" s="3050">
        <f t="shared" ref="H672:H677" si="35">G672/F672*100</f>
        <v>59.64391691394659</v>
      </c>
      <c r="I672" s="1123"/>
    </row>
    <row r="673" spans="1:9" ht="15.75" hidden="1" thickBot="1" x14ac:dyDescent="0.25">
      <c r="A673" s="1181">
        <v>4354</v>
      </c>
      <c r="B673" s="1187">
        <v>6121</v>
      </c>
      <c r="C673" s="2190" t="s">
        <v>1006</v>
      </c>
      <c r="D673" s="1130" t="s">
        <v>312</v>
      </c>
      <c r="E673" s="1135"/>
      <c r="F673" s="1135"/>
      <c r="G673" s="1135"/>
      <c r="H673" s="3050" t="e">
        <f t="shared" si="35"/>
        <v>#DIV/0!</v>
      </c>
      <c r="I673" s="1123"/>
    </row>
    <row r="674" spans="1:9" ht="15.75" hidden="1" thickBot="1" x14ac:dyDescent="0.25">
      <c r="A674" s="1181">
        <v>4354</v>
      </c>
      <c r="B674" s="1187">
        <v>6121</v>
      </c>
      <c r="C674" s="2190" t="s">
        <v>1005</v>
      </c>
      <c r="D674" s="1130" t="s">
        <v>312</v>
      </c>
      <c r="E674" s="1135"/>
      <c r="F674" s="1135"/>
      <c r="G674" s="1135"/>
      <c r="H674" s="3050" t="e">
        <f t="shared" si="35"/>
        <v>#DIV/0!</v>
      </c>
      <c r="I674" s="1123"/>
    </row>
    <row r="675" spans="1:9" ht="15.75" hidden="1" thickBot="1" x14ac:dyDescent="0.25">
      <c r="A675" s="1181">
        <v>4354</v>
      </c>
      <c r="B675" s="1187">
        <v>6121</v>
      </c>
      <c r="C675" s="2190" t="s">
        <v>1018</v>
      </c>
      <c r="D675" s="1130" t="s">
        <v>312</v>
      </c>
      <c r="E675" s="1135"/>
      <c r="F675" s="1135"/>
      <c r="G675" s="1135"/>
      <c r="H675" s="3050" t="e">
        <f t="shared" si="35"/>
        <v>#DIV/0!</v>
      </c>
      <c r="I675" s="1123"/>
    </row>
    <row r="676" spans="1:9" ht="15.75" hidden="1" thickBot="1" x14ac:dyDescent="0.25">
      <c r="A676" s="1181">
        <v>4354</v>
      </c>
      <c r="B676" s="1187">
        <v>6121</v>
      </c>
      <c r="C676" s="2190" t="s">
        <v>1017</v>
      </c>
      <c r="D676" s="1130" t="s">
        <v>312</v>
      </c>
      <c r="E676" s="1135"/>
      <c r="F676" s="1135"/>
      <c r="G676" s="1135"/>
      <c r="H676" s="3050" t="e">
        <f t="shared" si="35"/>
        <v>#DIV/0!</v>
      </c>
      <c r="I676" s="1123"/>
    </row>
    <row r="677" spans="1:9" ht="16.5" thickTop="1" thickBot="1" x14ac:dyDescent="0.3">
      <c r="A677" s="3317" t="s">
        <v>394</v>
      </c>
      <c r="B677" s="3318"/>
      <c r="C677" s="3318"/>
      <c r="D677" s="3318"/>
      <c r="E677" s="1113">
        <f>SUM(E672:E676)</f>
        <v>100</v>
      </c>
      <c r="F677" s="1113">
        <f>SUM(F672:F676)</f>
        <v>674</v>
      </c>
      <c r="G677" s="1113">
        <f>SUM(G672:G676)</f>
        <v>402</v>
      </c>
      <c r="H677" s="1381">
        <f t="shared" si="35"/>
        <v>59.64391691394659</v>
      </c>
      <c r="I677" s="1123"/>
    </row>
    <row r="678" spans="1:9" ht="13.5" thickTop="1" x14ac:dyDescent="0.2">
      <c r="I678" s="1123"/>
    </row>
    <row r="679" spans="1:9" ht="28.5" customHeight="1" x14ac:dyDescent="0.25">
      <c r="A679" s="3335" t="s">
        <v>1437</v>
      </c>
      <c r="B679" s="3210"/>
      <c r="C679" s="3210"/>
      <c r="D679" s="3210"/>
      <c r="E679" s="3210"/>
      <c r="F679" s="3210"/>
      <c r="G679" s="3210"/>
      <c r="H679" s="1163"/>
      <c r="I679" s="1123"/>
    </row>
    <row r="680" spans="1:9" ht="16.5" thickBot="1" x14ac:dyDescent="0.3">
      <c r="A680" s="1102" t="s">
        <v>1436</v>
      </c>
      <c r="H680" s="1120" t="s">
        <v>92</v>
      </c>
      <c r="I680" s="1123"/>
    </row>
    <row r="681" spans="1:9" ht="25.5" thickTop="1" thickBot="1" x14ac:dyDescent="0.25">
      <c r="A681" s="1104" t="s">
        <v>93</v>
      </c>
      <c r="B681" s="1105" t="s">
        <v>392</v>
      </c>
      <c r="C681" s="1105" t="s">
        <v>209</v>
      </c>
      <c r="D681" s="1106" t="s">
        <v>95</v>
      </c>
      <c r="E681" s="1127" t="s">
        <v>328</v>
      </c>
      <c r="F681" s="1127" t="s">
        <v>329</v>
      </c>
      <c r="G681" s="1128" t="s">
        <v>448</v>
      </c>
      <c r="H681" s="1129" t="s">
        <v>449</v>
      </c>
      <c r="I681" s="1123"/>
    </row>
    <row r="682" spans="1:9" ht="14.25" thickTop="1" thickBot="1" x14ac:dyDescent="0.25">
      <c r="A682" s="1042">
        <v>1</v>
      </c>
      <c r="B682" s="1041">
        <v>2</v>
      </c>
      <c r="C682" s="1041">
        <v>3</v>
      </c>
      <c r="D682" s="1041">
        <v>4</v>
      </c>
      <c r="E682" s="1040">
        <v>5</v>
      </c>
      <c r="F682" s="1040">
        <v>6</v>
      </c>
      <c r="G682" s="1164">
        <v>7</v>
      </c>
      <c r="H682" s="1186" t="s">
        <v>33</v>
      </c>
      <c r="I682" s="1123"/>
    </row>
    <row r="683" spans="1:9" ht="16.5" thickTop="1" thickBot="1" x14ac:dyDescent="0.25">
      <c r="A683" s="1181">
        <v>3122</v>
      </c>
      <c r="B683" s="1187">
        <v>6121</v>
      </c>
      <c r="C683" s="2190" t="s">
        <v>972</v>
      </c>
      <c r="D683" s="1130" t="s">
        <v>312</v>
      </c>
      <c r="E683" s="1126">
        <v>100</v>
      </c>
      <c r="F683" s="1126">
        <v>100</v>
      </c>
      <c r="G683" s="1126">
        <v>5</v>
      </c>
      <c r="H683" s="3050">
        <f t="shared" ref="H683:H688" si="36">G683/F683*100</f>
        <v>5</v>
      </c>
      <c r="I683" s="1123"/>
    </row>
    <row r="684" spans="1:9" ht="15.75" hidden="1" thickBot="1" x14ac:dyDescent="0.25">
      <c r="A684" s="1181">
        <v>4354</v>
      </c>
      <c r="B684" s="1187">
        <v>6121</v>
      </c>
      <c r="C684" s="2190" t="s">
        <v>1006</v>
      </c>
      <c r="D684" s="1130" t="s">
        <v>312</v>
      </c>
      <c r="E684" s="1135"/>
      <c r="F684" s="1135"/>
      <c r="G684" s="1135"/>
      <c r="H684" s="3050" t="e">
        <f t="shared" si="36"/>
        <v>#DIV/0!</v>
      </c>
      <c r="I684" s="1123"/>
    </row>
    <row r="685" spans="1:9" ht="15.75" hidden="1" thickBot="1" x14ac:dyDescent="0.25">
      <c r="A685" s="1181">
        <v>4354</v>
      </c>
      <c r="B685" s="1187">
        <v>6121</v>
      </c>
      <c r="C685" s="2190" t="s">
        <v>1005</v>
      </c>
      <c r="D685" s="1130" t="s">
        <v>312</v>
      </c>
      <c r="E685" s="1135"/>
      <c r="F685" s="1135"/>
      <c r="G685" s="1135"/>
      <c r="H685" s="3050" t="e">
        <f t="shared" si="36"/>
        <v>#DIV/0!</v>
      </c>
      <c r="I685" s="1123"/>
    </row>
    <row r="686" spans="1:9" ht="15.75" hidden="1" thickBot="1" x14ac:dyDescent="0.25">
      <c r="A686" s="1181">
        <v>4354</v>
      </c>
      <c r="B686" s="1187">
        <v>6121</v>
      </c>
      <c r="C686" s="2190" t="s">
        <v>1018</v>
      </c>
      <c r="D686" s="1130" t="s">
        <v>312</v>
      </c>
      <c r="E686" s="1135"/>
      <c r="F686" s="1135"/>
      <c r="G686" s="1135"/>
      <c r="H686" s="3050" t="e">
        <f t="shared" si="36"/>
        <v>#DIV/0!</v>
      </c>
      <c r="I686" s="1123"/>
    </row>
    <row r="687" spans="1:9" ht="15.75" hidden="1" thickBot="1" x14ac:dyDescent="0.25">
      <c r="A687" s="1181">
        <v>4354</v>
      </c>
      <c r="B687" s="1187">
        <v>6121</v>
      </c>
      <c r="C687" s="2190" t="s">
        <v>1017</v>
      </c>
      <c r="D687" s="1130" t="s">
        <v>312</v>
      </c>
      <c r="E687" s="1135"/>
      <c r="F687" s="1135"/>
      <c r="G687" s="1135"/>
      <c r="H687" s="3050" t="e">
        <f t="shared" si="36"/>
        <v>#DIV/0!</v>
      </c>
      <c r="I687" s="1123"/>
    </row>
    <row r="688" spans="1:9" ht="16.5" thickTop="1" thickBot="1" x14ac:dyDescent="0.3">
      <c r="A688" s="3317" t="s">
        <v>394</v>
      </c>
      <c r="B688" s="3318"/>
      <c r="C688" s="3318"/>
      <c r="D688" s="3318"/>
      <c r="E688" s="1113">
        <f>SUM(E683:E687)</f>
        <v>100</v>
      </c>
      <c r="F688" s="1113">
        <f>SUM(F683:F687)</f>
        <v>100</v>
      </c>
      <c r="G688" s="1113">
        <f>SUM(G683:G687)</f>
        <v>5</v>
      </c>
      <c r="H688" s="1381">
        <f t="shared" si="36"/>
        <v>5</v>
      </c>
      <c r="I688" s="1123"/>
    </row>
    <row r="689" spans="1:9" ht="13.5" thickTop="1" x14ac:dyDescent="0.2">
      <c r="I689" s="1123"/>
    </row>
    <row r="690" spans="1:9" ht="18" x14ac:dyDescent="0.25">
      <c r="A690" s="3335" t="s">
        <v>1435</v>
      </c>
      <c r="B690" s="3210"/>
      <c r="C690" s="3210"/>
      <c r="D690" s="3210"/>
      <c r="E690" s="3210"/>
      <c r="F690" s="3210"/>
      <c r="G690" s="3210"/>
      <c r="H690" s="1163"/>
      <c r="I690" s="1123"/>
    </row>
    <row r="691" spans="1:9" ht="16.5" thickBot="1" x14ac:dyDescent="0.3">
      <c r="A691" s="1102" t="s">
        <v>1434</v>
      </c>
      <c r="H691" s="1120" t="s">
        <v>92</v>
      </c>
      <c r="I691" s="1123"/>
    </row>
    <row r="692" spans="1:9" ht="25.5" thickTop="1" thickBot="1" x14ac:dyDescent="0.25">
      <c r="A692" s="1104" t="s">
        <v>93</v>
      </c>
      <c r="B692" s="1105" t="s">
        <v>392</v>
      </c>
      <c r="C692" s="1105" t="s">
        <v>209</v>
      </c>
      <c r="D692" s="1106" t="s">
        <v>95</v>
      </c>
      <c r="E692" s="1127" t="s">
        <v>328</v>
      </c>
      <c r="F692" s="1127" t="s">
        <v>329</v>
      </c>
      <c r="G692" s="1128" t="s">
        <v>448</v>
      </c>
      <c r="H692" s="1129" t="s">
        <v>449</v>
      </c>
      <c r="I692" s="1123"/>
    </row>
    <row r="693" spans="1:9" ht="14.25" thickTop="1" thickBot="1" x14ac:dyDescent="0.25">
      <c r="A693" s="1042">
        <v>1</v>
      </c>
      <c r="B693" s="1041">
        <v>2</v>
      </c>
      <c r="C693" s="1041">
        <v>3</v>
      </c>
      <c r="D693" s="1041">
        <v>4</v>
      </c>
      <c r="E693" s="1040">
        <v>5</v>
      </c>
      <c r="F693" s="1040">
        <v>6</v>
      </c>
      <c r="G693" s="1164">
        <v>7</v>
      </c>
      <c r="H693" s="1186" t="s">
        <v>33</v>
      </c>
      <c r="I693" s="1123"/>
    </row>
    <row r="694" spans="1:9" ht="16.5" thickTop="1" thickBot="1" x14ac:dyDescent="0.25">
      <c r="A694" s="1181">
        <v>3122</v>
      </c>
      <c r="B694" s="1187">
        <v>6121</v>
      </c>
      <c r="C694" s="2190" t="s">
        <v>972</v>
      </c>
      <c r="D694" s="1130" t="s">
        <v>312</v>
      </c>
      <c r="E694" s="1126">
        <v>100</v>
      </c>
      <c r="F694" s="1126">
        <v>462</v>
      </c>
      <c r="G694" s="1126">
        <v>365</v>
      </c>
      <c r="H694" s="3050">
        <f t="shared" ref="H694:H699" si="37">G694/F694*100</f>
        <v>79.004329004328994</v>
      </c>
      <c r="I694" s="1123"/>
    </row>
    <row r="695" spans="1:9" ht="15.75" hidden="1" thickBot="1" x14ac:dyDescent="0.25">
      <c r="A695" s="1181">
        <v>4354</v>
      </c>
      <c r="B695" s="1187">
        <v>6121</v>
      </c>
      <c r="C695" s="2190" t="s">
        <v>1006</v>
      </c>
      <c r="D695" s="1130" t="s">
        <v>312</v>
      </c>
      <c r="E695" s="1135"/>
      <c r="F695" s="1135"/>
      <c r="G695" s="1135"/>
      <c r="H695" s="3050" t="e">
        <f t="shared" si="37"/>
        <v>#DIV/0!</v>
      </c>
      <c r="I695" s="1123"/>
    </row>
    <row r="696" spans="1:9" ht="15.75" hidden="1" thickBot="1" x14ac:dyDescent="0.25">
      <c r="A696" s="1181">
        <v>4354</v>
      </c>
      <c r="B696" s="1187">
        <v>6121</v>
      </c>
      <c r="C696" s="2190" t="s">
        <v>1005</v>
      </c>
      <c r="D696" s="1130" t="s">
        <v>312</v>
      </c>
      <c r="E696" s="1135"/>
      <c r="F696" s="1135"/>
      <c r="G696" s="1135"/>
      <c r="H696" s="3050" t="e">
        <f t="shared" si="37"/>
        <v>#DIV/0!</v>
      </c>
      <c r="I696" s="1123"/>
    </row>
    <row r="697" spans="1:9" ht="15.75" hidden="1" thickBot="1" x14ac:dyDescent="0.25">
      <c r="A697" s="1181">
        <v>4354</v>
      </c>
      <c r="B697" s="1187">
        <v>6121</v>
      </c>
      <c r="C697" s="2190" t="s">
        <v>1018</v>
      </c>
      <c r="D697" s="1130" t="s">
        <v>312</v>
      </c>
      <c r="E697" s="1135"/>
      <c r="F697" s="1135"/>
      <c r="G697" s="1135"/>
      <c r="H697" s="3050" t="e">
        <f t="shared" si="37"/>
        <v>#DIV/0!</v>
      </c>
      <c r="I697" s="1123"/>
    </row>
    <row r="698" spans="1:9" ht="15.75" hidden="1" thickBot="1" x14ac:dyDescent="0.25">
      <c r="A698" s="1181">
        <v>4354</v>
      </c>
      <c r="B698" s="1187">
        <v>6121</v>
      </c>
      <c r="C698" s="2190" t="s">
        <v>1017</v>
      </c>
      <c r="D698" s="1130" t="s">
        <v>312</v>
      </c>
      <c r="E698" s="1135"/>
      <c r="F698" s="1135"/>
      <c r="G698" s="1135"/>
      <c r="H698" s="3050" t="e">
        <f t="shared" si="37"/>
        <v>#DIV/0!</v>
      </c>
      <c r="I698" s="1123"/>
    </row>
    <row r="699" spans="1:9" ht="16.5" thickTop="1" thickBot="1" x14ac:dyDescent="0.3">
      <c r="A699" s="3317" t="s">
        <v>394</v>
      </c>
      <c r="B699" s="3318"/>
      <c r="C699" s="3318"/>
      <c r="D699" s="3318"/>
      <c r="E699" s="1113">
        <f>SUM(E694:E698)</f>
        <v>100</v>
      </c>
      <c r="F699" s="1113">
        <f>SUM(F694:F698)</f>
        <v>462</v>
      </c>
      <c r="G699" s="1113">
        <f>SUM(G694:G698)</f>
        <v>365</v>
      </c>
      <c r="H699" s="1381">
        <f t="shared" si="37"/>
        <v>79.004329004328994</v>
      </c>
      <c r="I699" s="1123"/>
    </row>
    <row r="700" spans="1:9" ht="13.5" thickTop="1" x14ac:dyDescent="0.2">
      <c r="I700" s="1123"/>
    </row>
    <row r="701" spans="1:9" ht="30.75" customHeight="1" x14ac:dyDescent="0.25">
      <c r="A701" s="3335" t="s">
        <v>1433</v>
      </c>
      <c r="B701" s="3210"/>
      <c r="C701" s="3210"/>
      <c r="D701" s="3210"/>
      <c r="E701" s="3210"/>
      <c r="F701" s="3210"/>
      <c r="G701" s="3210"/>
      <c r="H701" s="1163"/>
      <c r="I701" s="1123"/>
    </row>
    <row r="702" spans="1:9" ht="16.5" thickBot="1" x14ac:dyDescent="0.3">
      <c r="A702" s="1102" t="s">
        <v>1432</v>
      </c>
      <c r="H702" s="1120" t="s">
        <v>92</v>
      </c>
      <c r="I702" s="1123"/>
    </row>
    <row r="703" spans="1:9" ht="25.5" thickTop="1" thickBot="1" x14ac:dyDescent="0.25">
      <c r="A703" s="1104" t="s">
        <v>93</v>
      </c>
      <c r="B703" s="1105" t="s">
        <v>392</v>
      </c>
      <c r="C703" s="1105" t="s">
        <v>209</v>
      </c>
      <c r="D703" s="1106" t="s">
        <v>95</v>
      </c>
      <c r="E703" s="1127" t="s">
        <v>328</v>
      </c>
      <c r="F703" s="1127" t="s">
        <v>329</v>
      </c>
      <c r="G703" s="1128" t="s">
        <v>448</v>
      </c>
      <c r="H703" s="1129" t="s">
        <v>449</v>
      </c>
      <c r="I703" s="1123"/>
    </row>
    <row r="704" spans="1:9" ht="14.25" thickTop="1" thickBot="1" x14ac:dyDescent="0.25">
      <c r="A704" s="1042">
        <v>1</v>
      </c>
      <c r="B704" s="1041">
        <v>2</v>
      </c>
      <c r="C704" s="1041">
        <v>3</v>
      </c>
      <c r="D704" s="1041">
        <v>4</v>
      </c>
      <c r="E704" s="1040">
        <v>5</v>
      </c>
      <c r="F704" s="1040">
        <v>6</v>
      </c>
      <c r="G704" s="1164">
        <v>7</v>
      </c>
      <c r="H704" s="1186" t="s">
        <v>33</v>
      </c>
      <c r="I704" s="1123"/>
    </row>
    <row r="705" spans="1:9" ht="16.5" thickTop="1" thickBot="1" x14ac:dyDescent="0.25">
      <c r="A705" s="1181">
        <v>3122</v>
      </c>
      <c r="B705" s="1187">
        <v>6121</v>
      </c>
      <c r="C705" s="2190" t="s">
        <v>972</v>
      </c>
      <c r="D705" s="1130" t="s">
        <v>312</v>
      </c>
      <c r="E705" s="1126">
        <v>100</v>
      </c>
      <c r="F705" s="1126">
        <v>100</v>
      </c>
      <c r="G705" s="1126">
        <v>54</v>
      </c>
      <c r="H705" s="3050">
        <f t="shared" ref="H705:H710" si="38">G705/F705*100</f>
        <v>54</v>
      </c>
      <c r="I705" s="1123"/>
    </row>
    <row r="706" spans="1:9" ht="15.75" hidden="1" thickBot="1" x14ac:dyDescent="0.25">
      <c r="A706" s="1181">
        <v>4354</v>
      </c>
      <c r="B706" s="1187">
        <v>6121</v>
      </c>
      <c r="C706" s="2190" t="s">
        <v>1006</v>
      </c>
      <c r="D706" s="1130" t="s">
        <v>312</v>
      </c>
      <c r="E706" s="1135"/>
      <c r="F706" s="1135"/>
      <c r="G706" s="1135"/>
      <c r="H706" s="3050" t="e">
        <f t="shared" si="38"/>
        <v>#DIV/0!</v>
      </c>
      <c r="I706" s="1123"/>
    </row>
    <row r="707" spans="1:9" ht="15.75" hidden="1" thickBot="1" x14ac:dyDescent="0.25">
      <c r="A707" s="1181">
        <v>4354</v>
      </c>
      <c r="B707" s="1187">
        <v>6121</v>
      </c>
      <c r="C707" s="2190" t="s">
        <v>1005</v>
      </c>
      <c r="D707" s="1130" t="s">
        <v>312</v>
      </c>
      <c r="E707" s="1135"/>
      <c r="F707" s="1135"/>
      <c r="G707" s="1135"/>
      <c r="H707" s="3050" t="e">
        <f t="shared" si="38"/>
        <v>#DIV/0!</v>
      </c>
      <c r="I707" s="1123"/>
    </row>
    <row r="708" spans="1:9" ht="15.75" hidden="1" thickBot="1" x14ac:dyDescent="0.25">
      <c r="A708" s="1181">
        <v>4354</v>
      </c>
      <c r="B708" s="1187">
        <v>6121</v>
      </c>
      <c r="C708" s="2190" t="s">
        <v>1018</v>
      </c>
      <c r="D708" s="1130" t="s">
        <v>312</v>
      </c>
      <c r="E708" s="1135"/>
      <c r="F708" s="1135"/>
      <c r="G708" s="1135"/>
      <c r="H708" s="3050" t="e">
        <f t="shared" si="38"/>
        <v>#DIV/0!</v>
      </c>
      <c r="I708" s="1123"/>
    </row>
    <row r="709" spans="1:9" ht="15.75" hidden="1" thickBot="1" x14ac:dyDescent="0.25">
      <c r="A709" s="1181">
        <v>4354</v>
      </c>
      <c r="B709" s="1187">
        <v>6121</v>
      </c>
      <c r="C709" s="2190" t="s">
        <v>1017</v>
      </c>
      <c r="D709" s="1130" t="s">
        <v>312</v>
      </c>
      <c r="E709" s="1135"/>
      <c r="F709" s="1135"/>
      <c r="G709" s="1135"/>
      <c r="H709" s="3050" t="e">
        <f t="shared" si="38"/>
        <v>#DIV/0!</v>
      </c>
      <c r="I709" s="1123"/>
    </row>
    <row r="710" spans="1:9" ht="16.5" thickTop="1" thickBot="1" x14ac:dyDescent="0.3">
      <c r="A710" s="3317" t="s">
        <v>394</v>
      </c>
      <c r="B710" s="3318"/>
      <c r="C710" s="3318"/>
      <c r="D710" s="3318"/>
      <c r="E710" s="1113">
        <f>SUM(E705:E709)</f>
        <v>100</v>
      </c>
      <c r="F710" s="1113">
        <f>SUM(F705:F709)</f>
        <v>100</v>
      </c>
      <c r="G710" s="1113">
        <f>SUM(G705:G709)</f>
        <v>54</v>
      </c>
      <c r="H710" s="1381">
        <f t="shared" si="38"/>
        <v>54</v>
      </c>
      <c r="I710" s="1123"/>
    </row>
    <row r="711" spans="1:9" ht="13.5" thickTop="1" x14ac:dyDescent="0.2">
      <c r="I711" s="1123"/>
    </row>
    <row r="712" spans="1:9" ht="28.5" customHeight="1" x14ac:dyDescent="0.25">
      <c r="A712" s="3335" t="s">
        <v>1740</v>
      </c>
      <c r="B712" s="3210"/>
      <c r="C712" s="3210"/>
      <c r="D712" s="3210"/>
      <c r="E712" s="3210"/>
      <c r="F712" s="3210"/>
      <c r="G712" s="3210"/>
      <c r="H712" s="1163"/>
      <c r="I712" s="1123"/>
    </row>
    <row r="713" spans="1:9" ht="16.5" thickBot="1" x14ac:dyDescent="0.3">
      <c r="A713" s="1102" t="s">
        <v>1739</v>
      </c>
      <c r="H713" s="1120" t="s">
        <v>92</v>
      </c>
      <c r="I713" s="1123"/>
    </row>
    <row r="714" spans="1:9" ht="25.5" thickTop="1" thickBot="1" x14ac:dyDescent="0.25">
      <c r="A714" s="1104" t="s">
        <v>93</v>
      </c>
      <c r="B714" s="1105" t="s">
        <v>392</v>
      </c>
      <c r="C714" s="1105" t="s">
        <v>209</v>
      </c>
      <c r="D714" s="1106" t="s">
        <v>95</v>
      </c>
      <c r="E714" s="1127" t="s">
        <v>328</v>
      </c>
      <c r="F714" s="1127" t="s">
        <v>329</v>
      </c>
      <c r="G714" s="1128" t="s">
        <v>448</v>
      </c>
      <c r="H714" s="1129" t="s">
        <v>449</v>
      </c>
      <c r="I714" s="1123"/>
    </row>
    <row r="715" spans="1:9" ht="14.25" thickTop="1" thickBot="1" x14ac:dyDescent="0.25">
      <c r="A715" s="1042">
        <v>1</v>
      </c>
      <c r="B715" s="1041">
        <v>2</v>
      </c>
      <c r="C715" s="1041">
        <v>3</v>
      </c>
      <c r="D715" s="1041">
        <v>4</v>
      </c>
      <c r="E715" s="1040">
        <v>5</v>
      </c>
      <c r="F715" s="1040">
        <v>6</v>
      </c>
      <c r="G715" s="1164">
        <v>7</v>
      </c>
      <c r="H715" s="1186" t="s">
        <v>33</v>
      </c>
      <c r="I715" s="1123"/>
    </row>
    <row r="716" spans="1:9" ht="16.5" thickTop="1" thickBot="1" x14ac:dyDescent="0.25">
      <c r="A716" s="1181">
        <v>3122</v>
      </c>
      <c r="B716" s="1187">
        <v>6121</v>
      </c>
      <c r="C716" s="2190" t="s">
        <v>972</v>
      </c>
      <c r="D716" s="1130" t="s">
        <v>312</v>
      </c>
      <c r="E716" s="1126">
        <v>0</v>
      </c>
      <c r="F716" s="1126">
        <v>438</v>
      </c>
      <c r="G716" s="1126">
        <v>364</v>
      </c>
      <c r="H716" s="3050">
        <f t="shared" ref="H716:H721" si="39">G716/F716*100</f>
        <v>83.105022831050221</v>
      </c>
      <c r="I716" s="1123"/>
    </row>
    <row r="717" spans="1:9" ht="15.75" hidden="1" thickBot="1" x14ac:dyDescent="0.25">
      <c r="A717" s="1181">
        <v>4354</v>
      </c>
      <c r="B717" s="1187">
        <v>6121</v>
      </c>
      <c r="C717" s="2190" t="s">
        <v>1006</v>
      </c>
      <c r="D717" s="1130" t="s">
        <v>312</v>
      </c>
      <c r="E717" s="1135"/>
      <c r="F717" s="1135"/>
      <c r="G717" s="1135"/>
      <c r="H717" s="3050" t="e">
        <f t="shared" si="39"/>
        <v>#DIV/0!</v>
      </c>
      <c r="I717" s="1123"/>
    </row>
    <row r="718" spans="1:9" ht="15.75" hidden="1" thickBot="1" x14ac:dyDescent="0.25">
      <c r="A718" s="1181">
        <v>4354</v>
      </c>
      <c r="B718" s="1187">
        <v>6121</v>
      </c>
      <c r="C718" s="2190" t="s">
        <v>1005</v>
      </c>
      <c r="D718" s="1130" t="s">
        <v>312</v>
      </c>
      <c r="E718" s="1135"/>
      <c r="F718" s="1135"/>
      <c r="G718" s="1135"/>
      <c r="H718" s="3050" t="e">
        <f t="shared" si="39"/>
        <v>#DIV/0!</v>
      </c>
      <c r="I718" s="1123"/>
    </row>
    <row r="719" spans="1:9" ht="15.75" hidden="1" thickBot="1" x14ac:dyDescent="0.25">
      <c r="A719" s="1181">
        <v>4354</v>
      </c>
      <c r="B719" s="1187">
        <v>6121</v>
      </c>
      <c r="C719" s="2190" t="s">
        <v>1018</v>
      </c>
      <c r="D719" s="1130" t="s">
        <v>312</v>
      </c>
      <c r="E719" s="1135"/>
      <c r="F719" s="1135"/>
      <c r="G719" s="1135"/>
      <c r="H719" s="3050" t="e">
        <f t="shared" si="39"/>
        <v>#DIV/0!</v>
      </c>
      <c r="I719" s="1123"/>
    </row>
    <row r="720" spans="1:9" ht="15.75" hidden="1" thickBot="1" x14ac:dyDescent="0.25">
      <c r="A720" s="1181">
        <v>4354</v>
      </c>
      <c r="B720" s="1187">
        <v>6121</v>
      </c>
      <c r="C720" s="2190" t="s">
        <v>1017</v>
      </c>
      <c r="D720" s="1130" t="s">
        <v>312</v>
      </c>
      <c r="E720" s="1135"/>
      <c r="F720" s="1135"/>
      <c r="G720" s="1135"/>
      <c r="H720" s="3050" t="e">
        <f t="shared" si="39"/>
        <v>#DIV/0!</v>
      </c>
      <c r="I720" s="1123"/>
    </row>
    <row r="721" spans="1:9" ht="16.5" thickTop="1" thickBot="1" x14ac:dyDescent="0.3">
      <c r="A721" s="3317" t="s">
        <v>394</v>
      </c>
      <c r="B721" s="3318"/>
      <c r="C721" s="3318"/>
      <c r="D721" s="3318"/>
      <c r="E721" s="1113">
        <f>SUM(E716:E720)</f>
        <v>0</v>
      </c>
      <c r="F721" s="1113">
        <f>SUM(F716:F720)</f>
        <v>438</v>
      </c>
      <c r="G721" s="1113">
        <f>SUM(G716:G720)</f>
        <v>364</v>
      </c>
      <c r="H721" s="1381">
        <f t="shared" si="39"/>
        <v>83.105022831050221</v>
      </c>
      <c r="I721" s="1123"/>
    </row>
    <row r="722" spans="1:9" ht="13.5" thickTop="1" x14ac:dyDescent="0.2">
      <c r="I722" s="1123"/>
    </row>
    <row r="723" spans="1:9" ht="18" x14ac:dyDescent="0.25">
      <c r="A723" s="3335" t="s">
        <v>1742</v>
      </c>
      <c r="B723" s="3210"/>
      <c r="C723" s="3210"/>
      <c r="D723" s="3210"/>
      <c r="E723" s="3210"/>
      <c r="F723" s="3210"/>
      <c r="G723" s="3210"/>
      <c r="H723" s="1163"/>
      <c r="I723" s="1123"/>
    </row>
    <row r="724" spans="1:9" ht="16.5" thickBot="1" x14ac:dyDescent="0.3">
      <c r="A724" s="1102" t="s">
        <v>1741</v>
      </c>
      <c r="H724" s="1120" t="s">
        <v>92</v>
      </c>
      <c r="I724" s="1123"/>
    </row>
    <row r="725" spans="1:9" ht="25.5" thickTop="1" thickBot="1" x14ac:dyDescent="0.25">
      <c r="A725" s="1104" t="s">
        <v>93</v>
      </c>
      <c r="B725" s="1105" t="s">
        <v>392</v>
      </c>
      <c r="C725" s="1105" t="s">
        <v>209</v>
      </c>
      <c r="D725" s="1106" t="s">
        <v>95</v>
      </c>
      <c r="E725" s="1127" t="s">
        <v>328</v>
      </c>
      <c r="F725" s="1127" t="s">
        <v>329</v>
      </c>
      <c r="G725" s="1128" t="s">
        <v>448</v>
      </c>
      <c r="H725" s="1129" t="s">
        <v>449</v>
      </c>
      <c r="I725" s="1123"/>
    </row>
    <row r="726" spans="1:9" ht="14.25" thickTop="1" thickBot="1" x14ac:dyDescent="0.25">
      <c r="A726" s="1042">
        <v>1</v>
      </c>
      <c r="B726" s="1041">
        <v>2</v>
      </c>
      <c r="C726" s="1041">
        <v>3</v>
      </c>
      <c r="D726" s="1041">
        <v>4</v>
      </c>
      <c r="E726" s="1040">
        <v>5</v>
      </c>
      <c r="F726" s="1040">
        <v>6</v>
      </c>
      <c r="G726" s="1164">
        <v>7</v>
      </c>
      <c r="H726" s="1186" t="s">
        <v>33</v>
      </c>
      <c r="I726" s="1123"/>
    </row>
    <row r="727" spans="1:9" ht="16.5" thickTop="1" thickBot="1" x14ac:dyDescent="0.25">
      <c r="A727" s="1181">
        <v>3122</v>
      </c>
      <c r="B727" s="1187">
        <v>6121</v>
      </c>
      <c r="C727" s="2190" t="s">
        <v>972</v>
      </c>
      <c r="D727" s="1130" t="s">
        <v>312</v>
      </c>
      <c r="E727" s="1126">
        <v>0</v>
      </c>
      <c r="F727" s="1126">
        <v>70</v>
      </c>
      <c r="G727" s="1126">
        <v>70</v>
      </c>
      <c r="H727" s="3050">
        <f t="shared" ref="H727:H732" si="40">G727/F727*100</f>
        <v>100</v>
      </c>
      <c r="I727" s="1123"/>
    </row>
    <row r="728" spans="1:9" ht="15.75" hidden="1" thickBot="1" x14ac:dyDescent="0.25">
      <c r="A728" s="1181">
        <v>4354</v>
      </c>
      <c r="B728" s="1187">
        <v>6121</v>
      </c>
      <c r="C728" s="2190" t="s">
        <v>1006</v>
      </c>
      <c r="D728" s="1130" t="s">
        <v>312</v>
      </c>
      <c r="E728" s="1135"/>
      <c r="F728" s="1135"/>
      <c r="G728" s="1135"/>
      <c r="H728" s="3050" t="e">
        <f t="shared" si="40"/>
        <v>#DIV/0!</v>
      </c>
      <c r="I728" s="1123"/>
    </row>
    <row r="729" spans="1:9" ht="15.75" hidden="1" thickBot="1" x14ac:dyDescent="0.25">
      <c r="A729" s="1181">
        <v>4354</v>
      </c>
      <c r="B729" s="1187">
        <v>6121</v>
      </c>
      <c r="C729" s="2190" t="s">
        <v>1005</v>
      </c>
      <c r="D729" s="1130" t="s">
        <v>312</v>
      </c>
      <c r="E729" s="1135"/>
      <c r="F729" s="1135"/>
      <c r="G729" s="1135"/>
      <c r="H729" s="3050" t="e">
        <f t="shared" si="40"/>
        <v>#DIV/0!</v>
      </c>
      <c r="I729" s="1123"/>
    </row>
    <row r="730" spans="1:9" ht="15.75" hidden="1" thickBot="1" x14ac:dyDescent="0.25">
      <c r="A730" s="1181">
        <v>4354</v>
      </c>
      <c r="B730" s="1187">
        <v>6121</v>
      </c>
      <c r="C730" s="2190" t="s">
        <v>1018</v>
      </c>
      <c r="D730" s="1130" t="s">
        <v>312</v>
      </c>
      <c r="E730" s="1135"/>
      <c r="F730" s="1135"/>
      <c r="G730" s="1135"/>
      <c r="H730" s="3050" t="e">
        <f t="shared" si="40"/>
        <v>#DIV/0!</v>
      </c>
      <c r="I730" s="1123"/>
    </row>
    <row r="731" spans="1:9" ht="15.75" hidden="1" thickBot="1" x14ac:dyDescent="0.25">
      <c r="A731" s="1181">
        <v>4354</v>
      </c>
      <c r="B731" s="1187">
        <v>6121</v>
      </c>
      <c r="C731" s="2190" t="s">
        <v>1017</v>
      </c>
      <c r="D731" s="1130" t="s">
        <v>312</v>
      </c>
      <c r="E731" s="1135"/>
      <c r="F731" s="1135"/>
      <c r="G731" s="1135"/>
      <c r="H731" s="3050" t="e">
        <f t="shared" si="40"/>
        <v>#DIV/0!</v>
      </c>
      <c r="I731" s="1123"/>
    </row>
    <row r="732" spans="1:9" ht="16.5" thickTop="1" thickBot="1" x14ac:dyDescent="0.3">
      <c r="A732" s="3317" t="s">
        <v>394</v>
      </c>
      <c r="B732" s="3318"/>
      <c r="C732" s="3318"/>
      <c r="D732" s="3318"/>
      <c r="E732" s="1113">
        <f>SUM(E727:E731)</f>
        <v>0</v>
      </c>
      <c r="F732" s="1113">
        <f>SUM(F727:F731)</f>
        <v>70</v>
      </c>
      <c r="G732" s="1113">
        <f>SUM(G727:G731)</f>
        <v>70</v>
      </c>
      <c r="H732" s="1381">
        <f t="shared" si="40"/>
        <v>100</v>
      </c>
      <c r="I732" s="1123"/>
    </row>
    <row r="733" spans="1:9" ht="13.5" thickTop="1" x14ac:dyDescent="0.2">
      <c r="I733" s="1123"/>
    </row>
    <row r="734" spans="1:9" ht="18" x14ac:dyDescent="0.25">
      <c r="A734" s="3335" t="s">
        <v>1744</v>
      </c>
      <c r="B734" s="3210"/>
      <c r="C734" s="3210"/>
      <c r="D734" s="3210"/>
      <c r="E734" s="3210"/>
      <c r="F734" s="3210"/>
      <c r="G734" s="3210"/>
      <c r="H734" s="1163"/>
      <c r="I734" s="1123"/>
    </row>
    <row r="735" spans="1:9" ht="16.5" thickBot="1" x14ac:dyDescent="0.3">
      <c r="A735" s="1102" t="s">
        <v>1743</v>
      </c>
      <c r="H735" s="1120" t="s">
        <v>92</v>
      </c>
      <c r="I735" s="1123"/>
    </row>
    <row r="736" spans="1:9" ht="25.5" thickTop="1" thickBot="1" x14ac:dyDescent="0.25">
      <c r="A736" s="1104" t="s">
        <v>93</v>
      </c>
      <c r="B736" s="1105" t="s">
        <v>392</v>
      </c>
      <c r="C736" s="1105" t="s">
        <v>209</v>
      </c>
      <c r="D736" s="1106" t="s">
        <v>95</v>
      </c>
      <c r="E736" s="1127" t="s">
        <v>328</v>
      </c>
      <c r="F736" s="1127" t="s">
        <v>329</v>
      </c>
      <c r="G736" s="1128" t="s">
        <v>448</v>
      </c>
      <c r="H736" s="1129" t="s">
        <v>449</v>
      </c>
      <c r="I736" s="1123"/>
    </row>
    <row r="737" spans="1:9" ht="14.25" thickTop="1" thickBot="1" x14ac:dyDescent="0.25">
      <c r="A737" s="1042">
        <v>1</v>
      </c>
      <c r="B737" s="1041">
        <v>2</v>
      </c>
      <c r="C737" s="1041">
        <v>3</v>
      </c>
      <c r="D737" s="1041">
        <v>4</v>
      </c>
      <c r="E737" s="1040">
        <v>5</v>
      </c>
      <c r="F737" s="1040">
        <v>6</v>
      </c>
      <c r="G737" s="1164">
        <v>7</v>
      </c>
      <c r="H737" s="1186" t="s">
        <v>33</v>
      </c>
      <c r="I737" s="1123"/>
    </row>
    <row r="738" spans="1:9" ht="16.5" thickTop="1" thickBot="1" x14ac:dyDescent="0.25">
      <c r="A738" s="1181">
        <v>4357</v>
      </c>
      <c r="B738" s="1187">
        <v>6341</v>
      </c>
      <c r="C738" s="2190" t="s">
        <v>1464</v>
      </c>
      <c r="D738" s="1130" t="s">
        <v>136</v>
      </c>
      <c r="E738" s="1126">
        <v>0</v>
      </c>
      <c r="F738" s="1126">
        <v>431</v>
      </c>
      <c r="G738" s="1126">
        <v>431</v>
      </c>
      <c r="H738" s="3050">
        <f t="shared" ref="H738:H743" si="41">G738/F738*100</f>
        <v>100</v>
      </c>
      <c r="I738" s="1123"/>
    </row>
    <row r="739" spans="1:9" ht="15.75" hidden="1" thickBot="1" x14ac:dyDescent="0.25">
      <c r="A739" s="1181">
        <v>4354</v>
      </c>
      <c r="B739" s="1187">
        <v>6121</v>
      </c>
      <c r="C739" s="2190" t="s">
        <v>1006</v>
      </c>
      <c r="D739" s="1130" t="s">
        <v>312</v>
      </c>
      <c r="E739" s="1135"/>
      <c r="F739" s="1135"/>
      <c r="G739" s="1135"/>
      <c r="H739" s="3050" t="e">
        <f t="shared" si="41"/>
        <v>#DIV/0!</v>
      </c>
      <c r="I739" s="1123"/>
    </row>
    <row r="740" spans="1:9" ht="15.75" hidden="1" thickBot="1" x14ac:dyDescent="0.25">
      <c r="A740" s="1181">
        <v>4354</v>
      </c>
      <c r="B740" s="1187">
        <v>6121</v>
      </c>
      <c r="C740" s="2190" t="s">
        <v>1005</v>
      </c>
      <c r="D740" s="1130" t="s">
        <v>312</v>
      </c>
      <c r="E740" s="1135"/>
      <c r="F740" s="1135"/>
      <c r="G740" s="1135"/>
      <c r="H740" s="3050" t="e">
        <f t="shared" si="41"/>
        <v>#DIV/0!</v>
      </c>
      <c r="I740" s="1123"/>
    </row>
    <row r="741" spans="1:9" ht="15.75" hidden="1" thickBot="1" x14ac:dyDescent="0.25">
      <c r="A741" s="1181">
        <v>4354</v>
      </c>
      <c r="B741" s="1187">
        <v>6121</v>
      </c>
      <c r="C741" s="2190" t="s">
        <v>1018</v>
      </c>
      <c r="D741" s="1130" t="s">
        <v>312</v>
      </c>
      <c r="E741" s="1135"/>
      <c r="F741" s="1135"/>
      <c r="G741" s="1135"/>
      <c r="H741" s="3050" t="e">
        <f t="shared" si="41"/>
        <v>#DIV/0!</v>
      </c>
      <c r="I741" s="1123"/>
    </row>
    <row r="742" spans="1:9" ht="15.75" hidden="1" thickBot="1" x14ac:dyDescent="0.25">
      <c r="A742" s="1181">
        <v>4354</v>
      </c>
      <c r="B742" s="1187">
        <v>6121</v>
      </c>
      <c r="C742" s="2190" t="s">
        <v>1017</v>
      </c>
      <c r="D742" s="1130" t="s">
        <v>312</v>
      </c>
      <c r="E742" s="1135"/>
      <c r="F742" s="1135"/>
      <c r="G742" s="1135"/>
      <c r="H742" s="3050" t="e">
        <f t="shared" si="41"/>
        <v>#DIV/0!</v>
      </c>
      <c r="I742" s="1123"/>
    </row>
    <row r="743" spans="1:9" ht="16.5" thickTop="1" thickBot="1" x14ac:dyDescent="0.3">
      <c r="A743" s="3317" t="s">
        <v>394</v>
      </c>
      <c r="B743" s="3318"/>
      <c r="C743" s="3318"/>
      <c r="D743" s="3318"/>
      <c r="E743" s="1113">
        <f>SUM(E738:E742)</f>
        <v>0</v>
      </c>
      <c r="F743" s="1113">
        <f>SUM(F738:F742)</f>
        <v>431</v>
      </c>
      <c r="G743" s="1113">
        <f>SUM(G738:G742)</f>
        <v>431</v>
      </c>
      <c r="H743" s="1381">
        <f t="shared" si="41"/>
        <v>100</v>
      </c>
      <c r="I743" s="1123"/>
    </row>
    <row r="744" spans="1:9" ht="13.5" thickTop="1" x14ac:dyDescent="0.2">
      <c r="I744" s="1123"/>
    </row>
    <row r="745" spans="1:9" ht="18" x14ac:dyDescent="0.25">
      <c r="A745" s="3335" t="s">
        <v>1746</v>
      </c>
      <c r="B745" s="3210"/>
      <c r="C745" s="3210"/>
      <c r="D745" s="3210"/>
      <c r="E745" s="3210"/>
      <c r="F745" s="3210"/>
      <c r="G745" s="3210"/>
      <c r="H745" s="1163"/>
      <c r="I745" s="1123"/>
    </row>
    <row r="746" spans="1:9" ht="16.5" thickBot="1" x14ac:dyDescent="0.3">
      <c r="A746" s="1102" t="s">
        <v>1745</v>
      </c>
      <c r="H746" s="1120" t="s">
        <v>92</v>
      </c>
      <c r="I746" s="1123"/>
    </row>
    <row r="747" spans="1:9" ht="25.5" thickTop="1" thickBot="1" x14ac:dyDescent="0.25">
      <c r="A747" s="1104" t="s">
        <v>93</v>
      </c>
      <c r="B747" s="1105" t="s">
        <v>392</v>
      </c>
      <c r="C747" s="1105" t="s">
        <v>209</v>
      </c>
      <c r="D747" s="1106" t="s">
        <v>95</v>
      </c>
      <c r="E747" s="1127" t="s">
        <v>328</v>
      </c>
      <c r="F747" s="1127" t="s">
        <v>329</v>
      </c>
      <c r="G747" s="1128" t="s">
        <v>448</v>
      </c>
      <c r="H747" s="1129" t="s">
        <v>449</v>
      </c>
      <c r="I747" s="1123"/>
    </row>
    <row r="748" spans="1:9" ht="14.25" thickTop="1" thickBot="1" x14ac:dyDescent="0.25">
      <c r="A748" s="1042">
        <v>1</v>
      </c>
      <c r="B748" s="1041">
        <v>2</v>
      </c>
      <c r="C748" s="1041">
        <v>3</v>
      </c>
      <c r="D748" s="1041">
        <v>4</v>
      </c>
      <c r="E748" s="1040">
        <v>5</v>
      </c>
      <c r="F748" s="1040">
        <v>6</v>
      </c>
      <c r="G748" s="1164">
        <v>7</v>
      </c>
      <c r="H748" s="1186" t="s">
        <v>33</v>
      </c>
      <c r="I748" s="1123"/>
    </row>
    <row r="749" spans="1:9" ht="15.75" thickTop="1" x14ac:dyDescent="0.2">
      <c r="A749" s="1181">
        <v>4356</v>
      </c>
      <c r="B749" s="1187">
        <v>6121</v>
      </c>
      <c r="C749" s="2190" t="s">
        <v>971</v>
      </c>
      <c r="D749" s="1130" t="s">
        <v>312</v>
      </c>
      <c r="E749" s="1126">
        <v>200</v>
      </c>
      <c r="F749" s="1126">
        <v>0</v>
      </c>
      <c r="G749" s="1126">
        <v>0</v>
      </c>
      <c r="H749" s="3050">
        <v>0</v>
      </c>
      <c r="I749" s="1123"/>
    </row>
    <row r="750" spans="1:9" ht="15.75" thickBot="1" x14ac:dyDescent="0.25">
      <c r="A750" s="1181">
        <v>4357</v>
      </c>
      <c r="B750" s="1187">
        <v>6121</v>
      </c>
      <c r="C750" s="2190" t="s">
        <v>971</v>
      </c>
      <c r="D750" s="1130" t="s">
        <v>312</v>
      </c>
      <c r="E750" s="1135">
        <v>0</v>
      </c>
      <c r="F750" s="1135">
        <v>7</v>
      </c>
      <c r="G750" s="1135">
        <v>7</v>
      </c>
      <c r="H750" s="3050">
        <f t="shared" ref="H750:H754" si="42">G750/F750*100</f>
        <v>100</v>
      </c>
      <c r="I750" s="1123"/>
    </row>
    <row r="751" spans="1:9" ht="15.75" hidden="1" thickBot="1" x14ac:dyDescent="0.25">
      <c r="A751" s="1181">
        <v>4354</v>
      </c>
      <c r="B751" s="1187">
        <v>6121</v>
      </c>
      <c r="C751" s="2190" t="s">
        <v>1005</v>
      </c>
      <c r="D751" s="1130" t="s">
        <v>312</v>
      </c>
      <c r="E751" s="1135"/>
      <c r="F751" s="1135"/>
      <c r="G751" s="1135"/>
      <c r="H751" s="3050" t="e">
        <f t="shared" si="42"/>
        <v>#DIV/0!</v>
      </c>
      <c r="I751" s="1123"/>
    </row>
    <row r="752" spans="1:9" ht="15.75" hidden="1" thickBot="1" x14ac:dyDescent="0.25">
      <c r="A752" s="1181">
        <v>4354</v>
      </c>
      <c r="B752" s="1187">
        <v>6121</v>
      </c>
      <c r="C752" s="2190" t="s">
        <v>1018</v>
      </c>
      <c r="D752" s="1130" t="s">
        <v>312</v>
      </c>
      <c r="E752" s="1135"/>
      <c r="F752" s="1135"/>
      <c r="G752" s="1135"/>
      <c r="H752" s="3050" t="e">
        <f t="shared" si="42"/>
        <v>#DIV/0!</v>
      </c>
      <c r="I752" s="1123"/>
    </row>
    <row r="753" spans="1:9" ht="15.75" hidden="1" thickBot="1" x14ac:dyDescent="0.25">
      <c r="A753" s="1181">
        <v>4354</v>
      </c>
      <c r="B753" s="1187">
        <v>6121</v>
      </c>
      <c r="C753" s="2190" t="s">
        <v>1017</v>
      </c>
      <c r="D753" s="1130" t="s">
        <v>312</v>
      </c>
      <c r="E753" s="1135"/>
      <c r="F753" s="1135"/>
      <c r="G753" s="1135"/>
      <c r="H753" s="3050" t="e">
        <f t="shared" si="42"/>
        <v>#DIV/0!</v>
      </c>
      <c r="I753" s="1123"/>
    </row>
    <row r="754" spans="1:9" ht="16.5" thickTop="1" thickBot="1" x14ac:dyDescent="0.3">
      <c r="A754" s="3317" t="s">
        <v>394</v>
      </c>
      <c r="B754" s="3318"/>
      <c r="C754" s="3318"/>
      <c r="D754" s="3318"/>
      <c r="E754" s="1113">
        <f>SUM(E749:E753)</f>
        <v>200</v>
      </c>
      <c r="F754" s="1113">
        <f>SUM(F749:F753)</f>
        <v>7</v>
      </c>
      <c r="G754" s="1113">
        <f>SUM(G749:G753)</f>
        <v>7</v>
      </c>
      <c r="H754" s="1381">
        <f t="shared" si="42"/>
        <v>100</v>
      </c>
      <c r="I754" s="1123"/>
    </row>
    <row r="755" spans="1:9" ht="13.5" thickTop="1" x14ac:dyDescent="0.2">
      <c r="I755" s="1123"/>
    </row>
    <row r="756" spans="1:9" ht="18" x14ac:dyDescent="0.25">
      <c r="A756" s="3335" t="s">
        <v>1747</v>
      </c>
      <c r="B756" s="3210"/>
      <c r="C756" s="3210"/>
      <c r="D756" s="3210"/>
      <c r="E756" s="3210"/>
      <c r="F756" s="3210"/>
      <c r="G756" s="3210"/>
      <c r="H756" s="1163"/>
      <c r="I756" s="1123"/>
    </row>
    <row r="757" spans="1:9" ht="16.5" thickBot="1" x14ac:dyDescent="0.3">
      <c r="A757" s="1102" t="s">
        <v>1431</v>
      </c>
      <c r="H757" s="1120" t="s">
        <v>92</v>
      </c>
      <c r="I757" s="1123"/>
    </row>
    <row r="758" spans="1:9" ht="25.5" thickTop="1" thickBot="1" x14ac:dyDescent="0.25">
      <c r="A758" s="1104" t="s">
        <v>93</v>
      </c>
      <c r="B758" s="1105" t="s">
        <v>392</v>
      </c>
      <c r="C758" s="1105" t="s">
        <v>209</v>
      </c>
      <c r="D758" s="1106" t="s">
        <v>95</v>
      </c>
      <c r="E758" s="1127" t="s">
        <v>328</v>
      </c>
      <c r="F758" s="1127" t="s">
        <v>329</v>
      </c>
      <c r="G758" s="1128" t="s">
        <v>448</v>
      </c>
      <c r="H758" s="1129" t="s">
        <v>449</v>
      </c>
      <c r="I758" s="1123"/>
    </row>
    <row r="759" spans="1:9" ht="14.25" thickTop="1" thickBot="1" x14ac:dyDescent="0.25">
      <c r="A759" s="1042">
        <v>1</v>
      </c>
      <c r="B759" s="1041">
        <v>2</v>
      </c>
      <c r="C759" s="1041">
        <v>3</v>
      </c>
      <c r="D759" s="1041">
        <v>4</v>
      </c>
      <c r="E759" s="1040">
        <v>5</v>
      </c>
      <c r="F759" s="1040">
        <v>6</v>
      </c>
      <c r="G759" s="1164">
        <v>7</v>
      </c>
      <c r="H759" s="1186" t="s">
        <v>33</v>
      </c>
      <c r="I759" s="1123"/>
    </row>
    <row r="760" spans="1:9" ht="15.75" thickTop="1" x14ac:dyDescent="0.2">
      <c r="A760" s="1181">
        <v>4357</v>
      </c>
      <c r="B760" s="1187">
        <v>5137</v>
      </c>
      <c r="C760" s="2190" t="s">
        <v>1450</v>
      </c>
      <c r="D760" s="1130" t="s">
        <v>88</v>
      </c>
      <c r="E760" s="1126">
        <v>0</v>
      </c>
      <c r="F760" s="1126">
        <v>119</v>
      </c>
      <c r="G760" s="1126">
        <v>118</v>
      </c>
      <c r="H760" s="3050">
        <f t="shared" ref="H760:H771" si="43">G760/F760*100</f>
        <v>99.159663865546221</v>
      </c>
      <c r="I760" s="1123"/>
    </row>
    <row r="761" spans="1:9" ht="15" x14ac:dyDescent="0.2">
      <c r="A761" s="1181">
        <v>4357</v>
      </c>
      <c r="B761" s="1187">
        <v>5137</v>
      </c>
      <c r="C761" s="2190" t="s">
        <v>1449</v>
      </c>
      <c r="D761" s="1130" t="s">
        <v>88</v>
      </c>
      <c r="E761" s="1135">
        <v>0</v>
      </c>
      <c r="F761" s="1135">
        <v>60</v>
      </c>
      <c r="G761" s="1135">
        <v>59</v>
      </c>
      <c r="H761" s="3050">
        <f t="shared" si="43"/>
        <v>98.333333333333329</v>
      </c>
      <c r="I761" s="1123"/>
    </row>
    <row r="762" spans="1:9" ht="15" x14ac:dyDescent="0.2">
      <c r="A762" s="1181">
        <v>4357</v>
      </c>
      <c r="B762" s="1187">
        <v>5137</v>
      </c>
      <c r="C762" s="2190" t="s">
        <v>1448</v>
      </c>
      <c r="D762" s="1130" t="s">
        <v>88</v>
      </c>
      <c r="E762" s="1135">
        <v>0</v>
      </c>
      <c r="F762" s="1135">
        <v>1010</v>
      </c>
      <c r="G762" s="1135">
        <v>1003</v>
      </c>
      <c r="H762" s="3050">
        <f t="shared" si="43"/>
        <v>99.306930693069305</v>
      </c>
      <c r="I762" s="1123"/>
    </row>
    <row r="763" spans="1:9" ht="15" x14ac:dyDescent="0.2">
      <c r="A763" s="1181">
        <v>4357</v>
      </c>
      <c r="B763" s="1187">
        <v>6121</v>
      </c>
      <c r="C763" s="2190" t="s">
        <v>1450</v>
      </c>
      <c r="D763" s="1130" t="s">
        <v>312</v>
      </c>
      <c r="E763" s="1135">
        <v>0</v>
      </c>
      <c r="F763" s="1135">
        <v>253</v>
      </c>
      <c r="G763" s="1135">
        <v>253</v>
      </c>
      <c r="H763" s="3050">
        <f t="shared" si="43"/>
        <v>100</v>
      </c>
      <c r="I763" s="1123"/>
    </row>
    <row r="764" spans="1:9" ht="15" x14ac:dyDescent="0.2">
      <c r="A764" s="1181">
        <v>4357</v>
      </c>
      <c r="B764" s="1187">
        <v>6121</v>
      </c>
      <c r="C764" s="2190" t="s">
        <v>1449</v>
      </c>
      <c r="D764" s="1130" t="s">
        <v>312</v>
      </c>
      <c r="E764" s="1135">
        <v>0</v>
      </c>
      <c r="F764" s="1135">
        <v>126</v>
      </c>
      <c r="G764" s="1135">
        <v>126</v>
      </c>
      <c r="H764" s="3050">
        <f t="shared" si="43"/>
        <v>100</v>
      </c>
      <c r="I764" s="1123"/>
    </row>
    <row r="765" spans="1:9" ht="15" x14ac:dyDescent="0.2">
      <c r="A765" s="1181">
        <v>4357</v>
      </c>
      <c r="B765" s="1187">
        <v>6121</v>
      </c>
      <c r="C765" s="2190" t="s">
        <v>1464</v>
      </c>
      <c r="D765" s="1130" t="s">
        <v>312</v>
      </c>
      <c r="E765" s="1135">
        <v>0</v>
      </c>
      <c r="F765" s="1135">
        <v>10</v>
      </c>
      <c r="G765" s="1135">
        <v>10</v>
      </c>
      <c r="H765" s="3050">
        <f t="shared" si="43"/>
        <v>100</v>
      </c>
      <c r="I765" s="1123"/>
    </row>
    <row r="766" spans="1:9" ht="15" x14ac:dyDescent="0.2">
      <c r="A766" s="1181">
        <v>4357</v>
      </c>
      <c r="B766" s="1187">
        <v>6121</v>
      </c>
      <c r="C766" s="2190" t="s">
        <v>1448</v>
      </c>
      <c r="D766" s="1130" t="s">
        <v>312</v>
      </c>
      <c r="E766" s="1135">
        <v>0</v>
      </c>
      <c r="F766" s="1135">
        <v>2146</v>
      </c>
      <c r="G766" s="1135">
        <v>2146</v>
      </c>
      <c r="H766" s="3050">
        <f t="shared" si="43"/>
        <v>100</v>
      </c>
      <c r="I766" s="1123"/>
    </row>
    <row r="767" spans="1:9" ht="15" x14ac:dyDescent="0.2">
      <c r="A767" s="1181">
        <v>4357</v>
      </c>
      <c r="B767" s="1187">
        <v>6122</v>
      </c>
      <c r="C767" s="2190" t="s">
        <v>1450</v>
      </c>
      <c r="D767" s="1130" t="s">
        <v>313</v>
      </c>
      <c r="E767" s="1135">
        <v>119</v>
      </c>
      <c r="F767" s="1135">
        <v>0</v>
      </c>
      <c r="G767" s="1135">
        <v>0</v>
      </c>
      <c r="H767" s="3050">
        <v>0</v>
      </c>
      <c r="I767" s="1123"/>
    </row>
    <row r="768" spans="1:9" ht="15" x14ac:dyDescent="0.2">
      <c r="A768" s="1181">
        <v>4357</v>
      </c>
      <c r="B768" s="1187">
        <v>6122</v>
      </c>
      <c r="C768" s="2190" t="s">
        <v>1748</v>
      </c>
      <c r="D768" s="1130" t="s">
        <v>313</v>
      </c>
      <c r="E768" s="1135">
        <v>59</v>
      </c>
      <c r="F768" s="1135">
        <v>0</v>
      </c>
      <c r="G768" s="1135">
        <v>0</v>
      </c>
      <c r="H768" s="3050">
        <v>0</v>
      </c>
      <c r="I768" s="1123"/>
    </row>
    <row r="769" spans="1:9" ht="15" x14ac:dyDescent="0.2">
      <c r="A769" s="1181">
        <v>4357</v>
      </c>
      <c r="B769" s="1187">
        <v>6122</v>
      </c>
      <c r="C769" s="2190" t="s">
        <v>1749</v>
      </c>
      <c r="D769" s="1130" t="s">
        <v>313</v>
      </c>
      <c r="E769" s="1135">
        <v>1011</v>
      </c>
      <c r="F769" s="1135">
        <v>0</v>
      </c>
      <c r="G769" s="1135">
        <v>0</v>
      </c>
      <c r="H769" s="3050">
        <v>0</v>
      </c>
      <c r="I769" s="1123"/>
    </row>
    <row r="770" spans="1:9" ht="15.75" thickBot="1" x14ac:dyDescent="0.3">
      <c r="A770" s="1181">
        <v>6330</v>
      </c>
      <c r="B770" s="1187">
        <v>5345</v>
      </c>
      <c r="C770" s="2190"/>
      <c r="D770" s="1172" t="s">
        <v>397</v>
      </c>
      <c r="E770" s="1135">
        <v>0</v>
      </c>
      <c r="F770" s="1135">
        <v>0</v>
      </c>
      <c r="G770" s="1135">
        <v>8862</v>
      </c>
      <c r="H770" s="3050">
        <v>0</v>
      </c>
      <c r="I770" s="1123"/>
    </row>
    <row r="771" spans="1:9" ht="16.5" thickTop="1" thickBot="1" x14ac:dyDescent="0.3">
      <c r="A771" s="3317" t="s">
        <v>394</v>
      </c>
      <c r="B771" s="3318"/>
      <c r="C771" s="3318"/>
      <c r="D771" s="3318"/>
      <c r="E771" s="1113">
        <f>SUM(E760:E770)</f>
        <v>1189</v>
      </c>
      <c r="F771" s="1113">
        <f>SUM(F760:F770)</f>
        <v>3724</v>
      </c>
      <c r="G771" s="1113">
        <f>SUM(G760:G770)</f>
        <v>12577</v>
      </c>
      <c r="H771" s="1381">
        <f t="shared" si="43"/>
        <v>337.72824919441462</v>
      </c>
      <c r="I771" s="1123"/>
    </row>
    <row r="772" spans="1:9" ht="13.5" thickTop="1" x14ac:dyDescent="0.2">
      <c r="I772" s="1123"/>
    </row>
    <row r="773" spans="1:9" ht="18" customHeight="1" x14ac:dyDescent="0.25">
      <c r="A773" s="3335" t="s">
        <v>1430</v>
      </c>
      <c r="B773" s="3210"/>
      <c r="C773" s="3210"/>
      <c r="D773" s="3210"/>
      <c r="E773" s="3210"/>
      <c r="F773" s="3210"/>
      <c r="G773" s="3210"/>
      <c r="H773" s="1163"/>
      <c r="I773" s="1123"/>
    </row>
    <row r="774" spans="1:9" ht="16.5" thickBot="1" x14ac:dyDescent="0.3">
      <c r="A774" s="1102" t="s">
        <v>1429</v>
      </c>
      <c r="H774" s="1120" t="s">
        <v>92</v>
      </c>
      <c r="I774" s="1123"/>
    </row>
    <row r="775" spans="1:9" ht="25.5" thickTop="1" thickBot="1" x14ac:dyDescent="0.25">
      <c r="A775" s="1104" t="s">
        <v>93</v>
      </c>
      <c r="B775" s="1105" t="s">
        <v>392</v>
      </c>
      <c r="C775" s="1105" t="s">
        <v>209</v>
      </c>
      <c r="D775" s="1106" t="s">
        <v>95</v>
      </c>
      <c r="E775" s="1127" t="s">
        <v>328</v>
      </c>
      <c r="F775" s="1127" t="s">
        <v>329</v>
      </c>
      <c r="G775" s="1128" t="s">
        <v>448</v>
      </c>
      <c r="H775" s="1129" t="s">
        <v>449</v>
      </c>
      <c r="I775" s="1123"/>
    </row>
    <row r="776" spans="1:9" ht="14.25" thickTop="1" thickBot="1" x14ac:dyDescent="0.25">
      <c r="A776" s="1042">
        <v>1</v>
      </c>
      <c r="B776" s="1041">
        <v>2</v>
      </c>
      <c r="C776" s="1041">
        <v>3</v>
      </c>
      <c r="D776" s="1041">
        <v>4</v>
      </c>
      <c r="E776" s="1040">
        <v>5</v>
      </c>
      <c r="F776" s="1040">
        <v>6</v>
      </c>
      <c r="G776" s="1164">
        <v>7</v>
      </c>
      <c r="H776" s="1186" t="s">
        <v>33</v>
      </c>
      <c r="I776" s="1123"/>
    </row>
    <row r="777" spans="1:9" ht="16.5" thickTop="1" thickBot="1" x14ac:dyDescent="0.25">
      <c r="A777" s="1181">
        <v>4357</v>
      </c>
      <c r="B777" s="1187">
        <v>6121</v>
      </c>
      <c r="C777" s="2190" t="s">
        <v>971</v>
      </c>
      <c r="D777" s="1130" t="s">
        <v>312</v>
      </c>
      <c r="E777" s="1126">
        <v>200</v>
      </c>
      <c r="F777" s="1126">
        <v>200</v>
      </c>
      <c r="G777" s="1126">
        <v>140</v>
      </c>
      <c r="H777" s="3050">
        <f t="shared" ref="H777:H782" si="44">G777/F777*100</f>
        <v>70</v>
      </c>
      <c r="I777" s="1123"/>
    </row>
    <row r="778" spans="1:9" ht="15.75" hidden="1" thickBot="1" x14ac:dyDescent="0.25">
      <c r="A778" s="1181">
        <v>4354</v>
      </c>
      <c r="B778" s="1187">
        <v>6121</v>
      </c>
      <c r="C778" s="2190" t="s">
        <v>1006</v>
      </c>
      <c r="D778" s="1130" t="s">
        <v>312</v>
      </c>
      <c r="E778" s="1135"/>
      <c r="F778" s="1135"/>
      <c r="G778" s="1135"/>
      <c r="H778" s="3050" t="e">
        <f t="shared" si="44"/>
        <v>#DIV/0!</v>
      </c>
      <c r="I778" s="1123"/>
    </row>
    <row r="779" spans="1:9" ht="15.75" hidden="1" thickBot="1" x14ac:dyDescent="0.25">
      <c r="A779" s="1181">
        <v>4354</v>
      </c>
      <c r="B779" s="1187">
        <v>6121</v>
      </c>
      <c r="C779" s="2190" t="s">
        <v>1005</v>
      </c>
      <c r="D779" s="1130" t="s">
        <v>312</v>
      </c>
      <c r="E779" s="1135"/>
      <c r="F779" s="1135"/>
      <c r="G779" s="1135"/>
      <c r="H779" s="3050" t="e">
        <f t="shared" si="44"/>
        <v>#DIV/0!</v>
      </c>
      <c r="I779" s="1123"/>
    </row>
    <row r="780" spans="1:9" ht="15.75" hidden="1" thickBot="1" x14ac:dyDescent="0.25">
      <c r="A780" s="1181">
        <v>4354</v>
      </c>
      <c r="B780" s="1187">
        <v>6121</v>
      </c>
      <c r="C780" s="2190" t="s">
        <v>1018</v>
      </c>
      <c r="D780" s="1130" t="s">
        <v>312</v>
      </c>
      <c r="E780" s="1135"/>
      <c r="F780" s="1135"/>
      <c r="G780" s="1135"/>
      <c r="H780" s="3050" t="e">
        <f t="shared" si="44"/>
        <v>#DIV/0!</v>
      </c>
      <c r="I780" s="1123"/>
    </row>
    <row r="781" spans="1:9" ht="15.75" hidden="1" thickBot="1" x14ac:dyDescent="0.25">
      <c r="A781" s="1181">
        <v>4354</v>
      </c>
      <c r="B781" s="1187">
        <v>6121</v>
      </c>
      <c r="C781" s="2190" t="s">
        <v>1017</v>
      </c>
      <c r="D781" s="1130" t="s">
        <v>312</v>
      </c>
      <c r="E781" s="1135"/>
      <c r="F781" s="1135"/>
      <c r="G781" s="1135"/>
      <c r="H781" s="3050" t="e">
        <f t="shared" si="44"/>
        <v>#DIV/0!</v>
      </c>
      <c r="I781" s="1123"/>
    </row>
    <row r="782" spans="1:9" ht="16.5" thickTop="1" thickBot="1" x14ac:dyDescent="0.3">
      <c r="A782" s="3317" t="s">
        <v>394</v>
      </c>
      <c r="B782" s="3318"/>
      <c r="C782" s="3318"/>
      <c r="D782" s="3318"/>
      <c r="E782" s="1113">
        <f>SUM(E777:E781)</f>
        <v>200</v>
      </c>
      <c r="F782" s="1113">
        <f>SUM(F777:F781)</f>
        <v>200</v>
      </c>
      <c r="G782" s="1113">
        <f>SUM(G777:G781)</f>
        <v>140</v>
      </c>
      <c r="H782" s="1381">
        <f t="shared" si="44"/>
        <v>70</v>
      </c>
      <c r="I782" s="1123"/>
    </row>
    <row r="783" spans="1:9" ht="13.5" thickTop="1" x14ac:dyDescent="0.2">
      <c r="I783" s="1123"/>
    </row>
    <row r="784" spans="1:9" ht="18" x14ac:dyDescent="0.25">
      <c r="A784" s="3335" t="s">
        <v>1428</v>
      </c>
      <c r="B784" s="3210"/>
      <c r="C784" s="3210"/>
      <c r="D784" s="3210"/>
      <c r="E784" s="3210"/>
      <c r="F784" s="3210"/>
      <c r="G784" s="3210"/>
      <c r="H784" s="1163"/>
      <c r="I784" s="1123"/>
    </row>
    <row r="785" spans="1:9" ht="16.5" thickBot="1" x14ac:dyDescent="0.3">
      <c r="A785" s="1102" t="s">
        <v>1427</v>
      </c>
      <c r="H785" s="1120" t="s">
        <v>92</v>
      </c>
      <c r="I785" s="1123"/>
    </row>
    <row r="786" spans="1:9" ht="25.5" thickTop="1" thickBot="1" x14ac:dyDescent="0.25">
      <c r="A786" s="1104" t="s">
        <v>93</v>
      </c>
      <c r="B786" s="1105" t="s">
        <v>392</v>
      </c>
      <c r="C786" s="1105" t="s">
        <v>209</v>
      </c>
      <c r="D786" s="1106" t="s">
        <v>95</v>
      </c>
      <c r="E786" s="1127" t="s">
        <v>328</v>
      </c>
      <c r="F786" s="1127" t="s">
        <v>329</v>
      </c>
      <c r="G786" s="1128" t="s">
        <v>448</v>
      </c>
      <c r="H786" s="1129" t="s">
        <v>449</v>
      </c>
      <c r="I786" s="1123"/>
    </row>
    <row r="787" spans="1:9" ht="14.25" thickTop="1" thickBot="1" x14ac:dyDescent="0.25">
      <c r="A787" s="1042">
        <v>1</v>
      </c>
      <c r="B787" s="1041">
        <v>2</v>
      </c>
      <c r="C787" s="1041">
        <v>3</v>
      </c>
      <c r="D787" s="1041">
        <v>4</v>
      </c>
      <c r="E787" s="1040">
        <v>5</v>
      </c>
      <c r="F787" s="1040">
        <v>6</v>
      </c>
      <c r="G787" s="1164">
        <v>7</v>
      </c>
      <c r="H787" s="1186" t="s">
        <v>33</v>
      </c>
      <c r="I787" s="1123"/>
    </row>
    <row r="788" spans="1:9" ht="16.5" thickTop="1" thickBot="1" x14ac:dyDescent="0.25">
      <c r="A788" s="1181">
        <v>4357</v>
      </c>
      <c r="B788" s="1187">
        <v>6121</v>
      </c>
      <c r="C788" s="2190" t="s">
        <v>971</v>
      </c>
      <c r="D788" s="1130" t="s">
        <v>312</v>
      </c>
      <c r="E788" s="1126">
        <v>200</v>
      </c>
      <c r="F788" s="1126">
        <v>295</v>
      </c>
      <c r="G788" s="1126">
        <v>295</v>
      </c>
      <c r="H788" s="3050">
        <f t="shared" ref="H788:H793" si="45">G788/F788*100</f>
        <v>100</v>
      </c>
      <c r="I788" s="1123"/>
    </row>
    <row r="789" spans="1:9" ht="15.75" hidden="1" thickBot="1" x14ac:dyDescent="0.25">
      <c r="A789" s="1181">
        <v>4354</v>
      </c>
      <c r="B789" s="1187">
        <v>6121</v>
      </c>
      <c r="C789" s="2190" t="s">
        <v>1006</v>
      </c>
      <c r="D789" s="1130" t="s">
        <v>312</v>
      </c>
      <c r="E789" s="1135"/>
      <c r="F789" s="1135"/>
      <c r="G789" s="1135"/>
      <c r="H789" s="3050" t="e">
        <f t="shared" si="45"/>
        <v>#DIV/0!</v>
      </c>
      <c r="I789" s="1123"/>
    </row>
    <row r="790" spans="1:9" ht="15.75" hidden="1" thickBot="1" x14ac:dyDescent="0.25">
      <c r="A790" s="1181">
        <v>4354</v>
      </c>
      <c r="B790" s="1187">
        <v>6121</v>
      </c>
      <c r="C790" s="2190" t="s">
        <v>1005</v>
      </c>
      <c r="D790" s="1130" t="s">
        <v>312</v>
      </c>
      <c r="E790" s="1135"/>
      <c r="F790" s="1135"/>
      <c r="G790" s="1135"/>
      <c r="H790" s="3050" t="e">
        <f t="shared" si="45"/>
        <v>#DIV/0!</v>
      </c>
      <c r="I790" s="1123"/>
    </row>
    <row r="791" spans="1:9" ht="15.75" hidden="1" thickBot="1" x14ac:dyDescent="0.25">
      <c r="A791" s="1181">
        <v>4354</v>
      </c>
      <c r="B791" s="1187">
        <v>6121</v>
      </c>
      <c r="C791" s="2190" t="s">
        <v>1018</v>
      </c>
      <c r="D791" s="1130" t="s">
        <v>312</v>
      </c>
      <c r="E791" s="1135"/>
      <c r="F791" s="1135"/>
      <c r="G791" s="1135"/>
      <c r="H791" s="3050" t="e">
        <f t="shared" si="45"/>
        <v>#DIV/0!</v>
      </c>
      <c r="I791" s="1123"/>
    </row>
    <row r="792" spans="1:9" ht="15.75" hidden="1" thickBot="1" x14ac:dyDescent="0.25">
      <c r="A792" s="1181">
        <v>4354</v>
      </c>
      <c r="B792" s="1187">
        <v>6121</v>
      </c>
      <c r="C792" s="2190" t="s">
        <v>1017</v>
      </c>
      <c r="D792" s="1130" t="s">
        <v>312</v>
      </c>
      <c r="E792" s="1135"/>
      <c r="F792" s="1135"/>
      <c r="G792" s="1135"/>
      <c r="H792" s="3050" t="e">
        <f t="shared" si="45"/>
        <v>#DIV/0!</v>
      </c>
      <c r="I792" s="1123"/>
    </row>
    <row r="793" spans="1:9" ht="16.5" thickTop="1" thickBot="1" x14ac:dyDescent="0.3">
      <c r="A793" s="3317" t="s">
        <v>394</v>
      </c>
      <c r="B793" s="3318"/>
      <c r="C793" s="3318"/>
      <c r="D793" s="3318"/>
      <c r="E793" s="1113">
        <f>SUM(E788:E792)</f>
        <v>200</v>
      </c>
      <c r="F793" s="1113">
        <f>SUM(F788:F792)</f>
        <v>295</v>
      </c>
      <c r="G793" s="1113">
        <f>SUM(G788:G792)</f>
        <v>295</v>
      </c>
      <c r="H793" s="1381">
        <f t="shared" si="45"/>
        <v>100</v>
      </c>
      <c r="I793" s="1123"/>
    </row>
    <row r="794" spans="1:9" ht="13.5" thickTop="1" x14ac:dyDescent="0.2">
      <c r="I794" s="1123"/>
    </row>
    <row r="795" spans="1:9" ht="18" x14ac:dyDescent="0.25">
      <c r="A795" s="3335" t="s">
        <v>2003</v>
      </c>
      <c r="B795" s="3210"/>
      <c r="C795" s="3210"/>
      <c r="D795" s="3210"/>
      <c r="E795" s="3210"/>
      <c r="F795" s="3210"/>
      <c r="G795" s="3210"/>
      <c r="H795" s="1163"/>
      <c r="I795" s="1123"/>
    </row>
    <row r="796" spans="1:9" ht="16.5" thickBot="1" x14ac:dyDescent="0.3">
      <c r="A796" s="1102" t="s">
        <v>1750</v>
      </c>
      <c r="H796" s="1120" t="s">
        <v>92</v>
      </c>
      <c r="I796" s="1123"/>
    </row>
    <row r="797" spans="1:9" ht="25.5" thickTop="1" thickBot="1" x14ac:dyDescent="0.25">
      <c r="A797" s="1104" t="s">
        <v>93</v>
      </c>
      <c r="B797" s="1105" t="s">
        <v>392</v>
      </c>
      <c r="C797" s="1105" t="s">
        <v>209</v>
      </c>
      <c r="D797" s="1106" t="s">
        <v>95</v>
      </c>
      <c r="E797" s="1127" t="s">
        <v>328</v>
      </c>
      <c r="F797" s="1127" t="s">
        <v>329</v>
      </c>
      <c r="G797" s="1128" t="s">
        <v>448</v>
      </c>
      <c r="H797" s="1129" t="s">
        <v>449</v>
      </c>
      <c r="I797" s="1123"/>
    </row>
    <row r="798" spans="1:9" ht="14.25" thickTop="1" thickBot="1" x14ac:dyDescent="0.25">
      <c r="A798" s="1042">
        <v>1</v>
      </c>
      <c r="B798" s="1041">
        <v>2</v>
      </c>
      <c r="C798" s="1041">
        <v>3</v>
      </c>
      <c r="D798" s="1041">
        <v>4</v>
      </c>
      <c r="E798" s="1040">
        <v>5</v>
      </c>
      <c r="F798" s="1040">
        <v>6</v>
      </c>
      <c r="G798" s="1164">
        <v>7</v>
      </c>
      <c r="H798" s="1186" t="s">
        <v>33</v>
      </c>
      <c r="I798" s="1123"/>
    </row>
    <row r="799" spans="1:9" ht="15.75" thickTop="1" x14ac:dyDescent="0.2">
      <c r="A799" s="1181">
        <v>4357</v>
      </c>
      <c r="B799" s="1187">
        <v>6121</v>
      </c>
      <c r="C799" s="2190" t="s">
        <v>1450</v>
      </c>
      <c r="D799" s="1130" t="s">
        <v>312</v>
      </c>
      <c r="E799" s="1126">
        <v>0</v>
      </c>
      <c r="F799" s="1126">
        <v>26</v>
      </c>
      <c r="G799" s="1126">
        <v>26</v>
      </c>
      <c r="H799" s="3050">
        <f t="shared" ref="H799:H812" si="46">G799/F799*100</f>
        <v>100</v>
      </c>
      <c r="I799" s="1123"/>
    </row>
    <row r="800" spans="1:9" ht="15" x14ac:dyDescent="0.2">
      <c r="A800" s="1181">
        <v>4357</v>
      </c>
      <c r="B800" s="1187">
        <v>6121</v>
      </c>
      <c r="C800" s="2190" t="s">
        <v>1449</v>
      </c>
      <c r="D800" s="1130" t="s">
        <v>312</v>
      </c>
      <c r="E800" s="1135">
        <v>0</v>
      </c>
      <c r="F800" s="1135">
        <v>13</v>
      </c>
      <c r="G800" s="1135">
        <v>13</v>
      </c>
      <c r="H800" s="3050">
        <f t="shared" si="46"/>
        <v>100</v>
      </c>
      <c r="I800" s="1123"/>
    </row>
    <row r="801" spans="1:9" ht="15" x14ac:dyDescent="0.2">
      <c r="A801" s="1181">
        <v>4357</v>
      </c>
      <c r="B801" s="1187">
        <v>6121</v>
      </c>
      <c r="C801" s="2190" t="s">
        <v>1464</v>
      </c>
      <c r="D801" s="1130" t="s">
        <v>312</v>
      </c>
      <c r="E801" s="1135">
        <v>0</v>
      </c>
      <c r="F801" s="1135">
        <v>1871</v>
      </c>
      <c r="G801" s="1135">
        <v>1685</v>
      </c>
      <c r="H801" s="3050">
        <f t="shared" si="46"/>
        <v>90.058792089791552</v>
      </c>
      <c r="I801" s="1123"/>
    </row>
    <row r="802" spans="1:9" ht="15" x14ac:dyDescent="0.2">
      <c r="A802" s="1181">
        <v>4357</v>
      </c>
      <c r="B802" s="1187">
        <v>6121</v>
      </c>
      <c r="C802" s="2190" t="s">
        <v>1448</v>
      </c>
      <c r="D802" s="1130" t="s">
        <v>312</v>
      </c>
      <c r="E802" s="1135">
        <v>0</v>
      </c>
      <c r="F802" s="1135">
        <v>223</v>
      </c>
      <c r="G802" s="1135">
        <v>223</v>
      </c>
      <c r="H802" s="3050">
        <f t="shared" si="46"/>
        <v>100</v>
      </c>
      <c r="I802" s="1123"/>
    </row>
    <row r="803" spans="1:9" ht="15" x14ac:dyDescent="0.2">
      <c r="A803" s="1181">
        <v>4357</v>
      </c>
      <c r="B803" s="1187">
        <v>6130</v>
      </c>
      <c r="C803" s="2190" t="s">
        <v>1450</v>
      </c>
      <c r="D803" s="1130" t="s">
        <v>433</v>
      </c>
      <c r="E803" s="1135">
        <v>0</v>
      </c>
      <c r="F803" s="1135">
        <v>438</v>
      </c>
      <c r="G803" s="1135">
        <v>405</v>
      </c>
      <c r="H803" s="3050">
        <f t="shared" si="46"/>
        <v>92.465753424657535</v>
      </c>
      <c r="I803" s="1123"/>
    </row>
    <row r="804" spans="1:9" ht="15" x14ac:dyDescent="0.2">
      <c r="A804" s="1181">
        <v>4357</v>
      </c>
      <c r="B804" s="1187">
        <v>6130</v>
      </c>
      <c r="C804" s="2190" t="s">
        <v>1449</v>
      </c>
      <c r="D804" s="1130" t="s">
        <v>433</v>
      </c>
      <c r="E804" s="1135">
        <v>0</v>
      </c>
      <c r="F804" s="1135">
        <v>273</v>
      </c>
      <c r="G804" s="1135">
        <v>202</v>
      </c>
      <c r="H804" s="3050">
        <f t="shared" si="46"/>
        <v>73.992673992674</v>
      </c>
      <c r="I804" s="1123"/>
    </row>
    <row r="805" spans="1:9" ht="15" x14ac:dyDescent="0.2">
      <c r="A805" s="1181">
        <v>4357</v>
      </c>
      <c r="B805" s="1187">
        <v>6130</v>
      </c>
      <c r="C805" s="2190" t="s">
        <v>1464</v>
      </c>
      <c r="D805" s="1130" t="s">
        <v>433</v>
      </c>
      <c r="E805" s="1135">
        <v>4118</v>
      </c>
      <c r="F805" s="1135">
        <v>21</v>
      </c>
      <c r="G805" s="1135">
        <v>8</v>
      </c>
      <c r="H805" s="3050">
        <f t="shared" si="46"/>
        <v>38.095238095238095</v>
      </c>
      <c r="I805" s="1123"/>
    </row>
    <row r="806" spans="1:9" ht="15" x14ac:dyDescent="0.2">
      <c r="A806" s="1181">
        <v>4357</v>
      </c>
      <c r="B806" s="1187">
        <v>6130</v>
      </c>
      <c r="C806" s="2190" t="s">
        <v>1748</v>
      </c>
      <c r="D806" s="1130" t="s">
        <v>433</v>
      </c>
      <c r="E806" s="1135">
        <v>94</v>
      </c>
      <c r="F806" s="1135">
        <v>0</v>
      </c>
      <c r="G806" s="1135">
        <v>0</v>
      </c>
      <c r="H806" s="3050">
        <v>0</v>
      </c>
      <c r="I806" s="1123"/>
    </row>
    <row r="807" spans="1:9" ht="15" x14ac:dyDescent="0.2">
      <c r="A807" s="1181">
        <v>4357</v>
      </c>
      <c r="B807" s="1187">
        <v>6130</v>
      </c>
      <c r="C807" s="2190" t="s">
        <v>1448</v>
      </c>
      <c r="D807" s="1130" t="s">
        <v>433</v>
      </c>
      <c r="E807" s="1135">
        <v>0</v>
      </c>
      <c r="F807" s="1135">
        <v>3602</v>
      </c>
      <c r="G807" s="1135">
        <v>3445</v>
      </c>
      <c r="H807" s="3050">
        <f t="shared" si="46"/>
        <v>95.641310383120498</v>
      </c>
      <c r="I807" s="1123"/>
    </row>
    <row r="808" spans="1:9" ht="15.75" thickBot="1" x14ac:dyDescent="0.25">
      <c r="A808" s="1181">
        <v>4357</v>
      </c>
      <c r="B808" s="1187">
        <v>6130</v>
      </c>
      <c r="C808" s="2190" t="s">
        <v>1749</v>
      </c>
      <c r="D808" s="1130" t="s">
        <v>433</v>
      </c>
      <c r="E808" s="1135">
        <v>1791</v>
      </c>
      <c r="F808" s="1135">
        <v>0</v>
      </c>
      <c r="G808" s="1135">
        <v>0</v>
      </c>
      <c r="H808" s="3050">
        <v>0</v>
      </c>
      <c r="I808" s="1123"/>
    </row>
    <row r="809" spans="1:9" ht="15.75" hidden="1" thickBot="1" x14ac:dyDescent="0.25">
      <c r="A809" s="1181"/>
      <c r="B809" s="1187"/>
      <c r="C809" s="2190"/>
      <c r="D809" s="1130"/>
      <c r="E809" s="1135"/>
      <c r="F809" s="1135"/>
      <c r="G809" s="1135"/>
      <c r="H809" s="3050"/>
      <c r="I809" s="1123"/>
    </row>
    <row r="810" spans="1:9" ht="15.75" hidden="1" thickBot="1" x14ac:dyDescent="0.25">
      <c r="A810" s="1181">
        <v>4354</v>
      </c>
      <c r="B810" s="1187">
        <v>6121</v>
      </c>
      <c r="C810" s="2190" t="s">
        <v>1018</v>
      </c>
      <c r="D810" s="1130" t="s">
        <v>312</v>
      </c>
      <c r="E810" s="1135"/>
      <c r="F810" s="1135"/>
      <c r="G810" s="1135"/>
      <c r="H810" s="3050" t="e">
        <f t="shared" si="46"/>
        <v>#DIV/0!</v>
      </c>
      <c r="I810" s="1123"/>
    </row>
    <row r="811" spans="1:9" ht="15.75" hidden="1" thickBot="1" x14ac:dyDescent="0.25">
      <c r="A811" s="1181">
        <v>4354</v>
      </c>
      <c r="B811" s="1187">
        <v>6121</v>
      </c>
      <c r="C811" s="2190" t="s">
        <v>1017</v>
      </c>
      <c r="D811" s="1130" t="s">
        <v>312</v>
      </c>
      <c r="E811" s="1135"/>
      <c r="F811" s="1135"/>
      <c r="G811" s="1135"/>
      <c r="H811" s="3050" t="e">
        <f t="shared" si="46"/>
        <v>#DIV/0!</v>
      </c>
      <c r="I811" s="1123"/>
    </row>
    <row r="812" spans="1:9" ht="16.5" thickTop="1" thickBot="1" x14ac:dyDescent="0.3">
      <c r="A812" s="3317" t="s">
        <v>394</v>
      </c>
      <c r="B812" s="3318"/>
      <c r="C812" s="3318"/>
      <c r="D812" s="3318"/>
      <c r="E812" s="1113">
        <f>SUM(E799:E811)</f>
        <v>6003</v>
      </c>
      <c r="F812" s="1113">
        <f>SUM(F799:F811)</f>
        <v>6467</v>
      </c>
      <c r="G812" s="1113">
        <f>SUM(G799:G811)</f>
        <v>6007</v>
      </c>
      <c r="H812" s="1381">
        <f t="shared" si="46"/>
        <v>92.886964589454152</v>
      </c>
      <c r="I812" s="1123"/>
    </row>
    <row r="813" spans="1:9" ht="13.5" thickTop="1" x14ac:dyDescent="0.2">
      <c r="I813" s="1123"/>
    </row>
    <row r="814" spans="1:9" ht="18" x14ac:dyDescent="0.25">
      <c r="A814" s="3335" t="s">
        <v>2002</v>
      </c>
      <c r="B814" s="3210"/>
      <c r="C814" s="3210"/>
      <c r="D814" s="3210"/>
      <c r="E814" s="3210"/>
      <c r="F814" s="3210"/>
      <c r="G814" s="3210"/>
      <c r="H814" s="1163"/>
      <c r="I814" s="1123"/>
    </row>
    <row r="815" spans="1:9" ht="16.5" thickBot="1" x14ac:dyDescent="0.3">
      <c r="A815" s="1102" t="s">
        <v>1751</v>
      </c>
      <c r="H815" s="1120" t="s">
        <v>92</v>
      </c>
      <c r="I815" s="1123"/>
    </row>
    <row r="816" spans="1:9" ht="25.5" thickTop="1" thickBot="1" x14ac:dyDescent="0.25">
      <c r="A816" s="1104" t="s">
        <v>93</v>
      </c>
      <c r="B816" s="1105" t="s">
        <v>392</v>
      </c>
      <c r="C816" s="1105" t="s">
        <v>209</v>
      </c>
      <c r="D816" s="1106" t="s">
        <v>95</v>
      </c>
      <c r="E816" s="1127" t="s">
        <v>328</v>
      </c>
      <c r="F816" s="1127" t="s">
        <v>329</v>
      </c>
      <c r="G816" s="1128" t="s">
        <v>448</v>
      </c>
      <c r="H816" s="1129" t="s">
        <v>449</v>
      </c>
      <c r="I816" s="1123"/>
    </row>
    <row r="817" spans="1:9" ht="14.25" thickTop="1" thickBot="1" x14ac:dyDescent="0.25">
      <c r="A817" s="1042">
        <v>1</v>
      </c>
      <c r="B817" s="1041">
        <v>2</v>
      </c>
      <c r="C817" s="1041">
        <v>3</v>
      </c>
      <c r="D817" s="1041">
        <v>4</v>
      </c>
      <c r="E817" s="1040">
        <v>5</v>
      </c>
      <c r="F817" s="1040">
        <v>6</v>
      </c>
      <c r="G817" s="1164">
        <v>7</v>
      </c>
      <c r="H817" s="1186" t="s">
        <v>33</v>
      </c>
      <c r="I817" s="1123"/>
    </row>
    <row r="818" spans="1:9" ht="15.75" thickTop="1" x14ac:dyDescent="0.2">
      <c r="A818" s="1181">
        <v>4357</v>
      </c>
      <c r="B818" s="1187">
        <v>6121</v>
      </c>
      <c r="C818" s="2190" t="s">
        <v>1450</v>
      </c>
      <c r="D818" s="1130" t="s">
        <v>312</v>
      </c>
      <c r="E818" s="1126">
        <v>0</v>
      </c>
      <c r="F818" s="1126">
        <v>1420</v>
      </c>
      <c r="G818" s="1126">
        <v>1390</v>
      </c>
      <c r="H818" s="3050">
        <f t="shared" ref="H818:H828" si="47">G818/F818*100</f>
        <v>97.887323943661968</v>
      </c>
      <c r="I818" s="1123"/>
    </row>
    <row r="819" spans="1:9" ht="15" x14ac:dyDescent="0.2">
      <c r="A819" s="1181">
        <v>4357</v>
      </c>
      <c r="B819" s="1187">
        <v>6121</v>
      </c>
      <c r="C819" s="2190" t="s">
        <v>1449</v>
      </c>
      <c r="D819" s="1130" t="s">
        <v>312</v>
      </c>
      <c r="E819" s="1135">
        <v>0</v>
      </c>
      <c r="F819" s="1135">
        <v>710</v>
      </c>
      <c r="G819" s="1135">
        <v>695</v>
      </c>
      <c r="H819" s="3050">
        <f t="shared" si="47"/>
        <v>97.887323943661968</v>
      </c>
      <c r="I819" s="1123"/>
    </row>
    <row r="820" spans="1:9" ht="15" x14ac:dyDescent="0.2">
      <c r="A820" s="1181">
        <v>4357</v>
      </c>
      <c r="B820" s="1187">
        <v>6121</v>
      </c>
      <c r="C820" s="2190" t="s">
        <v>1464</v>
      </c>
      <c r="D820" s="1130" t="s">
        <v>312</v>
      </c>
      <c r="E820" s="1135">
        <v>2914</v>
      </c>
      <c r="F820" s="1135">
        <v>2425</v>
      </c>
      <c r="G820" s="1135">
        <v>2243</v>
      </c>
      <c r="H820" s="3050">
        <f t="shared" si="47"/>
        <v>92.494845360824741</v>
      </c>
      <c r="I820" s="1123"/>
    </row>
    <row r="821" spans="1:9" ht="15" x14ac:dyDescent="0.2">
      <c r="A821" s="1181">
        <v>4357</v>
      </c>
      <c r="B821" s="1187">
        <v>6121</v>
      </c>
      <c r="C821" s="2190" t="s">
        <v>1748</v>
      </c>
      <c r="D821" s="1130" t="s">
        <v>312</v>
      </c>
      <c r="E821" s="1135">
        <v>710</v>
      </c>
      <c r="F821" s="1135">
        <v>0</v>
      </c>
      <c r="G821" s="1135">
        <v>0</v>
      </c>
      <c r="H821" s="3050">
        <v>0</v>
      </c>
      <c r="I821" s="1123"/>
    </row>
    <row r="822" spans="1:9" ht="15" x14ac:dyDescent="0.2">
      <c r="A822" s="1181">
        <v>4357</v>
      </c>
      <c r="B822" s="1187">
        <v>6121</v>
      </c>
      <c r="C822" s="2190" t="s">
        <v>1448</v>
      </c>
      <c r="D822" s="1130" t="s">
        <v>312</v>
      </c>
      <c r="E822" s="1135">
        <v>0</v>
      </c>
      <c r="F822" s="1135">
        <v>12073</v>
      </c>
      <c r="G822" s="1135">
        <v>11815</v>
      </c>
      <c r="H822" s="3050">
        <f t="shared" si="47"/>
        <v>97.863000082829458</v>
      </c>
      <c r="I822" s="1123"/>
    </row>
    <row r="823" spans="1:9" ht="15" x14ac:dyDescent="0.2">
      <c r="A823" s="1181">
        <v>4357</v>
      </c>
      <c r="B823" s="1187">
        <v>6121</v>
      </c>
      <c r="C823" s="2190" t="s">
        <v>1749</v>
      </c>
      <c r="D823" s="1130" t="s">
        <v>312</v>
      </c>
      <c r="E823" s="1135">
        <v>13496</v>
      </c>
      <c r="F823" s="1135">
        <v>0</v>
      </c>
      <c r="G823" s="1135">
        <v>0</v>
      </c>
      <c r="H823" s="3050">
        <v>0</v>
      </c>
      <c r="I823" s="1123"/>
    </row>
    <row r="824" spans="1:9" ht="15" x14ac:dyDescent="0.2">
      <c r="A824" s="1181">
        <v>4357</v>
      </c>
      <c r="B824" s="1187">
        <v>6130</v>
      </c>
      <c r="C824" s="2190" t="s">
        <v>1450</v>
      </c>
      <c r="D824" s="1130" t="s">
        <v>433</v>
      </c>
      <c r="E824" s="1135">
        <v>0</v>
      </c>
      <c r="F824" s="1135">
        <v>74</v>
      </c>
      <c r="G824" s="1135">
        <v>0</v>
      </c>
      <c r="H824" s="3050">
        <f t="shared" si="47"/>
        <v>0</v>
      </c>
      <c r="I824" s="1123"/>
    </row>
    <row r="825" spans="1:9" ht="15" x14ac:dyDescent="0.2">
      <c r="A825" s="1181">
        <v>4357</v>
      </c>
      <c r="B825" s="1187">
        <v>6130</v>
      </c>
      <c r="C825" s="2190" t="s">
        <v>1449</v>
      </c>
      <c r="D825" s="1130" t="s">
        <v>433</v>
      </c>
      <c r="E825" s="1135">
        <v>0</v>
      </c>
      <c r="F825" s="1135">
        <v>93</v>
      </c>
      <c r="G825" s="1135">
        <v>0</v>
      </c>
      <c r="H825" s="3050">
        <f t="shared" si="47"/>
        <v>0</v>
      </c>
      <c r="I825" s="1123"/>
    </row>
    <row r="826" spans="1:9" ht="15" x14ac:dyDescent="0.2">
      <c r="A826" s="1181">
        <v>4357</v>
      </c>
      <c r="B826" s="1187">
        <v>6130</v>
      </c>
      <c r="C826" s="2190" t="s">
        <v>1748</v>
      </c>
      <c r="D826" s="1130" t="s">
        <v>433</v>
      </c>
      <c r="E826" s="1135">
        <v>94</v>
      </c>
      <c r="F826" s="1135">
        <v>0</v>
      </c>
      <c r="G826" s="1135">
        <v>0</v>
      </c>
      <c r="H826" s="3050">
        <v>0</v>
      </c>
      <c r="I826" s="1123"/>
    </row>
    <row r="827" spans="1:9" ht="15.75" thickBot="1" x14ac:dyDescent="0.25">
      <c r="A827" s="1181">
        <v>4357</v>
      </c>
      <c r="B827" s="1187">
        <v>6130</v>
      </c>
      <c r="C827" s="2190" t="s">
        <v>1749</v>
      </c>
      <c r="D827" s="1130" t="s">
        <v>433</v>
      </c>
      <c r="E827" s="1135">
        <v>2492</v>
      </c>
      <c r="F827" s="1135">
        <v>0</v>
      </c>
      <c r="G827" s="1135">
        <v>0</v>
      </c>
      <c r="H827" s="3050">
        <v>0</v>
      </c>
      <c r="I827" s="1123"/>
    </row>
    <row r="828" spans="1:9" ht="15.75" hidden="1" thickBot="1" x14ac:dyDescent="0.25">
      <c r="A828" s="1181">
        <v>4357</v>
      </c>
      <c r="B828" s="1187">
        <v>6130</v>
      </c>
      <c r="C828" s="2190" t="s">
        <v>1749</v>
      </c>
      <c r="D828" s="1130" t="s">
        <v>433</v>
      </c>
      <c r="E828" s="1135"/>
      <c r="F828" s="1135"/>
      <c r="G828" s="1135"/>
      <c r="H828" s="3050" t="e">
        <f t="shared" si="47"/>
        <v>#DIV/0!</v>
      </c>
      <c r="I828" s="1123"/>
    </row>
    <row r="829" spans="1:9" ht="15.75" hidden="1" thickBot="1" x14ac:dyDescent="0.25">
      <c r="A829" s="1181"/>
      <c r="B829" s="1187"/>
      <c r="C829" s="2190"/>
      <c r="D829" s="1130"/>
      <c r="E829" s="1135"/>
      <c r="F829" s="1135"/>
      <c r="G829" s="1135"/>
      <c r="H829" s="3050"/>
      <c r="I829" s="1123"/>
    </row>
    <row r="830" spans="1:9" ht="15.75" hidden="1" thickBot="1" x14ac:dyDescent="0.25">
      <c r="A830" s="1181">
        <v>4354</v>
      </c>
      <c r="B830" s="1187">
        <v>6121</v>
      </c>
      <c r="C830" s="2190" t="s">
        <v>1018</v>
      </c>
      <c r="D830" s="1130" t="s">
        <v>312</v>
      </c>
      <c r="E830" s="1135"/>
      <c r="F830" s="1135"/>
      <c r="G830" s="1135"/>
      <c r="H830" s="3050" t="e">
        <f t="shared" ref="H830:H832" si="48">G830/F830*100</f>
        <v>#DIV/0!</v>
      </c>
      <c r="I830" s="1123"/>
    </row>
    <row r="831" spans="1:9" ht="15.75" hidden="1" thickBot="1" x14ac:dyDescent="0.25">
      <c r="A831" s="1181">
        <v>4354</v>
      </c>
      <c r="B831" s="1187">
        <v>6121</v>
      </c>
      <c r="C831" s="2190" t="s">
        <v>1017</v>
      </c>
      <c r="D831" s="1130" t="s">
        <v>312</v>
      </c>
      <c r="E831" s="1135"/>
      <c r="F831" s="1135"/>
      <c r="G831" s="1135"/>
      <c r="H831" s="3050" t="e">
        <f t="shared" si="48"/>
        <v>#DIV/0!</v>
      </c>
      <c r="I831" s="1123"/>
    </row>
    <row r="832" spans="1:9" ht="16.5" thickTop="1" thickBot="1" x14ac:dyDescent="0.3">
      <c r="A832" s="3317" t="s">
        <v>394</v>
      </c>
      <c r="B832" s="3318"/>
      <c r="C832" s="3318"/>
      <c r="D832" s="3318"/>
      <c r="E832" s="1113">
        <f>SUM(E818:E831)</f>
        <v>19706</v>
      </c>
      <c r="F832" s="1113">
        <f>SUM(F818:F831)</f>
        <v>16795</v>
      </c>
      <c r="G832" s="1113">
        <f>SUM(G818:G831)</f>
        <v>16143</v>
      </c>
      <c r="H832" s="1381">
        <f t="shared" si="48"/>
        <v>96.117892229830304</v>
      </c>
      <c r="I832" s="1123"/>
    </row>
    <row r="833" spans="1:9" ht="13.5" thickTop="1" x14ac:dyDescent="0.2">
      <c r="I833" s="1123"/>
    </row>
    <row r="834" spans="1:9" ht="18" x14ac:dyDescent="0.25">
      <c r="A834" s="3335" t="s">
        <v>2004</v>
      </c>
      <c r="B834" s="3210"/>
      <c r="C834" s="3210"/>
      <c r="D834" s="3210"/>
      <c r="E834" s="3210"/>
      <c r="F834" s="3210"/>
      <c r="G834" s="3210"/>
      <c r="H834" s="1163"/>
      <c r="I834" s="1123"/>
    </row>
    <row r="835" spans="1:9" ht="16.5" thickBot="1" x14ac:dyDescent="0.3">
      <c r="A835" s="1102" t="s">
        <v>1752</v>
      </c>
      <c r="H835" s="1120" t="s">
        <v>92</v>
      </c>
      <c r="I835" s="1123"/>
    </row>
    <row r="836" spans="1:9" ht="25.5" thickTop="1" thickBot="1" x14ac:dyDescent="0.25">
      <c r="A836" s="1104" t="s">
        <v>93</v>
      </c>
      <c r="B836" s="1105" t="s">
        <v>392</v>
      </c>
      <c r="C836" s="1105" t="s">
        <v>209</v>
      </c>
      <c r="D836" s="1106" t="s">
        <v>95</v>
      </c>
      <c r="E836" s="1127" t="s">
        <v>328</v>
      </c>
      <c r="F836" s="1127" t="s">
        <v>329</v>
      </c>
      <c r="G836" s="1128" t="s">
        <v>448</v>
      </c>
      <c r="H836" s="1129" t="s">
        <v>449</v>
      </c>
      <c r="I836" s="1123"/>
    </row>
    <row r="837" spans="1:9" ht="14.25" thickTop="1" thickBot="1" x14ac:dyDescent="0.25">
      <c r="A837" s="1042">
        <v>1</v>
      </c>
      <c r="B837" s="1041">
        <v>2</v>
      </c>
      <c r="C837" s="1041">
        <v>3</v>
      </c>
      <c r="D837" s="1041">
        <v>4</v>
      </c>
      <c r="E837" s="1040">
        <v>5</v>
      </c>
      <c r="F837" s="1040">
        <v>6</v>
      </c>
      <c r="G837" s="1164">
        <v>7</v>
      </c>
      <c r="H837" s="1186" t="s">
        <v>33</v>
      </c>
      <c r="I837" s="1123"/>
    </row>
    <row r="838" spans="1:9" ht="15.75" hidden="1" thickTop="1" x14ac:dyDescent="0.2">
      <c r="A838" s="1181">
        <v>4357</v>
      </c>
      <c r="B838" s="1187">
        <v>6121</v>
      </c>
      <c r="C838" s="2190" t="s">
        <v>1450</v>
      </c>
      <c r="D838" s="1130" t="s">
        <v>312</v>
      </c>
      <c r="E838" s="1126"/>
      <c r="F838" s="1126"/>
      <c r="G838" s="1126"/>
      <c r="H838" s="1116" t="e">
        <f t="shared" ref="H838:H848" si="49">G838/F838*100</f>
        <v>#DIV/0!</v>
      </c>
      <c r="I838" s="1123"/>
    </row>
    <row r="839" spans="1:9" ht="15" hidden="1" x14ac:dyDescent="0.2">
      <c r="A839" s="1181">
        <v>4357</v>
      </c>
      <c r="B839" s="1187">
        <v>6121</v>
      </c>
      <c r="C839" s="2190" t="s">
        <v>1449</v>
      </c>
      <c r="D839" s="1130" t="s">
        <v>312</v>
      </c>
      <c r="E839" s="1135"/>
      <c r="F839" s="1135"/>
      <c r="G839" s="1135"/>
      <c r="H839" s="1116" t="e">
        <f t="shared" si="49"/>
        <v>#DIV/0!</v>
      </c>
      <c r="I839" s="1123"/>
    </row>
    <row r="840" spans="1:9" ht="15.75" thickTop="1" x14ac:dyDescent="0.2">
      <c r="A840" s="1181">
        <v>4357</v>
      </c>
      <c r="B840" s="1187">
        <v>6121</v>
      </c>
      <c r="C840" s="2190" t="s">
        <v>1464</v>
      </c>
      <c r="D840" s="1130" t="s">
        <v>312</v>
      </c>
      <c r="E840" s="1135">
        <v>0</v>
      </c>
      <c r="F840" s="1135">
        <v>169</v>
      </c>
      <c r="G840" s="1135">
        <v>169</v>
      </c>
      <c r="H840" s="3050">
        <f t="shared" si="49"/>
        <v>100</v>
      </c>
      <c r="I840" s="1123"/>
    </row>
    <row r="841" spans="1:9" ht="15" hidden="1" x14ac:dyDescent="0.2">
      <c r="A841" s="1181">
        <v>4357</v>
      </c>
      <c r="B841" s="1187">
        <v>6121</v>
      </c>
      <c r="C841" s="2190" t="s">
        <v>1748</v>
      </c>
      <c r="D841" s="1130" t="s">
        <v>312</v>
      </c>
      <c r="E841" s="1135"/>
      <c r="F841" s="1135"/>
      <c r="G841" s="1135"/>
      <c r="H841" s="3050" t="e">
        <f t="shared" si="49"/>
        <v>#DIV/0!</v>
      </c>
      <c r="I841" s="1123"/>
    </row>
    <row r="842" spans="1:9" ht="15" hidden="1" x14ac:dyDescent="0.2">
      <c r="A842" s="1181">
        <v>4357</v>
      </c>
      <c r="B842" s="1187">
        <v>6121</v>
      </c>
      <c r="C842" s="2190" t="s">
        <v>1448</v>
      </c>
      <c r="D842" s="1130" t="s">
        <v>312</v>
      </c>
      <c r="E842" s="1135"/>
      <c r="F842" s="1135"/>
      <c r="G842" s="1135"/>
      <c r="H842" s="3050" t="e">
        <f t="shared" si="49"/>
        <v>#DIV/0!</v>
      </c>
      <c r="I842" s="1123"/>
    </row>
    <row r="843" spans="1:9" ht="15" hidden="1" x14ac:dyDescent="0.2">
      <c r="A843" s="1181">
        <v>4357</v>
      </c>
      <c r="B843" s="1187">
        <v>6121</v>
      </c>
      <c r="C843" s="2190" t="s">
        <v>1749</v>
      </c>
      <c r="D843" s="1130" t="s">
        <v>312</v>
      </c>
      <c r="E843" s="1135"/>
      <c r="F843" s="1135"/>
      <c r="G843" s="1135"/>
      <c r="H843" s="3050" t="e">
        <f t="shared" si="49"/>
        <v>#DIV/0!</v>
      </c>
      <c r="I843" s="1123"/>
    </row>
    <row r="844" spans="1:9" ht="15" x14ac:dyDescent="0.2">
      <c r="A844" s="1181">
        <v>4357</v>
      </c>
      <c r="B844" s="1187">
        <v>6130</v>
      </c>
      <c r="C844" s="2190" t="s">
        <v>1450</v>
      </c>
      <c r="D844" s="1130" t="s">
        <v>433</v>
      </c>
      <c r="E844" s="1135">
        <v>0</v>
      </c>
      <c r="F844" s="1135">
        <v>187</v>
      </c>
      <c r="G844" s="1135">
        <v>0</v>
      </c>
      <c r="H844" s="3050">
        <f t="shared" si="49"/>
        <v>0</v>
      </c>
      <c r="I844" s="1123"/>
    </row>
    <row r="845" spans="1:9" ht="15" x14ac:dyDescent="0.2">
      <c r="A845" s="1181">
        <v>4357</v>
      </c>
      <c r="B845" s="1187">
        <v>6130</v>
      </c>
      <c r="C845" s="2190" t="s">
        <v>1464</v>
      </c>
      <c r="D845" s="1130" t="s">
        <v>433</v>
      </c>
      <c r="E845" s="1135">
        <v>1470</v>
      </c>
      <c r="F845" s="1135">
        <v>1118</v>
      </c>
      <c r="G845" s="1135">
        <v>0</v>
      </c>
      <c r="H845" s="3050">
        <f t="shared" si="49"/>
        <v>0</v>
      </c>
      <c r="I845" s="1123"/>
    </row>
    <row r="846" spans="1:9" ht="15" x14ac:dyDescent="0.2">
      <c r="A846" s="1181">
        <v>4357</v>
      </c>
      <c r="B846" s="1187">
        <v>6130</v>
      </c>
      <c r="C846" s="2190" t="s">
        <v>1748</v>
      </c>
      <c r="D846" s="1130" t="s">
        <v>433</v>
      </c>
      <c r="E846" s="1135">
        <v>53</v>
      </c>
      <c r="F846" s="1135">
        <v>0</v>
      </c>
      <c r="G846" s="1135">
        <v>0</v>
      </c>
      <c r="H846" s="3050">
        <v>0</v>
      </c>
      <c r="I846" s="1123"/>
    </row>
    <row r="847" spans="1:9" ht="15.75" thickBot="1" x14ac:dyDescent="0.25">
      <c r="A847" s="1181">
        <v>4357</v>
      </c>
      <c r="B847" s="1187">
        <v>6130</v>
      </c>
      <c r="C847" s="2190" t="s">
        <v>1749</v>
      </c>
      <c r="D847" s="1130" t="s">
        <v>433</v>
      </c>
      <c r="E847" s="1135">
        <v>1718</v>
      </c>
      <c r="F847" s="1135">
        <v>0</v>
      </c>
      <c r="G847" s="1135">
        <v>0</v>
      </c>
      <c r="H847" s="3050">
        <v>0</v>
      </c>
      <c r="I847" s="1123"/>
    </row>
    <row r="848" spans="1:9" ht="15.75" hidden="1" thickBot="1" x14ac:dyDescent="0.25">
      <c r="A848" s="1181">
        <v>4357</v>
      </c>
      <c r="B848" s="1187">
        <v>6130</v>
      </c>
      <c r="C848" s="2190" t="s">
        <v>1749</v>
      </c>
      <c r="D848" s="1130" t="s">
        <v>433</v>
      </c>
      <c r="E848" s="1135"/>
      <c r="F848" s="1135"/>
      <c r="G848" s="1135"/>
      <c r="H848" s="3050" t="e">
        <f t="shared" si="49"/>
        <v>#DIV/0!</v>
      </c>
      <c r="I848" s="1123"/>
    </row>
    <row r="849" spans="1:9" ht="15.75" hidden="1" thickBot="1" x14ac:dyDescent="0.25">
      <c r="A849" s="1181"/>
      <c r="B849" s="1187"/>
      <c r="C849" s="2190"/>
      <c r="D849" s="1130"/>
      <c r="E849" s="1135"/>
      <c r="F849" s="1135"/>
      <c r="G849" s="1135"/>
      <c r="H849" s="3050"/>
      <c r="I849" s="1123"/>
    </row>
    <row r="850" spans="1:9" ht="15.75" hidden="1" thickBot="1" x14ac:dyDescent="0.25">
      <c r="A850" s="1181">
        <v>4354</v>
      </c>
      <c r="B850" s="1187">
        <v>6121</v>
      </c>
      <c r="C850" s="2190" t="s">
        <v>1018</v>
      </c>
      <c r="D850" s="1130" t="s">
        <v>312</v>
      </c>
      <c r="E850" s="1135"/>
      <c r="F850" s="1135"/>
      <c r="G850" s="1135"/>
      <c r="H850" s="3050" t="e">
        <f t="shared" ref="H850:H852" si="50">G850/F850*100</f>
        <v>#DIV/0!</v>
      </c>
      <c r="I850" s="1123"/>
    </row>
    <row r="851" spans="1:9" ht="15.75" hidden="1" thickBot="1" x14ac:dyDescent="0.25">
      <c r="A851" s="1181">
        <v>4354</v>
      </c>
      <c r="B851" s="1187">
        <v>6121</v>
      </c>
      <c r="C851" s="2190" t="s">
        <v>1017</v>
      </c>
      <c r="D851" s="1130" t="s">
        <v>312</v>
      </c>
      <c r="E851" s="1135"/>
      <c r="F851" s="1135"/>
      <c r="G851" s="1135"/>
      <c r="H851" s="3050" t="e">
        <f t="shared" si="50"/>
        <v>#DIV/0!</v>
      </c>
      <c r="I851" s="1123"/>
    </row>
    <row r="852" spans="1:9" ht="16.5" thickTop="1" thickBot="1" x14ac:dyDescent="0.3">
      <c r="A852" s="3317" t="s">
        <v>394</v>
      </c>
      <c r="B852" s="3318"/>
      <c r="C852" s="3318"/>
      <c r="D852" s="3318"/>
      <c r="E852" s="1113">
        <f>SUM(E838:E851)</f>
        <v>3241</v>
      </c>
      <c r="F852" s="1113">
        <f>SUM(F838:F851)</f>
        <v>1474</v>
      </c>
      <c r="G852" s="1113">
        <f>SUM(G838:G851)</f>
        <v>169</v>
      </c>
      <c r="H852" s="1381">
        <f t="shared" si="50"/>
        <v>11.465400271370422</v>
      </c>
      <c r="I852" s="1123"/>
    </row>
    <row r="853" spans="1:9" ht="13.5" thickTop="1" x14ac:dyDescent="0.2">
      <c r="I853" s="1123"/>
    </row>
    <row r="854" spans="1:9" ht="18" x14ac:dyDescent="0.25">
      <c r="A854" s="3335" t="s">
        <v>1754</v>
      </c>
      <c r="B854" s="3210"/>
      <c r="C854" s="3210"/>
      <c r="D854" s="3210"/>
      <c r="E854" s="3210"/>
      <c r="F854" s="3210"/>
      <c r="G854" s="3210"/>
      <c r="H854" s="1163"/>
      <c r="I854" s="1123"/>
    </row>
    <row r="855" spans="1:9" ht="16.5" thickBot="1" x14ac:dyDescent="0.3">
      <c r="A855" s="1102" t="s">
        <v>1753</v>
      </c>
      <c r="H855" s="1120" t="s">
        <v>92</v>
      </c>
      <c r="I855" s="1123"/>
    </row>
    <row r="856" spans="1:9" ht="25.5" thickTop="1" thickBot="1" x14ac:dyDescent="0.25">
      <c r="A856" s="1104" t="s">
        <v>93</v>
      </c>
      <c r="B856" s="1105" t="s">
        <v>392</v>
      </c>
      <c r="C856" s="1105" t="s">
        <v>209</v>
      </c>
      <c r="D856" s="1106" t="s">
        <v>95</v>
      </c>
      <c r="E856" s="1127" t="s">
        <v>328</v>
      </c>
      <c r="F856" s="1127" t="s">
        <v>329</v>
      </c>
      <c r="G856" s="1128" t="s">
        <v>448</v>
      </c>
      <c r="H856" s="1129" t="s">
        <v>449</v>
      </c>
      <c r="I856" s="1123"/>
    </row>
    <row r="857" spans="1:9" ht="14.25" thickTop="1" thickBot="1" x14ac:dyDescent="0.25">
      <c r="A857" s="1042">
        <v>1</v>
      </c>
      <c r="B857" s="1041">
        <v>2</v>
      </c>
      <c r="C857" s="1041">
        <v>3</v>
      </c>
      <c r="D857" s="1041">
        <v>4</v>
      </c>
      <c r="E857" s="1040">
        <v>5</v>
      </c>
      <c r="F857" s="1040">
        <v>6</v>
      </c>
      <c r="G857" s="1164">
        <v>7</v>
      </c>
      <c r="H857" s="1186" t="s">
        <v>33</v>
      </c>
      <c r="I857" s="1123"/>
    </row>
    <row r="858" spans="1:9" ht="15.75" thickTop="1" x14ac:dyDescent="0.2">
      <c r="A858" s="1181">
        <v>3315</v>
      </c>
      <c r="B858" s="1187">
        <v>6121</v>
      </c>
      <c r="C858" s="2190" t="s">
        <v>956</v>
      </c>
      <c r="D858" s="1130" t="s">
        <v>312</v>
      </c>
      <c r="E858" s="1126">
        <v>200</v>
      </c>
      <c r="F858" s="1126">
        <v>200</v>
      </c>
      <c r="G858" s="1126">
        <v>61</v>
      </c>
      <c r="H858" s="3050">
        <f t="shared" ref="H858:H862" si="51">G858/F858*100</f>
        <v>30.5</v>
      </c>
      <c r="I858" s="1123"/>
    </row>
    <row r="859" spans="1:9" ht="15" x14ac:dyDescent="0.2">
      <c r="A859" s="1181">
        <v>3315</v>
      </c>
      <c r="B859" s="1187">
        <v>6121</v>
      </c>
      <c r="C859" s="2190" t="s">
        <v>1450</v>
      </c>
      <c r="D859" s="1130" t="s">
        <v>312</v>
      </c>
      <c r="E859" s="1135">
        <v>0</v>
      </c>
      <c r="F859" s="1135">
        <v>814</v>
      </c>
      <c r="G859" s="1135">
        <v>80</v>
      </c>
      <c r="H859" s="3050">
        <f t="shared" si="51"/>
        <v>9.8280098280098276</v>
      </c>
      <c r="I859" s="1123"/>
    </row>
    <row r="860" spans="1:9" ht="15" x14ac:dyDescent="0.2">
      <c r="A860" s="1181">
        <v>3315</v>
      </c>
      <c r="B860" s="1187">
        <v>6121</v>
      </c>
      <c r="C860" s="2190" t="s">
        <v>1464</v>
      </c>
      <c r="D860" s="1130" t="s">
        <v>312</v>
      </c>
      <c r="E860" s="1135">
        <v>0</v>
      </c>
      <c r="F860" s="1135">
        <v>97</v>
      </c>
      <c r="G860" s="1135">
        <v>63</v>
      </c>
      <c r="H860" s="3050">
        <f t="shared" si="51"/>
        <v>64.948453608247419</v>
      </c>
      <c r="I860" s="1123"/>
    </row>
    <row r="861" spans="1:9" ht="15" x14ac:dyDescent="0.2">
      <c r="A861" s="1181">
        <v>3315</v>
      </c>
      <c r="B861" s="1187">
        <v>6121</v>
      </c>
      <c r="C861" s="2190" t="s">
        <v>1688</v>
      </c>
      <c r="D861" s="1130" t="s">
        <v>312</v>
      </c>
      <c r="E861" s="1135">
        <v>0</v>
      </c>
      <c r="F861" s="1135">
        <v>217</v>
      </c>
      <c r="G861" s="1135">
        <v>40</v>
      </c>
      <c r="H861" s="3050">
        <f t="shared" si="51"/>
        <v>18.433179723502306</v>
      </c>
      <c r="I861" s="1123"/>
    </row>
    <row r="862" spans="1:9" ht="15.75" thickBot="1" x14ac:dyDescent="0.25">
      <c r="A862" s="1181">
        <v>3315</v>
      </c>
      <c r="B862" s="1187">
        <v>6121</v>
      </c>
      <c r="C862" s="2190" t="s">
        <v>1683</v>
      </c>
      <c r="D862" s="1130" t="s">
        <v>312</v>
      </c>
      <c r="E862" s="1135">
        <v>0</v>
      </c>
      <c r="F862" s="1135">
        <v>1019</v>
      </c>
      <c r="G862" s="1135">
        <v>680</v>
      </c>
      <c r="H862" s="3050">
        <f t="shared" si="51"/>
        <v>66.732090284592744</v>
      </c>
      <c r="I862" s="1123"/>
    </row>
    <row r="863" spans="1:9" ht="16.5" thickTop="1" thickBot="1" x14ac:dyDescent="0.3">
      <c r="A863" s="3317" t="s">
        <v>394</v>
      </c>
      <c r="B863" s="3318"/>
      <c r="C863" s="3318"/>
      <c r="D863" s="3318"/>
      <c r="E863" s="1113">
        <f>SUM(E858:E862)</f>
        <v>200</v>
      </c>
      <c r="F863" s="1113">
        <f>SUM(F858:F862)</f>
        <v>2347</v>
      </c>
      <c r="G863" s="1113">
        <f>SUM(G858:G862)</f>
        <v>924</v>
      </c>
      <c r="H863" s="1381">
        <f t="shared" ref="H863" si="52">G863/F863*100</f>
        <v>39.369407754580315</v>
      </c>
      <c r="I863" s="1123"/>
    </row>
    <row r="864" spans="1:9" ht="13.5" thickTop="1" x14ac:dyDescent="0.2">
      <c r="I864" s="1123"/>
    </row>
    <row r="865" spans="1:9" ht="18" x14ac:dyDescent="0.25">
      <c r="A865" s="3335" t="s">
        <v>1756</v>
      </c>
      <c r="B865" s="3210"/>
      <c r="C865" s="3210"/>
      <c r="D865" s="3210"/>
      <c r="E865" s="3210"/>
      <c r="F865" s="3210"/>
      <c r="G865" s="3210"/>
      <c r="H865" s="1163"/>
      <c r="I865" s="1123"/>
    </row>
    <row r="866" spans="1:9" ht="16.5" thickBot="1" x14ac:dyDescent="0.3">
      <c r="A866" s="1102" t="s">
        <v>1755</v>
      </c>
      <c r="H866" s="1120" t="s">
        <v>92</v>
      </c>
      <c r="I866" s="1123"/>
    </row>
    <row r="867" spans="1:9" ht="25.5" thickTop="1" thickBot="1" x14ac:dyDescent="0.25">
      <c r="A867" s="1104" t="s">
        <v>93</v>
      </c>
      <c r="B867" s="1105" t="s">
        <v>392</v>
      </c>
      <c r="C867" s="1105" t="s">
        <v>209</v>
      </c>
      <c r="D867" s="1106" t="s">
        <v>95</v>
      </c>
      <c r="E867" s="1127" t="s">
        <v>328</v>
      </c>
      <c r="F867" s="1127" t="s">
        <v>329</v>
      </c>
      <c r="G867" s="1128" t="s">
        <v>448</v>
      </c>
      <c r="H867" s="1129" t="s">
        <v>449</v>
      </c>
      <c r="I867" s="1123"/>
    </row>
    <row r="868" spans="1:9" ht="14.25" thickTop="1" thickBot="1" x14ac:dyDescent="0.25">
      <c r="A868" s="1042">
        <v>1</v>
      </c>
      <c r="B868" s="1041">
        <v>2</v>
      </c>
      <c r="C868" s="1041">
        <v>3</v>
      </c>
      <c r="D868" s="1041">
        <v>4</v>
      </c>
      <c r="E868" s="1040">
        <v>5</v>
      </c>
      <c r="F868" s="1040">
        <v>6</v>
      </c>
      <c r="G868" s="1164">
        <v>7</v>
      </c>
      <c r="H868" s="1186" t="s">
        <v>33</v>
      </c>
      <c r="I868" s="1123"/>
    </row>
    <row r="869" spans="1:9" ht="15.75" thickTop="1" x14ac:dyDescent="0.2">
      <c r="A869" s="1181">
        <v>3314</v>
      </c>
      <c r="B869" s="1187">
        <v>6121</v>
      </c>
      <c r="C869" s="2190" t="s">
        <v>956</v>
      </c>
      <c r="D869" s="1130" t="s">
        <v>312</v>
      </c>
      <c r="E869" s="1126">
        <v>1061</v>
      </c>
      <c r="F869" s="1126">
        <v>934</v>
      </c>
      <c r="G869" s="1126">
        <v>477</v>
      </c>
      <c r="H869" s="3050">
        <f t="shared" ref="H869:H874" si="53">G869/F869*100</f>
        <v>51.070663811563165</v>
      </c>
      <c r="I869" s="1123"/>
    </row>
    <row r="870" spans="1:9" ht="15" x14ac:dyDescent="0.2">
      <c r="A870" s="1181">
        <v>3314</v>
      </c>
      <c r="B870" s="1187">
        <v>6121</v>
      </c>
      <c r="C870" s="2190" t="s">
        <v>1450</v>
      </c>
      <c r="D870" s="1130" t="s">
        <v>312</v>
      </c>
      <c r="E870" s="1135">
        <v>0</v>
      </c>
      <c r="F870" s="1135">
        <v>2902</v>
      </c>
      <c r="G870" s="1135">
        <v>1995</v>
      </c>
      <c r="H870" s="3050">
        <f t="shared" si="53"/>
        <v>68.74569262577532</v>
      </c>
      <c r="I870" s="1123"/>
    </row>
    <row r="871" spans="1:9" ht="15" x14ac:dyDescent="0.2">
      <c r="A871" s="1181">
        <v>3314</v>
      </c>
      <c r="B871" s="1187">
        <v>6121</v>
      </c>
      <c r="C871" s="2190" t="s">
        <v>1464</v>
      </c>
      <c r="D871" s="1130" t="s">
        <v>312</v>
      </c>
      <c r="E871" s="1135">
        <v>0</v>
      </c>
      <c r="F871" s="1135">
        <v>1000</v>
      </c>
      <c r="G871" s="1135">
        <v>417</v>
      </c>
      <c r="H871" s="3050">
        <f t="shared" si="53"/>
        <v>41.699999999999996</v>
      </c>
      <c r="I871" s="1123"/>
    </row>
    <row r="872" spans="1:9" ht="15" x14ac:dyDescent="0.2">
      <c r="A872" s="1181">
        <v>3314</v>
      </c>
      <c r="B872" s="1187">
        <v>6121</v>
      </c>
      <c r="C872" s="2190" t="s">
        <v>1688</v>
      </c>
      <c r="D872" s="1130" t="s">
        <v>312</v>
      </c>
      <c r="E872" s="1135">
        <v>0</v>
      </c>
      <c r="F872" s="1135">
        <v>1451</v>
      </c>
      <c r="G872" s="1135">
        <v>997</v>
      </c>
      <c r="H872" s="3050">
        <f t="shared" si="53"/>
        <v>68.711233631977947</v>
      </c>
      <c r="I872" s="1123"/>
    </row>
    <row r="873" spans="1:9" ht="15.75" thickBot="1" x14ac:dyDescent="0.25">
      <c r="A873" s="1181">
        <v>3314</v>
      </c>
      <c r="B873" s="1187">
        <v>6121</v>
      </c>
      <c r="C873" s="2190" t="s">
        <v>1683</v>
      </c>
      <c r="D873" s="1130" t="s">
        <v>312</v>
      </c>
      <c r="E873" s="1135">
        <v>0</v>
      </c>
      <c r="F873" s="1135">
        <v>24669</v>
      </c>
      <c r="G873" s="1135">
        <v>16957</v>
      </c>
      <c r="H873" s="3050">
        <f t="shared" si="53"/>
        <v>68.738092342616241</v>
      </c>
      <c r="I873" s="1123"/>
    </row>
    <row r="874" spans="1:9" ht="16.5" thickTop="1" thickBot="1" x14ac:dyDescent="0.3">
      <c r="A874" s="3317" t="s">
        <v>394</v>
      </c>
      <c r="B874" s="3318"/>
      <c r="C874" s="3318"/>
      <c r="D874" s="3318"/>
      <c r="E874" s="1113">
        <f>SUM(E869:E873)</f>
        <v>1061</v>
      </c>
      <c r="F874" s="1113">
        <f>SUM(F869:F873)</f>
        <v>30956</v>
      </c>
      <c r="G874" s="1113">
        <f>SUM(G869:G873)</f>
        <v>20843</v>
      </c>
      <c r="H874" s="1381">
        <f t="shared" si="53"/>
        <v>67.331050523323427</v>
      </c>
      <c r="I874" s="1123"/>
    </row>
    <row r="875" spans="1:9" ht="13.5" thickTop="1" x14ac:dyDescent="0.2">
      <c r="I875" s="1123"/>
    </row>
    <row r="876" spans="1:9" ht="18" x14ac:dyDescent="0.25">
      <c r="A876" s="3335" t="s">
        <v>1758</v>
      </c>
      <c r="B876" s="3210"/>
      <c r="C876" s="3210"/>
      <c r="D876" s="3210"/>
      <c r="E876" s="3210"/>
      <c r="F876" s="3210"/>
      <c r="G876" s="3210"/>
      <c r="H876" s="1163"/>
      <c r="I876" s="1123"/>
    </row>
    <row r="877" spans="1:9" ht="16.5" thickBot="1" x14ac:dyDescent="0.3">
      <c r="A877" s="1102" t="s">
        <v>1757</v>
      </c>
      <c r="H877" s="1120" t="s">
        <v>92</v>
      </c>
      <c r="I877" s="1123"/>
    </row>
    <row r="878" spans="1:9" ht="25.5" thickTop="1" thickBot="1" x14ac:dyDescent="0.25">
      <c r="A878" s="1104" t="s">
        <v>93</v>
      </c>
      <c r="B878" s="1105" t="s">
        <v>392</v>
      </c>
      <c r="C878" s="1105" t="s">
        <v>209</v>
      </c>
      <c r="D878" s="1106" t="s">
        <v>95</v>
      </c>
      <c r="E878" s="1127" t="s">
        <v>328</v>
      </c>
      <c r="F878" s="1127" t="s">
        <v>329</v>
      </c>
      <c r="G878" s="1128" t="s">
        <v>448</v>
      </c>
      <c r="H878" s="1129" t="s">
        <v>449</v>
      </c>
      <c r="I878" s="1123"/>
    </row>
    <row r="879" spans="1:9" ht="14.25" thickTop="1" thickBot="1" x14ac:dyDescent="0.25">
      <c r="A879" s="1042">
        <v>1</v>
      </c>
      <c r="B879" s="1041">
        <v>2</v>
      </c>
      <c r="C879" s="1041">
        <v>3</v>
      </c>
      <c r="D879" s="1041">
        <v>4</v>
      </c>
      <c r="E879" s="1040">
        <v>5</v>
      </c>
      <c r="F879" s="1040">
        <v>6</v>
      </c>
      <c r="G879" s="1164">
        <v>7</v>
      </c>
      <c r="H879" s="1186" t="s">
        <v>33</v>
      </c>
      <c r="I879" s="1123"/>
    </row>
    <row r="880" spans="1:9" ht="15.75" thickTop="1" x14ac:dyDescent="0.2">
      <c r="A880" s="1181">
        <v>3315</v>
      </c>
      <c r="B880" s="1187">
        <v>6121</v>
      </c>
      <c r="C880" s="2190" t="s">
        <v>956</v>
      </c>
      <c r="D880" s="1130" t="s">
        <v>312</v>
      </c>
      <c r="E880" s="1126">
        <v>200</v>
      </c>
      <c r="F880" s="1126">
        <v>100</v>
      </c>
      <c r="G880" s="1126">
        <v>97</v>
      </c>
      <c r="H880" s="3050">
        <f t="shared" ref="H880:H885" si="54">G880/F880*100</f>
        <v>97</v>
      </c>
      <c r="I880" s="1123"/>
    </row>
    <row r="881" spans="1:9" ht="15" x14ac:dyDescent="0.2">
      <c r="A881" s="1181">
        <v>3315</v>
      </c>
      <c r="B881" s="1187">
        <v>6121</v>
      </c>
      <c r="C881" s="2190" t="s">
        <v>1450</v>
      </c>
      <c r="D881" s="1130" t="s">
        <v>312</v>
      </c>
      <c r="E881" s="1135">
        <v>0</v>
      </c>
      <c r="F881" s="1135">
        <v>810</v>
      </c>
      <c r="G881" s="1135">
        <v>426</v>
      </c>
      <c r="H881" s="3050">
        <f t="shared" si="54"/>
        <v>52.592592592592588</v>
      </c>
      <c r="I881" s="1123"/>
    </row>
    <row r="882" spans="1:9" ht="15" x14ac:dyDescent="0.2">
      <c r="A882" s="1181">
        <v>3315</v>
      </c>
      <c r="B882" s="1187">
        <v>6121</v>
      </c>
      <c r="C882" s="2190" t="s">
        <v>1464</v>
      </c>
      <c r="D882" s="1130" t="s">
        <v>312</v>
      </c>
      <c r="E882" s="1135">
        <v>0</v>
      </c>
      <c r="F882" s="1135">
        <v>3105</v>
      </c>
      <c r="G882" s="1135">
        <v>0</v>
      </c>
      <c r="H882" s="3050">
        <f t="shared" si="54"/>
        <v>0</v>
      </c>
      <c r="I882" s="1123"/>
    </row>
    <row r="883" spans="1:9" ht="15" x14ac:dyDescent="0.2">
      <c r="A883" s="1181">
        <v>3315</v>
      </c>
      <c r="B883" s="1187">
        <v>6121</v>
      </c>
      <c r="C883" s="2190" t="s">
        <v>1688</v>
      </c>
      <c r="D883" s="1130" t="s">
        <v>312</v>
      </c>
      <c r="E883" s="1135">
        <v>0</v>
      </c>
      <c r="F883" s="1135">
        <v>221</v>
      </c>
      <c r="G883" s="1135">
        <v>213</v>
      </c>
      <c r="H883" s="3050">
        <f t="shared" si="54"/>
        <v>96.380090497737555</v>
      </c>
      <c r="I883" s="1123"/>
    </row>
    <row r="884" spans="1:9" ht="15.75" thickBot="1" x14ac:dyDescent="0.25">
      <c r="A884" s="1181">
        <v>3315</v>
      </c>
      <c r="B884" s="1187">
        <v>6121</v>
      </c>
      <c r="C884" s="2190" t="s">
        <v>1683</v>
      </c>
      <c r="D884" s="1130" t="s">
        <v>312</v>
      </c>
      <c r="E884" s="1135">
        <v>0</v>
      </c>
      <c r="F884" s="1135">
        <v>3970</v>
      </c>
      <c r="G884" s="1135">
        <v>3625</v>
      </c>
      <c r="H884" s="3050">
        <f t="shared" si="54"/>
        <v>91.309823677581875</v>
      </c>
      <c r="I884" s="1123"/>
    </row>
    <row r="885" spans="1:9" ht="16.5" thickTop="1" thickBot="1" x14ac:dyDescent="0.3">
      <c r="A885" s="3317" t="s">
        <v>394</v>
      </c>
      <c r="B885" s="3318"/>
      <c r="C885" s="3318"/>
      <c r="D885" s="3318"/>
      <c r="E885" s="1113">
        <f>SUM(E880:E884)</f>
        <v>200</v>
      </c>
      <c r="F885" s="1113">
        <f>SUM(F880:F884)</f>
        <v>8206</v>
      </c>
      <c r="G885" s="1113">
        <f>SUM(G880:G884)</f>
        <v>4361</v>
      </c>
      <c r="H885" s="1381">
        <f t="shared" si="54"/>
        <v>53.144040945649529</v>
      </c>
      <c r="I885" s="1123"/>
    </row>
    <row r="886" spans="1:9" ht="13.5" thickTop="1" x14ac:dyDescent="0.2">
      <c r="I886" s="1123"/>
    </row>
    <row r="887" spans="1:9" ht="18" x14ac:dyDescent="0.25">
      <c r="A887" s="3335" t="s">
        <v>1760</v>
      </c>
      <c r="B887" s="3210"/>
      <c r="C887" s="3210"/>
      <c r="D887" s="3210"/>
      <c r="E887" s="3210"/>
      <c r="F887" s="3210"/>
      <c r="G887" s="3210"/>
      <c r="H887" s="1163"/>
      <c r="I887" s="1123"/>
    </row>
    <row r="888" spans="1:9" ht="16.5" thickBot="1" x14ac:dyDescent="0.3">
      <c r="A888" s="1102" t="s">
        <v>1759</v>
      </c>
      <c r="H888" s="1120" t="s">
        <v>92</v>
      </c>
      <c r="I888" s="1123"/>
    </row>
    <row r="889" spans="1:9" ht="25.5" thickTop="1" thickBot="1" x14ac:dyDescent="0.25">
      <c r="A889" s="1104" t="s">
        <v>93</v>
      </c>
      <c r="B889" s="1105" t="s">
        <v>392</v>
      </c>
      <c r="C889" s="1105" t="s">
        <v>209</v>
      </c>
      <c r="D889" s="1106" t="s">
        <v>95</v>
      </c>
      <c r="E889" s="1127" t="s">
        <v>328</v>
      </c>
      <c r="F889" s="1127" t="s">
        <v>329</v>
      </c>
      <c r="G889" s="1128" t="s">
        <v>448</v>
      </c>
      <c r="H889" s="1129" t="s">
        <v>449</v>
      </c>
      <c r="I889" s="1123"/>
    </row>
    <row r="890" spans="1:9" ht="14.25" thickTop="1" thickBot="1" x14ac:dyDescent="0.25">
      <c r="A890" s="1042">
        <v>1</v>
      </c>
      <c r="B890" s="1041">
        <v>2</v>
      </c>
      <c r="C890" s="1041">
        <v>3</v>
      </c>
      <c r="D890" s="1041">
        <v>4</v>
      </c>
      <c r="E890" s="1040">
        <v>5</v>
      </c>
      <c r="F890" s="1040">
        <v>6</v>
      </c>
      <c r="G890" s="1164">
        <v>7</v>
      </c>
      <c r="H890" s="1186" t="s">
        <v>33</v>
      </c>
      <c r="I890" s="1123"/>
    </row>
    <row r="891" spans="1:9" ht="16.5" thickTop="1" thickBot="1" x14ac:dyDescent="0.25">
      <c r="A891" s="1181">
        <v>3315</v>
      </c>
      <c r="B891" s="1187">
        <v>6121</v>
      </c>
      <c r="C891" s="2190" t="s">
        <v>956</v>
      </c>
      <c r="D891" s="1130" t="s">
        <v>312</v>
      </c>
      <c r="E891" s="1126">
        <v>0</v>
      </c>
      <c r="F891" s="1126">
        <v>227</v>
      </c>
      <c r="G891" s="1126">
        <v>129</v>
      </c>
      <c r="H891" s="3050">
        <f t="shared" ref="H891:H896" si="55">G891/F891*100</f>
        <v>56.828193832599119</v>
      </c>
      <c r="I891" s="1123"/>
    </row>
    <row r="892" spans="1:9" ht="15.75" hidden="1" thickBot="1" x14ac:dyDescent="0.25">
      <c r="A892" s="1181">
        <v>3315</v>
      </c>
      <c r="B892" s="1187">
        <v>6121</v>
      </c>
      <c r="C892" s="2190" t="s">
        <v>1450</v>
      </c>
      <c r="D892" s="1130" t="s">
        <v>312</v>
      </c>
      <c r="E892" s="1135"/>
      <c r="F892" s="1135"/>
      <c r="G892" s="1135"/>
      <c r="H892" s="3050" t="e">
        <f t="shared" si="55"/>
        <v>#DIV/0!</v>
      </c>
      <c r="I892" s="1123"/>
    </row>
    <row r="893" spans="1:9" ht="15.75" hidden="1" thickBot="1" x14ac:dyDescent="0.25">
      <c r="A893" s="1181">
        <v>3315</v>
      </c>
      <c r="B893" s="1187">
        <v>6121</v>
      </c>
      <c r="C893" s="2190" t="s">
        <v>1464</v>
      </c>
      <c r="D893" s="1130" t="s">
        <v>312</v>
      </c>
      <c r="E893" s="1135"/>
      <c r="F893" s="1135"/>
      <c r="G893" s="1135"/>
      <c r="H893" s="3050" t="e">
        <f t="shared" si="55"/>
        <v>#DIV/0!</v>
      </c>
      <c r="I893" s="1123"/>
    </row>
    <row r="894" spans="1:9" ht="15.75" hidden="1" thickBot="1" x14ac:dyDescent="0.25">
      <c r="A894" s="1181">
        <v>3315</v>
      </c>
      <c r="B894" s="1187">
        <v>6121</v>
      </c>
      <c r="C894" s="2190" t="s">
        <v>1688</v>
      </c>
      <c r="D894" s="1130" t="s">
        <v>312</v>
      </c>
      <c r="E894" s="1135"/>
      <c r="F894" s="1135"/>
      <c r="G894" s="1135"/>
      <c r="H894" s="3050" t="e">
        <f t="shared" si="55"/>
        <v>#DIV/0!</v>
      </c>
      <c r="I894" s="1123"/>
    </row>
    <row r="895" spans="1:9" ht="15.75" hidden="1" thickBot="1" x14ac:dyDescent="0.25">
      <c r="A895" s="1181">
        <v>3315</v>
      </c>
      <c r="B895" s="1187">
        <v>6121</v>
      </c>
      <c r="C895" s="2190" t="s">
        <v>1683</v>
      </c>
      <c r="D895" s="1130" t="s">
        <v>312</v>
      </c>
      <c r="E895" s="1135"/>
      <c r="F895" s="1135"/>
      <c r="G895" s="1135"/>
      <c r="H895" s="3050" t="e">
        <f t="shared" si="55"/>
        <v>#DIV/0!</v>
      </c>
      <c r="I895" s="1123"/>
    </row>
    <row r="896" spans="1:9" ht="16.5" thickTop="1" thickBot="1" x14ac:dyDescent="0.3">
      <c r="A896" s="3317" t="s">
        <v>394</v>
      </c>
      <c r="B896" s="3318"/>
      <c r="C896" s="3318"/>
      <c r="D896" s="3318"/>
      <c r="E896" s="1113">
        <f>SUM(E891:E895)</f>
        <v>0</v>
      </c>
      <c r="F896" s="1113">
        <f>SUM(F891:F895)</f>
        <v>227</v>
      </c>
      <c r="G896" s="1113">
        <f>SUM(G891:G895)</f>
        <v>129</v>
      </c>
      <c r="H896" s="1381">
        <f t="shared" si="55"/>
        <v>56.828193832599119</v>
      </c>
      <c r="I896" s="1123"/>
    </row>
    <row r="897" spans="1:9" ht="13.5" thickTop="1" x14ac:dyDescent="0.2">
      <c r="I897" s="1123"/>
    </row>
    <row r="898" spans="1:9" ht="28.5" customHeight="1" x14ac:dyDescent="0.25">
      <c r="A898" s="3335" t="s">
        <v>1029</v>
      </c>
      <c r="B898" s="3210"/>
      <c r="C898" s="3210"/>
      <c r="D898" s="3210"/>
      <c r="E898" s="3210"/>
      <c r="F898" s="3210"/>
      <c r="G898" s="3210"/>
      <c r="H898" s="1163"/>
      <c r="I898" s="1123"/>
    </row>
    <row r="899" spans="1:9" ht="16.5" thickBot="1" x14ac:dyDescent="0.3">
      <c r="A899" s="1102" t="s">
        <v>1028</v>
      </c>
      <c r="H899" s="1120" t="s">
        <v>92</v>
      </c>
      <c r="I899" s="1123"/>
    </row>
    <row r="900" spans="1:9" ht="25.5" thickTop="1" thickBot="1" x14ac:dyDescent="0.25">
      <c r="A900" s="1104" t="s">
        <v>93</v>
      </c>
      <c r="B900" s="1105" t="s">
        <v>392</v>
      </c>
      <c r="C900" s="1105" t="s">
        <v>209</v>
      </c>
      <c r="D900" s="1106" t="s">
        <v>95</v>
      </c>
      <c r="E900" s="1127" t="s">
        <v>328</v>
      </c>
      <c r="F900" s="1127" t="s">
        <v>329</v>
      </c>
      <c r="G900" s="1128" t="s">
        <v>448</v>
      </c>
      <c r="H900" s="1129" t="s">
        <v>449</v>
      </c>
      <c r="I900" s="1123"/>
    </row>
    <row r="901" spans="1:9" ht="14.25" thickTop="1" thickBot="1" x14ac:dyDescent="0.25">
      <c r="A901" s="1042">
        <v>1</v>
      </c>
      <c r="B901" s="1041">
        <v>2</v>
      </c>
      <c r="C901" s="1041">
        <v>3</v>
      </c>
      <c r="D901" s="1041">
        <v>4</v>
      </c>
      <c r="E901" s="1040">
        <v>5</v>
      </c>
      <c r="F901" s="1040">
        <v>6</v>
      </c>
      <c r="G901" s="1164">
        <v>7</v>
      </c>
      <c r="H901" s="1186" t="s">
        <v>33</v>
      </c>
      <c r="I901" s="1123"/>
    </row>
    <row r="902" spans="1:9" ht="15.75" thickTop="1" x14ac:dyDescent="0.2">
      <c r="A902" s="1181">
        <v>3523</v>
      </c>
      <c r="B902" s="1187">
        <v>5137</v>
      </c>
      <c r="C902" s="2190" t="s">
        <v>963</v>
      </c>
      <c r="D902" s="1130" t="s">
        <v>88</v>
      </c>
      <c r="E902" s="1126">
        <v>0</v>
      </c>
      <c r="F902" s="1126">
        <v>13</v>
      </c>
      <c r="G902" s="1126">
        <v>13</v>
      </c>
      <c r="H902" s="3050">
        <f t="shared" ref="H902:H908" si="56">G902/F902*100</f>
        <v>100</v>
      </c>
      <c r="I902" s="1123"/>
    </row>
    <row r="903" spans="1:9" ht="15" x14ac:dyDescent="0.2">
      <c r="A903" s="1181">
        <v>3523</v>
      </c>
      <c r="B903" s="1187">
        <v>5172</v>
      </c>
      <c r="C903" s="2190" t="s">
        <v>963</v>
      </c>
      <c r="D903" s="1130" t="s">
        <v>457</v>
      </c>
      <c r="E903" s="1135">
        <v>0</v>
      </c>
      <c r="F903" s="1135">
        <v>127</v>
      </c>
      <c r="G903" s="1135">
        <v>127</v>
      </c>
      <c r="H903" s="3050">
        <f t="shared" si="56"/>
        <v>100</v>
      </c>
      <c r="I903" s="1123"/>
    </row>
    <row r="904" spans="1:9" ht="15" x14ac:dyDescent="0.2">
      <c r="A904" s="1181">
        <v>3523</v>
      </c>
      <c r="B904" s="1187">
        <v>6111</v>
      </c>
      <c r="C904" s="2190" t="s">
        <v>963</v>
      </c>
      <c r="D904" s="1130" t="s">
        <v>457</v>
      </c>
      <c r="E904" s="1135">
        <v>0</v>
      </c>
      <c r="F904" s="1135">
        <v>108</v>
      </c>
      <c r="G904" s="1135">
        <v>108</v>
      </c>
      <c r="H904" s="3050">
        <f t="shared" si="56"/>
        <v>100</v>
      </c>
      <c r="I904" s="1123"/>
    </row>
    <row r="905" spans="1:9" ht="15" x14ac:dyDescent="0.2">
      <c r="A905" s="1181">
        <v>3523</v>
      </c>
      <c r="B905" s="1187">
        <v>6121</v>
      </c>
      <c r="C905" s="2190" t="s">
        <v>963</v>
      </c>
      <c r="D905" s="1130" t="s">
        <v>312</v>
      </c>
      <c r="E905" s="1135">
        <v>0</v>
      </c>
      <c r="F905" s="1135">
        <v>1611</v>
      </c>
      <c r="G905" s="1135">
        <v>1611</v>
      </c>
      <c r="H905" s="3050">
        <f t="shared" si="56"/>
        <v>100</v>
      </c>
      <c r="I905" s="1123"/>
    </row>
    <row r="906" spans="1:9" ht="15" x14ac:dyDescent="0.2">
      <c r="A906" s="1181">
        <v>3523</v>
      </c>
      <c r="B906" s="1187">
        <v>6121</v>
      </c>
      <c r="C906" s="2190" t="s">
        <v>1426</v>
      </c>
      <c r="D906" s="1130" t="s">
        <v>312</v>
      </c>
      <c r="E906" s="1135">
        <v>0</v>
      </c>
      <c r="F906" s="1135">
        <v>683</v>
      </c>
      <c r="G906" s="1135">
        <v>683</v>
      </c>
      <c r="H906" s="3050">
        <f t="shared" si="56"/>
        <v>100</v>
      </c>
      <c r="I906" s="1123"/>
    </row>
    <row r="907" spans="1:9" ht="15.75" thickBot="1" x14ac:dyDescent="0.25">
      <c r="A907" s="1181">
        <v>3523</v>
      </c>
      <c r="B907" s="1187">
        <v>6122</v>
      </c>
      <c r="C907" s="2190" t="s">
        <v>963</v>
      </c>
      <c r="D907" s="1130" t="s">
        <v>313</v>
      </c>
      <c r="E907" s="1135">
        <v>0</v>
      </c>
      <c r="F907" s="1135">
        <v>47</v>
      </c>
      <c r="G907" s="1135">
        <v>47</v>
      </c>
      <c r="H907" s="3050">
        <f t="shared" si="56"/>
        <v>100</v>
      </c>
      <c r="I907" s="1123"/>
    </row>
    <row r="908" spans="1:9" ht="16.5" thickTop="1" thickBot="1" x14ac:dyDescent="0.3">
      <c r="A908" s="3317" t="s">
        <v>394</v>
      </c>
      <c r="B908" s="3318"/>
      <c r="C908" s="3318"/>
      <c r="D908" s="3318"/>
      <c r="E908" s="1113">
        <f>SUM(E902:E907)</f>
        <v>0</v>
      </c>
      <c r="F908" s="1113">
        <f>SUM(F902:F907)</f>
        <v>2589</v>
      </c>
      <c r="G908" s="1113">
        <f>SUM(G902:G907)</f>
        <v>2589</v>
      </c>
      <c r="H908" s="1381">
        <f t="shared" si="56"/>
        <v>100</v>
      </c>
      <c r="I908" s="1123"/>
    </row>
    <row r="909" spans="1:9" ht="13.5" thickTop="1" x14ac:dyDescent="0.2">
      <c r="I909" s="1123"/>
    </row>
    <row r="910" spans="1:9" ht="18" x14ac:dyDescent="0.25">
      <c r="A910" s="3335" t="s">
        <v>1708</v>
      </c>
      <c r="B910" s="3210"/>
      <c r="C910" s="3210"/>
      <c r="D910" s="3210"/>
      <c r="E910" s="3210"/>
      <c r="F910" s="3210"/>
      <c r="G910" s="3210"/>
      <c r="H910" s="1163"/>
      <c r="I910" s="1123"/>
    </row>
    <row r="911" spans="1:9" ht="16.5" thickBot="1" x14ac:dyDescent="0.3">
      <c r="A911" s="1102" t="s">
        <v>1707</v>
      </c>
      <c r="H911" s="1120" t="s">
        <v>92</v>
      </c>
      <c r="I911" s="1123"/>
    </row>
    <row r="912" spans="1:9" ht="25.5" thickTop="1" thickBot="1" x14ac:dyDescent="0.25">
      <c r="A912" s="1104" t="s">
        <v>93</v>
      </c>
      <c r="B912" s="1105" t="s">
        <v>392</v>
      </c>
      <c r="C912" s="1105" t="s">
        <v>209</v>
      </c>
      <c r="D912" s="1106" t="s">
        <v>95</v>
      </c>
      <c r="E912" s="1127" t="s">
        <v>328</v>
      </c>
      <c r="F912" s="1127" t="s">
        <v>329</v>
      </c>
      <c r="G912" s="1128" t="s">
        <v>448</v>
      </c>
      <c r="H912" s="1129" t="s">
        <v>449</v>
      </c>
      <c r="I912" s="1123"/>
    </row>
    <row r="913" spans="1:9" ht="14.25" thickTop="1" thickBot="1" x14ac:dyDescent="0.25">
      <c r="A913" s="1042">
        <v>1</v>
      </c>
      <c r="B913" s="1041">
        <v>2</v>
      </c>
      <c r="C913" s="1041">
        <v>3</v>
      </c>
      <c r="D913" s="1041">
        <v>4</v>
      </c>
      <c r="E913" s="1040">
        <v>5</v>
      </c>
      <c r="F913" s="1040">
        <v>6</v>
      </c>
      <c r="G913" s="1164">
        <v>7</v>
      </c>
      <c r="H913" s="1186" t="s">
        <v>33</v>
      </c>
      <c r="I913" s="1123"/>
    </row>
    <row r="914" spans="1:9" ht="16.5" thickTop="1" thickBot="1" x14ac:dyDescent="0.25">
      <c r="A914" s="1181">
        <v>3533</v>
      </c>
      <c r="B914" s="1187">
        <v>6121</v>
      </c>
      <c r="C914" s="2190" t="s">
        <v>963</v>
      </c>
      <c r="D914" s="1130" t="s">
        <v>312</v>
      </c>
      <c r="E914" s="1126">
        <v>100</v>
      </c>
      <c r="F914" s="1126">
        <v>3004</v>
      </c>
      <c r="G914" s="1126">
        <v>3000</v>
      </c>
      <c r="H914" s="3050">
        <f t="shared" ref="H914:H920" si="57">G914/F914*100</f>
        <v>99.866844207723034</v>
      </c>
      <c r="I914" s="1123"/>
    </row>
    <row r="915" spans="1:9" ht="15.75" hidden="1" thickBot="1" x14ac:dyDescent="0.25">
      <c r="A915" s="1181">
        <v>3523</v>
      </c>
      <c r="B915" s="1187">
        <v>5172</v>
      </c>
      <c r="C915" s="2190" t="s">
        <v>963</v>
      </c>
      <c r="D915" s="1130" t="s">
        <v>312</v>
      </c>
      <c r="E915" s="1135"/>
      <c r="F915" s="1135"/>
      <c r="G915" s="1135"/>
      <c r="H915" s="3050" t="e">
        <f t="shared" si="57"/>
        <v>#DIV/0!</v>
      </c>
      <c r="I915" s="1123"/>
    </row>
    <row r="916" spans="1:9" ht="15.75" hidden="1" thickBot="1" x14ac:dyDescent="0.25">
      <c r="A916" s="1181">
        <v>3523</v>
      </c>
      <c r="B916" s="1187">
        <v>6111</v>
      </c>
      <c r="C916" s="2190" t="s">
        <v>963</v>
      </c>
      <c r="D916" s="1130" t="s">
        <v>312</v>
      </c>
      <c r="E916" s="1135"/>
      <c r="F916" s="1135"/>
      <c r="G916" s="1135"/>
      <c r="H916" s="3050" t="e">
        <f t="shared" si="57"/>
        <v>#DIV/0!</v>
      </c>
      <c r="I916" s="1123"/>
    </row>
    <row r="917" spans="1:9" ht="15.75" hidden="1" thickBot="1" x14ac:dyDescent="0.25">
      <c r="A917" s="1181">
        <v>3523</v>
      </c>
      <c r="B917" s="1187">
        <v>6121</v>
      </c>
      <c r="C917" s="2190" t="s">
        <v>963</v>
      </c>
      <c r="D917" s="1130" t="s">
        <v>312</v>
      </c>
      <c r="E917" s="1135"/>
      <c r="F917" s="1135"/>
      <c r="G917" s="1135"/>
      <c r="H917" s="3050" t="e">
        <f t="shared" si="57"/>
        <v>#DIV/0!</v>
      </c>
      <c r="I917" s="1123"/>
    </row>
    <row r="918" spans="1:9" ht="15.75" hidden="1" thickBot="1" x14ac:dyDescent="0.25">
      <c r="A918" s="1181">
        <v>3523</v>
      </c>
      <c r="B918" s="1187">
        <v>6121</v>
      </c>
      <c r="C918" s="2190" t="s">
        <v>1426</v>
      </c>
      <c r="D918" s="1130" t="s">
        <v>312</v>
      </c>
      <c r="E918" s="1135"/>
      <c r="F918" s="1135"/>
      <c r="G918" s="1135"/>
      <c r="H918" s="3050" t="e">
        <f t="shared" si="57"/>
        <v>#DIV/0!</v>
      </c>
      <c r="I918" s="1123"/>
    </row>
    <row r="919" spans="1:9" ht="15.75" hidden="1" thickBot="1" x14ac:dyDescent="0.25">
      <c r="A919" s="1181">
        <v>3523</v>
      </c>
      <c r="B919" s="1187">
        <v>6122</v>
      </c>
      <c r="C919" s="2190" t="s">
        <v>963</v>
      </c>
      <c r="D919" s="1130" t="s">
        <v>313</v>
      </c>
      <c r="E919" s="1135"/>
      <c r="F919" s="1135"/>
      <c r="G919" s="1135"/>
      <c r="H919" s="3050" t="e">
        <f t="shared" si="57"/>
        <v>#DIV/0!</v>
      </c>
      <c r="I919" s="1123"/>
    </row>
    <row r="920" spans="1:9" ht="16.5" thickTop="1" thickBot="1" x14ac:dyDescent="0.3">
      <c r="A920" s="3317" t="s">
        <v>394</v>
      </c>
      <c r="B920" s="3318"/>
      <c r="C920" s="3318"/>
      <c r="D920" s="3318"/>
      <c r="E920" s="1113">
        <f>SUM(E914:E919)</f>
        <v>100</v>
      </c>
      <c r="F920" s="1113">
        <f>SUM(F914:F919)</f>
        <v>3004</v>
      </c>
      <c r="G920" s="1113">
        <f>SUM(G914:G919)</f>
        <v>3000</v>
      </c>
      <c r="H920" s="1381">
        <f t="shared" si="57"/>
        <v>99.866844207723034</v>
      </c>
      <c r="I920" s="1123"/>
    </row>
    <row r="921" spans="1:9" ht="13.5" thickTop="1" x14ac:dyDescent="0.2">
      <c r="I921" s="1123"/>
    </row>
    <row r="922" spans="1:9" ht="18" x14ac:dyDescent="0.25">
      <c r="A922" s="3335" t="s">
        <v>1762</v>
      </c>
      <c r="B922" s="3210"/>
      <c r="C922" s="3210"/>
      <c r="D922" s="3210"/>
      <c r="E922" s="3210"/>
      <c r="F922" s="3210"/>
      <c r="G922" s="3210"/>
      <c r="H922" s="1163"/>
      <c r="I922" s="1123"/>
    </row>
    <row r="923" spans="1:9" ht="16.5" thickBot="1" x14ac:dyDescent="0.3">
      <c r="A923" s="1102" t="s">
        <v>1761</v>
      </c>
      <c r="H923" s="1120" t="s">
        <v>92</v>
      </c>
      <c r="I923" s="1123"/>
    </row>
    <row r="924" spans="1:9" ht="25.5" thickTop="1" thickBot="1" x14ac:dyDescent="0.25">
      <c r="A924" s="1104" t="s">
        <v>93</v>
      </c>
      <c r="B924" s="1105" t="s">
        <v>392</v>
      </c>
      <c r="C924" s="1105" t="s">
        <v>209</v>
      </c>
      <c r="D924" s="1106" t="s">
        <v>95</v>
      </c>
      <c r="E924" s="1127" t="s">
        <v>328</v>
      </c>
      <c r="F924" s="1127" t="s">
        <v>329</v>
      </c>
      <c r="G924" s="1128" t="s">
        <v>448</v>
      </c>
      <c r="H924" s="1129" t="s">
        <v>449</v>
      </c>
      <c r="I924" s="1123"/>
    </row>
    <row r="925" spans="1:9" ht="14.25" thickTop="1" thickBot="1" x14ac:dyDescent="0.25">
      <c r="A925" s="1042">
        <v>1</v>
      </c>
      <c r="B925" s="1041">
        <v>2</v>
      </c>
      <c r="C925" s="1041">
        <v>3</v>
      </c>
      <c r="D925" s="1041">
        <v>4</v>
      </c>
      <c r="E925" s="1040">
        <v>5</v>
      </c>
      <c r="F925" s="1040">
        <v>6</v>
      </c>
      <c r="G925" s="1164">
        <v>7</v>
      </c>
      <c r="H925" s="1186" t="s">
        <v>33</v>
      </c>
      <c r="I925" s="1123"/>
    </row>
    <row r="926" spans="1:9" ht="16.5" thickTop="1" thickBot="1" x14ac:dyDescent="0.25">
      <c r="A926" s="1181">
        <v>3533</v>
      </c>
      <c r="B926" s="1187">
        <v>6121</v>
      </c>
      <c r="C926" s="2190" t="s">
        <v>963</v>
      </c>
      <c r="D926" s="1130" t="s">
        <v>312</v>
      </c>
      <c r="E926" s="1126">
        <v>100</v>
      </c>
      <c r="F926" s="1126">
        <v>1598</v>
      </c>
      <c r="G926" s="1126">
        <v>1569</v>
      </c>
      <c r="H926" s="3050">
        <f t="shared" ref="H926:H932" si="58">G926/F926*100</f>
        <v>98.185231539424279</v>
      </c>
      <c r="I926" s="1123"/>
    </row>
    <row r="927" spans="1:9" ht="15.75" hidden="1" thickBot="1" x14ac:dyDescent="0.25">
      <c r="A927" s="1181">
        <v>3523</v>
      </c>
      <c r="B927" s="1187">
        <v>5172</v>
      </c>
      <c r="C927" s="2190" t="s">
        <v>963</v>
      </c>
      <c r="D927" s="1130" t="s">
        <v>312</v>
      </c>
      <c r="E927" s="1135"/>
      <c r="F927" s="1135"/>
      <c r="G927" s="1135"/>
      <c r="H927" s="3050" t="e">
        <f t="shared" si="58"/>
        <v>#DIV/0!</v>
      </c>
      <c r="I927" s="1123"/>
    </row>
    <row r="928" spans="1:9" ht="15.75" hidden="1" thickBot="1" x14ac:dyDescent="0.25">
      <c r="A928" s="1181">
        <v>3523</v>
      </c>
      <c r="B928" s="1187">
        <v>6111</v>
      </c>
      <c r="C928" s="2190" t="s">
        <v>963</v>
      </c>
      <c r="D928" s="1130" t="s">
        <v>312</v>
      </c>
      <c r="E928" s="1135"/>
      <c r="F928" s="1135"/>
      <c r="G928" s="1135"/>
      <c r="H928" s="3050" t="e">
        <f t="shared" si="58"/>
        <v>#DIV/0!</v>
      </c>
      <c r="I928" s="1123"/>
    </row>
    <row r="929" spans="1:9" ht="15.75" hidden="1" thickBot="1" x14ac:dyDescent="0.25">
      <c r="A929" s="1181">
        <v>3523</v>
      </c>
      <c r="B929" s="1187">
        <v>6121</v>
      </c>
      <c r="C929" s="2190" t="s">
        <v>963</v>
      </c>
      <c r="D929" s="1130" t="s">
        <v>312</v>
      </c>
      <c r="E929" s="1135"/>
      <c r="F929" s="1135"/>
      <c r="G929" s="1135"/>
      <c r="H929" s="3050" t="e">
        <f t="shared" si="58"/>
        <v>#DIV/0!</v>
      </c>
      <c r="I929" s="1123"/>
    </row>
    <row r="930" spans="1:9" ht="15.75" hidden="1" thickBot="1" x14ac:dyDescent="0.25">
      <c r="A930" s="1181">
        <v>3523</v>
      </c>
      <c r="B930" s="1187">
        <v>6121</v>
      </c>
      <c r="C930" s="2190" t="s">
        <v>1426</v>
      </c>
      <c r="D930" s="1130" t="s">
        <v>312</v>
      </c>
      <c r="E930" s="1135"/>
      <c r="F930" s="1135"/>
      <c r="G930" s="1135"/>
      <c r="H930" s="3050" t="e">
        <f t="shared" si="58"/>
        <v>#DIV/0!</v>
      </c>
      <c r="I930" s="1123"/>
    </row>
    <row r="931" spans="1:9" ht="15.75" hidden="1" thickBot="1" x14ac:dyDescent="0.25">
      <c r="A931" s="1181">
        <v>3523</v>
      </c>
      <c r="B931" s="1187">
        <v>6122</v>
      </c>
      <c r="C931" s="2190" t="s">
        <v>963</v>
      </c>
      <c r="D931" s="1130" t="s">
        <v>313</v>
      </c>
      <c r="E931" s="1135"/>
      <c r="F931" s="1135"/>
      <c r="G931" s="1135"/>
      <c r="H931" s="3050" t="e">
        <f t="shared" si="58"/>
        <v>#DIV/0!</v>
      </c>
      <c r="I931" s="1123"/>
    </row>
    <row r="932" spans="1:9" ht="16.5" thickTop="1" thickBot="1" x14ac:dyDescent="0.3">
      <c r="A932" s="3317" t="s">
        <v>394</v>
      </c>
      <c r="B932" s="3318"/>
      <c r="C932" s="3318"/>
      <c r="D932" s="3318"/>
      <c r="E932" s="1113">
        <f>SUM(E926:E931)</f>
        <v>100</v>
      </c>
      <c r="F932" s="1113">
        <f>SUM(F926:F931)</f>
        <v>1598</v>
      </c>
      <c r="G932" s="1113">
        <f>SUM(G926:G931)</f>
        <v>1569</v>
      </c>
      <c r="H932" s="1381">
        <f t="shared" si="58"/>
        <v>98.185231539424279</v>
      </c>
      <c r="I932" s="1123"/>
    </row>
    <row r="933" spans="1:9" ht="13.5" thickTop="1" x14ac:dyDescent="0.2">
      <c r="I933" s="1123"/>
    </row>
    <row r="934" spans="1:9" ht="29.25" customHeight="1" x14ac:dyDescent="0.25">
      <c r="A934" s="3335" t="s">
        <v>1027</v>
      </c>
      <c r="B934" s="3210"/>
      <c r="C934" s="3210"/>
      <c r="D934" s="3210"/>
      <c r="E934" s="3210"/>
      <c r="F934" s="3210"/>
      <c r="G934" s="3210"/>
      <c r="H934" s="1163"/>
      <c r="I934" s="1123"/>
    </row>
    <row r="935" spans="1:9" ht="16.5" thickBot="1" x14ac:dyDescent="0.3">
      <c r="A935" s="1102" t="s">
        <v>1026</v>
      </c>
      <c r="H935" s="1120" t="s">
        <v>92</v>
      </c>
      <c r="I935" s="1123"/>
    </row>
    <row r="936" spans="1:9" ht="25.5" thickTop="1" thickBot="1" x14ac:dyDescent="0.25">
      <c r="A936" s="1104" t="s">
        <v>93</v>
      </c>
      <c r="B936" s="1105" t="s">
        <v>392</v>
      </c>
      <c r="C936" s="1105" t="s">
        <v>209</v>
      </c>
      <c r="D936" s="1106" t="s">
        <v>95</v>
      </c>
      <c r="E936" s="1127" t="s">
        <v>328</v>
      </c>
      <c r="F936" s="1127" t="s">
        <v>329</v>
      </c>
      <c r="G936" s="1128" t="s">
        <v>448</v>
      </c>
      <c r="H936" s="1129" t="s">
        <v>449</v>
      </c>
      <c r="I936" s="1123"/>
    </row>
    <row r="937" spans="1:9" ht="14.25" thickTop="1" thickBot="1" x14ac:dyDescent="0.25">
      <c r="A937" s="1042">
        <v>1</v>
      </c>
      <c r="B937" s="1041">
        <v>2</v>
      </c>
      <c r="C937" s="1041">
        <v>3</v>
      </c>
      <c r="D937" s="1041">
        <v>4</v>
      </c>
      <c r="E937" s="1040">
        <v>5</v>
      </c>
      <c r="F937" s="1040">
        <v>6</v>
      </c>
      <c r="G937" s="1164">
        <v>7</v>
      </c>
      <c r="H937" s="1186" t="s">
        <v>33</v>
      </c>
      <c r="I937" s="1123"/>
    </row>
    <row r="938" spans="1:9" ht="16.5" thickTop="1" thickBot="1" x14ac:dyDescent="0.25">
      <c r="A938" s="1181">
        <v>3523</v>
      </c>
      <c r="B938" s="1187">
        <v>6121</v>
      </c>
      <c r="C938" s="2190" t="s">
        <v>963</v>
      </c>
      <c r="D938" s="1130" t="s">
        <v>312</v>
      </c>
      <c r="E938" s="1126">
        <v>0</v>
      </c>
      <c r="F938" s="1126">
        <v>272</v>
      </c>
      <c r="G938" s="1126">
        <v>239</v>
      </c>
      <c r="H938" s="3050">
        <f t="shared" ref="H938:H944" si="59">G938/F938*100</f>
        <v>87.867647058823522</v>
      </c>
      <c r="I938" s="1123"/>
    </row>
    <row r="939" spans="1:9" ht="15.75" hidden="1" thickBot="1" x14ac:dyDescent="0.25">
      <c r="A939" s="1181">
        <v>3523</v>
      </c>
      <c r="B939" s="1187">
        <v>5172</v>
      </c>
      <c r="C939" s="2190" t="s">
        <v>963</v>
      </c>
      <c r="D939" s="1130" t="s">
        <v>312</v>
      </c>
      <c r="E939" s="1135"/>
      <c r="F939" s="1135"/>
      <c r="G939" s="1135"/>
      <c r="H939" s="3050" t="e">
        <f t="shared" si="59"/>
        <v>#DIV/0!</v>
      </c>
      <c r="I939" s="1123"/>
    </row>
    <row r="940" spans="1:9" ht="15.75" hidden="1" thickBot="1" x14ac:dyDescent="0.25">
      <c r="A940" s="1181">
        <v>3523</v>
      </c>
      <c r="B940" s="1187">
        <v>6111</v>
      </c>
      <c r="C940" s="2190" t="s">
        <v>963</v>
      </c>
      <c r="D940" s="1130" t="s">
        <v>312</v>
      </c>
      <c r="E940" s="1135"/>
      <c r="F940" s="1135"/>
      <c r="G940" s="1135"/>
      <c r="H940" s="3050" t="e">
        <f t="shared" si="59"/>
        <v>#DIV/0!</v>
      </c>
      <c r="I940" s="1123"/>
    </row>
    <row r="941" spans="1:9" ht="15.75" hidden="1" thickBot="1" x14ac:dyDescent="0.25">
      <c r="A941" s="1181">
        <v>3523</v>
      </c>
      <c r="B941" s="1187">
        <v>6121</v>
      </c>
      <c r="C941" s="2190" t="s">
        <v>963</v>
      </c>
      <c r="D941" s="1130" t="s">
        <v>312</v>
      </c>
      <c r="E941" s="1135"/>
      <c r="F941" s="1135"/>
      <c r="G941" s="1135"/>
      <c r="H941" s="3050" t="e">
        <f t="shared" si="59"/>
        <v>#DIV/0!</v>
      </c>
      <c r="I941" s="1123"/>
    </row>
    <row r="942" spans="1:9" ht="15.75" hidden="1" thickBot="1" x14ac:dyDescent="0.25">
      <c r="A942" s="1181">
        <v>3523</v>
      </c>
      <c r="B942" s="1187">
        <v>6121</v>
      </c>
      <c r="C942" s="2190" t="s">
        <v>1426</v>
      </c>
      <c r="D942" s="1130" t="s">
        <v>312</v>
      </c>
      <c r="E942" s="1135"/>
      <c r="F942" s="1135"/>
      <c r="G942" s="1135"/>
      <c r="H942" s="3050" t="e">
        <f t="shared" si="59"/>
        <v>#DIV/0!</v>
      </c>
      <c r="I942" s="1123"/>
    </row>
    <row r="943" spans="1:9" ht="15.75" hidden="1" thickBot="1" x14ac:dyDescent="0.25">
      <c r="A943" s="1181">
        <v>3523</v>
      </c>
      <c r="B943" s="1187">
        <v>6122</v>
      </c>
      <c r="C943" s="2190" t="s">
        <v>963</v>
      </c>
      <c r="D943" s="1130" t="s">
        <v>313</v>
      </c>
      <c r="E943" s="1135"/>
      <c r="F943" s="1135"/>
      <c r="G943" s="1135"/>
      <c r="H943" s="3050" t="e">
        <f t="shared" si="59"/>
        <v>#DIV/0!</v>
      </c>
      <c r="I943" s="1123"/>
    </row>
    <row r="944" spans="1:9" ht="16.5" thickTop="1" thickBot="1" x14ac:dyDescent="0.3">
      <c r="A944" s="3317" t="s">
        <v>394</v>
      </c>
      <c r="B944" s="3318"/>
      <c r="C944" s="3318"/>
      <c r="D944" s="3318"/>
      <c r="E944" s="1113">
        <f>SUM(E938:E943)</f>
        <v>0</v>
      </c>
      <c r="F944" s="1113">
        <f>SUM(F938:F943)</f>
        <v>272</v>
      </c>
      <c r="G944" s="1113">
        <f>SUM(G938:G943)</f>
        <v>239</v>
      </c>
      <c r="H944" s="1381">
        <f t="shared" si="59"/>
        <v>87.867647058823522</v>
      </c>
      <c r="I944" s="1123"/>
    </row>
    <row r="945" spans="1:9" ht="13.5" thickTop="1" x14ac:dyDescent="0.2">
      <c r="I945" s="1123"/>
    </row>
    <row r="946" spans="1:9" x14ac:dyDescent="0.2">
      <c r="I946" s="1123"/>
    </row>
    <row r="947" spans="1:9" ht="18" x14ac:dyDescent="0.25">
      <c r="A947" s="3335" t="s">
        <v>1764</v>
      </c>
      <c r="B947" s="3210"/>
      <c r="C947" s="3210"/>
      <c r="D947" s="3210"/>
      <c r="E947" s="3210"/>
      <c r="F947" s="3210"/>
      <c r="G947" s="3210"/>
      <c r="H947" s="1163"/>
      <c r="I947" s="1123"/>
    </row>
    <row r="948" spans="1:9" ht="16.5" thickBot="1" x14ac:dyDescent="0.3">
      <c r="A948" s="1102" t="s">
        <v>1763</v>
      </c>
      <c r="H948" s="1120" t="s">
        <v>92</v>
      </c>
      <c r="I948" s="1123"/>
    </row>
    <row r="949" spans="1:9" ht="25.5" thickTop="1" thickBot="1" x14ac:dyDescent="0.25">
      <c r="A949" s="1104" t="s">
        <v>93</v>
      </c>
      <c r="B949" s="1105" t="s">
        <v>392</v>
      </c>
      <c r="C949" s="1105" t="s">
        <v>209</v>
      </c>
      <c r="D949" s="1106" t="s">
        <v>95</v>
      </c>
      <c r="E949" s="1127" t="s">
        <v>328</v>
      </c>
      <c r="F949" s="1127" t="s">
        <v>329</v>
      </c>
      <c r="G949" s="1128" t="s">
        <v>448</v>
      </c>
      <c r="H949" s="1129" t="s">
        <v>449</v>
      </c>
      <c r="I949" s="1123"/>
    </row>
    <row r="950" spans="1:9" ht="14.25" thickTop="1" thickBot="1" x14ac:dyDescent="0.25">
      <c r="A950" s="1042">
        <v>1</v>
      </c>
      <c r="B950" s="1041">
        <v>2</v>
      </c>
      <c r="C950" s="1041">
        <v>3</v>
      </c>
      <c r="D950" s="1041">
        <v>4</v>
      </c>
      <c r="E950" s="1040">
        <v>5</v>
      </c>
      <c r="F950" s="1040">
        <v>6</v>
      </c>
      <c r="G950" s="1164">
        <v>7</v>
      </c>
      <c r="H950" s="1186" t="s">
        <v>33</v>
      </c>
      <c r="I950" s="1123"/>
    </row>
    <row r="951" spans="1:9" ht="16.5" thickTop="1" thickBot="1" x14ac:dyDescent="0.25">
      <c r="A951" s="1181">
        <v>3529</v>
      </c>
      <c r="B951" s="1187">
        <v>6121</v>
      </c>
      <c r="C951" s="2190" t="s">
        <v>963</v>
      </c>
      <c r="D951" s="1130" t="s">
        <v>312</v>
      </c>
      <c r="E951" s="1126">
        <v>100</v>
      </c>
      <c r="F951" s="1126">
        <v>30</v>
      </c>
      <c r="G951" s="1126">
        <v>12</v>
      </c>
      <c r="H951" s="3050">
        <f t="shared" ref="H951:H957" si="60">G951/F951*100</f>
        <v>40</v>
      </c>
      <c r="I951" s="1123"/>
    </row>
    <row r="952" spans="1:9" ht="15.75" hidden="1" thickBot="1" x14ac:dyDescent="0.25">
      <c r="A952" s="1181">
        <v>3523</v>
      </c>
      <c r="B952" s="1187">
        <v>5172</v>
      </c>
      <c r="C952" s="2190" t="s">
        <v>963</v>
      </c>
      <c r="D952" s="1130" t="s">
        <v>312</v>
      </c>
      <c r="E952" s="1135"/>
      <c r="F952" s="1135"/>
      <c r="G952" s="1135"/>
      <c r="H952" s="3050" t="e">
        <f t="shared" si="60"/>
        <v>#DIV/0!</v>
      </c>
      <c r="I952" s="1123"/>
    </row>
    <row r="953" spans="1:9" ht="15.75" hidden="1" thickBot="1" x14ac:dyDescent="0.25">
      <c r="A953" s="1181">
        <v>3523</v>
      </c>
      <c r="B953" s="1187">
        <v>6111</v>
      </c>
      <c r="C953" s="2190" t="s">
        <v>963</v>
      </c>
      <c r="D953" s="1130" t="s">
        <v>312</v>
      </c>
      <c r="E953" s="1135"/>
      <c r="F953" s="1135"/>
      <c r="G953" s="1135"/>
      <c r="H953" s="3050" t="e">
        <f t="shared" si="60"/>
        <v>#DIV/0!</v>
      </c>
      <c r="I953" s="1123"/>
    </row>
    <row r="954" spans="1:9" ht="15.75" hidden="1" thickBot="1" x14ac:dyDescent="0.25">
      <c r="A954" s="1181">
        <v>3523</v>
      </c>
      <c r="B954" s="1187">
        <v>6121</v>
      </c>
      <c r="C954" s="2190" t="s">
        <v>963</v>
      </c>
      <c r="D954" s="1130" t="s">
        <v>312</v>
      </c>
      <c r="E954" s="1135"/>
      <c r="F954" s="1135"/>
      <c r="G954" s="1135"/>
      <c r="H954" s="3050" t="e">
        <f t="shared" si="60"/>
        <v>#DIV/0!</v>
      </c>
      <c r="I954" s="1123"/>
    </row>
    <row r="955" spans="1:9" ht="15.75" hidden="1" thickBot="1" x14ac:dyDescent="0.25">
      <c r="A955" s="1181">
        <v>3523</v>
      </c>
      <c r="B955" s="1187">
        <v>6121</v>
      </c>
      <c r="C955" s="2190" t="s">
        <v>1426</v>
      </c>
      <c r="D955" s="1130" t="s">
        <v>312</v>
      </c>
      <c r="E955" s="1135"/>
      <c r="F955" s="1135"/>
      <c r="G955" s="1135"/>
      <c r="H955" s="3050" t="e">
        <f t="shared" si="60"/>
        <v>#DIV/0!</v>
      </c>
      <c r="I955" s="1123"/>
    </row>
    <row r="956" spans="1:9" ht="15.75" hidden="1" thickBot="1" x14ac:dyDescent="0.25">
      <c r="A956" s="1181">
        <v>3523</v>
      </c>
      <c r="B956" s="1187">
        <v>6122</v>
      </c>
      <c r="C956" s="2190" t="s">
        <v>963</v>
      </c>
      <c r="D956" s="1130" t="s">
        <v>313</v>
      </c>
      <c r="E956" s="1135"/>
      <c r="F956" s="1135"/>
      <c r="G956" s="1135"/>
      <c r="H956" s="3050" t="e">
        <f t="shared" si="60"/>
        <v>#DIV/0!</v>
      </c>
      <c r="I956" s="1123"/>
    </row>
    <row r="957" spans="1:9" ht="16.5" thickTop="1" thickBot="1" x14ac:dyDescent="0.3">
      <c r="A957" s="3317" t="s">
        <v>394</v>
      </c>
      <c r="B957" s="3318"/>
      <c r="C957" s="3318"/>
      <c r="D957" s="3318"/>
      <c r="E957" s="1113">
        <f>SUM(E951:E956)</f>
        <v>100</v>
      </c>
      <c r="F957" s="1113">
        <f>SUM(F951:F956)</f>
        <v>30</v>
      </c>
      <c r="G957" s="1113">
        <f>SUM(G951:G956)</f>
        <v>12</v>
      </c>
      <c r="H957" s="1381">
        <f t="shared" si="60"/>
        <v>40</v>
      </c>
      <c r="I957" s="1123"/>
    </row>
    <row r="958" spans="1:9" ht="13.5" thickTop="1" x14ac:dyDescent="0.2">
      <c r="I958" s="1123"/>
    </row>
    <row r="959" spans="1:9" ht="18" x14ac:dyDescent="0.25">
      <c r="A959" s="3335" t="s">
        <v>1766</v>
      </c>
      <c r="B959" s="3210"/>
      <c r="C959" s="3210"/>
      <c r="D959" s="3210"/>
      <c r="E959" s="3210"/>
      <c r="F959" s="3210"/>
      <c r="G959" s="3210"/>
      <c r="H959" s="1163"/>
      <c r="I959" s="1123"/>
    </row>
    <row r="960" spans="1:9" ht="16.5" thickBot="1" x14ac:dyDescent="0.3">
      <c r="A960" s="1102" t="s">
        <v>1765</v>
      </c>
      <c r="H960" s="1120" t="s">
        <v>92</v>
      </c>
      <c r="I960" s="1123"/>
    </row>
    <row r="961" spans="1:9" ht="25.5" thickTop="1" thickBot="1" x14ac:dyDescent="0.25">
      <c r="A961" s="1104" t="s">
        <v>93</v>
      </c>
      <c r="B961" s="1105" t="s">
        <v>392</v>
      </c>
      <c r="C961" s="1105" t="s">
        <v>209</v>
      </c>
      <c r="D961" s="1106" t="s">
        <v>95</v>
      </c>
      <c r="E961" s="1127" t="s">
        <v>328</v>
      </c>
      <c r="F961" s="1127" t="s">
        <v>329</v>
      </c>
      <c r="G961" s="1128" t="s">
        <v>448</v>
      </c>
      <c r="H961" s="1129" t="s">
        <v>449</v>
      </c>
      <c r="I961" s="1123"/>
    </row>
    <row r="962" spans="1:9" ht="14.25" thickTop="1" thickBot="1" x14ac:dyDescent="0.25">
      <c r="A962" s="1042">
        <v>1</v>
      </c>
      <c r="B962" s="1041">
        <v>2</v>
      </c>
      <c r="C962" s="1041">
        <v>3</v>
      </c>
      <c r="D962" s="1041">
        <v>4</v>
      </c>
      <c r="E962" s="1040">
        <v>5</v>
      </c>
      <c r="F962" s="1040">
        <v>6</v>
      </c>
      <c r="G962" s="1164">
        <v>7</v>
      </c>
      <c r="H962" s="1186" t="s">
        <v>33</v>
      </c>
      <c r="I962" s="1123"/>
    </row>
    <row r="963" spans="1:9" ht="15.75" thickTop="1" x14ac:dyDescent="0.2">
      <c r="A963" s="1181">
        <v>3522</v>
      </c>
      <c r="B963" s="1187">
        <v>6121</v>
      </c>
      <c r="C963" s="2190" t="s">
        <v>970</v>
      </c>
      <c r="D963" s="1130" t="s">
        <v>312</v>
      </c>
      <c r="E963" s="1126">
        <v>165</v>
      </c>
      <c r="F963" s="1126">
        <v>402</v>
      </c>
      <c r="G963" s="1126">
        <v>402</v>
      </c>
      <c r="H963" s="3050">
        <f t="shared" ref="H963:H969" si="61">G963/F963*100</f>
        <v>100</v>
      </c>
      <c r="I963" s="1123"/>
    </row>
    <row r="964" spans="1:9" ht="15.75" thickBot="1" x14ac:dyDescent="0.25">
      <c r="A964" s="1181">
        <v>3522</v>
      </c>
      <c r="B964" s="1187">
        <v>6121</v>
      </c>
      <c r="C964" s="2190" t="s">
        <v>931</v>
      </c>
      <c r="D964" s="1130" t="s">
        <v>312</v>
      </c>
      <c r="E964" s="1135">
        <v>35</v>
      </c>
      <c r="F964" s="1135">
        <v>83</v>
      </c>
      <c r="G964" s="1135">
        <v>83</v>
      </c>
      <c r="H964" s="3050">
        <f t="shared" si="61"/>
        <v>100</v>
      </c>
      <c r="I964" s="1123"/>
    </row>
    <row r="965" spans="1:9" ht="15.75" hidden="1" thickBot="1" x14ac:dyDescent="0.25">
      <c r="A965" s="1181">
        <v>3523</v>
      </c>
      <c r="B965" s="1187">
        <v>6111</v>
      </c>
      <c r="C965" s="2190" t="s">
        <v>963</v>
      </c>
      <c r="D965" s="1130" t="s">
        <v>312</v>
      </c>
      <c r="E965" s="1135"/>
      <c r="F965" s="1135"/>
      <c r="G965" s="1135"/>
      <c r="H965" s="3050" t="e">
        <f t="shared" si="61"/>
        <v>#DIV/0!</v>
      </c>
      <c r="I965" s="1123"/>
    </row>
    <row r="966" spans="1:9" ht="15.75" hidden="1" thickBot="1" x14ac:dyDescent="0.25">
      <c r="A966" s="1181">
        <v>3523</v>
      </c>
      <c r="B966" s="1187">
        <v>6121</v>
      </c>
      <c r="C966" s="2190" t="s">
        <v>963</v>
      </c>
      <c r="D966" s="1130" t="s">
        <v>312</v>
      </c>
      <c r="E966" s="1135"/>
      <c r="F966" s="1135"/>
      <c r="G966" s="1135"/>
      <c r="H966" s="3050" t="e">
        <f t="shared" si="61"/>
        <v>#DIV/0!</v>
      </c>
      <c r="I966" s="1123"/>
    </row>
    <row r="967" spans="1:9" ht="15.75" hidden="1" thickBot="1" x14ac:dyDescent="0.25">
      <c r="A967" s="1181">
        <v>3523</v>
      </c>
      <c r="B967" s="1187">
        <v>6121</v>
      </c>
      <c r="C967" s="2190" t="s">
        <v>1426</v>
      </c>
      <c r="D967" s="1130" t="s">
        <v>312</v>
      </c>
      <c r="E967" s="1135"/>
      <c r="F967" s="1135"/>
      <c r="G967" s="1135"/>
      <c r="H967" s="3050" t="e">
        <f t="shared" si="61"/>
        <v>#DIV/0!</v>
      </c>
      <c r="I967" s="1123"/>
    </row>
    <row r="968" spans="1:9" ht="15.75" hidden="1" thickBot="1" x14ac:dyDescent="0.25">
      <c r="A968" s="1181">
        <v>3523</v>
      </c>
      <c r="B968" s="1187">
        <v>6122</v>
      </c>
      <c r="C968" s="2190" t="s">
        <v>963</v>
      </c>
      <c r="D968" s="1130" t="s">
        <v>313</v>
      </c>
      <c r="E968" s="1135"/>
      <c r="F968" s="1135"/>
      <c r="G968" s="1135"/>
      <c r="H968" s="3050" t="e">
        <f t="shared" si="61"/>
        <v>#DIV/0!</v>
      </c>
      <c r="I968" s="1123"/>
    </row>
    <row r="969" spans="1:9" ht="16.5" thickTop="1" thickBot="1" x14ac:dyDescent="0.3">
      <c r="A969" s="3317" t="s">
        <v>394</v>
      </c>
      <c r="B969" s="3318"/>
      <c r="C969" s="3318"/>
      <c r="D969" s="3318"/>
      <c r="E969" s="1113">
        <f>SUM(E963:E968)</f>
        <v>200</v>
      </c>
      <c r="F969" s="1113">
        <f>SUM(F963:F968)</f>
        <v>485</v>
      </c>
      <c r="G969" s="1113">
        <f>SUM(G963:G968)</f>
        <v>485</v>
      </c>
      <c r="H969" s="1381">
        <f t="shared" si="61"/>
        <v>100</v>
      </c>
      <c r="I969" s="1123"/>
    </row>
    <row r="970" spans="1:9" ht="13.5" thickTop="1" x14ac:dyDescent="0.2">
      <c r="I970" s="1123"/>
    </row>
    <row r="971" spans="1:9" ht="18" x14ac:dyDescent="0.25">
      <c r="A971" s="3335" t="s">
        <v>1768</v>
      </c>
      <c r="B971" s="3210"/>
      <c r="C971" s="3210"/>
      <c r="D971" s="3210"/>
      <c r="E971" s="3210"/>
      <c r="F971" s="3210"/>
      <c r="G971" s="3210"/>
      <c r="H971" s="1163"/>
      <c r="I971" s="1123"/>
    </row>
    <row r="972" spans="1:9" ht="16.5" thickBot="1" x14ac:dyDescent="0.3">
      <c r="A972" s="1102" t="s">
        <v>1767</v>
      </c>
      <c r="H972" s="1120" t="s">
        <v>92</v>
      </c>
      <c r="I972" s="1123"/>
    </row>
    <row r="973" spans="1:9" ht="25.5" thickTop="1" thickBot="1" x14ac:dyDescent="0.25">
      <c r="A973" s="1104" t="s">
        <v>93</v>
      </c>
      <c r="B973" s="1105" t="s">
        <v>392</v>
      </c>
      <c r="C973" s="1105" t="s">
        <v>209</v>
      </c>
      <c r="D973" s="1106" t="s">
        <v>95</v>
      </c>
      <c r="E973" s="1127" t="s">
        <v>328</v>
      </c>
      <c r="F973" s="1127" t="s">
        <v>329</v>
      </c>
      <c r="G973" s="1128" t="s">
        <v>448</v>
      </c>
      <c r="H973" s="1129" t="s">
        <v>449</v>
      </c>
      <c r="I973" s="1123"/>
    </row>
    <row r="974" spans="1:9" ht="14.25" thickTop="1" thickBot="1" x14ac:dyDescent="0.25">
      <c r="A974" s="1042">
        <v>1</v>
      </c>
      <c r="B974" s="1041">
        <v>2</v>
      </c>
      <c r="C974" s="1041">
        <v>3</v>
      </c>
      <c r="D974" s="1041">
        <v>4</v>
      </c>
      <c r="E974" s="1040">
        <v>5</v>
      </c>
      <c r="F974" s="1040">
        <v>6</v>
      </c>
      <c r="G974" s="1164">
        <v>7</v>
      </c>
      <c r="H974" s="1186" t="s">
        <v>33</v>
      </c>
      <c r="I974" s="1123"/>
    </row>
    <row r="975" spans="1:9" ht="16.5" thickTop="1" thickBot="1" x14ac:dyDescent="0.25">
      <c r="A975" s="1181">
        <v>3533</v>
      </c>
      <c r="B975" s="1187">
        <v>6121</v>
      </c>
      <c r="C975" s="2190" t="s">
        <v>963</v>
      </c>
      <c r="D975" s="1130" t="s">
        <v>312</v>
      </c>
      <c r="E975" s="1126">
        <v>4000</v>
      </c>
      <c r="F975" s="1126">
        <v>570</v>
      </c>
      <c r="G975" s="1126">
        <v>58</v>
      </c>
      <c r="H975" s="3050">
        <f t="shared" ref="H975:H981" si="62">G975/F975*100</f>
        <v>10.175438596491228</v>
      </c>
      <c r="I975" s="1123"/>
    </row>
    <row r="976" spans="1:9" ht="15.75" hidden="1" thickBot="1" x14ac:dyDescent="0.25">
      <c r="A976" s="1181">
        <v>3523</v>
      </c>
      <c r="B976" s="1187">
        <v>5172</v>
      </c>
      <c r="C976" s="2190" t="s">
        <v>963</v>
      </c>
      <c r="D976" s="1130" t="s">
        <v>312</v>
      </c>
      <c r="E976" s="1135"/>
      <c r="F976" s="1135"/>
      <c r="G976" s="1135"/>
      <c r="H976" s="3050" t="e">
        <f t="shared" si="62"/>
        <v>#DIV/0!</v>
      </c>
      <c r="I976" s="1123"/>
    </row>
    <row r="977" spans="1:9" ht="15.75" hidden="1" thickBot="1" x14ac:dyDescent="0.25">
      <c r="A977" s="1181">
        <v>3523</v>
      </c>
      <c r="B977" s="1187">
        <v>6111</v>
      </c>
      <c r="C977" s="2190" t="s">
        <v>963</v>
      </c>
      <c r="D977" s="1130" t="s">
        <v>312</v>
      </c>
      <c r="E977" s="1135"/>
      <c r="F977" s="1135"/>
      <c r="G977" s="1135"/>
      <c r="H977" s="3050" t="e">
        <f t="shared" si="62"/>
        <v>#DIV/0!</v>
      </c>
      <c r="I977" s="1123"/>
    </row>
    <row r="978" spans="1:9" ht="15.75" hidden="1" thickBot="1" x14ac:dyDescent="0.25">
      <c r="A978" s="1181">
        <v>3523</v>
      </c>
      <c r="B978" s="1187">
        <v>6121</v>
      </c>
      <c r="C978" s="2190" t="s">
        <v>963</v>
      </c>
      <c r="D978" s="1130" t="s">
        <v>312</v>
      </c>
      <c r="E978" s="1135"/>
      <c r="F978" s="1135"/>
      <c r="G978" s="1135"/>
      <c r="H978" s="3050" t="e">
        <f t="shared" si="62"/>
        <v>#DIV/0!</v>
      </c>
      <c r="I978" s="1123"/>
    </row>
    <row r="979" spans="1:9" ht="15.75" hidden="1" thickBot="1" x14ac:dyDescent="0.25">
      <c r="A979" s="1181">
        <v>3523</v>
      </c>
      <c r="B979" s="1187">
        <v>6121</v>
      </c>
      <c r="C979" s="2190" t="s">
        <v>1426</v>
      </c>
      <c r="D979" s="1130" t="s">
        <v>312</v>
      </c>
      <c r="E979" s="1135"/>
      <c r="F979" s="1135"/>
      <c r="G979" s="1135"/>
      <c r="H979" s="3050" t="e">
        <f t="shared" si="62"/>
        <v>#DIV/0!</v>
      </c>
      <c r="I979" s="1123"/>
    </row>
    <row r="980" spans="1:9" ht="15.75" hidden="1" thickBot="1" x14ac:dyDescent="0.25">
      <c r="A980" s="1181">
        <v>3523</v>
      </c>
      <c r="B980" s="1187">
        <v>6122</v>
      </c>
      <c r="C980" s="2190" t="s">
        <v>963</v>
      </c>
      <c r="D980" s="1130" t="s">
        <v>313</v>
      </c>
      <c r="E980" s="1135"/>
      <c r="F980" s="1135"/>
      <c r="G980" s="1135"/>
      <c r="H980" s="3050" t="e">
        <f t="shared" si="62"/>
        <v>#DIV/0!</v>
      </c>
      <c r="I980" s="1123"/>
    </row>
    <row r="981" spans="1:9" ht="16.5" thickTop="1" thickBot="1" x14ac:dyDescent="0.3">
      <c r="A981" s="3317" t="s">
        <v>394</v>
      </c>
      <c r="B981" s="3318"/>
      <c r="C981" s="3318"/>
      <c r="D981" s="3318"/>
      <c r="E981" s="1113">
        <f>SUM(E975:E980)</f>
        <v>4000</v>
      </c>
      <c r="F981" s="1113">
        <f>SUM(F975:F980)</f>
        <v>570</v>
      </c>
      <c r="G981" s="1113">
        <f>SUM(G975:G980)</f>
        <v>58</v>
      </c>
      <c r="H981" s="1381">
        <f t="shared" si="62"/>
        <v>10.175438596491228</v>
      </c>
      <c r="I981" s="1123"/>
    </row>
    <row r="982" spans="1:9" ht="13.5" thickTop="1" x14ac:dyDescent="0.2">
      <c r="I982" s="1123"/>
    </row>
    <row r="983" spans="1:9" ht="18" x14ac:dyDescent="0.25">
      <c r="A983" s="3335" t="s">
        <v>1770</v>
      </c>
      <c r="B983" s="3210"/>
      <c r="C983" s="3210"/>
      <c r="D983" s="3210"/>
      <c r="E983" s="3210"/>
      <c r="F983" s="3210"/>
      <c r="G983" s="3210"/>
      <c r="H983" s="1163"/>
      <c r="I983" s="1123"/>
    </row>
    <row r="984" spans="1:9" ht="16.5" thickBot="1" x14ac:dyDescent="0.3">
      <c r="A984" s="1102" t="s">
        <v>1769</v>
      </c>
      <c r="H984" s="1120" t="s">
        <v>92</v>
      </c>
      <c r="I984" s="1123"/>
    </row>
    <row r="985" spans="1:9" ht="25.5" thickTop="1" thickBot="1" x14ac:dyDescent="0.25">
      <c r="A985" s="1104" t="s">
        <v>93</v>
      </c>
      <c r="B985" s="1105" t="s">
        <v>392</v>
      </c>
      <c r="C985" s="1105" t="s">
        <v>209</v>
      </c>
      <c r="D985" s="1106" t="s">
        <v>95</v>
      </c>
      <c r="E985" s="1127" t="s">
        <v>328</v>
      </c>
      <c r="F985" s="1127" t="s">
        <v>329</v>
      </c>
      <c r="G985" s="1128" t="s">
        <v>448</v>
      </c>
      <c r="H985" s="1129" t="s">
        <v>449</v>
      </c>
      <c r="I985" s="1123"/>
    </row>
    <row r="986" spans="1:9" ht="14.25" thickTop="1" thickBot="1" x14ac:dyDescent="0.25">
      <c r="A986" s="1042">
        <v>1</v>
      </c>
      <c r="B986" s="1041">
        <v>2</v>
      </c>
      <c r="C986" s="1041">
        <v>3</v>
      </c>
      <c r="D986" s="1041">
        <v>4</v>
      </c>
      <c r="E986" s="1040">
        <v>5</v>
      </c>
      <c r="F986" s="1040">
        <v>6</v>
      </c>
      <c r="G986" s="1164">
        <v>7</v>
      </c>
      <c r="H986" s="1186" t="s">
        <v>33</v>
      </c>
      <c r="I986" s="1123"/>
    </row>
    <row r="987" spans="1:9" ht="16.5" thickTop="1" thickBot="1" x14ac:dyDescent="0.25">
      <c r="A987" s="1181">
        <v>3533</v>
      </c>
      <c r="B987" s="1187">
        <v>6121</v>
      </c>
      <c r="C987" s="2190" t="s">
        <v>963</v>
      </c>
      <c r="D987" s="1130" t="s">
        <v>312</v>
      </c>
      <c r="E987" s="1126">
        <v>0</v>
      </c>
      <c r="F987" s="1126">
        <v>780</v>
      </c>
      <c r="G987" s="1126">
        <v>58</v>
      </c>
      <c r="H987" s="3050">
        <f t="shared" ref="H987:H993" si="63">G987/F987*100</f>
        <v>7.4358974358974361</v>
      </c>
      <c r="I987" s="1123"/>
    </row>
    <row r="988" spans="1:9" ht="15.75" hidden="1" thickBot="1" x14ac:dyDescent="0.25">
      <c r="A988" s="1181">
        <v>3523</v>
      </c>
      <c r="B988" s="1187">
        <v>5172</v>
      </c>
      <c r="C988" s="2190" t="s">
        <v>963</v>
      </c>
      <c r="D988" s="1130" t="s">
        <v>312</v>
      </c>
      <c r="E988" s="1135"/>
      <c r="F988" s="1135"/>
      <c r="G988" s="1135"/>
      <c r="H988" s="3050" t="e">
        <f t="shared" si="63"/>
        <v>#DIV/0!</v>
      </c>
      <c r="I988" s="1123"/>
    </row>
    <row r="989" spans="1:9" ht="15.75" hidden="1" thickBot="1" x14ac:dyDescent="0.25">
      <c r="A989" s="1181">
        <v>3523</v>
      </c>
      <c r="B989" s="1187">
        <v>6111</v>
      </c>
      <c r="C989" s="2190" t="s">
        <v>963</v>
      </c>
      <c r="D989" s="1130" t="s">
        <v>312</v>
      </c>
      <c r="E989" s="1135"/>
      <c r="F989" s="1135"/>
      <c r="G989" s="1135"/>
      <c r="H989" s="3050" t="e">
        <f t="shared" si="63"/>
        <v>#DIV/0!</v>
      </c>
      <c r="I989" s="1123"/>
    </row>
    <row r="990" spans="1:9" ht="15.75" hidden="1" thickBot="1" x14ac:dyDescent="0.25">
      <c r="A990" s="1181">
        <v>3523</v>
      </c>
      <c r="B990" s="1187">
        <v>6121</v>
      </c>
      <c r="C990" s="2190" t="s">
        <v>963</v>
      </c>
      <c r="D990" s="1130" t="s">
        <v>312</v>
      </c>
      <c r="E990" s="1135"/>
      <c r="F990" s="1135"/>
      <c r="G990" s="1135"/>
      <c r="H990" s="3050" t="e">
        <f t="shared" si="63"/>
        <v>#DIV/0!</v>
      </c>
      <c r="I990" s="1123"/>
    </row>
    <row r="991" spans="1:9" ht="15.75" hidden="1" thickBot="1" x14ac:dyDescent="0.25">
      <c r="A991" s="1181">
        <v>3523</v>
      </c>
      <c r="B991" s="1187">
        <v>6121</v>
      </c>
      <c r="C991" s="2190" t="s">
        <v>1426</v>
      </c>
      <c r="D991" s="1130" t="s">
        <v>312</v>
      </c>
      <c r="E991" s="1135"/>
      <c r="F991" s="1135"/>
      <c r="G991" s="1135"/>
      <c r="H991" s="3050" t="e">
        <f t="shared" si="63"/>
        <v>#DIV/0!</v>
      </c>
      <c r="I991" s="1123"/>
    </row>
    <row r="992" spans="1:9" ht="15.75" hidden="1" thickBot="1" x14ac:dyDescent="0.25">
      <c r="A992" s="1181">
        <v>3523</v>
      </c>
      <c r="B992" s="1187">
        <v>6122</v>
      </c>
      <c r="C992" s="2190" t="s">
        <v>963</v>
      </c>
      <c r="D992" s="1130" t="s">
        <v>313</v>
      </c>
      <c r="E992" s="1135"/>
      <c r="F992" s="1135"/>
      <c r="G992" s="1135"/>
      <c r="H992" s="3050" t="e">
        <f t="shared" si="63"/>
        <v>#DIV/0!</v>
      </c>
      <c r="I992" s="1123"/>
    </row>
    <row r="993" spans="1:9" ht="16.5" thickTop="1" thickBot="1" x14ac:dyDescent="0.3">
      <c r="A993" s="3317" t="s">
        <v>394</v>
      </c>
      <c r="B993" s="3318"/>
      <c r="C993" s="3318"/>
      <c r="D993" s="3318"/>
      <c r="E993" s="1113">
        <f>SUM(E987:E992)</f>
        <v>0</v>
      </c>
      <c r="F993" s="1113">
        <f>SUM(F987:F992)</f>
        <v>780</v>
      </c>
      <c r="G993" s="1113">
        <f>SUM(G987:G992)</f>
        <v>58</v>
      </c>
      <c r="H993" s="1381">
        <f t="shared" si="63"/>
        <v>7.4358974358974361</v>
      </c>
      <c r="I993" s="1123"/>
    </row>
    <row r="994" spans="1:9" ht="13.5" thickTop="1" x14ac:dyDescent="0.2">
      <c r="I994" s="1123"/>
    </row>
    <row r="995" spans="1:9" ht="18" x14ac:dyDescent="0.25">
      <c r="A995" s="3335" t="s">
        <v>1772</v>
      </c>
      <c r="B995" s="3210"/>
      <c r="C995" s="3210"/>
      <c r="D995" s="3210"/>
      <c r="E995" s="3210"/>
      <c r="F995" s="3210"/>
      <c r="G995" s="3210"/>
      <c r="H995" s="1163"/>
      <c r="I995" s="1123"/>
    </row>
    <row r="996" spans="1:9" ht="16.5" thickBot="1" x14ac:dyDescent="0.3">
      <c r="A996" s="1102" t="s">
        <v>1771</v>
      </c>
      <c r="H996" s="1120" t="s">
        <v>92</v>
      </c>
      <c r="I996" s="1123"/>
    </row>
    <row r="997" spans="1:9" ht="25.5" thickTop="1" thickBot="1" x14ac:dyDescent="0.25">
      <c r="A997" s="1104" t="s">
        <v>93</v>
      </c>
      <c r="B997" s="1105" t="s">
        <v>392</v>
      </c>
      <c r="C997" s="1105" t="s">
        <v>209</v>
      </c>
      <c r="D997" s="1106" t="s">
        <v>95</v>
      </c>
      <c r="E997" s="1127" t="s">
        <v>328</v>
      </c>
      <c r="F997" s="1127" t="s">
        <v>329</v>
      </c>
      <c r="G997" s="1128" t="s">
        <v>448</v>
      </c>
      <c r="H997" s="1129" t="s">
        <v>449</v>
      </c>
      <c r="I997" s="1123"/>
    </row>
    <row r="998" spans="1:9" ht="14.25" thickTop="1" thickBot="1" x14ac:dyDescent="0.25">
      <c r="A998" s="1042">
        <v>1</v>
      </c>
      <c r="B998" s="1041">
        <v>2</v>
      </c>
      <c r="C998" s="1041">
        <v>3</v>
      </c>
      <c r="D998" s="1041">
        <v>4</v>
      </c>
      <c r="E998" s="1040">
        <v>5</v>
      </c>
      <c r="F998" s="1040">
        <v>6</v>
      </c>
      <c r="G998" s="1164">
        <v>7</v>
      </c>
      <c r="H998" s="1186" t="s">
        <v>33</v>
      </c>
      <c r="I998" s="1123"/>
    </row>
    <row r="999" spans="1:9" ht="16.5" thickTop="1" thickBot="1" x14ac:dyDescent="0.25">
      <c r="A999" s="1181">
        <v>3533</v>
      </c>
      <c r="B999" s="1187">
        <v>6121</v>
      </c>
      <c r="C999" s="2190" t="s">
        <v>963</v>
      </c>
      <c r="D999" s="1130" t="s">
        <v>312</v>
      </c>
      <c r="E999" s="1126">
        <v>0</v>
      </c>
      <c r="F999" s="1126">
        <v>690</v>
      </c>
      <c r="G999" s="1126">
        <v>58</v>
      </c>
      <c r="H999" s="3050">
        <f t="shared" ref="H999:H1005" si="64">G999/F999*100</f>
        <v>8.4057971014492754</v>
      </c>
      <c r="I999" s="1123"/>
    </row>
    <row r="1000" spans="1:9" ht="15.75" hidden="1" thickBot="1" x14ac:dyDescent="0.25">
      <c r="A1000" s="1181">
        <v>3523</v>
      </c>
      <c r="B1000" s="1187">
        <v>5172</v>
      </c>
      <c r="C1000" s="2190" t="s">
        <v>963</v>
      </c>
      <c r="D1000" s="1130" t="s">
        <v>312</v>
      </c>
      <c r="E1000" s="1135"/>
      <c r="F1000" s="1135"/>
      <c r="G1000" s="1135"/>
      <c r="H1000" s="3050" t="e">
        <f t="shared" si="64"/>
        <v>#DIV/0!</v>
      </c>
      <c r="I1000" s="1123"/>
    </row>
    <row r="1001" spans="1:9" ht="15.75" hidden="1" thickBot="1" x14ac:dyDescent="0.25">
      <c r="A1001" s="1181">
        <v>3523</v>
      </c>
      <c r="B1001" s="1187">
        <v>6111</v>
      </c>
      <c r="C1001" s="2190" t="s">
        <v>963</v>
      </c>
      <c r="D1001" s="1130" t="s">
        <v>312</v>
      </c>
      <c r="E1001" s="1135"/>
      <c r="F1001" s="1135"/>
      <c r="G1001" s="1135"/>
      <c r="H1001" s="3050" t="e">
        <f t="shared" si="64"/>
        <v>#DIV/0!</v>
      </c>
      <c r="I1001" s="1123"/>
    </row>
    <row r="1002" spans="1:9" ht="15.75" hidden="1" thickBot="1" x14ac:dyDescent="0.25">
      <c r="A1002" s="1181">
        <v>3523</v>
      </c>
      <c r="B1002" s="1187">
        <v>6121</v>
      </c>
      <c r="C1002" s="2190" t="s">
        <v>963</v>
      </c>
      <c r="D1002" s="1130" t="s">
        <v>312</v>
      </c>
      <c r="E1002" s="1135"/>
      <c r="F1002" s="1135"/>
      <c r="G1002" s="1135"/>
      <c r="H1002" s="3050" t="e">
        <f t="shared" si="64"/>
        <v>#DIV/0!</v>
      </c>
      <c r="I1002" s="1123"/>
    </row>
    <row r="1003" spans="1:9" ht="15.75" hidden="1" thickBot="1" x14ac:dyDescent="0.25">
      <c r="A1003" s="1181">
        <v>3523</v>
      </c>
      <c r="B1003" s="1187">
        <v>6121</v>
      </c>
      <c r="C1003" s="2190" t="s">
        <v>1426</v>
      </c>
      <c r="D1003" s="1130" t="s">
        <v>312</v>
      </c>
      <c r="E1003" s="1135"/>
      <c r="F1003" s="1135"/>
      <c r="G1003" s="1135"/>
      <c r="H1003" s="3050" t="e">
        <f t="shared" si="64"/>
        <v>#DIV/0!</v>
      </c>
      <c r="I1003" s="1123"/>
    </row>
    <row r="1004" spans="1:9" ht="15.75" hidden="1" thickBot="1" x14ac:dyDescent="0.25">
      <c r="A1004" s="1181">
        <v>3523</v>
      </c>
      <c r="B1004" s="1187">
        <v>6122</v>
      </c>
      <c r="C1004" s="2190" t="s">
        <v>963</v>
      </c>
      <c r="D1004" s="1130" t="s">
        <v>313</v>
      </c>
      <c r="E1004" s="1135"/>
      <c r="F1004" s="1135"/>
      <c r="G1004" s="1135"/>
      <c r="H1004" s="3050" t="e">
        <f t="shared" si="64"/>
        <v>#DIV/0!</v>
      </c>
      <c r="I1004" s="1123"/>
    </row>
    <row r="1005" spans="1:9" ht="16.5" thickTop="1" thickBot="1" x14ac:dyDescent="0.3">
      <c r="A1005" s="3317" t="s">
        <v>394</v>
      </c>
      <c r="B1005" s="3318"/>
      <c r="C1005" s="3318"/>
      <c r="D1005" s="3318"/>
      <c r="E1005" s="1113">
        <f>SUM(E999:E1004)</f>
        <v>0</v>
      </c>
      <c r="F1005" s="1113">
        <f>SUM(F999:F1004)</f>
        <v>690</v>
      </c>
      <c r="G1005" s="1113">
        <f>SUM(G999:G1004)</f>
        <v>58</v>
      </c>
      <c r="H1005" s="1381">
        <f t="shared" si="64"/>
        <v>8.4057971014492754</v>
      </c>
      <c r="I1005" s="1123"/>
    </row>
    <row r="1006" spans="1:9" ht="13.5" thickTop="1" x14ac:dyDescent="0.2">
      <c r="I1006" s="1123"/>
    </row>
    <row r="1007" spans="1:9" ht="18" x14ac:dyDescent="0.25">
      <c r="A1007" s="3335" t="s">
        <v>1774</v>
      </c>
      <c r="B1007" s="3210"/>
      <c r="C1007" s="3210"/>
      <c r="D1007" s="3210"/>
      <c r="E1007" s="3210"/>
      <c r="F1007" s="3210"/>
      <c r="G1007" s="3210"/>
      <c r="H1007" s="1163"/>
      <c r="I1007" s="1123"/>
    </row>
    <row r="1008" spans="1:9" ht="16.5" thickBot="1" x14ac:dyDescent="0.3">
      <c r="A1008" s="1102" t="s">
        <v>1773</v>
      </c>
      <c r="H1008" s="1120" t="s">
        <v>92</v>
      </c>
      <c r="I1008" s="1123"/>
    </row>
    <row r="1009" spans="1:9" ht="25.5" thickTop="1" thickBot="1" x14ac:dyDescent="0.25">
      <c r="A1009" s="1104" t="s">
        <v>93</v>
      </c>
      <c r="B1009" s="1105" t="s">
        <v>392</v>
      </c>
      <c r="C1009" s="1105" t="s">
        <v>209</v>
      </c>
      <c r="D1009" s="1106" t="s">
        <v>95</v>
      </c>
      <c r="E1009" s="1127" t="s">
        <v>328</v>
      </c>
      <c r="F1009" s="1127" t="s">
        <v>329</v>
      </c>
      <c r="G1009" s="1128" t="s">
        <v>448</v>
      </c>
      <c r="H1009" s="1129" t="s">
        <v>449</v>
      </c>
      <c r="I1009" s="1123"/>
    </row>
    <row r="1010" spans="1:9" ht="14.25" thickTop="1" thickBot="1" x14ac:dyDescent="0.25">
      <c r="A1010" s="1042">
        <v>1</v>
      </c>
      <c r="B1010" s="1041">
        <v>2</v>
      </c>
      <c r="C1010" s="1041">
        <v>3</v>
      </c>
      <c r="D1010" s="1041">
        <v>4</v>
      </c>
      <c r="E1010" s="1040">
        <v>5</v>
      </c>
      <c r="F1010" s="1040">
        <v>6</v>
      </c>
      <c r="G1010" s="1164">
        <v>7</v>
      </c>
      <c r="H1010" s="1186" t="s">
        <v>33</v>
      </c>
      <c r="I1010" s="1123"/>
    </row>
    <row r="1011" spans="1:9" ht="16.5" thickTop="1" thickBot="1" x14ac:dyDescent="0.25">
      <c r="A1011" s="1181">
        <v>3533</v>
      </c>
      <c r="B1011" s="1187">
        <v>6121</v>
      </c>
      <c r="C1011" s="2190" t="s">
        <v>963</v>
      </c>
      <c r="D1011" s="1130" t="s">
        <v>312</v>
      </c>
      <c r="E1011" s="1126">
        <v>0</v>
      </c>
      <c r="F1011" s="1126">
        <v>550</v>
      </c>
      <c r="G1011" s="1126">
        <v>17</v>
      </c>
      <c r="H1011" s="3050">
        <f t="shared" ref="H1011:H1017" si="65">G1011/F1011*100</f>
        <v>3.0909090909090908</v>
      </c>
      <c r="I1011" s="1123"/>
    </row>
    <row r="1012" spans="1:9" ht="15.75" hidden="1" thickBot="1" x14ac:dyDescent="0.25">
      <c r="A1012" s="1181">
        <v>3523</v>
      </c>
      <c r="B1012" s="1187">
        <v>5172</v>
      </c>
      <c r="C1012" s="2190" t="s">
        <v>963</v>
      </c>
      <c r="D1012" s="1130" t="s">
        <v>312</v>
      </c>
      <c r="E1012" s="1135"/>
      <c r="F1012" s="1135"/>
      <c r="G1012" s="1135"/>
      <c r="H1012" s="3050" t="e">
        <f t="shared" si="65"/>
        <v>#DIV/0!</v>
      </c>
      <c r="I1012" s="1123"/>
    </row>
    <row r="1013" spans="1:9" ht="15.75" hidden="1" thickBot="1" x14ac:dyDescent="0.25">
      <c r="A1013" s="1181">
        <v>3523</v>
      </c>
      <c r="B1013" s="1187">
        <v>6111</v>
      </c>
      <c r="C1013" s="2190" t="s">
        <v>963</v>
      </c>
      <c r="D1013" s="1130" t="s">
        <v>312</v>
      </c>
      <c r="E1013" s="1135"/>
      <c r="F1013" s="1135"/>
      <c r="G1013" s="1135"/>
      <c r="H1013" s="3050" t="e">
        <f t="shared" si="65"/>
        <v>#DIV/0!</v>
      </c>
      <c r="I1013" s="1123"/>
    </row>
    <row r="1014" spans="1:9" ht="18" hidden="1" customHeight="1" x14ac:dyDescent="0.2">
      <c r="A1014" s="1181">
        <v>3523</v>
      </c>
      <c r="B1014" s="1187">
        <v>6121</v>
      </c>
      <c r="C1014" s="2190" t="s">
        <v>963</v>
      </c>
      <c r="D1014" s="1130" t="s">
        <v>312</v>
      </c>
      <c r="E1014" s="1135"/>
      <c r="F1014" s="1135"/>
      <c r="G1014" s="1135"/>
      <c r="H1014" s="3050" t="e">
        <f t="shared" si="65"/>
        <v>#DIV/0!</v>
      </c>
      <c r="I1014" s="1123"/>
    </row>
    <row r="1015" spans="1:9" ht="15.75" hidden="1" thickBot="1" x14ac:dyDescent="0.25">
      <c r="A1015" s="1181">
        <v>3523</v>
      </c>
      <c r="B1015" s="1187">
        <v>6121</v>
      </c>
      <c r="C1015" s="2190" t="s">
        <v>1426</v>
      </c>
      <c r="D1015" s="1130" t="s">
        <v>312</v>
      </c>
      <c r="E1015" s="1135"/>
      <c r="F1015" s="1135"/>
      <c r="G1015" s="1135"/>
      <c r="H1015" s="3050" t="e">
        <f t="shared" si="65"/>
        <v>#DIV/0!</v>
      </c>
      <c r="I1015" s="1123"/>
    </row>
    <row r="1016" spans="1:9" ht="15.75" hidden="1" thickBot="1" x14ac:dyDescent="0.25">
      <c r="A1016" s="1181">
        <v>3523</v>
      </c>
      <c r="B1016" s="1187">
        <v>6122</v>
      </c>
      <c r="C1016" s="2190" t="s">
        <v>963</v>
      </c>
      <c r="D1016" s="1130" t="s">
        <v>313</v>
      </c>
      <c r="E1016" s="1135"/>
      <c r="F1016" s="1135"/>
      <c r="G1016" s="1135"/>
      <c r="H1016" s="3050" t="e">
        <f t="shared" si="65"/>
        <v>#DIV/0!</v>
      </c>
      <c r="I1016" s="1123"/>
    </row>
    <row r="1017" spans="1:9" ht="16.5" thickTop="1" thickBot="1" x14ac:dyDescent="0.3">
      <c r="A1017" s="3317" t="s">
        <v>394</v>
      </c>
      <c r="B1017" s="3318"/>
      <c r="C1017" s="3318"/>
      <c r="D1017" s="3318"/>
      <c r="E1017" s="1113">
        <f>SUM(E1011:E1016)</f>
        <v>0</v>
      </c>
      <c r="F1017" s="1113">
        <f>SUM(F1011:F1016)</f>
        <v>550</v>
      </c>
      <c r="G1017" s="1113">
        <f>SUM(G1011:G1016)</f>
        <v>17</v>
      </c>
      <c r="H1017" s="1381">
        <f t="shared" si="65"/>
        <v>3.0909090909090908</v>
      </c>
      <c r="I1017" s="1123"/>
    </row>
    <row r="1018" spans="1:9" ht="13.5" thickTop="1" x14ac:dyDescent="0.2">
      <c r="I1018" s="1123"/>
    </row>
    <row r="1019" spans="1:9" ht="31.5" customHeight="1" x14ac:dyDescent="0.25">
      <c r="A1019" s="3335" t="s">
        <v>1025</v>
      </c>
      <c r="B1019" s="3210"/>
      <c r="C1019" s="3210"/>
      <c r="D1019" s="3210"/>
      <c r="E1019" s="3210"/>
      <c r="F1019" s="3210"/>
      <c r="G1019" s="3210"/>
      <c r="H1019" s="1163"/>
      <c r="I1019" s="1123"/>
    </row>
    <row r="1020" spans="1:9" ht="16.5" thickBot="1" x14ac:dyDescent="0.3">
      <c r="A1020" s="1102" t="s">
        <v>1024</v>
      </c>
      <c r="H1020" s="1120" t="s">
        <v>92</v>
      </c>
      <c r="I1020" s="1123"/>
    </row>
    <row r="1021" spans="1:9" ht="25.5" thickTop="1" thickBot="1" x14ac:dyDescent="0.25">
      <c r="A1021" s="1104" t="s">
        <v>93</v>
      </c>
      <c r="B1021" s="1105" t="s">
        <v>392</v>
      </c>
      <c r="C1021" s="1105" t="s">
        <v>209</v>
      </c>
      <c r="D1021" s="1106" t="s">
        <v>95</v>
      </c>
      <c r="E1021" s="1127" t="s">
        <v>328</v>
      </c>
      <c r="F1021" s="1127" t="s">
        <v>329</v>
      </c>
      <c r="G1021" s="1128" t="s">
        <v>448</v>
      </c>
      <c r="H1021" s="1129" t="s">
        <v>449</v>
      </c>
      <c r="I1021" s="1123"/>
    </row>
    <row r="1022" spans="1:9" ht="14.25" thickTop="1" thickBot="1" x14ac:dyDescent="0.25">
      <c r="A1022" s="1042">
        <v>1</v>
      </c>
      <c r="B1022" s="1041">
        <v>2</v>
      </c>
      <c r="C1022" s="1041">
        <v>3</v>
      </c>
      <c r="D1022" s="1041">
        <v>4</v>
      </c>
      <c r="E1022" s="1040">
        <v>5</v>
      </c>
      <c r="F1022" s="1040">
        <v>6</v>
      </c>
      <c r="G1022" s="1164">
        <v>7</v>
      </c>
      <c r="H1022" s="1186" t="s">
        <v>33</v>
      </c>
      <c r="I1022" s="1123"/>
    </row>
    <row r="1023" spans="1:9" ht="16.5" thickTop="1" thickBot="1" x14ac:dyDescent="0.25">
      <c r="A1023" s="1181">
        <v>6402</v>
      </c>
      <c r="B1023" s="1187">
        <v>5364</v>
      </c>
      <c r="C1023" s="2190" t="s">
        <v>882</v>
      </c>
      <c r="D1023" s="1130" t="s">
        <v>312</v>
      </c>
      <c r="E1023" s="1126">
        <v>0</v>
      </c>
      <c r="F1023" s="1126">
        <v>31</v>
      </c>
      <c r="G1023" s="1126">
        <v>31</v>
      </c>
      <c r="H1023" s="3050">
        <f t="shared" ref="H1023:H1029" si="66">G1023/F1023*100</f>
        <v>100</v>
      </c>
      <c r="I1023" s="1123"/>
    </row>
    <row r="1024" spans="1:9" ht="15.75" hidden="1" thickBot="1" x14ac:dyDescent="0.25">
      <c r="A1024" s="1181">
        <v>3523</v>
      </c>
      <c r="B1024" s="1187">
        <v>5172</v>
      </c>
      <c r="C1024" s="2190" t="s">
        <v>963</v>
      </c>
      <c r="D1024" s="1130" t="s">
        <v>312</v>
      </c>
      <c r="E1024" s="1135"/>
      <c r="F1024" s="1135"/>
      <c r="G1024" s="1135"/>
      <c r="H1024" s="3050" t="e">
        <f t="shared" si="66"/>
        <v>#DIV/0!</v>
      </c>
      <c r="I1024" s="1123"/>
    </row>
    <row r="1025" spans="1:9" ht="15.75" hidden="1" thickBot="1" x14ac:dyDescent="0.25">
      <c r="A1025" s="1181">
        <v>3523</v>
      </c>
      <c r="B1025" s="1187">
        <v>6111</v>
      </c>
      <c r="C1025" s="2190" t="s">
        <v>963</v>
      </c>
      <c r="D1025" s="1130" t="s">
        <v>312</v>
      </c>
      <c r="E1025" s="1135"/>
      <c r="F1025" s="1135"/>
      <c r="G1025" s="1135"/>
      <c r="H1025" s="3050" t="e">
        <f t="shared" si="66"/>
        <v>#DIV/0!</v>
      </c>
      <c r="I1025" s="1123"/>
    </row>
    <row r="1026" spans="1:9" ht="15.75" hidden="1" thickBot="1" x14ac:dyDescent="0.25">
      <c r="A1026" s="1181">
        <v>3523</v>
      </c>
      <c r="B1026" s="1187">
        <v>6121</v>
      </c>
      <c r="C1026" s="2190" t="s">
        <v>963</v>
      </c>
      <c r="D1026" s="1130" t="s">
        <v>312</v>
      </c>
      <c r="E1026" s="1135"/>
      <c r="F1026" s="1135"/>
      <c r="G1026" s="1135"/>
      <c r="H1026" s="3050" t="e">
        <f t="shared" si="66"/>
        <v>#DIV/0!</v>
      </c>
      <c r="I1026" s="1123"/>
    </row>
    <row r="1027" spans="1:9" ht="15.75" hidden="1" thickBot="1" x14ac:dyDescent="0.25">
      <c r="A1027" s="1181">
        <v>3523</v>
      </c>
      <c r="B1027" s="1187">
        <v>6121</v>
      </c>
      <c r="C1027" s="2190" t="s">
        <v>1426</v>
      </c>
      <c r="D1027" s="1130" t="s">
        <v>312</v>
      </c>
      <c r="E1027" s="1135"/>
      <c r="F1027" s="1135"/>
      <c r="G1027" s="1135"/>
      <c r="H1027" s="3050" t="e">
        <f t="shared" si="66"/>
        <v>#DIV/0!</v>
      </c>
      <c r="I1027" s="1123"/>
    </row>
    <row r="1028" spans="1:9" ht="15.75" hidden="1" thickBot="1" x14ac:dyDescent="0.25">
      <c r="A1028" s="1181">
        <v>3523</v>
      </c>
      <c r="B1028" s="1187">
        <v>6122</v>
      </c>
      <c r="C1028" s="2190" t="s">
        <v>963</v>
      </c>
      <c r="D1028" s="1130" t="s">
        <v>313</v>
      </c>
      <c r="E1028" s="1135"/>
      <c r="F1028" s="1135"/>
      <c r="G1028" s="1135"/>
      <c r="H1028" s="3050" t="e">
        <f t="shared" si="66"/>
        <v>#DIV/0!</v>
      </c>
      <c r="I1028" s="1123"/>
    </row>
    <row r="1029" spans="1:9" ht="16.5" thickTop="1" thickBot="1" x14ac:dyDescent="0.3">
      <c r="A1029" s="3317" t="s">
        <v>394</v>
      </c>
      <c r="B1029" s="3318"/>
      <c r="C1029" s="3318"/>
      <c r="D1029" s="3318"/>
      <c r="E1029" s="1113">
        <f>SUM(E1023:E1028)</f>
        <v>0</v>
      </c>
      <c r="F1029" s="1113">
        <f>SUM(F1023:F1028)</f>
        <v>31</v>
      </c>
      <c r="G1029" s="1113">
        <f>SUM(G1023:G1028)</f>
        <v>31</v>
      </c>
      <c r="H1029" s="1381">
        <f t="shared" si="66"/>
        <v>100</v>
      </c>
      <c r="I1029" s="1123"/>
    </row>
    <row r="1030" spans="1:9" ht="13.5" thickTop="1" x14ac:dyDescent="0.2">
      <c r="I1030" s="1123"/>
    </row>
    <row r="1031" spans="1:9" x14ac:dyDescent="0.2">
      <c r="I1031" s="1123"/>
    </row>
    <row r="1032" spans="1:9" ht="15.75" thickBot="1" x14ac:dyDescent="0.3">
      <c r="A1032" s="1103" t="s">
        <v>137</v>
      </c>
      <c r="D1032" s="1097"/>
      <c r="E1032" s="1098"/>
      <c r="H1032" s="1177" t="s">
        <v>92</v>
      </c>
      <c r="I1032" s="1176"/>
    </row>
    <row r="1033" spans="1:9" ht="25.5" thickTop="1" thickBot="1" x14ac:dyDescent="0.25">
      <c r="A1033" s="1104" t="s">
        <v>93</v>
      </c>
      <c r="B1033" s="1105" t="s">
        <v>392</v>
      </c>
      <c r="C1033" s="1105" t="s">
        <v>209</v>
      </c>
      <c r="D1033" s="1106" t="s">
        <v>95</v>
      </c>
      <c r="E1033" s="1127" t="s">
        <v>328</v>
      </c>
      <c r="F1033" s="1127" t="s">
        <v>329</v>
      </c>
      <c r="G1033" s="1128" t="s">
        <v>448</v>
      </c>
      <c r="H1033" s="1129" t="s">
        <v>449</v>
      </c>
    </row>
    <row r="1034" spans="1:9" ht="14.25" thickTop="1" thickBot="1" x14ac:dyDescent="0.25">
      <c r="A1034" s="1042">
        <v>1</v>
      </c>
      <c r="B1034" s="1041">
        <v>2</v>
      </c>
      <c r="C1034" s="1041">
        <v>3</v>
      </c>
      <c r="D1034" s="1041">
        <v>5</v>
      </c>
      <c r="E1034" s="1040">
        <v>6</v>
      </c>
      <c r="F1034" s="1040">
        <v>7</v>
      </c>
      <c r="G1034" s="1164">
        <v>8</v>
      </c>
      <c r="H1034" s="1109" t="s">
        <v>393</v>
      </c>
    </row>
    <row r="1035" spans="1:9" s="1125" customFormat="1" ht="15.75" thickTop="1" x14ac:dyDescent="0.25">
      <c r="A1035" s="1175">
        <v>6330</v>
      </c>
      <c r="B1035" s="1111">
        <v>5345</v>
      </c>
      <c r="C1035" s="2188" t="s">
        <v>871</v>
      </c>
      <c r="D1035" s="1172" t="s">
        <v>397</v>
      </c>
      <c r="E1035" s="1126">
        <v>0</v>
      </c>
      <c r="F1035" s="1126">
        <v>0</v>
      </c>
      <c r="G1035" s="1174">
        <v>4076</v>
      </c>
      <c r="H1035" s="3051">
        <v>0</v>
      </c>
    </row>
    <row r="1036" spans="1:9" s="1125" customFormat="1" ht="15.75" thickBot="1" x14ac:dyDescent="0.3">
      <c r="A1036" s="1110">
        <v>6409</v>
      </c>
      <c r="B1036" s="1111">
        <v>5901</v>
      </c>
      <c r="C1036" s="1173"/>
      <c r="D1036" s="1172" t="s">
        <v>311</v>
      </c>
      <c r="E1036" s="1135">
        <v>5000</v>
      </c>
      <c r="F1036" s="1135">
        <v>0</v>
      </c>
      <c r="G1036" s="1171">
        <v>0</v>
      </c>
      <c r="H1036" s="3050">
        <v>0</v>
      </c>
    </row>
    <row r="1037" spans="1:9" ht="16.5" thickTop="1" thickBot="1" x14ac:dyDescent="0.3">
      <c r="A1037" s="2568" t="s">
        <v>394</v>
      </c>
      <c r="B1037" s="2569"/>
      <c r="C1037" s="2569"/>
      <c r="D1037" s="2570"/>
      <c r="E1037" s="1113">
        <f>SUM(E1035:E1036)</f>
        <v>5000</v>
      </c>
      <c r="F1037" s="1113">
        <f>SUM(F1035:F1036)</f>
        <v>0</v>
      </c>
      <c r="G1037" s="1113">
        <f>SUM(G1035:G1036)</f>
        <v>4076</v>
      </c>
      <c r="H1037" s="1381">
        <v>0</v>
      </c>
    </row>
    <row r="1038" spans="1:9" ht="87" customHeight="1" thickTop="1" x14ac:dyDescent="0.2"/>
    <row r="1039" spans="1:9" hidden="1" x14ac:dyDescent="0.2"/>
    <row r="1040" spans="1:9" hidden="1" x14ac:dyDescent="0.2"/>
    <row r="1041" spans="1:12" ht="16.5" x14ac:dyDescent="0.25">
      <c r="A1041" s="1147" t="s">
        <v>251</v>
      </c>
      <c r="B1041" s="1148"/>
      <c r="C1041" s="1149"/>
      <c r="D1041" s="1150"/>
      <c r="E1041" s="1151">
        <f>SUM(E1042:E1044)</f>
        <v>114775</v>
      </c>
      <c r="F1041" s="1151">
        <f>F1042+F1043+F1044+F1045</f>
        <v>130472</v>
      </c>
      <c r="G1041" s="1151">
        <f>G1042+G1043+G1044+G1045</f>
        <v>128170</v>
      </c>
      <c r="H1041" s="1170">
        <f>G1041/F1041*100</f>
        <v>98.235636764976391</v>
      </c>
      <c r="J1041" s="1153">
        <f>J1042+J1043+J1044</f>
        <v>114775000</v>
      </c>
      <c r="K1041" s="1153">
        <f>K1042+K1043+K1044</f>
        <v>130471761.84999999</v>
      </c>
      <c r="L1041" s="1153">
        <f>L1042+L1043+L1044</f>
        <v>128170791.73</v>
      </c>
    </row>
    <row r="1042" spans="1:12" ht="15" x14ac:dyDescent="0.2">
      <c r="A1042" s="1011" t="s">
        <v>147</v>
      </c>
      <c r="B1042" s="1013"/>
      <c r="C1042" s="1009"/>
      <c r="D1042" s="1154"/>
      <c r="E1042" s="1012">
        <f>E534+E760+E761+E762+E902+E903+E1023+E1036</f>
        <v>5000</v>
      </c>
      <c r="F1042" s="1012">
        <f>F534+F760+F761+F762+F902+F903+F1023+F1036</f>
        <v>1539</v>
      </c>
      <c r="G1042" s="1012">
        <f>G534+G760+G761+G762+G902+G903+G1023+G1036</f>
        <v>1351</v>
      </c>
      <c r="H1042" s="1169">
        <f>G1042/F1042*100</f>
        <v>87.784275503573753</v>
      </c>
      <c r="J1042" s="1155">
        <v>5000000</v>
      </c>
      <c r="K1042" s="1155">
        <v>1538863.6</v>
      </c>
      <c r="L1042" s="1155">
        <f>1320825.12+30749.08</f>
        <v>1351574.2000000002</v>
      </c>
    </row>
    <row r="1043" spans="1:12" ht="15" x14ac:dyDescent="0.2">
      <c r="A1043" s="1011" t="s">
        <v>148</v>
      </c>
      <c r="B1043" s="1010"/>
      <c r="C1043" s="1009"/>
      <c r="D1043" s="1156"/>
      <c r="E1043" s="1012">
        <f>E370+E380+E390+E391+E392+E400+E410+E434+E493+E503+E514+E535+E536+E537+E538+E539+E548+E549+E550+E562+E573+E595+E606+E617+E628+E639+E650+E661+E672+E683+E694+E705+E716+E727+E738+E749+E750+E763+E764+E765+E766+E767+E768+E769+E777+E788+E799+E800+E801+E802+E803+E804+E805+E806+E807+E808+E818+E819+E820+E821+E822+E823+E824+E825+E826+E827+E840+E844+E845+E846+E847+E858+E859+E860+E861+E862+E869+E870+E871+E872+E873+E880+E881+E882+E883+E884+E891+E904+E905+E906+E907+E914+E926+E938+E951+E963+E964+E975+E987+E999+E1011+E584</f>
        <v>109775</v>
      </c>
      <c r="F1043" s="1012">
        <f t="shared" ref="F1043:G1043" si="67">F370+F380+F390+F391+F392+F400+F410+F434+F493+F503+F514+F535+F536+F537+F538+F539+F548+F549+F550+F562+F573+F595+F606+F617+F628+F639+F650+F661+F672+F683+F694+F705+F716+F727+F738+F749+F750+F763+F764+F765+F766+F767+F768+F769+F777+F788+F799+F800+F801+F802+F803+F804+F805+F806+F807+F808+F818+F819+F820+F821+F822+F823+F824+F825+F826+F827+F840+F844+F845+F846+F847+F858+F859+F860+F861+F862+F869+F870+F871+F872+F873+F880+F881+F882+F883+F884+F891+F904+F905+F906+F907+F914+F926+F938+F951+F963+F964+F975+F987+F999+F1011+F584</f>
        <v>128933</v>
      </c>
      <c r="G1043" s="1012">
        <f t="shared" si="67"/>
        <v>102514</v>
      </c>
      <c r="H1043" s="1169">
        <f>G1043/F1043*100</f>
        <v>79.509512692638822</v>
      </c>
      <c r="J1043" s="1155">
        <v>109775000</v>
      </c>
      <c r="K1043" s="1155">
        <v>128932898.25</v>
      </c>
      <c r="L1043" s="1155">
        <v>102513641.01000001</v>
      </c>
    </row>
    <row r="1044" spans="1:12" ht="15" x14ac:dyDescent="0.2">
      <c r="A1044" s="1011" t="s">
        <v>252</v>
      </c>
      <c r="B1044" s="1010"/>
      <c r="C1044" s="1009"/>
      <c r="D1044" s="1156"/>
      <c r="E1044" s="1012">
        <f>E14+E26+E36+E326+E337+E358+E770+E1035</f>
        <v>0</v>
      </c>
      <c r="F1044" s="1012">
        <f>F14+F26+F36+F326+F337+F358+F770+F1035</f>
        <v>0</v>
      </c>
      <c r="G1044" s="1012">
        <f>G14+G26+G36+G326+G337+G358+G770+G1035</f>
        <v>24305</v>
      </c>
      <c r="H1044" s="1169">
        <v>0</v>
      </c>
      <c r="J1044" s="1155">
        <v>0</v>
      </c>
      <c r="K1044" s="1155">
        <v>0</v>
      </c>
      <c r="L1044" s="1155">
        <v>24305576.52</v>
      </c>
    </row>
    <row r="1045" spans="1:12" ht="9.75" customHeight="1" x14ac:dyDescent="0.2">
      <c r="A1045" s="1011"/>
      <c r="B1045" s="1010"/>
      <c r="C1045" s="1009"/>
      <c r="D1045" s="1156"/>
      <c r="E1045" s="1012"/>
      <c r="F1045" s="1012"/>
      <c r="G1045" s="1012"/>
      <c r="H1045" s="1008"/>
    </row>
    <row r="1046" spans="1:12" ht="48.75" customHeight="1" thickBot="1" x14ac:dyDescent="0.4">
      <c r="A1046" s="3264" t="s">
        <v>2016</v>
      </c>
      <c r="B1046" s="3319"/>
      <c r="C1046" s="3319"/>
      <c r="D1046" s="3319"/>
      <c r="E1046" s="1006">
        <f>SUM(E1041)</f>
        <v>114775</v>
      </c>
      <c r="F1046" s="1006">
        <f>SUM(F1041)</f>
        <v>130472</v>
      </c>
      <c r="G1046" s="1006">
        <f>SUM(G1041)</f>
        <v>128170</v>
      </c>
      <c r="H1046" s="1005">
        <f>(G1046/F1046)*100</f>
        <v>98.235636764976391</v>
      </c>
    </row>
    <row r="1047" spans="1:12" ht="13.5" thickTop="1" x14ac:dyDescent="0.2"/>
  </sheetData>
  <mergeCells count="117">
    <mergeCell ref="A932:D932"/>
    <mergeCell ref="A934:G934"/>
    <mergeCell ref="A944:D944"/>
    <mergeCell ref="A898:G898"/>
    <mergeCell ref="A908:D908"/>
    <mergeCell ref="A910:G910"/>
    <mergeCell ref="A920:D920"/>
    <mergeCell ref="A922:G922"/>
    <mergeCell ref="A771:D771"/>
    <mergeCell ref="A773:G773"/>
    <mergeCell ref="A782:D782"/>
    <mergeCell ref="A784:G784"/>
    <mergeCell ref="A874:D874"/>
    <mergeCell ref="A876:G876"/>
    <mergeCell ref="A885:D885"/>
    <mergeCell ref="A887:G887"/>
    <mergeCell ref="A896:D896"/>
    <mergeCell ref="A834:G834"/>
    <mergeCell ref="A852:D852"/>
    <mergeCell ref="A854:G854"/>
    <mergeCell ref="A863:D863"/>
    <mergeCell ref="A865:G865"/>
    <mergeCell ref="A141:D141"/>
    <mergeCell ref="A156:D156"/>
    <mergeCell ref="A169:D169"/>
    <mergeCell ref="A181:D181"/>
    <mergeCell ref="A194:D194"/>
    <mergeCell ref="A208:D208"/>
    <mergeCell ref="A732:D732"/>
    <mergeCell ref="A734:G734"/>
    <mergeCell ref="A743:D743"/>
    <mergeCell ref="A701:G701"/>
    <mergeCell ref="A710:D710"/>
    <mergeCell ref="A712:G712"/>
    <mergeCell ref="A721:D721"/>
    <mergeCell ref="A723:G723"/>
    <mergeCell ref="A221:D221"/>
    <mergeCell ref="A238:D238"/>
    <mergeCell ref="A252:D252"/>
    <mergeCell ref="A342:D342"/>
    <mergeCell ref="A352:D352"/>
    <mergeCell ref="A331:D331"/>
    <mergeCell ref="A376:H376"/>
    <mergeCell ref="A386:H386"/>
    <mergeCell ref="A668:G668"/>
    <mergeCell ref="A406:H406"/>
    <mergeCell ref="A125:D125"/>
    <mergeCell ref="A20:D20"/>
    <mergeCell ref="A30:D30"/>
    <mergeCell ref="A41:D41"/>
    <mergeCell ref="A53:D53"/>
    <mergeCell ref="A73:D73"/>
    <mergeCell ref="A85:D85"/>
    <mergeCell ref="A97:D97"/>
    <mergeCell ref="A113:D113"/>
    <mergeCell ref="A32:G32"/>
    <mergeCell ref="A444:D444"/>
    <mergeCell ref="A428:D428"/>
    <mergeCell ref="A404:D404"/>
    <mergeCell ref="A414:D414"/>
    <mergeCell ref="A384:D384"/>
    <mergeCell ref="A394:D394"/>
    <mergeCell ref="A374:D374"/>
    <mergeCell ref="A265:D265"/>
    <mergeCell ref="A275:D275"/>
    <mergeCell ref="A295:D295"/>
    <mergeCell ref="A310:D310"/>
    <mergeCell ref="A320:D320"/>
    <mergeCell ref="A364:D364"/>
    <mergeCell ref="A471:D471"/>
    <mergeCell ref="A487:D487"/>
    <mergeCell ref="A542:D542"/>
    <mergeCell ref="A497:D497"/>
    <mergeCell ref="A456:D456"/>
    <mergeCell ref="A1046:D1046"/>
    <mergeCell ref="A518:D518"/>
    <mergeCell ref="A528:D528"/>
    <mergeCell ref="A508:D508"/>
    <mergeCell ref="A556:D556"/>
    <mergeCell ref="A567:D567"/>
    <mergeCell ref="A530:H530"/>
    <mergeCell ref="A578:D578"/>
    <mergeCell ref="A600:D600"/>
    <mergeCell ref="A611:D611"/>
    <mergeCell ref="A622:D622"/>
    <mergeCell ref="A633:D633"/>
    <mergeCell ref="A644:D644"/>
    <mergeCell ref="A655:D655"/>
    <mergeCell ref="A666:D666"/>
    <mergeCell ref="A677:D677"/>
    <mergeCell ref="A947:G947"/>
    <mergeCell ref="A957:D957"/>
    <mergeCell ref="A959:G959"/>
    <mergeCell ref="A1019:G1019"/>
    <mergeCell ref="A1029:D1029"/>
    <mergeCell ref="A589:D589"/>
    <mergeCell ref="A969:D969"/>
    <mergeCell ref="A971:G971"/>
    <mergeCell ref="A981:D981"/>
    <mergeCell ref="A983:G983"/>
    <mergeCell ref="A993:D993"/>
    <mergeCell ref="A995:G995"/>
    <mergeCell ref="A1005:D1005"/>
    <mergeCell ref="A1007:G1007"/>
    <mergeCell ref="A1017:D1017"/>
    <mergeCell ref="A679:G679"/>
    <mergeCell ref="A688:D688"/>
    <mergeCell ref="A690:G690"/>
    <mergeCell ref="A699:D699"/>
    <mergeCell ref="A745:G745"/>
    <mergeCell ref="A754:D754"/>
    <mergeCell ref="A793:D793"/>
    <mergeCell ref="A795:G795"/>
    <mergeCell ref="A812:D812"/>
    <mergeCell ref="A814:G814"/>
    <mergeCell ref="A832:D832"/>
    <mergeCell ref="A756:G756"/>
  </mergeCells>
  <pageMargins left="0.78740157480314965" right="0.98425196850393704" top="0.98425196850393704" bottom="0.98425196850393704" header="0.51181102362204722" footer="0.51181102362204722"/>
  <pageSetup paperSize="9" scale="60" firstPageNumber="134" orientation="portrait" useFirstPageNumber="1" r:id="rId1"/>
  <headerFooter alignWithMargins="0">
    <oddFooter xml:space="preserve">&amp;L&amp;"Arial,Kurzíva"Zastupitelstvo Olomouckého kraje 25. 6. 2018
5. - Rozpočet Olomouckého kraje 2017 - závěrečný  účet 
Příloha č. 3: Plnění rozpočtu výdajů Olomouckého kraje k 31. 12. 2017&amp;R&amp;"Arial,Kurzíva"Strana &amp;P (celkem 478)
</oddFooter>
  </headerFooter>
  <rowBreaks count="8" manualBreakCount="8">
    <brk id="384" max="7" man="1"/>
    <brk id="518" max="7" man="1"/>
    <brk id="623" max="7" man="1"/>
    <brk id="722" max="7" man="1"/>
    <brk id="794" max="7" man="1"/>
    <brk id="875" max="7" man="1"/>
    <brk id="946" max="7" man="1"/>
    <brk id="1047" max="7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FF"/>
  </sheetPr>
  <dimension ref="A1:M619"/>
  <sheetViews>
    <sheetView showGridLines="0" view="pageBreakPreview" zoomScaleNormal="100" zoomScaleSheetLayoutView="100" workbookViewId="0">
      <selection activeCell="A544" sqref="A544:H544"/>
    </sheetView>
  </sheetViews>
  <sheetFormatPr defaultRowHeight="12.75" x14ac:dyDescent="0.2"/>
  <cols>
    <col min="1" max="1" width="5" style="1097" customWidth="1"/>
    <col min="2" max="2" width="6.140625" style="1097" customWidth="1"/>
    <col min="3" max="3" width="9.85546875" style="1097" customWidth="1"/>
    <col min="4" max="4" width="42.140625" style="1098" customWidth="1"/>
    <col min="5" max="5" width="15.42578125" style="1123" customWidth="1"/>
    <col min="6" max="6" width="15.85546875" style="1123" customWidth="1"/>
    <col min="7" max="7" width="14.5703125" style="1123" customWidth="1"/>
    <col min="8" max="8" width="10" style="1098" customWidth="1"/>
    <col min="9" max="9" width="12.7109375" style="1098" bestFit="1" customWidth="1"/>
    <col min="10" max="10" width="20.7109375" style="1098" customWidth="1"/>
    <col min="11" max="11" width="20.140625" style="1098" customWidth="1"/>
    <col min="12" max="12" width="20.85546875" style="1098" customWidth="1"/>
    <col min="13" max="256" width="9.140625" style="1098"/>
    <col min="257" max="257" width="4.7109375" style="1098" customWidth="1"/>
    <col min="258" max="258" width="6.140625" style="1098" customWidth="1"/>
    <col min="259" max="259" width="8.7109375" style="1098" customWidth="1"/>
    <col min="260" max="260" width="42.140625" style="1098" customWidth="1"/>
    <col min="261" max="261" width="12.85546875" style="1098" customWidth="1"/>
    <col min="262" max="262" width="15.85546875" style="1098" customWidth="1"/>
    <col min="263" max="263" width="14.5703125" style="1098" customWidth="1"/>
    <col min="264" max="264" width="8.28515625" style="1098" customWidth="1"/>
    <col min="265" max="265" width="12.7109375" style="1098" bestFit="1" customWidth="1"/>
    <col min="266" max="266" width="20.7109375" style="1098" customWidth="1"/>
    <col min="267" max="267" width="20.140625" style="1098" customWidth="1"/>
    <col min="268" max="268" width="20.85546875" style="1098" customWidth="1"/>
    <col min="269" max="512" width="9.140625" style="1098"/>
    <col min="513" max="513" width="4.7109375" style="1098" customWidth="1"/>
    <col min="514" max="514" width="6.140625" style="1098" customWidth="1"/>
    <col min="515" max="515" width="8.7109375" style="1098" customWidth="1"/>
    <col min="516" max="516" width="42.140625" style="1098" customWidth="1"/>
    <col min="517" max="517" width="12.85546875" style="1098" customWidth="1"/>
    <col min="518" max="518" width="15.85546875" style="1098" customWidth="1"/>
    <col min="519" max="519" width="14.5703125" style="1098" customWidth="1"/>
    <col min="520" max="520" width="8.28515625" style="1098" customWidth="1"/>
    <col min="521" max="521" width="12.7109375" style="1098" bestFit="1" customWidth="1"/>
    <col min="522" max="522" width="20.7109375" style="1098" customWidth="1"/>
    <col min="523" max="523" width="20.140625" style="1098" customWidth="1"/>
    <col min="524" max="524" width="20.85546875" style="1098" customWidth="1"/>
    <col min="525" max="768" width="9.140625" style="1098"/>
    <col min="769" max="769" width="4.7109375" style="1098" customWidth="1"/>
    <col min="770" max="770" width="6.140625" style="1098" customWidth="1"/>
    <col min="771" max="771" width="8.7109375" style="1098" customWidth="1"/>
    <col min="772" max="772" width="42.140625" style="1098" customWidth="1"/>
    <col min="773" max="773" width="12.85546875" style="1098" customWidth="1"/>
    <col min="774" max="774" width="15.85546875" style="1098" customWidth="1"/>
    <col min="775" max="775" width="14.5703125" style="1098" customWidth="1"/>
    <col min="776" max="776" width="8.28515625" style="1098" customWidth="1"/>
    <col min="777" max="777" width="12.7109375" style="1098" bestFit="1" customWidth="1"/>
    <col min="778" max="778" width="20.7109375" style="1098" customWidth="1"/>
    <col min="779" max="779" width="20.140625" style="1098" customWidth="1"/>
    <col min="780" max="780" width="20.85546875" style="1098" customWidth="1"/>
    <col min="781" max="1024" width="9.140625" style="1098"/>
    <col min="1025" max="1025" width="4.7109375" style="1098" customWidth="1"/>
    <col min="1026" max="1026" width="6.140625" style="1098" customWidth="1"/>
    <col min="1027" max="1027" width="8.7109375" style="1098" customWidth="1"/>
    <col min="1028" max="1028" width="42.140625" style="1098" customWidth="1"/>
    <col min="1029" max="1029" width="12.85546875" style="1098" customWidth="1"/>
    <col min="1030" max="1030" width="15.85546875" style="1098" customWidth="1"/>
    <col min="1031" max="1031" width="14.5703125" style="1098" customWidth="1"/>
    <col min="1032" max="1032" width="8.28515625" style="1098" customWidth="1"/>
    <col min="1033" max="1033" width="12.7109375" style="1098" bestFit="1" customWidth="1"/>
    <col min="1034" max="1034" width="20.7109375" style="1098" customWidth="1"/>
    <col min="1035" max="1035" width="20.140625" style="1098" customWidth="1"/>
    <col min="1036" max="1036" width="20.85546875" style="1098" customWidth="1"/>
    <col min="1037" max="1280" width="9.140625" style="1098"/>
    <col min="1281" max="1281" width="4.7109375" style="1098" customWidth="1"/>
    <col min="1282" max="1282" width="6.140625" style="1098" customWidth="1"/>
    <col min="1283" max="1283" width="8.7109375" style="1098" customWidth="1"/>
    <col min="1284" max="1284" width="42.140625" style="1098" customWidth="1"/>
    <col min="1285" max="1285" width="12.85546875" style="1098" customWidth="1"/>
    <col min="1286" max="1286" width="15.85546875" style="1098" customWidth="1"/>
    <col min="1287" max="1287" width="14.5703125" style="1098" customWidth="1"/>
    <col min="1288" max="1288" width="8.28515625" style="1098" customWidth="1"/>
    <col min="1289" max="1289" width="12.7109375" style="1098" bestFit="1" customWidth="1"/>
    <col min="1290" max="1290" width="20.7109375" style="1098" customWidth="1"/>
    <col min="1291" max="1291" width="20.140625" style="1098" customWidth="1"/>
    <col min="1292" max="1292" width="20.85546875" style="1098" customWidth="1"/>
    <col min="1293" max="1536" width="9.140625" style="1098"/>
    <col min="1537" max="1537" width="4.7109375" style="1098" customWidth="1"/>
    <col min="1538" max="1538" width="6.140625" style="1098" customWidth="1"/>
    <col min="1539" max="1539" width="8.7109375" style="1098" customWidth="1"/>
    <col min="1540" max="1540" width="42.140625" style="1098" customWidth="1"/>
    <col min="1541" max="1541" width="12.85546875" style="1098" customWidth="1"/>
    <col min="1542" max="1542" width="15.85546875" style="1098" customWidth="1"/>
    <col min="1543" max="1543" width="14.5703125" style="1098" customWidth="1"/>
    <col min="1544" max="1544" width="8.28515625" style="1098" customWidth="1"/>
    <col min="1545" max="1545" width="12.7109375" style="1098" bestFit="1" customWidth="1"/>
    <col min="1546" max="1546" width="20.7109375" style="1098" customWidth="1"/>
    <col min="1547" max="1547" width="20.140625" style="1098" customWidth="1"/>
    <col min="1548" max="1548" width="20.85546875" style="1098" customWidth="1"/>
    <col min="1549" max="1792" width="9.140625" style="1098"/>
    <col min="1793" max="1793" width="4.7109375" style="1098" customWidth="1"/>
    <col min="1794" max="1794" width="6.140625" style="1098" customWidth="1"/>
    <col min="1795" max="1795" width="8.7109375" style="1098" customWidth="1"/>
    <col min="1796" max="1796" width="42.140625" style="1098" customWidth="1"/>
    <col min="1797" max="1797" width="12.85546875" style="1098" customWidth="1"/>
    <col min="1798" max="1798" width="15.85546875" style="1098" customWidth="1"/>
    <col min="1799" max="1799" width="14.5703125" style="1098" customWidth="1"/>
    <col min="1800" max="1800" width="8.28515625" style="1098" customWidth="1"/>
    <col min="1801" max="1801" width="12.7109375" style="1098" bestFit="1" customWidth="1"/>
    <col min="1802" max="1802" width="20.7109375" style="1098" customWidth="1"/>
    <col min="1803" max="1803" width="20.140625" style="1098" customWidth="1"/>
    <col min="1804" max="1804" width="20.85546875" style="1098" customWidth="1"/>
    <col min="1805" max="2048" width="9.140625" style="1098"/>
    <col min="2049" max="2049" width="4.7109375" style="1098" customWidth="1"/>
    <col min="2050" max="2050" width="6.140625" style="1098" customWidth="1"/>
    <col min="2051" max="2051" width="8.7109375" style="1098" customWidth="1"/>
    <col min="2052" max="2052" width="42.140625" style="1098" customWidth="1"/>
    <col min="2053" max="2053" width="12.85546875" style="1098" customWidth="1"/>
    <col min="2054" max="2054" width="15.85546875" style="1098" customWidth="1"/>
    <col min="2055" max="2055" width="14.5703125" style="1098" customWidth="1"/>
    <col min="2056" max="2056" width="8.28515625" style="1098" customWidth="1"/>
    <col min="2057" max="2057" width="12.7109375" style="1098" bestFit="1" customWidth="1"/>
    <col min="2058" max="2058" width="20.7109375" style="1098" customWidth="1"/>
    <col min="2059" max="2059" width="20.140625" style="1098" customWidth="1"/>
    <col min="2060" max="2060" width="20.85546875" style="1098" customWidth="1"/>
    <col min="2061" max="2304" width="9.140625" style="1098"/>
    <col min="2305" max="2305" width="4.7109375" style="1098" customWidth="1"/>
    <col min="2306" max="2306" width="6.140625" style="1098" customWidth="1"/>
    <col min="2307" max="2307" width="8.7109375" style="1098" customWidth="1"/>
    <col min="2308" max="2308" width="42.140625" style="1098" customWidth="1"/>
    <col min="2309" max="2309" width="12.85546875" style="1098" customWidth="1"/>
    <col min="2310" max="2310" width="15.85546875" style="1098" customWidth="1"/>
    <col min="2311" max="2311" width="14.5703125" style="1098" customWidth="1"/>
    <col min="2312" max="2312" width="8.28515625" style="1098" customWidth="1"/>
    <col min="2313" max="2313" width="12.7109375" style="1098" bestFit="1" customWidth="1"/>
    <col min="2314" max="2314" width="20.7109375" style="1098" customWidth="1"/>
    <col min="2315" max="2315" width="20.140625" style="1098" customWidth="1"/>
    <col min="2316" max="2316" width="20.85546875" style="1098" customWidth="1"/>
    <col min="2317" max="2560" width="9.140625" style="1098"/>
    <col min="2561" max="2561" width="4.7109375" style="1098" customWidth="1"/>
    <col min="2562" max="2562" width="6.140625" style="1098" customWidth="1"/>
    <col min="2563" max="2563" width="8.7109375" style="1098" customWidth="1"/>
    <col min="2564" max="2564" width="42.140625" style="1098" customWidth="1"/>
    <col min="2565" max="2565" width="12.85546875" style="1098" customWidth="1"/>
    <col min="2566" max="2566" width="15.85546875" style="1098" customWidth="1"/>
    <col min="2567" max="2567" width="14.5703125" style="1098" customWidth="1"/>
    <col min="2568" max="2568" width="8.28515625" style="1098" customWidth="1"/>
    <col min="2569" max="2569" width="12.7109375" style="1098" bestFit="1" customWidth="1"/>
    <col min="2570" max="2570" width="20.7109375" style="1098" customWidth="1"/>
    <col min="2571" max="2571" width="20.140625" style="1098" customWidth="1"/>
    <col min="2572" max="2572" width="20.85546875" style="1098" customWidth="1"/>
    <col min="2573" max="2816" width="9.140625" style="1098"/>
    <col min="2817" max="2817" width="4.7109375" style="1098" customWidth="1"/>
    <col min="2818" max="2818" width="6.140625" style="1098" customWidth="1"/>
    <col min="2819" max="2819" width="8.7109375" style="1098" customWidth="1"/>
    <col min="2820" max="2820" width="42.140625" style="1098" customWidth="1"/>
    <col min="2821" max="2821" width="12.85546875" style="1098" customWidth="1"/>
    <col min="2822" max="2822" width="15.85546875" style="1098" customWidth="1"/>
    <col min="2823" max="2823" width="14.5703125" style="1098" customWidth="1"/>
    <col min="2824" max="2824" width="8.28515625" style="1098" customWidth="1"/>
    <col min="2825" max="2825" width="12.7109375" style="1098" bestFit="1" customWidth="1"/>
    <col min="2826" max="2826" width="20.7109375" style="1098" customWidth="1"/>
    <col min="2827" max="2827" width="20.140625" style="1098" customWidth="1"/>
    <col min="2828" max="2828" width="20.85546875" style="1098" customWidth="1"/>
    <col min="2829" max="3072" width="9.140625" style="1098"/>
    <col min="3073" max="3073" width="4.7109375" style="1098" customWidth="1"/>
    <col min="3074" max="3074" width="6.140625" style="1098" customWidth="1"/>
    <col min="3075" max="3075" width="8.7109375" style="1098" customWidth="1"/>
    <col min="3076" max="3076" width="42.140625" style="1098" customWidth="1"/>
    <col min="3077" max="3077" width="12.85546875" style="1098" customWidth="1"/>
    <col min="3078" max="3078" width="15.85546875" style="1098" customWidth="1"/>
    <col min="3079" max="3079" width="14.5703125" style="1098" customWidth="1"/>
    <col min="3080" max="3080" width="8.28515625" style="1098" customWidth="1"/>
    <col min="3081" max="3081" width="12.7109375" style="1098" bestFit="1" customWidth="1"/>
    <col min="3082" max="3082" width="20.7109375" style="1098" customWidth="1"/>
    <col min="3083" max="3083" width="20.140625" style="1098" customWidth="1"/>
    <col min="3084" max="3084" width="20.85546875" style="1098" customWidth="1"/>
    <col min="3085" max="3328" width="9.140625" style="1098"/>
    <col min="3329" max="3329" width="4.7109375" style="1098" customWidth="1"/>
    <col min="3330" max="3330" width="6.140625" style="1098" customWidth="1"/>
    <col min="3331" max="3331" width="8.7109375" style="1098" customWidth="1"/>
    <col min="3332" max="3332" width="42.140625" style="1098" customWidth="1"/>
    <col min="3333" max="3333" width="12.85546875" style="1098" customWidth="1"/>
    <col min="3334" max="3334" width="15.85546875" style="1098" customWidth="1"/>
    <col min="3335" max="3335" width="14.5703125" style="1098" customWidth="1"/>
    <col min="3336" max="3336" width="8.28515625" style="1098" customWidth="1"/>
    <col min="3337" max="3337" width="12.7109375" style="1098" bestFit="1" customWidth="1"/>
    <col min="3338" max="3338" width="20.7109375" style="1098" customWidth="1"/>
    <col min="3339" max="3339" width="20.140625" style="1098" customWidth="1"/>
    <col min="3340" max="3340" width="20.85546875" style="1098" customWidth="1"/>
    <col min="3341" max="3584" width="9.140625" style="1098"/>
    <col min="3585" max="3585" width="4.7109375" style="1098" customWidth="1"/>
    <col min="3586" max="3586" width="6.140625" style="1098" customWidth="1"/>
    <col min="3587" max="3587" width="8.7109375" style="1098" customWidth="1"/>
    <col min="3588" max="3588" width="42.140625" style="1098" customWidth="1"/>
    <col min="3589" max="3589" width="12.85546875" style="1098" customWidth="1"/>
    <col min="3590" max="3590" width="15.85546875" style="1098" customWidth="1"/>
    <col min="3591" max="3591" width="14.5703125" style="1098" customWidth="1"/>
    <col min="3592" max="3592" width="8.28515625" style="1098" customWidth="1"/>
    <col min="3593" max="3593" width="12.7109375" style="1098" bestFit="1" customWidth="1"/>
    <col min="3594" max="3594" width="20.7109375" style="1098" customWidth="1"/>
    <col min="3595" max="3595" width="20.140625" style="1098" customWidth="1"/>
    <col min="3596" max="3596" width="20.85546875" style="1098" customWidth="1"/>
    <col min="3597" max="3840" width="9.140625" style="1098"/>
    <col min="3841" max="3841" width="4.7109375" style="1098" customWidth="1"/>
    <col min="3842" max="3842" width="6.140625" style="1098" customWidth="1"/>
    <col min="3843" max="3843" width="8.7109375" style="1098" customWidth="1"/>
    <col min="3844" max="3844" width="42.140625" style="1098" customWidth="1"/>
    <col min="3845" max="3845" width="12.85546875" style="1098" customWidth="1"/>
    <col min="3846" max="3846" width="15.85546875" style="1098" customWidth="1"/>
    <col min="3847" max="3847" width="14.5703125" style="1098" customWidth="1"/>
    <col min="3848" max="3848" width="8.28515625" style="1098" customWidth="1"/>
    <col min="3849" max="3849" width="12.7109375" style="1098" bestFit="1" customWidth="1"/>
    <col min="3850" max="3850" width="20.7109375" style="1098" customWidth="1"/>
    <col min="3851" max="3851" width="20.140625" style="1098" customWidth="1"/>
    <col min="3852" max="3852" width="20.85546875" style="1098" customWidth="1"/>
    <col min="3853" max="4096" width="9.140625" style="1098"/>
    <col min="4097" max="4097" width="4.7109375" style="1098" customWidth="1"/>
    <col min="4098" max="4098" width="6.140625" style="1098" customWidth="1"/>
    <col min="4099" max="4099" width="8.7109375" style="1098" customWidth="1"/>
    <col min="4100" max="4100" width="42.140625" style="1098" customWidth="1"/>
    <col min="4101" max="4101" width="12.85546875" style="1098" customWidth="1"/>
    <col min="4102" max="4102" width="15.85546875" style="1098" customWidth="1"/>
    <col min="4103" max="4103" width="14.5703125" style="1098" customWidth="1"/>
    <col min="4104" max="4104" width="8.28515625" style="1098" customWidth="1"/>
    <col min="4105" max="4105" width="12.7109375" style="1098" bestFit="1" customWidth="1"/>
    <col min="4106" max="4106" width="20.7109375" style="1098" customWidth="1"/>
    <col min="4107" max="4107" width="20.140625" style="1098" customWidth="1"/>
    <col min="4108" max="4108" width="20.85546875" style="1098" customWidth="1"/>
    <col min="4109" max="4352" width="9.140625" style="1098"/>
    <col min="4353" max="4353" width="4.7109375" style="1098" customWidth="1"/>
    <col min="4354" max="4354" width="6.140625" style="1098" customWidth="1"/>
    <col min="4355" max="4355" width="8.7109375" style="1098" customWidth="1"/>
    <col min="4356" max="4356" width="42.140625" style="1098" customWidth="1"/>
    <col min="4357" max="4357" width="12.85546875" style="1098" customWidth="1"/>
    <col min="4358" max="4358" width="15.85546875" style="1098" customWidth="1"/>
    <col min="4359" max="4359" width="14.5703125" style="1098" customWidth="1"/>
    <col min="4360" max="4360" width="8.28515625" style="1098" customWidth="1"/>
    <col min="4361" max="4361" width="12.7109375" style="1098" bestFit="1" customWidth="1"/>
    <col min="4362" max="4362" width="20.7109375" style="1098" customWidth="1"/>
    <col min="4363" max="4363" width="20.140625" style="1098" customWidth="1"/>
    <col min="4364" max="4364" width="20.85546875" style="1098" customWidth="1"/>
    <col min="4365" max="4608" width="9.140625" style="1098"/>
    <col min="4609" max="4609" width="4.7109375" style="1098" customWidth="1"/>
    <col min="4610" max="4610" width="6.140625" style="1098" customWidth="1"/>
    <col min="4611" max="4611" width="8.7109375" style="1098" customWidth="1"/>
    <col min="4612" max="4612" width="42.140625" style="1098" customWidth="1"/>
    <col min="4613" max="4613" width="12.85546875" style="1098" customWidth="1"/>
    <col min="4614" max="4614" width="15.85546875" style="1098" customWidth="1"/>
    <col min="4615" max="4615" width="14.5703125" style="1098" customWidth="1"/>
    <col min="4616" max="4616" width="8.28515625" style="1098" customWidth="1"/>
    <col min="4617" max="4617" width="12.7109375" style="1098" bestFit="1" customWidth="1"/>
    <col min="4618" max="4618" width="20.7109375" style="1098" customWidth="1"/>
    <col min="4619" max="4619" width="20.140625" style="1098" customWidth="1"/>
    <col min="4620" max="4620" width="20.85546875" style="1098" customWidth="1"/>
    <col min="4621" max="4864" width="9.140625" style="1098"/>
    <col min="4865" max="4865" width="4.7109375" style="1098" customWidth="1"/>
    <col min="4866" max="4866" width="6.140625" style="1098" customWidth="1"/>
    <col min="4867" max="4867" width="8.7109375" style="1098" customWidth="1"/>
    <col min="4868" max="4868" width="42.140625" style="1098" customWidth="1"/>
    <col min="4869" max="4869" width="12.85546875" style="1098" customWidth="1"/>
    <col min="4870" max="4870" width="15.85546875" style="1098" customWidth="1"/>
    <col min="4871" max="4871" width="14.5703125" style="1098" customWidth="1"/>
    <col min="4872" max="4872" width="8.28515625" style="1098" customWidth="1"/>
    <col min="4873" max="4873" width="12.7109375" style="1098" bestFit="1" customWidth="1"/>
    <col min="4874" max="4874" width="20.7109375" style="1098" customWidth="1"/>
    <col min="4875" max="4875" width="20.140625" style="1098" customWidth="1"/>
    <col min="4876" max="4876" width="20.85546875" style="1098" customWidth="1"/>
    <col min="4877" max="5120" width="9.140625" style="1098"/>
    <col min="5121" max="5121" width="4.7109375" style="1098" customWidth="1"/>
    <col min="5122" max="5122" width="6.140625" style="1098" customWidth="1"/>
    <col min="5123" max="5123" width="8.7109375" style="1098" customWidth="1"/>
    <col min="5124" max="5124" width="42.140625" style="1098" customWidth="1"/>
    <col min="5125" max="5125" width="12.85546875" style="1098" customWidth="1"/>
    <col min="5126" max="5126" width="15.85546875" style="1098" customWidth="1"/>
    <col min="5127" max="5127" width="14.5703125" style="1098" customWidth="1"/>
    <col min="5128" max="5128" width="8.28515625" style="1098" customWidth="1"/>
    <col min="5129" max="5129" width="12.7109375" style="1098" bestFit="1" customWidth="1"/>
    <col min="5130" max="5130" width="20.7109375" style="1098" customWidth="1"/>
    <col min="5131" max="5131" width="20.140625" style="1098" customWidth="1"/>
    <col min="5132" max="5132" width="20.85546875" style="1098" customWidth="1"/>
    <col min="5133" max="5376" width="9.140625" style="1098"/>
    <col min="5377" max="5377" width="4.7109375" style="1098" customWidth="1"/>
    <col min="5378" max="5378" width="6.140625" style="1098" customWidth="1"/>
    <col min="5379" max="5379" width="8.7109375" style="1098" customWidth="1"/>
    <col min="5380" max="5380" width="42.140625" style="1098" customWidth="1"/>
    <col min="5381" max="5381" width="12.85546875" style="1098" customWidth="1"/>
    <col min="5382" max="5382" width="15.85546875" style="1098" customWidth="1"/>
    <col min="5383" max="5383" width="14.5703125" style="1098" customWidth="1"/>
    <col min="5384" max="5384" width="8.28515625" style="1098" customWidth="1"/>
    <col min="5385" max="5385" width="12.7109375" style="1098" bestFit="1" customWidth="1"/>
    <col min="5386" max="5386" width="20.7109375" style="1098" customWidth="1"/>
    <col min="5387" max="5387" width="20.140625" style="1098" customWidth="1"/>
    <col min="5388" max="5388" width="20.85546875" style="1098" customWidth="1"/>
    <col min="5389" max="5632" width="9.140625" style="1098"/>
    <col min="5633" max="5633" width="4.7109375" style="1098" customWidth="1"/>
    <col min="5634" max="5634" width="6.140625" style="1098" customWidth="1"/>
    <col min="5635" max="5635" width="8.7109375" style="1098" customWidth="1"/>
    <col min="5636" max="5636" width="42.140625" style="1098" customWidth="1"/>
    <col min="5637" max="5637" width="12.85546875" style="1098" customWidth="1"/>
    <col min="5638" max="5638" width="15.85546875" style="1098" customWidth="1"/>
    <col min="5639" max="5639" width="14.5703125" style="1098" customWidth="1"/>
    <col min="5640" max="5640" width="8.28515625" style="1098" customWidth="1"/>
    <col min="5641" max="5641" width="12.7109375" style="1098" bestFit="1" customWidth="1"/>
    <col min="5642" max="5642" width="20.7109375" style="1098" customWidth="1"/>
    <col min="5643" max="5643" width="20.140625" style="1098" customWidth="1"/>
    <col min="5644" max="5644" width="20.85546875" style="1098" customWidth="1"/>
    <col min="5645" max="5888" width="9.140625" style="1098"/>
    <col min="5889" max="5889" width="4.7109375" style="1098" customWidth="1"/>
    <col min="5890" max="5890" width="6.140625" style="1098" customWidth="1"/>
    <col min="5891" max="5891" width="8.7109375" style="1098" customWidth="1"/>
    <col min="5892" max="5892" width="42.140625" style="1098" customWidth="1"/>
    <col min="5893" max="5893" width="12.85546875" style="1098" customWidth="1"/>
    <col min="5894" max="5894" width="15.85546875" style="1098" customWidth="1"/>
    <col min="5895" max="5895" width="14.5703125" style="1098" customWidth="1"/>
    <col min="5896" max="5896" width="8.28515625" style="1098" customWidth="1"/>
    <col min="5897" max="5897" width="12.7109375" style="1098" bestFit="1" customWidth="1"/>
    <col min="5898" max="5898" width="20.7109375" style="1098" customWidth="1"/>
    <col min="5899" max="5899" width="20.140625" style="1098" customWidth="1"/>
    <col min="5900" max="5900" width="20.85546875" style="1098" customWidth="1"/>
    <col min="5901" max="6144" width="9.140625" style="1098"/>
    <col min="6145" max="6145" width="4.7109375" style="1098" customWidth="1"/>
    <col min="6146" max="6146" width="6.140625" style="1098" customWidth="1"/>
    <col min="6147" max="6147" width="8.7109375" style="1098" customWidth="1"/>
    <col min="6148" max="6148" width="42.140625" style="1098" customWidth="1"/>
    <col min="6149" max="6149" width="12.85546875" style="1098" customWidth="1"/>
    <col min="6150" max="6150" width="15.85546875" style="1098" customWidth="1"/>
    <col min="6151" max="6151" width="14.5703125" style="1098" customWidth="1"/>
    <col min="6152" max="6152" width="8.28515625" style="1098" customWidth="1"/>
    <col min="6153" max="6153" width="12.7109375" style="1098" bestFit="1" customWidth="1"/>
    <col min="6154" max="6154" width="20.7109375" style="1098" customWidth="1"/>
    <col min="6155" max="6155" width="20.140625" style="1098" customWidth="1"/>
    <col min="6156" max="6156" width="20.85546875" style="1098" customWidth="1"/>
    <col min="6157" max="6400" width="9.140625" style="1098"/>
    <col min="6401" max="6401" width="4.7109375" style="1098" customWidth="1"/>
    <col min="6402" max="6402" width="6.140625" style="1098" customWidth="1"/>
    <col min="6403" max="6403" width="8.7109375" style="1098" customWidth="1"/>
    <col min="6404" max="6404" width="42.140625" style="1098" customWidth="1"/>
    <col min="6405" max="6405" width="12.85546875" style="1098" customWidth="1"/>
    <col min="6406" max="6406" width="15.85546875" style="1098" customWidth="1"/>
    <col min="6407" max="6407" width="14.5703125" style="1098" customWidth="1"/>
    <col min="6408" max="6408" width="8.28515625" style="1098" customWidth="1"/>
    <col min="6409" max="6409" width="12.7109375" style="1098" bestFit="1" customWidth="1"/>
    <col min="6410" max="6410" width="20.7109375" style="1098" customWidth="1"/>
    <col min="6411" max="6411" width="20.140625" style="1098" customWidth="1"/>
    <col min="6412" max="6412" width="20.85546875" style="1098" customWidth="1"/>
    <col min="6413" max="6656" width="9.140625" style="1098"/>
    <col min="6657" max="6657" width="4.7109375" style="1098" customWidth="1"/>
    <col min="6658" max="6658" width="6.140625" style="1098" customWidth="1"/>
    <col min="6659" max="6659" width="8.7109375" style="1098" customWidth="1"/>
    <col min="6660" max="6660" width="42.140625" style="1098" customWidth="1"/>
    <col min="6661" max="6661" width="12.85546875" style="1098" customWidth="1"/>
    <col min="6662" max="6662" width="15.85546875" style="1098" customWidth="1"/>
    <col min="6663" max="6663" width="14.5703125" style="1098" customWidth="1"/>
    <col min="6664" max="6664" width="8.28515625" style="1098" customWidth="1"/>
    <col min="6665" max="6665" width="12.7109375" style="1098" bestFit="1" customWidth="1"/>
    <col min="6666" max="6666" width="20.7109375" style="1098" customWidth="1"/>
    <col min="6667" max="6667" width="20.140625" style="1098" customWidth="1"/>
    <col min="6668" max="6668" width="20.85546875" style="1098" customWidth="1"/>
    <col min="6669" max="6912" width="9.140625" style="1098"/>
    <col min="6913" max="6913" width="4.7109375" style="1098" customWidth="1"/>
    <col min="6914" max="6914" width="6.140625" style="1098" customWidth="1"/>
    <col min="6915" max="6915" width="8.7109375" style="1098" customWidth="1"/>
    <col min="6916" max="6916" width="42.140625" style="1098" customWidth="1"/>
    <col min="6917" max="6917" width="12.85546875" style="1098" customWidth="1"/>
    <col min="6918" max="6918" width="15.85546875" style="1098" customWidth="1"/>
    <col min="6919" max="6919" width="14.5703125" style="1098" customWidth="1"/>
    <col min="6920" max="6920" width="8.28515625" style="1098" customWidth="1"/>
    <col min="6921" max="6921" width="12.7109375" style="1098" bestFit="1" customWidth="1"/>
    <col min="6922" max="6922" width="20.7109375" style="1098" customWidth="1"/>
    <col min="6923" max="6923" width="20.140625" style="1098" customWidth="1"/>
    <col min="6924" max="6924" width="20.85546875" style="1098" customWidth="1"/>
    <col min="6925" max="7168" width="9.140625" style="1098"/>
    <col min="7169" max="7169" width="4.7109375" style="1098" customWidth="1"/>
    <col min="7170" max="7170" width="6.140625" style="1098" customWidth="1"/>
    <col min="7171" max="7171" width="8.7109375" style="1098" customWidth="1"/>
    <col min="7172" max="7172" width="42.140625" style="1098" customWidth="1"/>
    <col min="7173" max="7173" width="12.85546875" style="1098" customWidth="1"/>
    <col min="7174" max="7174" width="15.85546875" style="1098" customWidth="1"/>
    <col min="7175" max="7175" width="14.5703125" style="1098" customWidth="1"/>
    <col min="7176" max="7176" width="8.28515625" style="1098" customWidth="1"/>
    <col min="7177" max="7177" width="12.7109375" style="1098" bestFit="1" customWidth="1"/>
    <col min="7178" max="7178" width="20.7109375" style="1098" customWidth="1"/>
    <col min="7179" max="7179" width="20.140625" style="1098" customWidth="1"/>
    <col min="7180" max="7180" width="20.85546875" style="1098" customWidth="1"/>
    <col min="7181" max="7424" width="9.140625" style="1098"/>
    <col min="7425" max="7425" width="4.7109375" style="1098" customWidth="1"/>
    <col min="7426" max="7426" width="6.140625" style="1098" customWidth="1"/>
    <col min="7427" max="7427" width="8.7109375" style="1098" customWidth="1"/>
    <col min="7428" max="7428" width="42.140625" style="1098" customWidth="1"/>
    <col min="7429" max="7429" width="12.85546875" style="1098" customWidth="1"/>
    <col min="7430" max="7430" width="15.85546875" style="1098" customWidth="1"/>
    <col min="7431" max="7431" width="14.5703125" style="1098" customWidth="1"/>
    <col min="7432" max="7432" width="8.28515625" style="1098" customWidth="1"/>
    <col min="7433" max="7433" width="12.7109375" style="1098" bestFit="1" customWidth="1"/>
    <col min="7434" max="7434" width="20.7109375" style="1098" customWidth="1"/>
    <col min="7435" max="7435" width="20.140625" style="1098" customWidth="1"/>
    <col min="7436" max="7436" width="20.85546875" style="1098" customWidth="1"/>
    <col min="7437" max="7680" width="9.140625" style="1098"/>
    <col min="7681" max="7681" width="4.7109375" style="1098" customWidth="1"/>
    <col min="7682" max="7682" width="6.140625" style="1098" customWidth="1"/>
    <col min="7683" max="7683" width="8.7109375" style="1098" customWidth="1"/>
    <col min="7684" max="7684" width="42.140625" style="1098" customWidth="1"/>
    <col min="7685" max="7685" width="12.85546875" style="1098" customWidth="1"/>
    <col min="7686" max="7686" width="15.85546875" style="1098" customWidth="1"/>
    <col min="7687" max="7687" width="14.5703125" style="1098" customWidth="1"/>
    <col min="7688" max="7688" width="8.28515625" style="1098" customWidth="1"/>
    <col min="7689" max="7689" width="12.7109375" style="1098" bestFit="1" customWidth="1"/>
    <col min="7690" max="7690" width="20.7109375" style="1098" customWidth="1"/>
    <col min="7691" max="7691" width="20.140625" style="1098" customWidth="1"/>
    <col min="7692" max="7692" width="20.85546875" style="1098" customWidth="1"/>
    <col min="7693" max="7936" width="9.140625" style="1098"/>
    <col min="7937" max="7937" width="4.7109375" style="1098" customWidth="1"/>
    <col min="7938" max="7938" width="6.140625" style="1098" customWidth="1"/>
    <col min="7939" max="7939" width="8.7109375" style="1098" customWidth="1"/>
    <col min="7940" max="7940" width="42.140625" style="1098" customWidth="1"/>
    <col min="7941" max="7941" width="12.85546875" style="1098" customWidth="1"/>
    <col min="7942" max="7942" width="15.85546875" style="1098" customWidth="1"/>
    <col min="7943" max="7943" width="14.5703125" style="1098" customWidth="1"/>
    <col min="7944" max="7944" width="8.28515625" style="1098" customWidth="1"/>
    <col min="7945" max="7945" width="12.7109375" style="1098" bestFit="1" customWidth="1"/>
    <col min="7946" max="7946" width="20.7109375" style="1098" customWidth="1"/>
    <col min="7947" max="7947" width="20.140625" style="1098" customWidth="1"/>
    <col min="7948" max="7948" width="20.85546875" style="1098" customWidth="1"/>
    <col min="7949" max="8192" width="9.140625" style="1098"/>
    <col min="8193" max="8193" width="4.7109375" style="1098" customWidth="1"/>
    <col min="8194" max="8194" width="6.140625" style="1098" customWidth="1"/>
    <col min="8195" max="8195" width="8.7109375" style="1098" customWidth="1"/>
    <col min="8196" max="8196" width="42.140625" style="1098" customWidth="1"/>
    <col min="8197" max="8197" width="12.85546875" style="1098" customWidth="1"/>
    <col min="8198" max="8198" width="15.85546875" style="1098" customWidth="1"/>
    <col min="8199" max="8199" width="14.5703125" style="1098" customWidth="1"/>
    <col min="8200" max="8200" width="8.28515625" style="1098" customWidth="1"/>
    <col min="8201" max="8201" width="12.7109375" style="1098" bestFit="1" customWidth="1"/>
    <col min="8202" max="8202" width="20.7109375" style="1098" customWidth="1"/>
    <col min="8203" max="8203" width="20.140625" style="1098" customWidth="1"/>
    <col min="8204" max="8204" width="20.85546875" style="1098" customWidth="1"/>
    <col min="8205" max="8448" width="9.140625" style="1098"/>
    <col min="8449" max="8449" width="4.7109375" style="1098" customWidth="1"/>
    <col min="8450" max="8450" width="6.140625" style="1098" customWidth="1"/>
    <col min="8451" max="8451" width="8.7109375" style="1098" customWidth="1"/>
    <col min="8452" max="8452" width="42.140625" style="1098" customWidth="1"/>
    <col min="8453" max="8453" width="12.85546875" style="1098" customWidth="1"/>
    <col min="8454" max="8454" width="15.85546875" style="1098" customWidth="1"/>
    <col min="8455" max="8455" width="14.5703125" style="1098" customWidth="1"/>
    <col min="8456" max="8456" width="8.28515625" style="1098" customWidth="1"/>
    <col min="8457" max="8457" width="12.7109375" style="1098" bestFit="1" customWidth="1"/>
    <col min="8458" max="8458" width="20.7109375" style="1098" customWidth="1"/>
    <col min="8459" max="8459" width="20.140625" style="1098" customWidth="1"/>
    <col min="8460" max="8460" width="20.85546875" style="1098" customWidth="1"/>
    <col min="8461" max="8704" width="9.140625" style="1098"/>
    <col min="8705" max="8705" width="4.7109375" style="1098" customWidth="1"/>
    <col min="8706" max="8706" width="6.140625" style="1098" customWidth="1"/>
    <col min="8707" max="8707" width="8.7109375" style="1098" customWidth="1"/>
    <col min="8708" max="8708" width="42.140625" style="1098" customWidth="1"/>
    <col min="8709" max="8709" width="12.85546875" style="1098" customWidth="1"/>
    <col min="8710" max="8710" width="15.85546875" style="1098" customWidth="1"/>
    <col min="8711" max="8711" width="14.5703125" style="1098" customWidth="1"/>
    <col min="8712" max="8712" width="8.28515625" style="1098" customWidth="1"/>
    <col min="8713" max="8713" width="12.7109375" style="1098" bestFit="1" customWidth="1"/>
    <col min="8714" max="8714" width="20.7109375" style="1098" customWidth="1"/>
    <col min="8715" max="8715" width="20.140625" style="1098" customWidth="1"/>
    <col min="8716" max="8716" width="20.85546875" style="1098" customWidth="1"/>
    <col min="8717" max="8960" width="9.140625" style="1098"/>
    <col min="8961" max="8961" width="4.7109375" style="1098" customWidth="1"/>
    <col min="8962" max="8962" width="6.140625" style="1098" customWidth="1"/>
    <col min="8963" max="8963" width="8.7109375" style="1098" customWidth="1"/>
    <col min="8964" max="8964" width="42.140625" style="1098" customWidth="1"/>
    <col min="8965" max="8965" width="12.85546875" style="1098" customWidth="1"/>
    <col min="8966" max="8966" width="15.85546875" style="1098" customWidth="1"/>
    <col min="8967" max="8967" width="14.5703125" style="1098" customWidth="1"/>
    <col min="8968" max="8968" width="8.28515625" style="1098" customWidth="1"/>
    <col min="8969" max="8969" width="12.7109375" style="1098" bestFit="1" customWidth="1"/>
    <col min="8970" max="8970" width="20.7109375" style="1098" customWidth="1"/>
    <col min="8971" max="8971" width="20.140625" style="1098" customWidth="1"/>
    <col min="8972" max="8972" width="20.85546875" style="1098" customWidth="1"/>
    <col min="8973" max="9216" width="9.140625" style="1098"/>
    <col min="9217" max="9217" width="4.7109375" style="1098" customWidth="1"/>
    <col min="9218" max="9218" width="6.140625" style="1098" customWidth="1"/>
    <col min="9219" max="9219" width="8.7109375" style="1098" customWidth="1"/>
    <col min="9220" max="9220" width="42.140625" style="1098" customWidth="1"/>
    <col min="9221" max="9221" width="12.85546875" style="1098" customWidth="1"/>
    <col min="9222" max="9222" width="15.85546875" style="1098" customWidth="1"/>
    <col min="9223" max="9223" width="14.5703125" style="1098" customWidth="1"/>
    <col min="9224" max="9224" width="8.28515625" style="1098" customWidth="1"/>
    <col min="9225" max="9225" width="12.7109375" style="1098" bestFit="1" customWidth="1"/>
    <col min="9226" max="9226" width="20.7109375" style="1098" customWidth="1"/>
    <col min="9227" max="9227" width="20.140625" style="1098" customWidth="1"/>
    <col min="9228" max="9228" width="20.85546875" style="1098" customWidth="1"/>
    <col min="9229" max="9472" width="9.140625" style="1098"/>
    <col min="9473" max="9473" width="4.7109375" style="1098" customWidth="1"/>
    <col min="9474" max="9474" width="6.140625" style="1098" customWidth="1"/>
    <col min="9475" max="9475" width="8.7109375" style="1098" customWidth="1"/>
    <col min="9476" max="9476" width="42.140625" style="1098" customWidth="1"/>
    <col min="9477" max="9477" width="12.85546875" style="1098" customWidth="1"/>
    <col min="9478" max="9478" width="15.85546875" style="1098" customWidth="1"/>
    <col min="9479" max="9479" width="14.5703125" style="1098" customWidth="1"/>
    <col min="9480" max="9480" width="8.28515625" style="1098" customWidth="1"/>
    <col min="9481" max="9481" width="12.7109375" style="1098" bestFit="1" customWidth="1"/>
    <col min="9482" max="9482" width="20.7109375" style="1098" customWidth="1"/>
    <col min="9483" max="9483" width="20.140625" style="1098" customWidth="1"/>
    <col min="9484" max="9484" width="20.85546875" style="1098" customWidth="1"/>
    <col min="9485" max="9728" width="9.140625" style="1098"/>
    <col min="9729" max="9729" width="4.7109375" style="1098" customWidth="1"/>
    <col min="9730" max="9730" width="6.140625" style="1098" customWidth="1"/>
    <col min="9731" max="9731" width="8.7109375" style="1098" customWidth="1"/>
    <col min="9732" max="9732" width="42.140625" style="1098" customWidth="1"/>
    <col min="9733" max="9733" width="12.85546875" style="1098" customWidth="1"/>
    <col min="9734" max="9734" width="15.85546875" style="1098" customWidth="1"/>
    <col min="9735" max="9735" width="14.5703125" style="1098" customWidth="1"/>
    <col min="9736" max="9736" width="8.28515625" style="1098" customWidth="1"/>
    <col min="9737" max="9737" width="12.7109375" style="1098" bestFit="1" customWidth="1"/>
    <col min="9738" max="9738" width="20.7109375" style="1098" customWidth="1"/>
    <col min="9739" max="9739" width="20.140625" style="1098" customWidth="1"/>
    <col min="9740" max="9740" width="20.85546875" style="1098" customWidth="1"/>
    <col min="9741" max="9984" width="9.140625" style="1098"/>
    <col min="9985" max="9985" width="4.7109375" style="1098" customWidth="1"/>
    <col min="9986" max="9986" width="6.140625" style="1098" customWidth="1"/>
    <col min="9987" max="9987" width="8.7109375" style="1098" customWidth="1"/>
    <col min="9988" max="9988" width="42.140625" style="1098" customWidth="1"/>
    <col min="9989" max="9989" width="12.85546875" style="1098" customWidth="1"/>
    <col min="9990" max="9990" width="15.85546875" style="1098" customWidth="1"/>
    <col min="9991" max="9991" width="14.5703125" style="1098" customWidth="1"/>
    <col min="9992" max="9992" width="8.28515625" style="1098" customWidth="1"/>
    <col min="9993" max="9993" width="12.7109375" style="1098" bestFit="1" customWidth="1"/>
    <col min="9994" max="9994" width="20.7109375" style="1098" customWidth="1"/>
    <col min="9995" max="9995" width="20.140625" style="1098" customWidth="1"/>
    <col min="9996" max="9996" width="20.85546875" style="1098" customWidth="1"/>
    <col min="9997" max="10240" width="9.140625" style="1098"/>
    <col min="10241" max="10241" width="4.7109375" style="1098" customWidth="1"/>
    <col min="10242" max="10242" width="6.140625" style="1098" customWidth="1"/>
    <col min="10243" max="10243" width="8.7109375" style="1098" customWidth="1"/>
    <col min="10244" max="10244" width="42.140625" style="1098" customWidth="1"/>
    <col min="10245" max="10245" width="12.85546875" style="1098" customWidth="1"/>
    <col min="10246" max="10246" width="15.85546875" style="1098" customWidth="1"/>
    <col min="10247" max="10247" width="14.5703125" style="1098" customWidth="1"/>
    <col min="10248" max="10248" width="8.28515625" style="1098" customWidth="1"/>
    <col min="10249" max="10249" width="12.7109375" style="1098" bestFit="1" customWidth="1"/>
    <col min="10250" max="10250" width="20.7109375" style="1098" customWidth="1"/>
    <col min="10251" max="10251" width="20.140625" style="1098" customWidth="1"/>
    <col min="10252" max="10252" width="20.85546875" style="1098" customWidth="1"/>
    <col min="10253" max="10496" width="9.140625" style="1098"/>
    <col min="10497" max="10497" width="4.7109375" style="1098" customWidth="1"/>
    <col min="10498" max="10498" width="6.140625" style="1098" customWidth="1"/>
    <col min="10499" max="10499" width="8.7109375" style="1098" customWidth="1"/>
    <col min="10500" max="10500" width="42.140625" style="1098" customWidth="1"/>
    <col min="10501" max="10501" width="12.85546875" style="1098" customWidth="1"/>
    <col min="10502" max="10502" width="15.85546875" style="1098" customWidth="1"/>
    <col min="10503" max="10503" width="14.5703125" style="1098" customWidth="1"/>
    <col min="10504" max="10504" width="8.28515625" style="1098" customWidth="1"/>
    <col min="10505" max="10505" width="12.7109375" style="1098" bestFit="1" customWidth="1"/>
    <col min="10506" max="10506" width="20.7109375" style="1098" customWidth="1"/>
    <col min="10507" max="10507" width="20.140625" style="1098" customWidth="1"/>
    <col min="10508" max="10508" width="20.85546875" style="1098" customWidth="1"/>
    <col min="10509" max="10752" width="9.140625" style="1098"/>
    <col min="10753" max="10753" width="4.7109375" style="1098" customWidth="1"/>
    <col min="10754" max="10754" width="6.140625" style="1098" customWidth="1"/>
    <col min="10755" max="10755" width="8.7109375" style="1098" customWidth="1"/>
    <col min="10756" max="10756" width="42.140625" style="1098" customWidth="1"/>
    <col min="10757" max="10757" width="12.85546875" style="1098" customWidth="1"/>
    <col min="10758" max="10758" width="15.85546875" style="1098" customWidth="1"/>
    <col min="10759" max="10759" width="14.5703125" style="1098" customWidth="1"/>
    <col min="10760" max="10760" width="8.28515625" style="1098" customWidth="1"/>
    <col min="10761" max="10761" width="12.7109375" style="1098" bestFit="1" customWidth="1"/>
    <col min="10762" max="10762" width="20.7109375" style="1098" customWidth="1"/>
    <col min="10763" max="10763" width="20.140625" style="1098" customWidth="1"/>
    <col min="10764" max="10764" width="20.85546875" style="1098" customWidth="1"/>
    <col min="10765" max="11008" width="9.140625" style="1098"/>
    <col min="11009" max="11009" width="4.7109375" style="1098" customWidth="1"/>
    <col min="11010" max="11010" width="6.140625" style="1098" customWidth="1"/>
    <col min="11011" max="11011" width="8.7109375" style="1098" customWidth="1"/>
    <col min="11012" max="11012" width="42.140625" style="1098" customWidth="1"/>
    <col min="11013" max="11013" width="12.85546875" style="1098" customWidth="1"/>
    <col min="11014" max="11014" width="15.85546875" style="1098" customWidth="1"/>
    <col min="11015" max="11015" width="14.5703125" style="1098" customWidth="1"/>
    <col min="11016" max="11016" width="8.28515625" style="1098" customWidth="1"/>
    <col min="11017" max="11017" width="12.7109375" style="1098" bestFit="1" customWidth="1"/>
    <col min="11018" max="11018" width="20.7109375" style="1098" customWidth="1"/>
    <col min="11019" max="11019" width="20.140625" style="1098" customWidth="1"/>
    <col min="11020" max="11020" width="20.85546875" style="1098" customWidth="1"/>
    <col min="11021" max="11264" width="9.140625" style="1098"/>
    <col min="11265" max="11265" width="4.7109375" style="1098" customWidth="1"/>
    <col min="11266" max="11266" width="6.140625" style="1098" customWidth="1"/>
    <col min="11267" max="11267" width="8.7109375" style="1098" customWidth="1"/>
    <col min="11268" max="11268" width="42.140625" style="1098" customWidth="1"/>
    <col min="11269" max="11269" width="12.85546875" style="1098" customWidth="1"/>
    <col min="11270" max="11270" width="15.85546875" style="1098" customWidth="1"/>
    <col min="11271" max="11271" width="14.5703125" style="1098" customWidth="1"/>
    <col min="11272" max="11272" width="8.28515625" style="1098" customWidth="1"/>
    <col min="11273" max="11273" width="12.7109375" style="1098" bestFit="1" customWidth="1"/>
    <col min="11274" max="11274" width="20.7109375" style="1098" customWidth="1"/>
    <col min="11275" max="11275" width="20.140625" style="1098" customWidth="1"/>
    <col min="11276" max="11276" width="20.85546875" style="1098" customWidth="1"/>
    <col min="11277" max="11520" width="9.140625" style="1098"/>
    <col min="11521" max="11521" width="4.7109375" style="1098" customWidth="1"/>
    <col min="11522" max="11522" width="6.140625" style="1098" customWidth="1"/>
    <col min="11523" max="11523" width="8.7109375" style="1098" customWidth="1"/>
    <col min="11524" max="11524" width="42.140625" style="1098" customWidth="1"/>
    <col min="11525" max="11525" width="12.85546875" style="1098" customWidth="1"/>
    <col min="11526" max="11526" width="15.85546875" style="1098" customWidth="1"/>
    <col min="11527" max="11527" width="14.5703125" style="1098" customWidth="1"/>
    <col min="11528" max="11528" width="8.28515625" style="1098" customWidth="1"/>
    <col min="11529" max="11529" width="12.7109375" style="1098" bestFit="1" customWidth="1"/>
    <col min="11530" max="11530" width="20.7109375" style="1098" customWidth="1"/>
    <col min="11531" max="11531" width="20.140625" style="1098" customWidth="1"/>
    <col min="11532" max="11532" width="20.85546875" style="1098" customWidth="1"/>
    <col min="11533" max="11776" width="9.140625" style="1098"/>
    <col min="11777" max="11777" width="4.7109375" style="1098" customWidth="1"/>
    <col min="11778" max="11778" width="6.140625" style="1098" customWidth="1"/>
    <col min="11779" max="11779" width="8.7109375" style="1098" customWidth="1"/>
    <col min="11780" max="11780" width="42.140625" style="1098" customWidth="1"/>
    <col min="11781" max="11781" width="12.85546875" style="1098" customWidth="1"/>
    <col min="11782" max="11782" width="15.85546875" style="1098" customWidth="1"/>
    <col min="11783" max="11783" width="14.5703125" style="1098" customWidth="1"/>
    <col min="11784" max="11784" width="8.28515625" style="1098" customWidth="1"/>
    <col min="11785" max="11785" width="12.7109375" style="1098" bestFit="1" customWidth="1"/>
    <col min="11786" max="11786" width="20.7109375" style="1098" customWidth="1"/>
    <col min="11787" max="11787" width="20.140625" style="1098" customWidth="1"/>
    <col min="11788" max="11788" width="20.85546875" style="1098" customWidth="1"/>
    <col min="11789" max="12032" width="9.140625" style="1098"/>
    <col min="12033" max="12033" width="4.7109375" style="1098" customWidth="1"/>
    <col min="12034" max="12034" width="6.140625" style="1098" customWidth="1"/>
    <col min="12035" max="12035" width="8.7109375" style="1098" customWidth="1"/>
    <col min="12036" max="12036" width="42.140625" style="1098" customWidth="1"/>
    <col min="12037" max="12037" width="12.85546875" style="1098" customWidth="1"/>
    <col min="12038" max="12038" width="15.85546875" style="1098" customWidth="1"/>
    <col min="12039" max="12039" width="14.5703125" style="1098" customWidth="1"/>
    <col min="12040" max="12040" width="8.28515625" style="1098" customWidth="1"/>
    <col min="12041" max="12041" width="12.7109375" style="1098" bestFit="1" customWidth="1"/>
    <col min="12042" max="12042" width="20.7109375" style="1098" customWidth="1"/>
    <col min="12043" max="12043" width="20.140625" style="1098" customWidth="1"/>
    <col min="12044" max="12044" width="20.85546875" style="1098" customWidth="1"/>
    <col min="12045" max="12288" width="9.140625" style="1098"/>
    <col min="12289" max="12289" width="4.7109375" style="1098" customWidth="1"/>
    <col min="12290" max="12290" width="6.140625" style="1098" customWidth="1"/>
    <col min="12291" max="12291" width="8.7109375" style="1098" customWidth="1"/>
    <col min="12292" max="12292" width="42.140625" style="1098" customWidth="1"/>
    <col min="12293" max="12293" width="12.85546875" style="1098" customWidth="1"/>
    <col min="12294" max="12294" width="15.85546875" style="1098" customWidth="1"/>
    <col min="12295" max="12295" width="14.5703125" style="1098" customWidth="1"/>
    <col min="12296" max="12296" width="8.28515625" style="1098" customWidth="1"/>
    <col min="12297" max="12297" width="12.7109375" style="1098" bestFit="1" customWidth="1"/>
    <col min="12298" max="12298" width="20.7109375" style="1098" customWidth="1"/>
    <col min="12299" max="12299" width="20.140625" style="1098" customWidth="1"/>
    <col min="12300" max="12300" width="20.85546875" style="1098" customWidth="1"/>
    <col min="12301" max="12544" width="9.140625" style="1098"/>
    <col min="12545" max="12545" width="4.7109375" style="1098" customWidth="1"/>
    <col min="12546" max="12546" width="6.140625" style="1098" customWidth="1"/>
    <col min="12547" max="12547" width="8.7109375" style="1098" customWidth="1"/>
    <col min="12548" max="12548" width="42.140625" style="1098" customWidth="1"/>
    <col min="12549" max="12549" width="12.85546875" style="1098" customWidth="1"/>
    <col min="12550" max="12550" width="15.85546875" style="1098" customWidth="1"/>
    <col min="12551" max="12551" width="14.5703125" style="1098" customWidth="1"/>
    <col min="12552" max="12552" width="8.28515625" style="1098" customWidth="1"/>
    <col min="12553" max="12553" width="12.7109375" style="1098" bestFit="1" customWidth="1"/>
    <col min="12554" max="12554" width="20.7109375" style="1098" customWidth="1"/>
    <col min="12555" max="12555" width="20.140625" style="1098" customWidth="1"/>
    <col min="12556" max="12556" width="20.85546875" style="1098" customWidth="1"/>
    <col min="12557" max="12800" width="9.140625" style="1098"/>
    <col min="12801" max="12801" width="4.7109375" style="1098" customWidth="1"/>
    <col min="12802" max="12802" width="6.140625" style="1098" customWidth="1"/>
    <col min="12803" max="12803" width="8.7109375" style="1098" customWidth="1"/>
    <col min="12804" max="12804" width="42.140625" style="1098" customWidth="1"/>
    <col min="12805" max="12805" width="12.85546875" style="1098" customWidth="1"/>
    <col min="12806" max="12806" width="15.85546875" style="1098" customWidth="1"/>
    <col min="12807" max="12807" width="14.5703125" style="1098" customWidth="1"/>
    <col min="12808" max="12808" width="8.28515625" style="1098" customWidth="1"/>
    <col min="12809" max="12809" width="12.7109375" style="1098" bestFit="1" customWidth="1"/>
    <col min="12810" max="12810" width="20.7109375" style="1098" customWidth="1"/>
    <col min="12811" max="12811" width="20.140625" style="1098" customWidth="1"/>
    <col min="12812" max="12812" width="20.85546875" style="1098" customWidth="1"/>
    <col min="12813" max="13056" width="9.140625" style="1098"/>
    <col min="13057" max="13057" width="4.7109375" style="1098" customWidth="1"/>
    <col min="13058" max="13058" width="6.140625" style="1098" customWidth="1"/>
    <col min="13059" max="13059" width="8.7109375" style="1098" customWidth="1"/>
    <col min="13060" max="13060" width="42.140625" style="1098" customWidth="1"/>
    <col min="13061" max="13061" width="12.85546875" style="1098" customWidth="1"/>
    <col min="13062" max="13062" width="15.85546875" style="1098" customWidth="1"/>
    <col min="13063" max="13063" width="14.5703125" style="1098" customWidth="1"/>
    <col min="13064" max="13064" width="8.28515625" style="1098" customWidth="1"/>
    <col min="13065" max="13065" width="12.7109375" style="1098" bestFit="1" customWidth="1"/>
    <col min="13066" max="13066" width="20.7109375" style="1098" customWidth="1"/>
    <col min="13067" max="13067" width="20.140625" style="1098" customWidth="1"/>
    <col min="13068" max="13068" width="20.85546875" style="1098" customWidth="1"/>
    <col min="13069" max="13312" width="9.140625" style="1098"/>
    <col min="13313" max="13313" width="4.7109375" style="1098" customWidth="1"/>
    <col min="13314" max="13314" width="6.140625" style="1098" customWidth="1"/>
    <col min="13315" max="13315" width="8.7109375" style="1098" customWidth="1"/>
    <col min="13316" max="13316" width="42.140625" style="1098" customWidth="1"/>
    <col min="13317" max="13317" width="12.85546875" style="1098" customWidth="1"/>
    <col min="13318" max="13318" width="15.85546875" style="1098" customWidth="1"/>
    <col min="13319" max="13319" width="14.5703125" style="1098" customWidth="1"/>
    <col min="13320" max="13320" width="8.28515625" style="1098" customWidth="1"/>
    <col min="13321" max="13321" width="12.7109375" style="1098" bestFit="1" customWidth="1"/>
    <col min="13322" max="13322" width="20.7109375" style="1098" customWidth="1"/>
    <col min="13323" max="13323" width="20.140625" style="1098" customWidth="1"/>
    <col min="13324" max="13324" width="20.85546875" style="1098" customWidth="1"/>
    <col min="13325" max="13568" width="9.140625" style="1098"/>
    <col min="13569" max="13569" width="4.7109375" style="1098" customWidth="1"/>
    <col min="13570" max="13570" width="6.140625" style="1098" customWidth="1"/>
    <col min="13571" max="13571" width="8.7109375" style="1098" customWidth="1"/>
    <col min="13572" max="13572" width="42.140625" style="1098" customWidth="1"/>
    <col min="13573" max="13573" width="12.85546875" style="1098" customWidth="1"/>
    <col min="13574" max="13574" width="15.85546875" style="1098" customWidth="1"/>
    <col min="13575" max="13575" width="14.5703125" style="1098" customWidth="1"/>
    <col min="13576" max="13576" width="8.28515625" style="1098" customWidth="1"/>
    <col min="13577" max="13577" width="12.7109375" style="1098" bestFit="1" customWidth="1"/>
    <col min="13578" max="13578" width="20.7109375" style="1098" customWidth="1"/>
    <col min="13579" max="13579" width="20.140625" style="1098" customWidth="1"/>
    <col min="13580" max="13580" width="20.85546875" style="1098" customWidth="1"/>
    <col min="13581" max="13824" width="9.140625" style="1098"/>
    <col min="13825" max="13825" width="4.7109375" style="1098" customWidth="1"/>
    <col min="13826" max="13826" width="6.140625" style="1098" customWidth="1"/>
    <col min="13827" max="13827" width="8.7109375" style="1098" customWidth="1"/>
    <col min="13828" max="13828" width="42.140625" style="1098" customWidth="1"/>
    <col min="13829" max="13829" width="12.85546875" style="1098" customWidth="1"/>
    <col min="13830" max="13830" width="15.85546875" style="1098" customWidth="1"/>
    <col min="13831" max="13831" width="14.5703125" style="1098" customWidth="1"/>
    <col min="13832" max="13832" width="8.28515625" style="1098" customWidth="1"/>
    <col min="13833" max="13833" width="12.7109375" style="1098" bestFit="1" customWidth="1"/>
    <col min="13834" max="13834" width="20.7109375" style="1098" customWidth="1"/>
    <col min="13835" max="13835" width="20.140625" style="1098" customWidth="1"/>
    <col min="13836" max="13836" width="20.85546875" style="1098" customWidth="1"/>
    <col min="13837" max="14080" width="9.140625" style="1098"/>
    <col min="14081" max="14081" width="4.7109375" style="1098" customWidth="1"/>
    <col min="14082" max="14082" width="6.140625" style="1098" customWidth="1"/>
    <col min="14083" max="14083" width="8.7109375" style="1098" customWidth="1"/>
    <col min="14084" max="14084" width="42.140625" style="1098" customWidth="1"/>
    <col min="14085" max="14085" width="12.85546875" style="1098" customWidth="1"/>
    <col min="14086" max="14086" width="15.85546875" style="1098" customWidth="1"/>
    <col min="14087" max="14087" width="14.5703125" style="1098" customWidth="1"/>
    <col min="14088" max="14088" width="8.28515625" style="1098" customWidth="1"/>
    <col min="14089" max="14089" width="12.7109375" style="1098" bestFit="1" customWidth="1"/>
    <col min="14090" max="14090" width="20.7109375" style="1098" customWidth="1"/>
    <col min="14091" max="14091" width="20.140625" style="1098" customWidth="1"/>
    <col min="14092" max="14092" width="20.85546875" style="1098" customWidth="1"/>
    <col min="14093" max="14336" width="9.140625" style="1098"/>
    <col min="14337" max="14337" width="4.7109375" style="1098" customWidth="1"/>
    <col min="14338" max="14338" width="6.140625" style="1098" customWidth="1"/>
    <col min="14339" max="14339" width="8.7109375" style="1098" customWidth="1"/>
    <col min="14340" max="14340" width="42.140625" style="1098" customWidth="1"/>
    <col min="14341" max="14341" width="12.85546875" style="1098" customWidth="1"/>
    <col min="14342" max="14342" width="15.85546875" style="1098" customWidth="1"/>
    <col min="14343" max="14343" width="14.5703125" style="1098" customWidth="1"/>
    <col min="14344" max="14344" width="8.28515625" style="1098" customWidth="1"/>
    <col min="14345" max="14345" width="12.7109375" style="1098" bestFit="1" customWidth="1"/>
    <col min="14346" max="14346" width="20.7109375" style="1098" customWidth="1"/>
    <col min="14347" max="14347" width="20.140625" style="1098" customWidth="1"/>
    <col min="14348" max="14348" width="20.85546875" style="1098" customWidth="1"/>
    <col min="14349" max="14592" width="9.140625" style="1098"/>
    <col min="14593" max="14593" width="4.7109375" style="1098" customWidth="1"/>
    <col min="14594" max="14594" width="6.140625" style="1098" customWidth="1"/>
    <col min="14595" max="14595" width="8.7109375" style="1098" customWidth="1"/>
    <col min="14596" max="14596" width="42.140625" style="1098" customWidth="1"/>
    <col min="14597" max="14597" width="12.85546875" style="1098" customWidth="1"/>
    <col min="14598" max="14598" width="15.85546875" style="1098" customWidth="1"/>
    <col min="14599" max="14599" width="14.5703125" style="1098" customWidth="1"/>
    <col min="14600" max="14600" width="8.28515625" style="1098" customWidth="1"/>
    <col min="14601" max="14601" width="12.7109375" style="1098" bestFit="1" customWidth="1"/>
    <col min="14602" max="14602" width="20.7109375" style="1098" customWidth="1"/>
    <col min="14603" max="14603" width="20.140625" style="1098" customWidth="1"/>
    <col min="14604" max="14604" width="20.85546875" style="1098" customWidth="1"/>
    <col min="14605" max="14848" width="9.140625" style="1098"/>
    <col min="14849" max="14849" width="4.7109375" style="1098" customWidth="1"/>
    <col min="14850" max="14850" width="6.140625" style="1098" customWidth="1"/>
    <col min="14851" max="14851" width="8.7109375" style="1098" customWidth="1"/>
    <col min="14852" max="14852" width="42.140625" style="1098" customWidth="1"/>
    <col min="14853" max="14853" width="12.85546875" style="1098" customWidth="1"/>
    <col min="14854" max="14854" width="15.85546875" style="1098" customWidth="1"/>
    <col min="14855" max="14855" width="14.5703125" style="1098" customWidth="1"/>
    <col min="14856" max="14856" width="8.28515625" style="1098" customWidth="1"/>
    <col min="14857" max="14857" width="12.7109375" style="1098" bestFit="1" customWidth="1"/>
    <col min="14858" max="14858" width="20.7109375" style="1098" customWidth="1"/>
    <col min="14859" max="14859" width="20.140625" style="1098" customWidth="1"/>
    <col min="14860" max="14860" width="20.85546875" style="1098" customWidth="1"/>
    <col min="14861" max="15104" width="9.140625" style="1098"/>
    <col min="15105" max="15105" width="4.7109375" style="1098" customWidth="1"/>
    <col min="15106" max="15106" width="6.140625" style="1098" customWidth="1"/>
    <col min="15107" max="15107" width="8.7109375" style="1098" customWidth="1"/>
    <col min="15108" max="15108" width="42.140625" style="1098" customWidth="1"/>
    <col min="15109" max="15109" width="12.85546875" style="1098" customWidth="1"/>
    <col min="15110" max="15110" width="15.85546875" style="1098" customWidth="1"/>
    <col min="15111" max="15111" width="14.5703125" style="1098" customWidth="1"/>
    <col min="15112" max="15112" width="8.28515625" style="1098" customWidth="1"/>
    <col min="15113" max="15113" width="12.7109375" style="1098" bestFit="1" customWidth="1"/>
    <col min="15114" max="15114" width="20.7109375" style="1098" customWidth="1"/>
    <col min="15115" max="15115" width="20.140625" style="1098" customWidth="1"/>
    <col min="15116" max="15116" width="20.85546875" style="1098" customWidth="1"/>
    <col min="15117" max="15360" width="9.140625" style="1098"/>
    <col min="15361" max="15361" width="4.7109375" style="1098" customWidth="1"/>
    <col min="15362" max="15362" width="6.140625" style="1098" customWidth="1"/>
    <col min="15363" max="15363" width="8.7109375" style="1098" customWidth="1"/>
    <col min="15364" max="15364" width="42.140625" style="1098" customWidth="1"/>
    <col min="15365" max="15365" width="12.85546875" style="1098" customWidth="1"/>
    <col min="15366" max="15366" width="15.85546875" style="1098" customWidth="1"/>
    <col min="15367" max="15367" width="14.5703125" style="1098" customWidth="1"/>
    <col min="15368" max="15368" width="8.28515625" style="1098" customWidth="1"/>
    <col min="15369" max="15369" width="12.7109375" style="1098" bestFit="1" customWidth="1"/>
    <col min="15370" max="15370" width="20.7109375" style="1098" customWidth="1"/>
    <col min="15371" max="15371" width="20.140625" style="1098" customWidth="1"/>
    <col min="15372" max="15372" width="20.85546875" style="1098" customWidth="1"/>
    <col min="15373" max="15616" width="9.140625" style="1098"/>
    <col min="15617" max="15617" width="4.7109375" style="1098" customWidth="1"/>
    <col min="15618" max="15618" width="6.140625" style="1098" customWidth="1"/>
    <col min="15619" max="15619" width="8.7109375" style="1098" customWidth="1"/>
    <col min="15620" max="15620" width="42.140625" style="1098" customWidth="1"/>
    <col min="15621" max="15621" width="12.85546875" style="1098" customWidth="1"/>
    <col min="15622" max="15622" width="15.85546875" style="1098" customWidth="1"/>
    <col min="15623" max="15623" width="14.5703125" style="1098" customWidth="1"/>
    <col min="15624" max="15624" width="8.28515625" style="1098" customWidth="1"/>
    <col min="15625" max="15625" width="12.7109375" style="1098" bestFit="1" customWidth="1"/>
    <col min="15626" max="15626" width="20.7109375" style="1098" customWidth="1"/>
    <col min="15627" max="15627" width="20.140625" style="1098" customWidth="1"/>
    <col min="15628" max="15628" width="20.85546875" style="1098" customWidth="1"/>
    <col min="15629" max="15872" width="9.140625" style="1098"/>
    <col min="15873" max="15873" width="4.7109375" style="1098" customWidth="1"/>
    <col min="15874" max="15874" width="6.140625" style="1098" customWidth="1"/>
    <col min="15875" max="15875" width="8.7109375" style="1098" customWidth="1"/>
    <col min="15876" max="15876" width="42.140625" style="1098" customWidth="1"/>
    <col min="15877" max="15877" width="12.85546875" style="1098" customWidth="1"/>
    <col min="15878" max="15878" width="15.85546875" style="1098" customWidth="1"/>
    <col min="15879" max="15879" width="14.5703125" style="1098" customWidth="1"/>
    <col min="15880" max="15880" width="8.28515625" style="1098" customWidth="1"/>
    <col min="15881" max="15881" width="12.7109375" style="1098" bestFit="1" customWidth="1"/>
    <col min="15882" max="15882" width="20.7109375" style="1098" customWidth="1"/>
    <col min="15883" max="15883" width="20.140625" style="1098" customWidth="1"/>
    <col min="15884" max="15884" width="20.85546875" style="1098" customWidth="1"/>
    <col min="15885" max="16128" width="9.140625" style="1098"/>
    <col min="16129" max="16129" width="4.7109375" style="1098" customWidth="1"/>
    <col min="16130" max="16130" width="6.140625" style="1098" customWidth="1"/>
    <col min="16131" max="16131" width="8.7109375" style="1098" customWidth="1"/>
    <col min="16132" max="16132" width="42.140625" style="1098" customWidth="1"/>
    <col min="16133" max="16133" width="12.85546875" style="1098" customWidth="1"/>
    <col min="16134" max="16134" width="15.85546875" style="1098" customWidth="1"/>
    <col min="16135" max="16135" width="14.5703125" style="1098" customWidth="1"/>
    <col min="16136" max="16136" width="8.28515625" style="1098" customWidth="1"/>
    <col min="16137" max="16137" width="12.7109375" style="1098" bestFit="1" customWidth="1"/>
    <col min="16138" max="16138" width="20.7109375" style="1098" customWidth="1"/>
    <col min="16139" max="16139" width="20.140625" style="1098" customWidth="1"/>
    <col min="16140" max="16140" width="20.85546875" style="1098" customWidth="1"/>
    <col min="16141" max="16384" width="9.140625" style="1098"/>
  </cols>
  <sheetData>
    <row r="1" spans="1:9" ht="18.75" thickBot="1" x14ac:dyDescent="0.25">
      <c r="A1" s="3320" t="s">
        <v>634</v>
      </c>
      <c r="B1" s="3320"/>
      <c r="C1" s="3320"/>
      <c r="D1" s="3320"/>
      <c r="E1" s="3320"/>
      <c r="F1" s="3320"/>
      <c r="G1" s="3320"/>
      <c r="H1" s="3320" t="s">
        <v>163</v>
      </c>
    </row>
    <row r="2" spans="1:9" ht="18" x14ac:dyDescent="0.25">
      <c r="A2" s="1184"/>
      <c r="H2" s="1163" t="s">
        <v>163</v>
      </c>
    </row>
    <row r="3" spans="1:9" ht="14.25" x14ac:dyDescent="0.2">
      <c r="A3" s="1077" t="s">
        <v>201</v>
      </c>
      <c r="C3" s="1096" t="s">
        <v>121</v>
      </c>
      <c r="D3" s="1076"/>
    </row>
    <row r="4" spans="1:9" ht="14.25" x14ac:dyDescent="0.2">
      <c r="A4" s="1184"/>
      <c r="C4" s="1096" t="s">
        <v>781</v>
      </c>
      <c r="D4" s="1002"/>
    </row>
    <row r="5" spans="1:9" ht="14.25" hidden="1" x14ac:dyDescent="0.2">
      <c r="A5" s="1184"/>
      <c r="C5" s="1096" t="s">
        <v>121</v>
      </c>
      <c r="D5" s="1076"/>
      <c r="E5" s="1125"/>
      <c r="F5" s="1125"/>
    </row>
    <row r="6" spans="1:9" ht="14.25" hidden="1" x14ac:dyDescent="0.2">
      <c r="A6" s="1184"/>
      <c r="C6" s="1096" t="s">
        <v>781</v>
      </c>
      <c r="D6" s="1002"/>
      <c r="E6" s="1125"/>
      <c r="F6" s="1125"/>
    </row>
    <row r="7" spans="1:9" ht="18" x14ac:dyDescent="0.25">
      <c r="A7" s="1101" t="s">
        <v>164</v>
      </c>
    </row>
    <row r="8" spans="1:9" ht="18" x14ac:dyDescent="0.25">
      <c r="A8" s="1101"/>
    </row>
    <row r="9" spans="1:9" ht="15.75" thickBot="1" x14ac:dyDescent="0.3">
      <c r="A9" s="1103" t="s">
        <v>137</v>
      </c>
      <c r="H9" s="1177" t="s">
        <v>92</v>
      </c>
    </row>
    <row r="10" spans="1:9" s="1037" customFormat="1" ht="25.5" thickTop="1" thickBot="1" x14ac:dyDescent="0.25">
      <c r="A10" s="1104" t="s">
        <v>93</v>
      </c>
      <c r="B10" s="1105" t="s">
        <v>392</v>
      </c>
      <c r="C10" s="1105" t="s">
        <v>209</v>
      </c>
      <c r="D10" s="1106" t="s">
        <v>95</v>
      </c>
      <c r="E10" s="1127" t="s">
        <v>328</v>
      </c>
      <c r="F10" s="1127" t="s">
        <v>329</v>
      </c>
      <c r="G10" s="1128" t="s">
        <v>448</v>
      </c>
      <c r="H10" s="1129" t="s">
        <v>449</v>
      </c>
    </row>
    <row r="11" spans="1:9" s="1037" customFormat="1" ht="13.5" thickTop="1" thickBot="1" x14ac:dyDescent="0.25">
      <c r="A11" s="1042">
        <v>1</v>
      </c>
      <c r="B11" s="1041">
        <v>2</v>
      </c>
      <c r="C11" s="1041">
        <v>3</v>
      </c>
      <c r="D11" s="1041">
        <v>4</v>
      </c>
      <c r="E11" s="1040">
        <v>5</v>
      </c>
      <c r="F11" s="1040">
        <v>6</v>
      </c>
      <c r="G11" s="1164">
        <v>7</v>
      </c>
      <c r="H11" s="1186" t="s">
        <v>33</v>
      </c>
    </row>
    <row r="12" spans="1:9" ht="26.25" hidden="1" thickTop="1" x14ac:dyDescent="0.2">
      <c r="A12" s="1181">
        <v>2143</v>
      </c>
      <c r="B12" s="1187">
        <v>5142</v>
      </c>
      <c r="C12" s="2190" t="s">
        <v>871</v>
      </c>
      <c r="D12" s="1130" t="s">
        <v>820</v>
      </c>
      <c r="E12" s="1135">
        <v>0</v>
      </c>
      <c r="F12" s="1135">
        <v>0</v>
      </c>
      <c r="G12" s="1135">
        <v>0</v>
      </c>
      <c r="H12" s="1116">
        <v>0</v>
      </c>
    </row>
    <row r="13" spans="1:9" ht="30.75" hidden="1" thickTop="1" x14ac:dyDescent="0.2">
      <c r="A13" s="1181">
        <v>6409</v>
      </c>
      <c r="B13" s="1187">
        <v>5909</v>
      </c>
      <c r="C13" s="2190" t="s">
        <v>871</v>
      </c>
      <c r="D13" s="1193" t="s">
        <v>406</v>
      </c>
      <c r="E13" s="1135"/>
      <c r="F13" s="1135"/>
      <c r="G13" s="1135"/>
      <c r="H13" s="1116">
        <v>0</v>
      </c>
    </row>
    <row r="14" spans="1:9" ht="27" thickTop="1" thickBot="1" x14ac:dyDescent="0.25">
      <c r="A14" s="1181">
        <v>6330</v>
      </c>
      <c r="B14" s="1187">
        <v>5345</v>
      </c>
      <c r="C14" s="2190" t="s">
        <v>871</v>
      </c>
      <c r="D14" s="1130" t="s">
        <v>397</v>
      </c>
      <c r="E14" s="1135">
        <v>0</v>
      </c>
      <c r="F14" s="1135">
        <v>0</v>
      </c>
      <c r="G14" s="1135">
        <v>1141</v>
      </c>
      <c r="H14" s="3050">
        <v>0</v>
      </c>
    </row>
    <row r="15" spans="1:9" s="1122" customFormat="1" ht="16.5" thickTop="1" thickBot="1" x14ac:dyDescent="0.3">
      <c r="A15" s="3317" t="s">
        <v>394</v>
      </c>
      <c r="B15" s="3318"/>
      <c r="C15" s="3318"/>
      <c r="D15" s="3318"/>
      <c r="E15" s="1113">
        <f>SUM(E12:E14)</f>
        <v>0</v>
      </c>
      <c r="F15" s="1113">
        <f>SUM(F12:F14)</f>
        <v>0</v>
      </c>
      <c r="G15" s="1113">
        <f>SUM(G12:G14)</f>
        <v>1141</v>
      </c>
      <c r="H15" s="1381">
        <v>0</v>
      </c>
      <c r="I15" s="1194"/>
    </row>
    <row r="16" spans="1:9" ht="18.75" thickTop="1" x14ac:dyDescent="0.25">
      <c r="A16" s="1101"/>
    </row>
    <row r="17" spans="1:8" s="1037" customFormat="1" ht="15" hidden="1" x14ac:dyDescent="0.25">
      <c r="A17" s="1103" t="s">
        <v>111</v>
      </c>
      <c r="B17" s="1097"/>
      <c r="C17" s="1097"/>
      <c r="D17" s="1098"/>
      <c r="E17" s="1123"/>
      <c r="F17" s="1123"/>
      <c r="G17" s="1123"/>
      <c r="H17" s="1098"/>
    </row>
    <row r="18" spans="1:8" s="1037" customFormat="1" ht="15" hidden="1" x14ac:dyDescent="0.25">
      <c r="A18" s="1103" t="s">
        <v>543</v>
      </c>
      <c r="B18" s="1097"/>
      <c r="C18" s="1097"/>
      <c r="D18" s="1098"/>
      <c r="E18" s="1123"/>
      <c r="F18" s="1123"/>
      <c r="G18" s="1123"/>
      <c r="H18" s="1177" t="s">
        <v>92</v>
      </c>
    </row>
    <row r="19" spans="1:8" s="1037" customFormat="1" ht="25.5" hidden="1" thickTop="1" thickBot="1" x14ac:dyDescent="0.25">
      <c r="A19" s="1104" t="s">
        <v>93</v>
      </c>
      <c r="B19" s="1105" t="s">
        <v>392</v>
      </c>
      <c r="C19" s="1105" t="s">
        <v>209</v>
      </c>
      <c r="D19" s="1106" t="s">
        <v>95</v>
      </c>
      <c r="E19" s="1127" t="s">
        <v>328</v>
      </c>
      <c r="F19" s="1127" t="s">
        <v>329</v>
      </c>
      <c r="G19" s="1128" t="s">
        <v>448</v>
      </c>
      <c r="H19" s="1129" t="s">
        <v>449</v>
      </c>
    </row>
    <row r="20" spans="1:8" s="1037" customFormat="1" ht="13.5" hidden="1" thickTop="1" thickBot="1" x14ac:dyDescent="0.25">
      <c r="A20" s="1042">
        <v>1</v>
      </c>
      <c r="B20" s="1041">
        <v>2</v>
      </c>
      <c r="C20" s="1041">
        <v>3</v>
      </c>
      <c r="D20" s="1041">
        <v>4</v>
      </c>
      <c r="E20" s="1040">
        <v>5</v>
      </c>
      <c r="F20" s="1040">
        <v>6</v>
      </c>
      <c r="G20" s="1164">
        <v>7</v>
      </c>
      <c r="H20" s="1186" t="s">
        <v>33</v>
      </c>
    </row>
    <row r="21" spans="1:8" s="1037" customFormat="1" ht="15" hidden="1" x14ac:dyDescent="0.2">
      <c r="A21" s="1110">
        <v>3533</v>
      </c>
      <c r="B21" s="1111">
        <v>5139</v>
      </c>
      <c r="C21" s="1111">
        <v>38100870</v>
      </c>
      <c r="D21" s="1130" t="s">
        <v>152</v>
      </c>
      <c r="E21" s="1135">
        <v>0</v>
      </c>
      <c r="F21" s="1135">
        <v>0</v>
      </c>
      <c r="G21" s="1135">
        <v>0</v>
      </c>
      <c r="H21" s="1116" t="e">
        <f>G21/F21*100</f>
        <v>#DIV/0!</v>
      </c>
    </row>
    <row r="22" spans="1:8" s="1037" customFormat="1" ht="15" hidden="1" x14ac:dyDescent="0.2">
      <c r="A22" s="1110">
        <v>3533</v>
      </c>
      <c r="B22" s="1111">
        <v>5139</v>
      </c>
      <c r="C22" s="1111">
        <v>38500871</v>
      </c>
      <c r="D22" s="1130" t="s">
        <v>152</v>
      </c>
      <c r="E22" s="1135">
        <v>0</v>
      </c>
      <c r="F22" s="1135">
        <v>0</v>
      </c>
      <c r="G22" s="1135">
        <v>0</v>
      </c>
      <c r="H22" s="1116" t="e">
        <f>G22/F22*100</f>
        <v>#DIV/0!</v>
      </c>
    </row>
    <row r="23" spans="1:8" s="1037" customFormat="1" ht="15" hidden="1" x14ac:dyDescent="0.2">
      <c r="A23" s="1110">
        <v>3533</v>
      </c>
      <c r="B23" s="1111">
        <v>5169</v>
      </c>
      <c r="C23" s="1111">
        <v>38100874</v>
      </c>
      <c r="D23" s="1130" t="s">
        <v>430</v>
      </c>
      <c r="E23" s="1135">
        <v>0</v>
      </c>
      <c r="F23" s="1135">
        <v>0</v>
      </c>
      <c r="G23" s="1135">
        <v>0</v>
      </c>
      <c r="H23" s="1116" t="e">
        <f>G23/F23*100</f>
        <v>#DIV/0!</v>
      </c>
    </row>
    <row r="24" spans="1:8" s="1037" customFormat="1" ht="16.5" hidden="1" thickTop="1" thickBot="1" x14ac:dyDescent="0.3">
      <c r="A24" s="3317" t="s">
        <v>394</v>
      </c>
      <c r="B24" s="3318"/>
      <c r="C24" s="3318"/>
      <c r="D24" s="3318"/>
      <c r="E24" s="1113">
        <f>SUM(E21:E23)</f>
        <v>0</v>
      </c>
      <c r="F24" s="1113">
        <f>SUM(F21:F23)</f>
        <v>0</v>
      </c>
      <c r="G24" s="1113">
        <f>SUM(G21:G23)</f>
        <v>0</v>
      </c>
      <c r="H24" s="1117" t="e">
        <f>G24/F24*100</f>
        <v>#DIV/0!</v>
      </c>
    </row>
    <row r="25" spans="1:8" s="1037" customFormat="1" ht="15" hidden="1" x14ac:dyDescent="0.25">
      <c r="A25" s="1118"/>
      <c r="B25" s="1118"/>
      <c r="C25" s="1118"/>
      <c r="D25" s="1118"/>
      <c r="E25" s="1212"/>
      <c r="F25" s="1212"/>
      <c r="G25" s="1212"/>
      <c r="H25" s="1138"/>
    </row>
    <row r="26" spans="1:8" s="1037" customFormat="1" ht="15" hidden="1" x14ac:dyDescent="0.25">
      <c r="A26" s="1103" t="s">
        <v>544</v>
      </c>
      <c r="B26" s="1097"/>
      <c r="C26" s="1097"/>
      <c r="D26" s="1098"/>
      <c r="E26" s="1123"/>
      <c r="F26" s="1123"/>
      <c r="G26" s="1123"/>
      <c r="H26" s="1098"/>
    </row>
    <row r="27" spans="1:8" s="1037" customFormat="1" ht="15" hidden="1" x14ac:dyDescent="0.25">
      <c r="A27" s="1103" t="s">
        <v>545</v>
      </c>
      <c r="B27" s="1097"/>
      <c r="C27" s="1097"/>
      <c r="D27" s="1098"/>
      <c r="E27" s="1123"/>
      <c r="F27" s="1123"/>
      <c r="G27" s="1123"/>
      <c r="H27" s="1177" t="s">
        <v>92</v>
      </c>
    </row>
    <row r="28" spans="1:8" s="1037" customFormat="1" ht="25.5" hidden="1" thickTop="1" thickBot="1" x14ac:dyDescent="0.25">
      <c r="A28" s="1104" t="s">
        <v>93</v>
      </c>
      <c r="B28" s="1105" t="s">
        <v>392</v>
      </c>
      <c r="C28" s="1105" t="s">
        <v>209</v>
      </c>
      <c r="D28" s="1106" t="s">
        <v>95</v>
      </c>
      <c r="E28" s="1127" t="s">
        <v>328</v>
      </c>
      <c r="F28" s="1127" t="s">
        <v>329</v>
      </c>
      <c r="G28" s="1128" t="s">
        <v>448</v>
      </c>
      <c r="H28" s="1129" t="s">
        <v>449</v>
      </c>
    </row>
    <row r="29" spans="1:8" s="1037" customFormat="1" ht="13.5" hidden="1" thickTop="1" thickBot="1" x14ac:dyDescent="0.25">
      <c r="A29" s="1042">
        <v>1</v>
      </c>
      <c r="B29" s="1041">
        <v>2</v>
      </c>
      <c r="C29" s="1041">
        <v>3</v>
      </c>
      <c r="D29" s="1041">
        <v>4</v>
      </c>
      <c r="E29" s="1040">
        <v>5</v>
      </c>
      <c r="F29" s="1040">
        <v>6</v>
      </c>
      <c r="G29" s="1164">
        <v>7</v>
      </c>
      <c r="H29" s="1186" t="s">
        <v>33</v>
      </c>
    </row>
    <row r="30" spans="1:8" s="1037" customFormat="1" ht="15" hidden="1" x14ac:dyDescent="0.2">
      <c r="A30" s="1110">
        <v>3533</v>
      </c>
      <c r="B30" s="1111">
        <v>5139</v>
      </c>
      <c r="C30" s="1111">
        <v>38100870</v>
      </c>
      <c r="D30" s="1130" t="s">
        <v>152</v>
      </c>
      <c r="E30" s="1135">
        <v>0</v>
      </c>
      <c r="F30" s="1135">
        <v>0</v>
      </c>
      <c r="G30" s="1135">
        <v>0</v>
      </c>
      <c r="H30" s="1116" t="e">
        <f>G30/F30*100</f>
        <v>#DIV/0!</v>
      </c>
    </row>
    <row r="31" spans="1:8" s="1037" customFormat="1" ht="15" hidden="1" x14ac:dyDescent="0.2">
      <c r="A31" s="1110">
        <v>3533</v>
      </c>
      <c r="B31" s="1111">
        <v>5139</v>
      </c>
      <c r="C31" s="1111">
        <v>38500871</v>
      </c>
      <c r="D31" s="1130" t="s">
        <v>152</v>
      </c>
      <c r="E31" s="1135">
        <v>0</v>
      </c>
      <c r="F31" s="1135">
        <v>0</v>
      </c>
      <c r="G31" s="1135">
        <v>0</v>
      </c>
      <c r="H31" s="1116" t="e">
        <f>G31/F31*100</f>
        <v>#DIV/0!</v>
      </c>
    </row>
    <row r="32" spans="1:8" s="1037" customFormat="1" ht="16.5" hidden="1" thickTop="1" thickBot="1" x14ac:dyDescent="0.3">
      <c r="A32" s="3317" t="s">
        <v>394</v>
      </c>
      <c r="B32" s="3318"/>
      <c r="C32" s="3318"/>
      <c r="D32" s="3318"/>
      <c r="E32" s="1113">
        <f>SUM(E30:E31)</f>
        <v>0</v>
      </c>
      <c r="F32" s="1113">
        <f>SUM(F30:F31)</f>
        <v>0</v>
      </c>
      <c r="G32" s="1113">
        <f>SUM(G30:G31)</f>
        <v>0</v>
      </c>
      <c r="H32" s="1117" t="e">
        <f>G32/F32*100</f>
        <v>#DIV/0!</v>
      </c>
    </row>
    <row r="33" spans="1:8" s="1037" customFormat="1" ht="15" hidden="1" x14ac:dyDescent="0.25">
      <c r="A33" s="1118"/>
      <c r="B33" s="1118"/>
      <c r="C33" s="1118"/>
      <c r="D33" s="1118"/>
      <c r="E33" s="1212"/>
      <c r="F33" s="1212"/>
      <c r="G33" s="1212"/>
      <c r="H33" s="1138"/>
    </row>
    <row r="34" spans="1:8" s="1037" customFormat="1" ht="15" hidden="1" x14ac:dyDescent="0.25">
      <c r="A34" s="1103" t="s">
        <v>663</v>
      </c>
      <c r="B34" s="1097"/>
      <c r="C34" s="1097"/>
      <c r="D34" s="1098"/>
      <c r="E34" s="1123"/>
      <c r="F34" s="1123"/>
      <c r="G34" s="1123"/>
      <c r="H34" s="1098"/>
    </row>
    <row r="35" spans="1:8" s="1037" customFormat="1" ht="15" hidden="1" x14ac:dyDescent="0.25">
      <c r="A35" s="1103" t="s">
        <v>662</v>
      </c>
      <c r="B35" s="1097"/>
      <c r="C35" s="1097"/>
      <c r="D35" s="1098"/>
      <c r="E35" s="1123"/>
      <c r="F35" s="1123"/>
      <c r="G35" s="1123"/>
      <c r="H35" s="1177" t="s">
        <v>92</v>
      </c>
    </row>
    <row r="36" spans="1:8" s="1037" customFormat="1" ht="25.5" hidden="1" thickTop="1" thickBot="1" x14ac:dyDescent="0.25">
      <c r="A36" s="1104" t="s">
        <v>93</v>
      </c>
      <c r="B36" s="1105" t="s">
        <v>392</v>
      </c>
      <c r="C36" s="1105" t="s">
        <v>209</v>
      </c>
      <c r="D36" s="1106" t="s">
        <v>95</v>
      </c>
      <c r="E36" s="1127" t="s">
        <v>328</v>
      </c>
      <c r="F36" s="1127" t="s">
        <v>329</v>
      </c>
      <c r="G36" s="1128" t="s">
        <v>448</v>
      </c>
      <c r="H36" s="1129" t="s">
        <v>449</v>
      </c>
    </row>
    <row r="37" spans="1:8" s="1037" customFormat="1" ht="13.5" hidden="1" thickTop="1" thickBot="1" x14ac:dyDescent="0.25">
      <c r="A37" s="1042">
        <v>1</v>
      </c>
      <c r="B37" s="1041">
        <v>2</v>
      </c>
      <c r="C37" s="1041">
        <v>3</v>
      </c>
      <c r="D37" s="1041">
        <v>4</v>
      </c>
      <c r="E37" s="1040">
        <v>5</v>
      </c>
      <c r="F37" s="1040">
        <v>6</v>
      </c>
      <c r="G37" s="1164">
        <v>7</v>
      </c>
      <c r="H37" s="1186" t="s">
        <v>33</v>
      </c>
    </row>
    <row r="38" spans="1:8" s="1037" customFormat="1" ht="60" hidden="1" x14ac:dyDescent="0.2">
      <c r="A38" s="1181">
        <v>6402</v>
      </c>
      <c r="B38" s="1187">
        <v>5368</v>
      </c>
      <c r="C38" s="1213" t="s">
        <v>296</v>
      </c>
      <c r="D38" s="1130" t="s">
        <v>291</v>
      </c>
      <c r="E38" s="1135">
        <v>0</v>
      </c>
      <c r="F38" s="1135">
        <v>0</v>
      </c>
      <c r="G38" s="1135">
        <v>0</v>
      </c>
      <c r="H38" s="1116" t="e">
        <f>G38/F38*100</f>
        <v>#DIV/0!</v>
      </c>
    </row>
    <row r="39" spans="1:8" s="1037" customFormat="1" ht="16.5" hidden="1" thickTop="1" thickBot="1" x14ac:dyDescent="0.3">
      <c r="A39" s="3317" t="s">
        <v>394</v>
      </c>
      <c r="B39" s="3318"/>
      <c r="C39" s="3318"/>
      <c r="D39" s="3318"/>
      <c r="E39" s="1113">
        <f>SUM(E38:E38)</f>
        <v>0</v>
      </c>
      <c r="F39" s="1113">
        <f>SUM(F38:F38)</f>
        <v>0</v>
      </c>
      <c r="G39" s="1113">
        <f>SUM(G38:G38)</f>
        <v>0</v>
      </c>
      <c r="H39" s="1117" t="e">
        <f>G39/F39*100</f>
        <v>#DIV/0!</v>
      </c>
    </row>
    <row r="40" spans="1:8" s="1037" customFormat="1" ht="15" hidden="1" x14ac:dyDescent="0.25">
      <c r="A40" s="1118"/>
      <c r="B40" s="1118"/>
      <c r="C40" s="1118"/>
      <c r="D40" s="1118"/>
      <c r="E40" s="1212"/>
      <c r="F40" s="1212"/>
      <c r="G40" s="1212"/>
      <c r="H40" s="1138"/>
    </row>
    <row r="41" spans="1:8" ht="15" hidden="1" x14ac:dyDescent="0.25">
      <c r="A41" s="1103" t="s">
        <v>109</v>
      </c>
    </row>
    <row r="42" spans="1:8" ht="15" hidden="1" x14ac:dyDescent="0.25">
      <c r="A42" s="1103" t="s">
        <v>110</v>
      </c>
      <c r="H42" s="1177" t="s">
        <v>92</v>
      </c>
    </row>
    <row r="43" spans="1:8" s="1037" customFormat="1" ht="25.5" hidden="1" thickTop="1" thickBot="1" x14ac:dyDescent="0.25">
      <c r="A43" s="1104" t="s">
        <v>93</v>
      </c>
      <c r="B43" s="1105" t="s">
        <v>392</v>
      </c>
      <c r="C43" s="1105" t="s">
        <v>209</v>
      </c>
      <c r="D43" s="1106" t="s">
        <v>95</v>
      </c>
      <c r="E43" s="1127" t="s">
        <v>328</v>
      </c>
      <c r="F43" s="1127" t="s">
        <v>329</v>
      </c>
      <c r="G43" s="1128" t="s">
        <v>448</v>
      </c>
      <c r="H43" s="1129" t="s">
        <v>449</v>
      </c>
    </row>
    <row r="44" spans="1:8" s="1037" customFormat="1" ht="13.5" hidden="1" thickTop="1" thickBot="1" x14ac:dyDescent="0.25">
      <c r="A44" s="1042">
        <v>1</v>
      </c>
      <c r="B44" s="1041">
        <v>2</v>
      </c>
      <c r="C44" s="1041">
        <v>3</v>
      </c>
      <c r="D44" s="1041">
        <v>4</v>
      </c>
      <c r="E44" s="1040">
        <v>5</v>
      </c>
      <c r="F44" s="1040">
        <v>6</v>
      </c>
      <c r="G44" s="1164">
        <v>7</v>
      </c>
      <c r="H44" s="1186" t="s">
        <v>33</v>
      </c>
    </row>
    <row r="45" spans="1:8" s="1037" customFormat="1" ht="60" hidden="1" x14ac:dyDescent="0.2">
      <c r="A45" s="1181">
        <v>6402</v>
      </c>
      <c r="B45" s="1187">
        <v>5368</v>
      </c>
      <c r="C45" s="1214" t="s">
        <v>296</v>
      </c>
      <c r="D45" s="1130" t="s">
        <v>291</v>
      </c>
      <c r="E45" s="1135">
        <v>0</v>
      </c>
      <c r="F45" s="1135">
        <v>0</v>
      </c>
      <c r="G45" s="1135">
        <v>0</v>
      </c>
      <c r="H45" s="1116" t="e">
        <f>G45/F45*100</f>
        <v>#DIV/0!</v>
      </c>
    </row>
    <row r="46" spans="1:8" s="1037" customFormat="1" ht="16.5" hidden="1" thickTop="1" thickBot="1" x14ac:dyDescent="0.3">
      <c r="A46" s="3317" t="s">
        <v>394</v>
      </c>
      <c r="B46" s="3318"/>
      <c r="C46" s="3318"/>
      <c r="D46" s="3318"/>
      <c r="E46" s="1113">
        <f>SUM(E45:E45)</f>
        <v>0</v>
      </c>
      <c r="F46" s="1113">
        <f>SUM(F45:F45)</f>
        <v>0</v>
      </c>
      <c r="G46" s="1113">
        <f>SUM(G45:G45)</f>
        <v>0</v>
      </c>
      <c r="H46" s="1117" t="e">
        <f>G46/F46*100</f>
        <v>#DIV/0!</v>
      </c>
    </row>
    <row r="47" spans="1:8" s="1037" customFormat="1" ht="14.25" hidden="1" customHeight="1" thickTop="1" x14ac:dyDescent="0.25">
      <c r="A47" s="1118"/>
      <c r="B47" s="1118"/>
      <c r="C47" s="1118"/>
      <c r="D47" s="1118"/>
      <c r="E47" s="1119"/>
      <c r="F47" s="1119"/>
      <c r="G47" s="1119"/>
      <c r="H47" s="1138"/>
    </row>
    <row r="48" spans="1:8" s="1037" customFormat="1" ht="15" hidden="1" x14ac:dyDescent="0.25">
      <c r="A48" s="1103" t="s">
        <v>509</v>
      </c>
      <c r="B48" s="1097"/>
      <c r="C48" s="1097"/>
      <c r="D48" s="1098"/>
      <c r="E48" s="1123"/>
      <c r="F48" s="1123"/>
      <c r="G48" s="1123"/>
      <c r="H48" s="1098"/>
    </row>
    <row r="49" spans="1:8" s="1037" customFormat="1" ht="15" hidden="1" x14ac:dyDescent="0.25">
      <c r="A49" s="1103" t="s">
        <v>510</v>
      </c>
      <c r="B49" s="1097"/>
      <c r="C49" s="1097"/>
      <c r="D49" s="1098"/>
      <c r="E49" s="1123"/>
      <c r="F49" s="1123"/>
      <c r="G49" s="1123"/>
      <c r="H49" s="1177" t="s">
        <v>92</v>
      </c>
    </row>
    <row r="50" spans="1:8" s="1037" customFormat="1" ht="25.5" hidden="1" thickTop="1" thickBot="1" x14ac:dyDescent="0.25">
      <c r="A50" s="1104" t="s">
        <v>93</v>
      </c>
      <c r="B50" s="1105" t="s">
        <v>392</v>
      </c>
      <c r="C50" s="1105" t="s">
        <v>209</v>
      </c>
      <c r="D50" s="1106" t="s">
        <v>95</v>
      </c>
      <c r="E50" s="1127" t="s">
        <v>328</v>
      </c>
      <c r="F50" s="1127" t="s">
        <v>329</v>
      </c>
      <c r="G50" s="1128" t="s">
        <v>448</v>
      </c>
      <c r="H50" s="1129" t="s">
        <v>449</v>
      </c>
    </row>
    <row r="51" spans="1:8" s="1037" customFormat="1" ht="13.5" hidden="1" thickTop="1" thickBot="1" x14ac:dyDescent="0.25">
      <c r="A51" s="1042">
        <v>1</v>
      </c>
      <c r="B51" s="1041">
        <v>2</v>
      </c>
      <c r="C51" s="1041">
        <v>3</v>
      </c>
      <c r="D51" s="1041">
        <v>4</v>
      </c>
      <c r="E51" s="1040">
        <v>5</v>
      </c>
      <c r="F51" s="1040">
        <v>6</v>
      </c>
      <c r="G51" s="1164">
        <v>7</v>
      </c>
      <c r="H51" s="1186" t="s">
        <v>33</v>
      </c>
    </row>
    <row r="52" spans="1:8" ht="16.5" hidden="1" customHeight="1" thickTop="1" x14ac:dyDescent="0.2">
      <c r="A52" s="1181">
        <v>2143</v>
      </c>
      <c r="B52" s="1187">
        <v>5011</v>
      </c>
      <c r="C52" s="1190">
        <v>41100880</v>
      </c>
      <c r="D52" s="1130" t="s">
        <v>151</v>
      </c>
      <c r="E52" s="1135"/>
      <c r="F52" s="1135"/>
      <c r="G52" s="1135"/>
      <c r="H52" s="1116" t="e">
        <f>G52/F52*100</f>
        <v>#DIV/0!</v>
      </c>
    </row>
    <row r="53" spans="1:8" ht="16.5" hidden="1" customHeight="1" x14ac:dyDescent="0.2">
      <c r="A53" s="1181">
        <v>2143</v>
      </c>
      <c r="B53" s="1187">
        <v>5011</v>
      </c>
      <c r="C53" s="1190">
        <v>41100882</v>
      </c>
      <c r="D53" s="1130" t="s">
        <v>151</v>
      </c>
      <c r="E53" s="1135"/>
      <c r="F53" s="1135"/>
      <c r="G53" s="1135"/>
      <c r="H53" s="1116" t="e">
        <f>G53/F53*100</f>
        <v>#DIV/0!</v>
      </c>
    </row>
    <row r="54" spans="1:8" s="1037" customFormat="1" ht="16.5" hidden="1" customHeight="1" x14ac:dyDescent="0.2">
      <c r="A54" s="1181">
        <v>2143</v>
      </c>
      <c r="B54" s="1187">
        <v>5011</v>
      </c>
      <c r="C54" s="1187">
        <v>41500881</v>
      </c>
      <c r="D54" s="1130" t="s">
        <v>151</v>
      </c>
      <c r="E54" s="1135"/>
      <c r="F54" s="1135"/>
      <c r="G54" s="1135"/>
      <c r="H54" s="1116" t="e">
        <f>G54/F54*100</f>
        <v>#DIV/0!</v>
      </c>
    </row>
    <row r="55" spans="1:8" s="1037" customFormat="1" ht="45" hidden="1" x14ac:dyDescent="0.2">
      <c r="A55" s="1181">
        <v>2143</v>
      </c>
      <c r="B55" s="1187">
        <v>5031</v>
      </c>
      <c r="C55" s="1187">
        <v>41100880</v>
      </c>
      <c r="D55" s="1130" t="s">
        <v>621</v>
      </c>
      <c r="E55" s="1135"/>
      <c r="F55" s="1135"/>
      <c r="G55" s="1135"/>
      <c r="H55" s="1116" t="e">
        <f>G55/F55*100</f>
        <v>#DIV/0!</v>
      </c>
    </row>
    <row r="56" spans="1:8" s="1037" customFormat="1" ht="45" hidden="1" x14ac:dyDescent="0.2">
      <c r="A56" s="1181">
        <v>2143</v>
      </c>
      <c r="B56" s="1187">
        <v>5031</v>
      </c>
      <c r="C56" s="1187">
        <v>41100882</v>
      </c>
      <c r="D56" s="1130" t="s">
        <v>621</v>
      </c>
      <c r="E56" s="1135"/>
      <c r="F56" s="1135"/>
      <c r="G56" s="1135"/>
      <c r="H56" s="1116">
        <v>0</v>
      </c>
    </row>
    <row r="57" spans="1:8" s="1037" customFormat="1" ht="45" hidden="1" x14ac:dyDescent="0.2">
      <c r="A57" s="1181">
        <v>2143</v>
      </c>
      <c r="B57" s="1187">
        <v>5031</v>
      </c>
      <c r="C57" s="1187">
        <v>41500881</v>
      </c>
      <c r="D57" s="1130" t="s">
        <v>621</v>
      </c>
      <c r="E57" s="1135"/>
      <c r="F57" s="1135"/>
      <c r="G57" s="1135"/>
      <c r="H57" s="1116" t="e">
        <f t="shared" ref="H57:H64" si="0">G57/F57*100</f>
        <v>#DIV/0!</v>
      </c>
    </row>
    <row r="58" spans="1:8" s="1037" customFormat="1" ht="30" hidden="1" x14ac:dyDescent="0.2">
      <c r="A58" s="1215">
        <v>2143</v>
      </c>
      <c r="B58" s="1187">
        <v>5032</v>
      </c>
      <c r="C58" s="1187">
        <v>41100880</v>
      </c>
      <c r="D58" s="1130" t="s">
        <v>553</v>
      </c>
      <c r="E58" s="1135"/>
      <c r="F58" s="1135"/>
      <c r="G58" s="1135"/>
      <c r="H58" s="1116" t="e">
        <f t="shared" si="0"/>
        <v>#DIV/0!</v>
      </c>
    </row>
    <row r="59" spans="1:8" s="1037" customFormat="1" ht="30" hidden="1" x14ac:dyDescent="0.2">
      <c r="A59" s="1215">
        <v>2143</v>
      </c>
      <c r="B59" s="1187">
        <v>5032</v>
      </c>
      <c r="C59" s="1187">
        <v>41100882</v>
      </c>
      <c r="D59" s="1130" t="s">
        <v>553</v>
      </c>
      <c r="E59" s="1135"/>
      <c r="F59" s="1135"/>
      <c r="G59" s="1135"/>
      <c r="H59" s="1116" t="e">
        <f t="shared" si="0"/>
        <v>#DIV/0!</v>
      </c>
    </row>
    <row r="60" spans="1:8" s="1037" customFormat="1" ht="30" hidden="1" x14ac:dyDescent="0.2">
      <c r="A60" s="1215">
        <v>2143</v>
      </c>
      <c r="B60" s="1187">
        <v>5032</v>
      </c>
      <c r="C60" s="1187">
        <v>41500881</v>
      </c>
      <c r="D60" s="1130" t="s">
        <v>553</v>
      </c>
      <c r="E60" s="1135"/>
      <c r="F60" s="1135"/>
      <c r="G60" s="1135"/>
      <c r="H60" s="1116" t="e">
        <f t="shared" si="0"/>
        <v>#DIV/0!</v>
      </c>
    </row>
    <row r="61" spans="1:8" s="1037" customFormat="1" ht="15" hidden="1" x14ac:dyDescent="0.2">
      <c r="A61" s="1110">
        <v>2143</v>
      </c>
      <c r="B61" s="1111">
        <v>5139</v>
      </c>
      <c r="C61" s="1187">
        <v>41100880</v>
      </c>
      <c r="D61" s="1130" t="s">
        <v>152</v>
      </c>
      <c r="E61" s="1135"/>
      <c r="F61" s="1135"/>
      <c r="G61" s="1135"/>
      <c r="H61" s="1116" t="e">
        <f t="shared" si="0"/>
        <v>#DIV/0!</v>
      </c>
    </row>
    <row r="62" spans="1:8" s="1037" customFormat="1" ht="15" hidden="1" x14ac:dyDescent="0.2">
      <c r="A62" s="1110">
        <v>2143</v>
      </c>
      <c r="B62" s="1111">
        <v>5139</v>
      </c>
      <c r="C62" s="1187">
        <v>41100882</v>
      </c>
      <c r="D62" s="1130" t="s">
        <v>152</v>
      </c>
      <c r="E62" s="1135"/>
      <c r="F62" s="1135"/>
      <c r="G62" s="1135"/>
      <c r="H62" s="1116" t="e">
        <f t="shared" si="0"/>
        <v>#DIV/0!</v>
      </c>
    </row>
    <row r="63" spans="1:8" s="1037" customFormat="1" ht="15" hidden="1" x14ac:dyDescent="0.2">
      <c r="A63" s="1110">
        <v>2143</v>
      </c>
      <c r="B63" s="1111">
        <v>5139</v>
      </c>
      <c r="C63" s="1187">
        <v>41500881</v>
      </c>
      <c r="D63" s="1130" t="s">
        <v>152</v>
      </c>
      <c r="E63" s="1135"/>
      <c r="F63" s="1135"/>
      <c r="G63" s="1135"/>
      <c r="H63" s="1116" t="e">
        <f t="shared" si="0"/>
        <v>#DIV/0!</v>
      </c>
    </row>
    <row r="64" spans="1:8" s="1037" customFormat="1" ht="15" hidden="1" x14ac:dyDescent="0.2">
      <c r="A64" s="1110">
        <v>2143</v>
      </c>
      <c r="B64" s="1111">
        <v>5163</v>
      </c>
      <c r="C64" s="1187">
        <v>41100880</v>
      </c>
      <c r="D64" s="1130" t="s">
        <v>452</v>
      </c>
      <c r="E64" s="1135"/>
      <c r="F64" s="1135"/>
      <c r="G64" s="1135"/>
      <c r="H64" s="1116" t="e">
        <f t="shared" si="0"/>
        <v>#DIV/0!</v>
      </c>
    </row>
    <row r="65" spans="1:8" s="1037" customFormat="1" ht="15" hidden="1" x14ac:dyDescent="0.2">
      <c r="A65" s="1110">
        <v>2143</v>
      </c>
      <c r="B65" s="1111">
        <v>5163</v>
      </c>
      <c r="C65" s="1187">
        <v>41100882</v>
      </c>
      <c r="D65" s="1130" t="s">
        <v>452</v>
      </c>
      <c r="E65" s="1135"/>
      <c r="F65" s="1135"/>
      <c r="G65" s="1135"/>
      <c r="H65" s="1116">
        <v>0</v>
      </c>
    </row>
    <row r="66" spans="1:8" s="1037" customFormat="1" ht="15" hidden="1" customHeight="1" x14ac:dyDescent="0.2">
      <c r="A66" s="1110">
        <v>2143</v>
      </c>
      <c r="B66" s="1111">
        <v>5163</v>
      </c>
      <c r="C66" s="1187">
        <v>41500881</v>
      </c>
      <c r="D66" s="1130" t="s">
        <v>452</v>
      </c>
      <c r="E66" s="1135"/>
      <c r="F66" s="1135"/>
      <c r="G66" s="1135"/>
      <c r="H66" s="1116" t="e">
        <f t="shared" ref="H66:H82" si="1">G66/F66*100</f>
        <v>#DIV/0!</v>
      </c>
    </row>
    <row r="67" spans="1:8" s="1037" customFormat="1" ht="15" hidden="1" customHeight="1" x14ac:dyDescent="0.2">
      <c r="A67" s="1110">
        <v>2143</v>
      </c>
      <c r="B67" s="1111">
        <v>5164</v>
      </c>
      <c r="C67" s="1187">
        <v>41100880</v>
      </c>
      <c r="D67" s="1130" t="s">
        <v>101</v>
      </c>
      <c r="E67" s="1135"/>
      <c r="F67" s="1135"/>
      <c r="G67" s="1135"/>
      <c r="H67" s="1116" t="e">
        <f t="shared" si="1"/>
        <v>#DIV/0!</v>
      </c>
    </row>
    <row r="68" spans="1:8" s="1037" customFormat="1" ht="15" hidden="1" customHeight="1" x14ac:dyDescent="0.2">
      <c r="A68" s="1110">
        <v>2143</v>
      </c>
      <c r="B68" s="1111">
        <v>5164</v>
      </c>
      <c r="C68" s="1187">
        <v>41100882</v>
      </c>
      <c r="D68" s="1130" t="s">
        <v>101</v>
      </c>
      <c r="E68" s="1135"/>
      <c r="F68" s="1135"/>
      <c r="G68" s="1135"/>
      <c r="H68" s="1116" t="e">
        <f t="shared" si="1"/>
        <v>#DIV/0!</v>
      </c>
    </row>
    <row r="69" spans="1:8" s="1037" customFormat="1" ht="15" hidden="1" customHeight="1" x14ac:dyDescent="0.2">
      <c r="A69" s="1110">
        <v>2143</v>
      </c>
      <c r="B69" s="1111">
        <v>5164</v>
      </c>
      <c r="C69" s="1187">
        <v>41500881</v>
      </c>
      <c r="D69" s="1130" t="s">
        <v>101</v>
      </c>
      <c r="E69" s="1135"/>
      <c r="F69" s="1135"/>
      <c r="G69" s="1135"/>
      <c r="H69" s="1116" t="e">
        <f t="shared" si="1"/>
        <v>#DIV/0!</v>
      </c>
    </row>
    <row r="70" spans="1:8" s="1037" customFormat="1" ht="15" hidden="1" customHeight="1" x14ac:dyDescent="0.2">
      <c r="A70" s="1181">
        <v>2143</v>
      </c>
      <c r="B70" s="1187">
        <v>5166</v>
      </c>
      <c r="C70" s="1213" t="s">
        <v>661</v>
      </c>
      <c r="D70" s="1130" t="s">
        <v>317</v>
      </c>
      <c r="E70" s="1135"/>
      <c r="F70" s="1135"/>
      <c r="G70" s="1135"/>
      <c r="H70" s="1116" t="e">
        <f t="shared" si="1"/>
        <v>#DIV/0!</v>
      </c>
    </row>
    <row r="71" spans="1:8" s="1037" customFormat="1" ht="15" hidden="1" customHeight="1" x14ac:dyDescent="0.2">
      <c r="A71" s="1181">
        <v>2143</v>
      </c>
      <c r="B71" s="1187">
        <v>5166</v>
      </c>
      <c r="C71" s="1187">
        <v>41100882</v>
      </c>
      <c r="D71" s="1130" t="s">
        <v>317</v>
      </c>
      <c r="E71" s="1135"/>
      <c r="F71" s="1135"/>
      <c r="G71" s="1135"/>
      <c r="H71" s="1116" t="e">
        <f t="shared" si="1"/>
        <v>#DIV/0!</v>
      </c>
    </row>
    <row r="72" spans="1:8" s="1037" customFormat="1" ht="15" hidden="1" customHeight="1" x14ac:dyDescent="0.2">
      <c r="A72" s="1181">
        <v>2143</v>
      </c>
      <c r="B72" s="1187">
        <v>5166</v>
      </c>
      <c r="C72" s="1187">
        <v>41500881</v>
      </c>
      <c r="D72" s="1130" t="s">
        <v>317</v>
      </c>
      <c r="E72" s="1135"/>
      <c r="F72" s="1135"/>
      <c r="G72" s="1135"/>
      <c r="H72" s="1116" t="e">
        <f t="shared" si="1"/>
        <v>#DIV/0!</v>
      </c>
    </row>
    <row r="73" spans="1:8" s="1037" customFormat="1" ht="15" hidden="1" x14ac:dyDescent="0.2">
      <c r="A73" s="1181">
        <v>2143</v>
      </c>
      <c r="B73" s="1187">
        <v>5169</v>
      </c>
      <c r="C73" s="1187">
        <v>41100880</v>
      </c>
      <c r="D73" s="1130" t="s">
        <v>430</v>
      </c>
      <c r="E73" s="1135">
        <v>0</v>
      </c>
      <c r="F73" s="1135">
        <v>0</v>
      </c>
      <c r="G73" s="1135">
        <v>0</v>
      </c>
      <c r="H73" s="1116" t="e">
        <f t="shared" si="1"/>
        <v>#DIV/0!</v>
      </c>
    </row>
    <row r="74" spans="1:8" s="1037" customFormat="1" ht="15" hidden="1" x14ac:dyDescent="0.2">
      <c r="A74" s="1181">
        <v>2143</v>
      </c>
      <c r="B74" s="1187">
        <v>5169</v>
      </c>
      <c r="C74" s="1187">
        <v>41100882</v>
      </c>
      <c r="D74" s="1130" t="s">
        <v>430</v>
      </c>
      <c r="E74" s="1135">
        <v>0</v>
      </c>
      <c r="F74" s="1135">
        <v>0</v>
      </c>
      <c r="G74" s="1135">
        <v>0</v>
      </c>
      <c r="H74" s="1116" t="e">
        <f t="shared" si="1"/>
        <v>#DIV/0!</v>
      </c>
    </row>
    <row r="75" spans="1:8" s="1037" customFormat="1" ht="15" hidden="1" x14ac:dyDescent="0.2">
      <c r="A75" s="1181">
        <v>2143</v>
      </c>
      <c r="B75" s="1187">
        <v>5169</v>
      </c>
      <c r="C75" s="1214" t="s">
        <v>1035</v>
      </c>
      <c r="D75" s="1130" t="s">
        <v>430</v>
      </c>
      <c r="E75" s="1135"/>
      <c r="F75" s="1135"/>
      <c r="G75" s="1135"/>
      <c r="H75" s="1116" t="e">
        <f t="shared" si="1"/>
        <v>#DIV/0!</v>
      </c>
    </row>
    <row r="76" spans="1:8" s="1037" customFormat="1" ht="15" hidden="1" x14ac:dyDescent="0.2">
      <c r="A76" s="1181">
        <v>2143</v>
      </c>
      <c r="B76" s="1187">
        <v>5173</v>
      </c>
      <c r="C76" s="1187">
        <v>41100880</v>
      </c>
      <c r="D76" s="1130" t="s">
        <v>541</v>
      </c>
      <c r="E76" s="1135"/>
      <c r="F76" s="1135"/>
      <c r="G76" s="1135"/>
      <c r="H76" s="1116" t="e">
        <f t="shared" si="1"/>
        <v>#DIV/0!</v>
      </c>
    </row>
    <row r="77" spans="1:8" s="1037" customFormat="1" ht="15" hidden="1" x14ac:dyDescent="0.2">
      <c r="A77" s="1181">
        <v>2143</v>
      </c>
      <c r="B77" s="1187">
        <v>5173</v>
      </c>
      <c r="C77" s="1187">
        <v>41100882</v>
      </c>
      <c r="D77" s="1130" t="s">
        <v>541</v>
      </c>
      <c r="E77" s="1135"/>
      <c r="F77" s="1135"/>
      <c r="G77" s="1135"/>
      <c r="H77" s="1116" t="e">
        <f t="shared" si="1"/>
        <v>#DIV/0!</v>
      </c>
    </row>
    <row r="78" spans="1:8" s="1037" customFormat="1" ht="15" hidden="1" x14ac:dyDescent="0.2">
      <c r="A78" s="1181">
        <v>2143</v>
      </c>
      <c r="B78" s="1187">
        <v>5173</v>
      </c>
      <c r="C78" s="1187">
        <v>41500881</v>
      </c>
      <c r="D78" s="1130" t="s">
        <v>541</v>
      </c>
      <c r="E78" s="1135"/>
      <c r="F78" s="1135"/>
      <c r="G78" s="1135"/>
      <c r="H78" s="1116" t="e">
        <f t="shared" si="1"/>
        <v>#DIV/0!</v>
      </c>
    </row>
    <row r="79" spans="1:8" s="1037" customFormat="1" ht="15" hidden="1" x14ac:dyDescent="0.2">
      <c r="A79" s="1181">
        <v>2143</v>
      </c>
      <c r="B79" s="1187">
        <v>5175</v>
      </c>
      <c r="C79" s="1187">
        <v>41100880</v>
      </c>
      <c r="D79" s="1130" t="s">
        <v>714</v>
      </c>
      <c r="E79" s="1135"/>
      <c r="F79" s="1135"/>
      <c r="G79" s="1135"/>
      <c r="H79" s="1116" t="e">
        <f t="shared" si="1"/>
        <v>#DIV/0!</v>
      </c>
    </row>
    <row r="80" spans="1:8" s="1037" customFormat="1" ht="15" hidden="1" x14ac:dyDescent="0.2">
      <c r="A80" s="1181">
        <v>2143</v>
      </c>
      <c r="B80" s="1187">
        <v>5175</v>
      </c>
      <c r="C80" s="1187">
        <v>41100882</v>
      </c>
      <c r="D80" s="1130" t="s">
        <v>714</v>
      </c>
      <c r="E80" s="1135"/>
      <c r="F80" s="1135"/>
      <c r="G80" s="1135"/>
      <c r="H80" s="1116" t="e">
        <f t="shared" si="1"/>
        <v>#DIV/0!</v>
      </c>
    </row>
    <row r="81" spans="1:8" s="1037" customFormat="1" ht="15" hidden="1" x14ac:dyDescent="0.2">
      <c r="A81" s="1181">
        <v>2143</v>
      </c>
      <c r="B81" s="1187">
        <v>5175</v>
      </c>
      <c r="C81" s="1187">
        <v>41500881</v>
      </c>
      <c r="D81" s="1130" t="s">
        <v>714</v>
      </c>
      <c r="E81" s="1135"/>
      <c r="F81" s="1135"/>
      <c r="G81" s="1135"/>
      <c r="H81" s="1116" t="e">
        <f t="shared" si="1"/>
        <v>#DIV/0!</v>
      </c>
    </row>
    <row r="82" spans="1:8" s="1037" customFormat="1" ht="16.5" hidden="1" thickTop="1" thickBot="1" x14ac:dyDescent="0.3">
      <c r="A82" s="3317" t="s">
        <v>394</v>
      </c>
      <c r="B82" s="3318"/>
      <c r="C82" s="3318"/>
      <c r="D82" s="3318"/>
      <c r="E82" s="1113">
        <f>SUM(E52:E81)</f>
        <v>0</v>
      </c>
      <c r="F82" s="1113">
        <f>SUM(F52:F81)</f>
        <v>0</v>
      </c>
      <c r="G82" s="1113">
        <f>SUM(G52:G81)</f>
        <v>0</v>
      </c>
      <c r="H82" s="1117" t="e">
        <f t="shared" si="1"/>
        <v>#DIV/0!</v>
      </c>
    </row>
    <row r="83" spans="1:8" s="1037" customFormat="1" ht="14.25" hidden="1" customHeight="1" thickTop="1" x14ac:dyDescent="0.25">
      <c r="A83" s="1118"/>
      <c r="B83" s="1118"/>
      <c r="C83" s="1118"/>
      <c r="D83" s="1118"/>
      <c r="E83" s="1119"/>
      <c r="F83" s="1119"/>
      <c r="G83" s="1119"/>
      <c r="H83" s="1138"/>
    </row>
    <row r="84" spans="1:8" ht="15" hidden="1" x14ac:dyDescent="0.25">
      <c r="A84" s="1103" t="s">
        <v>726</v>
      </c>
    </row>
    <row r="85" spans="1:8" ht="15.75" hidden="1" thickBot="1" x14ac:dyDescent="0.3">
      <c r="A85" s="1103" t="s">
        <v>727</v>
      </c>
      <c r="H85" s="1177" t="s">
        <v>92</v>
      </c>
    </row>
    <row r="86" spans="1:8" s="1037" customFormat="1" ht="25.5" hidden="1" thickTop="1" thickBot="1" x14ac:dyDescent="0.25">
      <c r="A86" s="1104" t="s">
        <v>93</v>
      </c>
      <c r="B86" s="1105" t="s">
        <v>392</v>
      </c>
      <c r="C86" s="1105" t="s">
        <v>209</v>
      </c>
      <c r="D86" s="1106" t="s">
        <v>95</v>
      </c>
      <c r="E86" s="1127" t="s">
        <v>328</v>
      </c>
      <c r="F86" s="1127" t="s">
        <v>329</v>
      </c>
      <c r="G86" s="1128" t="s">
        <v>448</v>
      </c>
      <c r="H86" s="1129" t="s">
        <v>449</v>
      </c>
    </row>
    <row r="87" spans="1:8" s="1037" customFormat="1" ht="13.5" hidden="1" thickTop="1" thickBot="1" x14ac:dyDescent="0.25">
      <c r="A87" s="1042">
        <v>1</v>
      </c>
      <c r="B87" s="1041">
        <v>2</v>
      </c>
      <c r="C87" s="1041">
        <v>3</v>
      </c>
      <c r="D87" s="1041">
        <v>4</v>
      </c>
      <c r="E87" s="1040">
        <v>5</v>
      </c>
      <c r="F87" s="1040">
        <v>6</v>
      </c>
      <c r="G87" s="1164">
        <v>7</v>
      </c>
      <c r="H87" s="1186" t="s">
        <v>33</v>
      </c>
    </row>
    <row r="88" spans="1:8" s="1037" customFormat="1" ht="31.5" hidden="1" thickTop="1" thickBot="1" x14ac:dyDescent="0.25">
      <c r="A88" s="1181">
        <v>3122</v>
      </c>
      <c r="B88" s="1187">
        <v>5909</v>
      </c>
      <c r="C88" s="1214" t="s">
        <v>871</v>
      </c>
      <c r="D88" s="1130" t="s">
        <v>1447</v>
      </c>
      <c r="E88" s="1135"/>
      <c r="F88" s="1135"/>
      <c r="G88" s="1135"/>
      <c r="H88" s="1116" t="e">
        <f>G88/F88*100</f>
        <v>#DIV/0!</v>
      </c>
    </row>
    <row r="89" spans="1:8" s="1037" customFormat="1" ht="15.75" hidden="1" thickBot="1" x14ac:dyDescent="0.25">
      <c r="A89" s="1110">
        <v>3122</v>
      </c>
      <c r="B89" s="1111">
        <v>5137</v>
      </c>
      <c r="C89" s="1216" t="s">
        <v>660</v>
      </c>
      <c r="D89" s="1130" t="s">
        <v>88</v>
      </c>
      <c r="E89" s="1135"/>
      <c r="F89" s="1135"/>
      <c r="G89" s="1135"/>
      <c r="H89" s="1116" t="e">
        <f>G89/F89*100</f>
        <v>#DIV/0!</v>
      </c>
    </row>
    <row r="90" spans="1:8" s="1037" customFormat="1" ht="15.75" hidden="1" thickBot="1" x14ac:dyDescent="0.25">
      <c r="A90" s="1110">
        <v>3122</v>
      </c>
      <c r="B90" s="1111">
        <v>5137</v>
      </c>
      <c r="C90" s="1216" t="s">
        <v>1010</v>
      </c>
      <c r="D90" s="1130" t="s">
        <v>88</v>
      </c>
      <c r="E90" s="1135"/>
      <c r="F90" s="1135"/>
      <c r="G90" s="1135"/>
      <c r="H90" s="1116" t="e">
        <f>G90/F90*100</f>
        <v>#DIV/0!</v>
      </c>
    </row>
    <row r="91" spans="1:8" s="1037" customFormat="1" ht="15.75" hidden="1" thickBot="1" x14ac:dyDescent="0.25">
      <c r="A91" s="1110">
        <v>3122</v>
      </c>
      <c r="B91" s="1111">
        <v>5137</v>
      </c>
      <c r="C91" s="1216" t="s">
        <v>659</v>
      </c>
      <c r="D91" s="1130" t="s">
        <v>88</v>
      </c>
      <c r="E91" s="1135"/>
      <c r="F91" s="1135"/>
      <c r="G91" s="1135"/>
      <c r="H91" s="1116" t="e">
        <f>G91/F91*100</f>
        <v>#DIV/0!</v>
      </c>
    </row>
    <row r="92" spans="1:8" s="1037" customFormat="1" ht="15.75" hidden="1" thickBot="1" x14ac:dyDescent="0.25">
      <c r="A92" s="1110">
        <v>3122</v>
      </c>
      <c r="B92" s="1111">
        <v>6121</v>
      </c>
      <c r="C92" s="1216" t="s">
        <v>1011</v>
      </c>
      <c r="D92" s="1130" t="s">
        <v>312</v>
      </c>
      <c r="E92" s="1135"/>
      <c r="F92" s="1135"/>
      <c r="G92" s="1135"/>
      <c r="H92" s="1116">
        <v>0</v>
      </c>
    </row>
    <row r="93" spans="1:8" s="1037" customFormat="1" ht="15.75" hidden="1" thickBot="1" x14ac:dyDescent="0.25">
      <c r="A93" s="1110">
        <v>3122</v>
      </c>
      <c r="B93" s="1111">
        <v>6121</v>
      </c>
      <c r="C93" s="1216" t="s">
        <v>1012</v>
      </c>
      <c r="D93" s="1130" t="s">
        <v>312</v>
      </c>
      <c r="E93" s="1135"/>
      <c r="F93" s="1135"/>
      <c r="G93" s="1135"/>
      <c r="H93" s="1116" t="e">
        <f>G93/F93*100</f>
        <v>#DIV/0!</v>
      </c>
    </row>
    <row r="94" spans="1:8" s="1037" customFormat="1" ht="15.75" hidden="1" thickBot="1" x14ac:dyDescent="0.25">
      <c r="A94" s="1110">
        <v>3122</v>
      </c>
      <c r="B94" s="1111">
        <v>6121</v>
      </c>
      <c r="C94" s="1216" t="s">
        <v>829</v>
      </c>
      <c r="D94" s="1130" t="s">
        <v>312</v>
      </c>
      <c r="E94" s="1135"/>
      <c r="F94" s="1135"/>
      <c r="G94" s="1135"/>
      <c r="H94" s="1116" t="e">
        <f>G94/F94*100</f>
        <v>#DIV/0!</v>
      </c>
    </row>
    <row r="95" spans="1:8" s="1037" customFormat="1" ht="15.75" hidden="1" thickBot="1" x14ac:dyDescent="0.25">
      <c r="A95" s="1110">
        <v>3122</v>
      </c>
      <c r="B95" s="1111">
        <v>6121</v>
      </c>
      <c r="C95" s="1216" t="s">
        <v>1010</v>
      </c>
      <c r="D95" s="1130" t="s">
        <v>312</v>
      </c>
      <c r="E95" s="1135"/>
      <c r="F95" s="1135"/>
      <c r="G95" s="1135"/>
      <c r="H95" s="1116">
        <v>0</v>
      </c>
    </row>
    <row r="96" spans="1:8" s="1037" customFormat="1" ht="15.75" hidden="1" thickBot="1" x14ac:dyDescent="0.25">
      <c r="A96" s="1110">
        <v>3122</v>
      </c>
      <c r="B96" s="1111">
        <v>6121</v>
      </c>
      <c r="C96" s="1216" t="s">
        <v>1005</v>
      </c>
      <c r="D96" s="1130" t="s">
        <v>312</v>
      </c>
      <c r="E96" s="1135"/>
      <c r="F96" s="1135"/>
      <c r="G96" s="1135"/>
      <c r="H96" s="1116">
        <v>0</v>
      </c>
    </row>
    <row r="97" spans="1:8" s="1037" customFormat="1" ht="15.75" hidden="1" thickBot="1" x14ac:dyDescent="0.25">
      <c r="A97" s="1110">
        <v>3122</v>
      </c>
      <c r="B97" s="1111">
        <v>6122</v>
      </c>
      <c r="C97" s="1216" t="s">
        <v>1011</v>
      </c>
      <c r="D97" s="1130" t="s">
        <v>313</v>
      </c>
      <c r="E97" s="1135"/>
      <c r="F97" s="1135"/>
      <c r="G97" s="1135"/>
      <c r="H97" s="1116" t="e">
        <f>G97/F97*100</f>
        <v>#DIV/0!</v>
      </c>
    </row>
    <row r="98" spans="1:8" s="1037" customFormat="1" ht="15.75" hidden="1" thickBot="1" x14ac:dyDescent="0.25">
      <c r="A98" s="1110">
        <v>3122</v>
      </c>
      <c r="B98" s="1111">
        <v>6122</v>
      </c>
      <c r="C98" s="1216" t="s">
        <v>1012</v>
      </c>
      <c r="D98" s="1130" t="s">
        <v>313</v>
      </c>
      <c r="E98" s="1135"/>
      <c r="F98" s="1135"/>
      <c r="G98" s="1135"/>
      <c r="H98" s="1116" t="e">
        <f>G98/F98*100</f>
        <v>#DIV/0!</v>
      </c>
    </row>
    <row r="99" spans="1:8" s="1037" customFormat="1" ht="15.75" hidden="1" thickBot="1" x14ac:dyDescent="0.25">
      <c r="A99" s="1110">
        <v>3122</v>
      </c>
      <c r="B99" s="1111">
        <v>6122</v>
      </c>
      <c r="C99" s="1216" t="s">
        <v>1010</v>
      </c>
      <c r="D99" s="1130" t="s">
        <v>313</v>
      </c>
      <c r="E99" s="1135"/>
      <c r="F99" s="1135"/>
      <c r="G99" s="1135"/>
      <c r="H99" s="1116" t="e">
        <f>G99/F99*100</f>
        <v>#DIV/0!</v>
      </c>
    </row>
    <row r="100" spans="1:8" s="1037" customFormat="1" ht="15.75" hidden="1" thickBot="1" x14ac:dyDescent="0.25">
      <c r="A100" s="1110">
        <v>3122</v>
      </c>
      <c r="B100" s="1111">
        <v>6122</v>
      </c>
      <c r="C100" s="1216" t="s">
        <v>659</v>
      </c>
      <c r="D100" s="1130" t="s">
        <v>313</v>
      </c>
      <c r="E100" s="1135"/>
      <c r="F100" s="1135"/>
      <c r="G100" s="1135"/>
      <c r="H100" s="1116">
        <v>0</v>
      </c>
    </row>
    <row r="101" spans="1:8" s="1037" customFormat="1" ht="16.5" hidden="1" thickTop="1" thickBot="1" x14ac:dyDescent="0.3">
      <c r="A101" s="3317" t="s">
        <v>394</v>
      </c>
      <c r="B101" s="3318"/>
      <c r="C101" s="3318"/>
      <c r="D101" s="3318"/>
      <c r="E101" s="1113">
        <f>SUM(E88:E100)</f>
        <v>0</v>
      </c>
      <c r="F101" s="1113">
        <f>SUM(F88:F100)</f>
        <v>0</v>
      </c>
      <c r="G101" s="1113">
        <f>SUM(G88:G100)</f>
        <v>0</v>
      </c>
      <c r="H101" s="1114" t="e">
        <f>G101/F101*100</f>
        <v>#DIV/0!</v>
      </c>
    </row>
    <row r="102" spans="1:8" s="1037" customFormat="1" ht="15.75" hidden="1" thickTop="1" x14ac:dyDescent="0.25">
      <c r="A102" s="1103"/>
      <c r="B102" s="1118"/>
      <c r="C102" s="1118"/>
      <c r="D102" s="1118"/>
      <c r="E102" s="1119"/>
      <c r="F102" s="1119"/>
      <c r="G102" s="1119"/>
      <c r="H102" s="1217"/>
    </row>
    <row r="103" spans="1:8" ht="15" hidden="1" x14ac:dyDescent="0.25">
      <c r="A103" s="1103" t="s">
        <v>794</v>
      </c>
    </row>
    <row r="104" spans="1:8" ht="15" hidden="1" x14ac:dyDescent="0.25">
      <c r="A104" s="1103" t="s">
        <v>63</v>
      </c>
      <c r="H104" s="1177" t="s">
        <v>92</v>
      </c>
    </row>
    <row r="105" spans="1:8" s="1037" customFormat="1" ht="25.5" hidden="1" thickTop="1" thickBot="1" x14ac:dyDescent="0.25">
      <c r="A105" s="1104" t="s">
        <v>93</v>
      </c>
      <c r="B105" s="1105" t="s">
        <v>392</v>
      </c>
      <c r="C105" s="1105" t="s">
        <v>209</v>
      </c>
      <c r="D105" s="1106" t="s">
        <v>95</v>
      </c>
      <c r="E105" s="1127" t="s">
        <v>328</v>
      </c>
      <c r="F105" s="1127" t="s">
        <v>329</v>
      </c>
      <c r="G105" s="1128" t="s">
        <v>448</v>
      </c>
      <c r="H105" s="1129" t="s">
        <v>449</v>
      </c>
    </row>
    <row r="106" spans="1:8" s="1037" customFormat="1" ht="13.5" hidden="1" thickTop="1" thickBot="1" x14ac:dyDescent="0.25">
      <c r="A106" s="1042">
        <v>1</v>
      </c>
      <c r="B106" s="1041">
        <v>2</v>
      </c>
      <c r="C106" s="1041">
        <v>3</v>
      </c>
      <c r="D106" s="1041">
        <v>4</v>
      </c>
      <c r="E106" s="1040">
        <v>5</v>
      </c>
      <c r="F106" s="1040">
        <v>6</v>
      </c>
      <c r="G106" s="1164">
        <v>7</v>
      </c>
      <c r="H106" s="1186" t="s">
        <v>33</v>
      </c>
    </row>
    <row r="107" spans="1:8" s="1037" customFormat="1" ht="15" hidden="1" x14ac:dyDescent="0.2">
      <c r="A107" s="1110">
        <v>3122</v>
      </c>
      <c r="B107" s="1111">
        <v>5137</v>
      </c>
      <c r="C107" s="1216" t="s">
        <v>1011</v>
      </c>
      <c r="D107" s="1130" t="s">
        <v>88</v>
      </c>
      <c r="E107" s="1135"/>
      <c r="F107" s="1135"/>
      <c r="G107" s="1135"/>
      <c r="H107" s="1116" t="e">
        <f t="shared" ref="H107:H116" si="2">G107/F107*100</f>
        <v>#DIV/0!</v>
      </c>
    </row>
    <row r="108" spans="1:8" s="1037" customFormat="1" ht="15" hidden="1" x14ac:dyDescent="0.2">
      <c r="A108" s="1110">
        <v>3122</v>
      </c>
      <c r="B108" s="1111">
        <v>5137</v>
      </c>
      <c r="C108" s="1216" t="s">
        <v>1030</v>
      </c>
      <c r="D108" s="1130" t="s">
        <v>88</v>
      </c>
      <c r="E108" s="1135"/>
      <c r="F108" s="1135"/>
      <c r="G108" s="1135"/>
      <c r="H108" s="1116" t="e">
        <f t="shared" si="2"/>
        <v>#DIV/0!</v>
      </c>
    </row>
    <row r="109" spans="1:8" s="1037" customFormat="1" ht="15" hidden="1" x14ac:dyDescent="0.2">
      <c r="A109" s="1110">
        <v>3122</v>
      </c>
      <c r="B109" s="1111">
        <v>6121</v>
      </c>
      <c r="C109" s="1216" t="s">
        <v>1011</v>
      </c>
      <c r="D109" s="1130" t="s">
        <v>312</v>
      </c>
      <c r="E109" s="1135"/>
      <c r="F109" s="1135"/>
      <c r="G109" s="1135"/>
      <c r="H109" s="1116" t="e">
        <f t="shared" si="2"/>
        <v>#DIV/0!</v>
      </c>
    </row>
    <row r="110" spans="1:8" s="1037" customFormat="1" ht="15" hidden="1" x14ac:dyDescent="0.2">
      <c r="A110" s="1110">
        <v>3122</v>
      </c>
      <c r="B110" s="1111">
        <v>6121</v>
      </c>
      <c r="C110" s="1216" t="s">
        <v>1012</v>
      </c>
      <c r="D110" s="1130" t="s">
        <v>312</v>
      </c>
      <c r="E110" s="1135"/>
      <c r="F110" s="1135"/>
      <c r="G110" s="1135"/>
      <c r="H110" s="1116" t="e">
        <f t="shared" si="2"/>
        <v>#DIV/0!</v>
      </c>
    </row>
    <row r="111" spans="1:8" s="1037" customFormat="1" ht="15" hidden="1" x14ac:dyDescent="0.2">
      <c r="A111" s="1110">
        <v>3122</v>
      </c>
      <c r="B111" s="1111">
        <v>6121</v>
      </c>
      <c r="C111" s="1216" t="s">
        <v>1010</v>
      </c>
      <c r="D111" s="1130" t="s">
        <v>312</v>
      </c>
      <c r="E111" s="1135"/>
      <c r="F111" s="1135"/>
      <c r="G111" s="1135"/>
      <c r="H111" s="1116" t="e">
        <f t="shared" si="2"/>
        <v>#DIV/0!</v>
      </c>
    </row>
    <row r="112" spans="1:8" s="1037" customFormat="1" ht="15" hidden="1" x14ac:dyDescent="0.2">
      <c r="A112" s="1110">
        <v>3122</v>
      </c>
      <c r="B112" s="1111">
        <v>6121</v>
      </c>
      <c r="C112" s="1216" t="s">
        <v>949</v>
      </c>
      <c r="D112" s="1130" t="s">
        <v>312</v>
      </c>
      <c r="E112" s="1135"/>
      <c r="F112" s="1135"/>
      <c r="G112" s="1135"/>
      <c r="H112" s="1116" t="e">
        <f t="shared" si="2"/>
        <v>#DIV/0!</v>
      </c>
    </row>
    <row r="113" spans="1:8" s="1037" customFormat="1" ht="15" hidden="1" x14ac:dyDescent="0.2">
      <c r="A113" s="1110">
        <v>3122</v>
      </c>
      <c r="B113" s="1111">
        <v>6122</v>
      </c>
      <c r="C113" s="1216" t="s">
        <v>1011</v>
      </c>
      <c r="D113" s="1130" t="s">
        <v>313</v>
      </c>
      <c r="E113" s="1135"/>
      <c r="F113" s="1135"/>
      <c r="G113" s="1135"/>
      <c r="H113" s="1116" t="e">
        <f t="shared" si="2"/>
        <v>#DIV/0!</v>
      </c>
    </row>
    <row r="114" spans="1:8" s="1037" customFormat="1" ht="15" hidden="1" x14ac:dyDescent="0.2">
      <c r="A114" s="1110">
        <v>3122</v>
      </c>
      <c r="B114" s="1111">
        <v>6122</v>
      </c>
      <c r="C114" s="1216">
        <v>38500871</v>
      </c>
      <c r="D114" s="1130" t="s">
        <v>313</v>
      </c>
      <c r="E114" s="1135"/>
      <c r="F114" s="1135"/>
      <c r="G114" s="1135"/>
      <c r="H114" s="1116" t="e">
        <f t="shared" si="2"/>
        <v>#DIV/0!</v>
      </c>
    </row>
    <row r="115" spans="1:8" s="1037" customFormat="1" ht="15" hidden="1" x14ac:dyDescent="0.2">
      <c r="A115" s="1110">
        <v>3122</v>
      </c>
      <c r="B115" s="1111">
        <v>6122</v>
      </c>
      <c r="C115" s="1216" t="s">
        <v>949</v>
      </c>
      <c r="D115" s="1130" t="s">
        <v>313</v>
      </c>
      <c r="E115" s="1135"/>
      <c r="F115" s="1135"/>
      <c r="G115" s="1135"/>
      <c r="H115" s="1116" t="e">
        <f t="shared" si="2"/>
        <v>#DIV/0!</v>
      </c>
    </row>
    <row r="116" spans="1:8" s="1037" customFormat="1" ht="16.5" hidden="1" thickTop="1" thickBot="1" x14ac:dyDescent="0.3">
      <c r="A116" s="3317" t="s">
        <v>394</v>
      </c>
      <c r="B116" s="3318"/>
      <c r="C116" s="3318"/>
      <c r="D116" s="3318"/>
      <c r="E116" s="1113">
        <f>SUM(E107:E115)</f>
        <v>0</v>
      </c>
      <c r="F116" s="1113">
        <f>SUM(F107:F115)</f>
        <v>0</v>
      </c>
      <c r="G116" s="1113">
        <f>SUM(G107:G115)</f>
        <v>0</v>
      </c>
      <c r="H116" s="1117" t="e">
        <f t="shared" si="2"/>
        <v>#DIV/0!</v>
      </c>
    </row>
    <row r="117" spans="1:8" s="1037" customFormat="1" ht="14.25" hidden="1" customHeight="1" thickTop="1" x14ac:dyDescent="0.25">
      <c r="A117" s="1118"/>
      <c r="B117" s="1118"/>
      <c r="C117" s="1118"/>
      <c r="D117" s="1118"/>
      <c r="E117" s="1119"/>
      <c r="F117" s="1119"/>
      <c r="G117" s="1119"/>
      <c r="H117" s="1138"/>
    </row>
    <row r="118" spans="1:8" ht="15" hidden="1" x14ac:dyDescent="0.25">
      <c r="A118" s="1103" t="s">
        <v>728</v>
      </c>
    </row>
    <row r="119" spans="1:8" ht="15.75" hidden="1" thickBot="1" x14ac:dyDescent="0.3">
      <c r="A119" s="1103" t="s">
        <v>729</v>
      </c>
      <c r="H119" s="1177" t="s">
        <v>92</v>
      </c>
    </row>
    <row r="120" spans="1:8" s="1037" customFormat="1" ht="25.5" hidden="1" thickTop="1" thickBot="1" x14ac:dyDescent="0.25">
      <c r="A120" s="1104" t="s">
        <v>93</v>
      </c>
      <c r="B120" s="1105" t="s">
        <v>392</v>
      </c>
      <c r="C120" s="1105" t="s">
        <v>209</v>
      </c>
      <c r="D120" s="1106" t="s">
        <v>95</v>
      </c>
      <c r="E120" s="1127" t="s">
        <v>328</v>
      </c>
      <c r="F120" s="1127" t="s">
        <v>329</v>
      </c>
      <c r="G120" s="1128" t="s">
        <v>448</v>
      </c>
      <c r="H120" s="1129" t="s">
        <v>449</v>
      </c>
    </row>
    <row r="121" spans="1:8" s="1037" customFormat="1" ht="13.5" hidden="1" thickTop="1" thickBot="1" x14ac:dyDescent="0.25">
      <c r="A121" s="1042">
        <v>1</v>
      </c>
      <c r="B121" s="1041">
        <v>2</v>
      </c>
      <c r="C121" s="1041">
        <v>3</v>
      </c>
      <c r="D121" s="1041">
        <v>4</v>
      </c>
      <c r="E121" s="1040">
        <v>5</v>
      </c>
      <c r="F121" s="1040">
        <v>6</v>
      </c>
      <c r="G121" s="1164">
        <v>7</v>
      </c>
      <c r="H121" s="1186" t="s">
        <v>33</v>
      </c>
    </row>
    <row r="122" spans="1:8" s="1037" customFormat="1" ht="31.5" hidden="1" thickTop="1" thickBot="1" x14ac:dyDescent="0.25">
      <c r="A122" s="1181">
        <v>3122</v>
      </c>
      <c r="B122" s="1187">
        <v>5909</v>
      </c>
      <c r="C122" s="1214" t="s">
        <v>871</v>
      </c>
      <c r="D122" s="1130" t="s">
        <v>406</v>
      </c>
      <c r="E122" s="1135"/>
      <c r="F122" s="1135"/>
      <c r="G122" s="1135"/>
      <c r="H122" s="1116" t="e">
        <f t="shared" ref="H122:H133" si="3">G122/F122*100</f>
        <v>#DIV/0!</v>
      </c>
    </row>
    <row r="123" spans="1:8" s="1037" customFormat="1" ht="15.75" hidden="1" thickBot="1" x14ac:dyDescent="0.25">
      <c r="A123" s="1110">
        <v>3122</v>
      </c>
      <c r="B123" s="1111">
        <v>5137</v>
      </c>
      <c r="C123" s="1216" t="s">
        <v>1005</v>
      </c>
      <c r="D123" s="1130" t="s">
        <v>88</v>
      </c>
      <c r="E123" s="1135"/>
      <c r="F123" s="1135"/>
      <c r="G123" s="1135"/>
      <c r="H123" s="1116" t="e">
        <f t="shared" si="3"/>
        <v>#DIV/0!</v>
      </c>
    </row>
    <row r="124" spans="1:8" s="1037" customFormat="1" ht="15.75" hidden="1" thickBot="1" x14ac:dyDescent="0.25">
      <c r="A124" s="1110">
        <v>3122</v>
      </c>
      <c r="B124" s="1111">
        <v>6121</v>
      </c>
      <c r="C124" s="1216" t="s">
        <v>1011</v>
      </c>
      <c r="D124" s="1130" t="s">
        <v>312</v>
      </c>
      <c r="E124" s="1135"/>
      <c r="F124" s="1135"/>
      <c r="G124" s="1135"/>
      <c r="H124" s="1116" t="e">
        <f t="shared" si="3"/>
        <v>#DIV/0!</v>
      </c>
    </row>
    <row r="125" spans="1:8" s="1037" customFormat="1" ht="15.75" hidden="1" thickBot="1" x14ac:dyDescent="0.25">
      <c r="A125" s="1110">
        <v>3122</v>
      </c>
      <c r="B125" s="1111">
        <v>6121</v>
      </c>
      <c r="C125" s="1216" t="s">
        <v>1004</v>
      </c>
      <c r="D125" s="1130" t="s">
        <v>312</v>
      </c>
      <c r="E125" s="1135"/>
      <c r="F125" s="1135"/>
      <c r="G125" s="1135"/>
      <c r="H125" s="1116" t="e">
        <f t="shared" si="3"/>
        <v>#DIV/0!</v>
      </c>
    </row>
    <row r="126" spans="1:8" s="1037" customFormat="1" ht="15.75" hidden="1" thickBot="1" x14ac:dyDescent="0.25">
      <c r="A126" s="1110">
        <v>3122</v>
      </c>
      <c r="B126" s="1111">
        <v>6121</v>
      </c>
      <c r="C126" s="1216" t="s">
        <v>1006</v>
      </c>
      <c r="D126" s="1130" t="s">
        <v>312</v>
      </c>
      <c r="E126" s="1135"/>
      <c r="F126" s="1135"/>
      <c r="G126" s="1135"/>
      <c r="H126" s="1116" t="e">
        <f t="shared" si="3"/>
        <v>#DIV/0!</v>
      </c>
    </row>
    <row r="127" spans="1:8" s="1037" customFormat="1" ht="15.75" hidden="1" thickBot="1" x14ac:dyDescent="0.25">
      <c r="A127" s="1110">
        <v>3122</v>
      </c>
      <c r="B127" s="1111">
        <v>6121</v>
      </c>
      <c r="C127" s="1216" t="s">
        <v>1005</v>
      </c>
      <c r="D127" s="1130" t="s">
        <v>312</v>
      </c>
      <c r="E127" s="1135"/>
      <c r="F127" s="1135"/>
      <c r="G127" s="1135"/>
      <c r="H127" s="1116" t="e">
        <f t="shared" si="3"/>
        <v>#DIV/0!</v>
      </c>
    </row>
    <row r="128" spans="1:8" s="1037" customFormat="1" ht="15.75" hidden="1" thickBot="1" x14ac:dyDescent="0.25">
      <c r="A128" s="1110">
        <v>3122</v>
      </c>
      <c r="B128" s="1111">
        <v>6122</v>
      </c>
      <c r="C128" s="1216" t="s">
        <v>1011</v>
      </c>
      <c r="D128" s="1130" t="s">
        <v>313</v>
      </c>
      <c r="E128" s="1135"/>
      <c r="F128" s="1135"/>
      <c r="G128" s="1135"/>
      <c r="H128" s="1116" t="e">
        <f t="shared" si="3"/>
        <v>#DIV/0!</v>
      </c>
    </row>
    <row r="129" spans="1:8" s="1037" customFormat="1" ht="15.75" hidden="1" thickBot="1" x14ac:dyDescent="0.25">
      <c r="A129" s="1110">
        <v>3122</v>
      </c>
      <c r="B129" s="1111">
        <v>6122</v>
      </c>
      <c r="C129" s="1216">
        <v>38100880</v>
      </c>
      <c r="D129" s="1130" t="s">
        <v>313</v>
      </c>
      <c r="E129" s="1135"/>
      <c r="F129" s="1135"/>
      <c r="G129" s="1135"/>
      <c r="H129" s="1116" t="e">
        <f t="shared" si="3"/>
        <v>#DIV/0!</v>
      </c>
    </row>
    <row r="130" spans="1:8" s="1037" customFormat="1" ht="15.75" hidden="1" thickBot="1" x14ac:dyDescent="0.25">
      <c r="A130" s="1110">
        <v>3122</v>
      </c>
      <c r="B130" s="1111">
        <v>6122</v>
      </c>
      <c r="C130" s="1216" t="s">
        <v>1010</v>
      </c>
      <c r="D130" s="1130" t="s">
        <v>313</v>
      </c>
      <c r="E130" s="1135"/>
      <c r="F130" s="1135"/>
      <c r="G130" s="1135"/>
      <c r="H130" s="1116" t="e">
        <f t="shared" si="3"/>
        <v>#DIV/0!</v>
      </c>
    </row>
    <row r="131" spans="1:8" s="1037" customFormat="1" ht="15.75" hidden="1" thickBot="1" x14ac:dyDescent="0.25">
      <c r="A131" s="1110">
        <v>3122</v>
      </c>
      <c r="B131" s="1111">
        <v>6122</v>
      </c>
      <c r="C131" s="1216" t="s">
        <v>1005</v>
      </c>
      <c r="D131" s="1130" t="s">
        <v>313</v>
      </c>
      <c r="E131" s="1135"/>
      <c r="F131" s="1135"/>
      <c r="G131" s="1135"/>
      <c r="H131" s="1116" t="e">
        <f t="shared" si="3"/>
        <v>#DIV/0!</v>
      </c>
    </row>
    <row r="132" spans="1:8" s="1037" customFormat="1" ht="15.75" hidden="1" thickBot="1" x14ac:dyDescent="0.25">
      <c r="A132" s="1110">
        <v>3122</v>
      </c>
      <c r="B132" s="1111">
        <v>6122</v>
      </c>
      <c r="C132" s="1216" t="s">
        <v>949</v>
      </c>
      <c r="D132" s="1130" t="s">
        <v>313</v>
      </c>
      <c r="E132" s="1135"/>
      <c r="F132" s="1135"/>
      <c r="G132" s="1135"/>
      <c r="H132" s="1116" t="e">
        <f t="shared" si="3"/>
        <v>#DIV/0!</v>
      </c>
    </row>
    <row r="133" spans="1:8" s="1037" customFormat="1" ht="16.5" hidden="1" thickTop="1" thickBot="1" x14ac:dyDescent="0.3">
      <c r="A133" s="3317" t="s">
        <v>394</v>
      </c>
      <c r="B133" s="3318"/>
      <c r="C133" s="3318"/>
      <c r="D133" s="3318"/>
      <c r="E133" s="1113">
        <f>SUM(E122:E132)</f>
        <v>0</v>
      </c>
      <c r="F133" s="1113">
        <f>SUM(F122:F132)</f>
        <v>0</v>
      </c>
      <c r="G133" s="1113">
        <f>SUM(G122:G132)</f>
        <v>0</v>
      </c>
      <c r="H133" s="1117" t="e">
        <f t="shared" si="3"/>
        <v>#DIV/0!</v>
      </c>
    </row>
    <row r="134" spans="1:8" s="1037" customFormat="1" ht="14.25" hidden="1" customHeight="1" x14ac:dyDescent="0.25">
      <c r="A134" s="1118"/>
      <c r="B134" s="1118"/>
      <c r="C134" s="1118"/>
      <c r="D134" s="1118"/>
      <c r="E134" s="1119"/>
      <c r="F134" s="1119"/>
      <c r="G134" s="1119"/>
      <c r="H134" s="1138"/>
    </row>
    <row r="135" spans="1:8" s="1037" customFormat="1" ht="14.25" customHeight="1" x14ac:dyDescent="0.25">
      <c r="A135" s="1118"/>
      <c r="B135" s="1118"/>
      <c r="C135" s="1118"/>
      <c r="D135" s="1118"/>
      <c r="E135" s="1119"/>
      <c r="F135" s="1119"/>
      <c r="G135" s="1119"/>
      <c r="H135" s="1138"/>
    </row>
    <row r="136" spans="1:8" ht="15" x14ac:dyDescent="0.25">
      <c r="A136" s="1103" t="s">
        <v>1474</v>
      </c>
    </row>
    <row r="137" spans="1:8" ht="15.75" thickBot="1" x14ac:dyDescent="0.3">
      <c r="A137" s="1103" t="s">
        <v>1473</v>
      </c>
      <c r="H137" s="1177" t="s">
        <v>92</v>
      </c>
    </row>
    <row r="138" spans="1:8" s="1037" customFormat="1" ht="25.5" thickTop="1" thickBot="1" x14ac:dyDescent="0.25">
      <c r="A138" s="1104" t="s">
        <v>93</v>
      </c>
      <c r="B138" s="1105" t="s">
        <v>392</v>
      </c>
      <c r="C138" s="1105" t="s">
        <v>209</v>
      </c>
      <c r="D138" s="1106" t="s">
        <v>95</v>
      </c>
      <c r="E138" s="1127" t="s">
        <v>328</v>
      </c>
      <c r="F138" s="1127" t="s">
        <v>329</v>
      </c>
      <c r="G138" s="1128" t="s">
        <v>448</v>
      </c>
      <c r="H138" s="1129" t="s">
        <v>449</v>
      </c>
    </row>
    <row r="139" spans="1:8" s="1037" customFormat="1" ht="13.5" thickTop="1" thickBot="1" x14ac:dyDescent="0.25">
      <c r="A139" s="1042">
        <v>1</v>
      </c>
      <c r="B139" s="1041">
        <v>2</v>
      </c>
      <c r="C139" s="1041">
        <v>3</v>
      </c>
      <c r="D139" s="1041">
        <v>4</v>
      </c>
      <c r="E139" s="1040">
        <v>5</v>
      </c>
      <c r="F139" s="1040">
        <v>6</v>
      </c>
      <c r="G139" s="1164">
        <v>7</v>
      </c>
      <c r="H139" s="1186" t="s">
        <v>33</v>
      </c>
    </row>
    <row r="140" spans="1:8" s="1037" customFormat="1" ht="16.5" thickTop="1" thickBot="1" x14ac:dyDescent="0.25">
      <c r="A140" s="1181">
        <v>3147</v>
      </c>
      <c r="B140" s="1187">
        <v>5169</v>
      </c>
      <c r="C140" s="1214" t="s">
        <v>1451</v>
      </c>
      <c r="D140" s="1130" t="s">
        <v>430</v>
      </c>
      <c r="E140" s="1142">
        <v>350</v>
      </c>
      <c r="F140" s="1142">
        <v>350</v>
      </c>
      <c r="G140" s="1142">
        <v>0</v>
      </c>
      <c r="H140" s="3050">
        <f t="shared" ref="H140:H145" si="4">G140/F140*100</f>
        <v>0</v>
      </c>
    </row>
    <row r="141" spans="1:8" s="1037" customFormat="1" ht="30.75" hidden="1" thickBot="1" x14ac:dyDescent="0.25">
      <c r="A141" s="1181">
        <v>3147</v>
      </c>
      <c r="B141" s="1187">
        <v>5166</v>
      </c>
      <c r="C141" s="1214" t="s">
        <v>1454</v>
      </c>
      <c r="D141" s="1130" t="s">
        <v>317</v>
      </c>
      <c r="E141" s="1142"/>
      <c r="F141" s="1142"/>
      <c r="G141" s="1142"/>
      <c r="H141" s="3050" t="e">
        <f t="shared" si="4"/>
        <v>#DIV/0!</v>
      </c>
    </row>
    <row r="142" spans="1:8" s="1037" customFormat="1" ht="15.75" hidden="1" thickBot="1" x14ac:dyDescent="0.25">
      <c r="A142" s="1110">
        <v>3522</v>
      </c>
      <c r="B142" s="1111">
        <v>6121</v>
      </c>
      <c r="C142" s="1216" t="s">
        <v>1006</v>
      </c>
      <c r="D142" s="1130" t="s">
        <v>312</v>
      </c>
      <c r="E142" s="1135"/>
      <c r="F142" s="1135"/>
      <c r="G142" s="1135"/>
      <c r="H142" s="3050" t="e">
        <f t="shared" si="4"/>
        <v>#DIV/0!</v>
      </c>
    </row>
    <row r="143" spans="1:8" s="1037" customFormat="1" ht="15.75" hidden="1" thickBot="1" x14ac:dyDescent="0.25">
      <c r="A143" s="1110">
        <v>3522</v>
      </c>
      <c r="B143" s="1111">
        <v>6121</v>
      </c>
      <c r="C143" s="1216" t="s">
        <v>1009</v>
      </c>
      <c r="D143" s="1130" t="s">
        <v>312</v>
      </c>
      <c r="E143" s="1135"/>
      <c r="F143" s="1135"/>
      <c r="G143" s="1135"/>
      <c r="H143" s="3050" t="e">
        <f t="shared" si="4"/>
        <v>#DIV/0!</v>
      </c>
    </row>
    <row r="144" spans="1:8" s="1037" customFormat="1" ht="15.75" hidden="1" thickBot="1" x14ac:dyDescent="0.25">
      <c r="A144" s="1110">
        <v>3522</v>
      </c>
      <c r="B144" s="1111">
        <v>6121</v>
      </c>
      <c r="C144" s="1216" t="s">
        <v>949</v>
      </c>
      <c r="D144" s="1130" t="s">
        <v>312</v>
      </c>
      <c r="E144" s="1135"/>
      <c r="F144" s="1135"/>
      <c r="G144" s="1135"/>
      <c r="H144" s="3050" t="e">
        <f t="shared" si="4"/>
        <v>#DIV/0!</v>
      </c>
    </row>
    <row r="145" spans="1:8" s="1037" customFormat="1" ht="16.5" thickTop="1" thickBot="1" x14ac:dyDescent="0.3">
      <c r="A145" s="3317" t="s">
        <v>394</v>
      </c>
      <c r="B145" s="3318"/>
      <c r="C145" s="3318"/>
      <c r="D145" s="3318"/>
      <c r="E145" s="1113">
        <f>SUM(E140:E144)</f>
        <v>350</v>
      </c>
      <c r="F145" s="1113">
        <f>SUM(F140:F144)</f>
        <v>350</v>
      </c>
      <c r="G145" s="1113">
        <f>SUM(G140:G144)</f>
        <v>0</v>
      </c>
      <c r="H145" s="1381">
        <f t="shared" si="4"/>
        <v>0</v>
      </c>
    </row>
    <row r="146" spans="1:8" s="1037" customFormat="1" ht="14.25" customHeight="1" thickTop="1" x14ac:dyDescent="0.25">
      <c r="A146" s="1118"/>
      <c r="B146" s="1118"/>
      <c r="C146" s="1118"/>
      <c r="D146" s="1118"/>
      <c r="E146" s="1119"/>
      <c r="F146" s="1119"/>
      <c r="G146" s="1119"/>
      <c r="H146" s="1138"/>
    </row>
    <row r="147" spans="1:8" ht="15" x14ac:dyDescent="0.25">
      <c r="A147" s="1103" t="s">
        <v>1472</v>
      </c>
    </row>
    <row r="148" spans="1:8" ht="15.75" thickBot="1" x14ac:dyDescent="0.3">
      <c r="A148" s="1103" t="s">
        <v>1471</v>
      </c>
      <c r="H148" s="1177" t="s">
        <v>92</v>
      </c>
    </row>
    <row r="149" spans="1:8" s="1037" customFormat="1" ht="25.5" thickTop="1" thickBot="1" x14ac:dyDescent="0.25">
      <c r="A149" s="1104" t="s">
        <v>93</v>
      </c>
      <c r="B149" s="1105" t="s">
        <v>392</v>
      </c>
      <c r="C149" s="1105" t="s">
        <v>209</v>
      </c>
      <c r="D149" s="1106" t="s">
        <v>95</v>
      </c>
      <c r="E149" s="1127" t="s">
        <v>328</v>
      </c>
      <c r="F149" s="1127" t="s">
        <v>329</v>
      </c>
      <c r="G149" s="1128" t="s">
        <v>448</v>
      </c>
      <c r="H149" s="1129" t="s">
        <v>449</v>
      </c>
    </row>
    <row r="150" spans="1:8" s="1037" customFormat="1" ht="13.5" thickTop="1" thickBot="1" x14ac:dyDescent="0.25">
      <c r="A150" s="1042">
        <v>1</v>
      </c>
      <c r="B150" s="1041">
        <v>2</v>
      </c>
      <c r="C150" s="1041">
        <v>3</v>
      </c>
      <c r="D150" s="1041">
        <v>4</v>
      </c>
      <c r="E150" s="1040">
        <v>5</v>
      </c>
      <c r="F150" s="1040">
        <v>6</v>
      </c>
      <c r="G150" s="1164">
        <v>7</v>
      </c>
      <c r="H150" s="1186" t="s">
        <v>33</v>
      </c>
    </row>
    <row r="151" spans="1:8" s="1037" customFormat="1" ht="15.75" thickTop="1" x14ac:dyDescent="0.2">
      <c r="A151" s="1110">
        <v>3121</v>
      </c>
      <c r="B151" s="1111">
        <v>6121</v>
      </c>
      <c r="C151" s="1216" t="s">
        <v>1450</v>
      </c>
      <c r="D151" s="1130" t="s">
        <v>312</v>
      </c>
      <c r="E151" s="1135">
        <v>960</v>
      </c>
      <c r="F151" s="1135">
        <v>0</v>
      </c>
      <c r="G151" s="1135">
        <v>0</v>
      </c>
      <c r="H151" s="3050">
        <v>0</v>
      </c>
    </row>
    <row r="152" spans="1:8" s="1037" customFormat="1" ht="15.75" thickBot="1" x14ac:dyDescent="0.25">
      <c r="A152" s="1110">
        <v>3121</v>
      </c>
      <c r="B152" s="1111">
        <v>6121</v>
      </c>
      <c r="C152" s="1216" t="s">
        <v>1464</v>
      </c>
      <c r="D152" s="1130" t="s">
        <v>312</v>
      </c>
      <c r="E152" s="1135">
        <v>0</v>
      </c>
      <c r="F152" s="1135">
        <v>993</v>
      </c>
      <c r="G152" s="1135">
        <v>897</v>
      </c>
      <c r="H152" s="3050">
        <f t="shared" ref="H152" si="5">G152/F152*100</f>
        <v>90.332326283987925</v>
      </c>
    </row>
    <row r="153" spans="1:8" s="1037" customFormat="1" ht="15.75" hidden="1" thickBot="1" x14ac:dyDescent="0.25">
      <c r="A153" s="1110">
        <v>3121</v>
      </c>
      <c r="B153" s="1111">
        <v>6121</v>
      </c>
      <c r="C153" s="1216" t="s">
        <v>1448</v>
      </c>
      <c r="D153" s="1130" t="s">
        <v>312</v>
      </c>
      <c r="E153" s="1135"/>
      <c r="F153" s="1135"/>
      <c r="G153" s="1135"/>
      <c r="H153" s="3050">
        <v>0</v>
      </c>
    </row>
    <row r="154" spans="1:8" s="1037" customFormat="1" ht="15.75" hidden="1" thickBot="1" x14ac:dyDescent="0.25">
      <c r="A154" s="1110">
        <v>3533</v>
      </c>
      <c r="B154" s="1111">
        <v>6122</v>
      </c>
      <c r="C154" s="1216" t="s">
        <v>1009</v>
      </c>
      <c r="D154" s="1130" t="s">
        <v>312</v>
      </c>
      <c r="E154" s="1135"/>
      <c r="F154" s="1135"/>
      <c r="G154" s="1135"/>
      <c r="H154" s="3050">
        <v>0</v>
      </c>
    </row>
    <row r="155" spans="1:8" s="1037" customFormat="1" ht="16.5" thickTop="1" thickBot="1" x14ac:dyDescent="0.3">
      <c r="A155" s="3317" t="s">
        <v>394</v>
      </c>
      <c r="B155" s="3318"/>
      <c r="C155" s="3318"/>
      <c r="D155" s="3318"/>
      <c r="E155" s="1113">
        <f>SUM(E151:E154)</f>
        <v>960</v>
      </c>
      <c r="F155" s="1113">
        <f>SUM(F151:F154)</f>
        <v>993</v>
      </c>
      <c r="G155" s="1113">
        <f>SUM(G151:G154)</f>
        <v>897</v>
      </c>
      <c r="H155" s="1381">
        <f>G155/F155*100</f>
        <v>90.332326283987925</v>
      </c>
    </row>
    <row r="156" spans="1:8" s="1037" customFormat="1" ht="14.25" customHeight="1" thickTop="1" x14ac:dyDescent="0.25">
      <c r="A156" s="1118"/>
      <c r="B156" s="1118"/>
      <c r="C156" s="1118"/>
      <c r="D156" s="1118"/>
      <c r="E156" s="1119"/>
      <c r="F156" s="1119"/>
      <c r="G156" s="1119"/>
      <c r="H156" s="1138"/>
    </row>
    <row r="157" spans="1:8" s="1037" customFormat="1" ht="14.25" hidden="1" customHeight="1" x14ac:dyDescent="0.25">
      <c r="A157" s="1118"/>
      <c r="B157" s="1118"/>
      <c r="C157" s="1118"/>
      <c r="D157" s="1118"/>
      <c r="E157" s="1119"/>
      <c r="F157" s="1119"/>
      <c r="G157" s="1119"/>
      <c r="H157" s="1138"/>
    </row>
    <row r="158" spans="1:8" s="1037" customFormat="1" ht="14.25" hidden="1" customHeight="1" x14ac:dyDescent="0.25">
      <c r="A158" s="1118"/>
      <c r="B158" s="1118"/>
      <c r="C158" s="1118"/>
      <c r="D158" s="1118"/>
      <c r="E158" s="1119"/>
      <c r="F158" s="1119"/>
      <c r="G158" s="1119"/>
      <c r="H158" s="1138"/>
    </row>
    <row r="159" spans="1:8" s="1037" customFormat="1" ht="14.25" customHeight="1" x14ac:dyDescent="0.25">
      <c r="A159" s="1118"/>
      <c r="B159" s="1118"/>
      <c r="C159" s="1118"/>
      <c r="D159" s="1118"/>
      <c r="E159" s="1119"/>
      <c r="F159" s="1119"/>
      <c r="G159" s="1119"/>
      <c r="H159" s="1138"/>
    </row>
    <row r="160" spans="1:8" ht="15" x14ac:dyDescent="0.25">
      <c r="A160" s="1103" t="s">
        <v>1470</v>
      </c>
    </row>
    <row r="161" spans="1:8" ht="15.75" thickBot="1" x14ac:dyDescent="0.3">
      <c r="A161" s="1103" t="s">
        <v>1469</v>
      </c>
      <c r="H161" s="1177" t="s">
        <v>92</v>
      </c>
    </row>
    <row r="162" spans="1:8" s="1037" customFormat="1" ht="25.5" thickTop="1" thickBot="1" x14ac:dyDescent="0.25">
      <c r="A162" s="1104" t="s">
        <v>93</v>
      </c>
      <c r="B162" s="1105" t="s">
        <v>392</v>
      </c>
      <c r="C162" s="1105" t="s">
        <v>209</v>
      </c>
      <c r="D162" s="1106" t="s">
        <v>95</v>
      </c>
      <c r="E162" s="1127" t="s">
        <v>328</v>
      </c>
      <c r="F162" s="1127" t="s">
        <v>329</v>
      </c>
      <c r="G162" s="1128" t="s">
        <v>448</v>
      </c>
      <c r="H162" s="1129" t="s">
        <v>449</v>
      </c>
    </row>
    <row r="163" spans="1:8" s="1037" customFormat="1" ht="13.5" thickTop="1" thickBot="1" x14ac:dyDescent="0.25">
      <c r="A163" s="1042">
        <v>1</v>
      </c>
      <c r="B163" s="1041">
        <v>2</v>
      </c>
      <c r="C163" s="1041">
        <v>3</v>
      </c>
      <c r="D163" s="1041">
        <v>4</v>
      </c>
      <c r="E163" s="1040">
        <v>5</v>
      </c>
      <c r="F163" s="1040">
        <v>6</v>
      </c>
      <c r="G163" s="1164">
        <v>7</v>
      </c>
      <c r="H163" s="1186" t="s">
        <v>33</v>
      </c>
    </row>
    <row r="164" spans="1:8" s="1037" customFormat="1" ht="15.75" hidden="1" thickTop="1" x14ac:dyDescent="0.2">
      <c r="A164" s="1181">
        <v>3122</v>
      </c>
      <c r="B164" s="1187">
        <v>6121</v>
      </c>
      <c r="C164" s="1214" t="s">
        <v>972</v>
      </c>
      <c r="D164" s="1130" t="s">
        <v>312</v>
      </c>
      <c r="E164" s="1135"/>
      <c r="F164" s="1135"/>
      <c r="G164" s="1135"/>
      <c r="H164" s="1116" t="e">
        <f t="shared" ref="H164:H175" si="6">G164/F164*100</f>
        <v>#DIV/0!</v>
      </c>
    </row>
    <row r="165" spans="1:8" s="1037" customFormat="1" ht="15.75" thickTop="1" x14ac:dyDescent="0.2">
      <c r="A165" s="1181">
        <v>3122</v>
      </c>
      <c r="B165" s="1187">
        <v>6121</v>
      </c>
      <c r="C165" s="1214" t="s">
        <v>1450</v>
      </c>
      <c r="D165" s="1130" t="s">
        <v>312</v>
      </c>
      <c r="E165" s="1135">
        <v>120</v>
      </c>
      <c r="F165" s="1135">
        <v>0</v>
      </c>
      <c r="G165" s="1135">
        <v>0</v>
      </c>
      <c r="H165" s="3050">
        <v>0</v>
      </c>
    </row>
    <row r="166" spans="1:8" s="1037" customFormat="1" ht="15" hidden="1" x14ac:dyDescent="0.2">
      <c r="A166" s="1181">
        <v>3122</v>
      </c>
      <c r="B166" s="1187">
        <v>6121</v>
      </c>
      <c r="C166" s="1214" t="s">
        <v>1449</v>
      </c>
      <c r="D166" s="1130" t="s">
        <v>312</v>
      </c>
      <c r="E166" s="1135"/>
      <c r="F166" s="1135"/>
      <c r="G166" s="1135"/>
      <c r="H166" s="3050" t="e">
        <f t="shared" si="6"/>
        <v>#DIV/0!</v>
      </c>
    </row>
    <row r="167" spans="1:8" s="1037" customFormat="1" ht="15.75" thickBot="1" x14ac:dyDescent="0.25">
      <c r="A167" s="1181">
        <v>3122</v>
      </c>
      <c r="B167" s="1187">
        <v>6121</v>
      </c>
      <c r="C167" s="1214" t="s">
        <v>1464</v>
      </c>
      <c r="D167" s="1130" t="s">
        <v>312</v>
      </c>
      <c r="E167" s="1135">
        <v>0</v>
      </c>
      <c r="F167" s="1135">
        <v>430</v>
      </c>
      <c r="G167" s="1135">
        <v>424</v>
      </c>
      <c r="H167" s="3050">
        <f t="shared" si="6"/>
        <v>98.604651162790702</v>
      </c>
    </row>
    <row r="168" spans="1:8" s="1037" customFormat="1" ht="15.75" hidden="1" thickBot="1" x14ac:dyDescent="0.25">
      <c r="A168" s="1181">
        <v>3122</v>
      </c>
      <c r="B168" s="1187">
        <v>6121</v>
      </c>
      <c r="C168" s="1214" t="s">
        <v>1448</v>
      </c>
      <c r="D168" s="1130" t="s">
        <v>312</v>
      </c>
      <c r="E168" s="1135"/>
      <c r="F168" s="1135"/>
      <c r="G168" s="1135"/>
      <c r="H168" s="3050" t="e">
        <f t="shared" si="6"/>
        <v>#DIV/0!</v>
      </c>
    </row>
    <row r="169" spans="1:8" s="1037" customFormat="1" ht="15.75" hidden="1" thickBot="1" x14ac:dyDescent="0.25">
      <c r="A169" s="1181">
        <v>3122</v>
      </c>
      <c r="B169" s="1187">
        <v>6121</v>
      </c>
      <c r="C169" s="1214" t="s">
        <v>1005</v>
      </c>
      <c r="D169" s="1130" t="s">
        <v>452</v>
      </c>
      <c r="E169" s="1135"/>
      <c r="F169" s="1135"/>
      <c r="G169" s="1135"/>
      <c r="H169" s="3050" t="e">
        <f t="shared" si="6"/>
        <v>#DIV/0!</v>
      </c>
    </row>
    <row r="170" spans="1:8" s="1037" customFormat="1" ht="13.5" hidden="1" customHeight="1" x14ac:dyDescent="0.2">
      <c r="A170" s="1181">
        <v>2143</v>
      </c>
      <c r="B170" s="1187">
        <v>5166</v>
      </c>
      <c r="C170" s="1214">
        <v>0</v>
      </c>
      <c r="D170" s="1130" t="s">
        <v>317</v>
      </c>
      <c r="E170" s="1135"/>
      <c r="F170" s="1135"/>
      <c r="G170" s="1135"/>
      <c r="H170" s="3050" t="e">
        <f t="shared" si="6"/>
        <v>#DIV/0!</v>
      </c>
    </row>
    <row r="171" spans="1:8" s="1037" customFormat="1" ht="15.75" hidden="1" thickBot="1" x14ac:dyDescent="0.25">
      <c r="A171" s="1181">
        <v>2143</v>
      </c>
      <c r="B171" s="1187">
        <v>5169</v>
      </c>
      <c r="C171" s="1214" t="s">
        <v>1004</v>
      </c>
      <c r="D171" s="1130" t="s">
        <v>430</v>
      </c>
      <c r="E171" s="1135"/>
      <c r="F171" s="1135"/>
      <c r="G171" s="1135"/>
      <c r="H171" s="3050" t="e">
        <f t="shared" si="6"/>
        <v>#DIV/0!</v>
      </c>
    </row>
    <row r="172" spans="1:8" s="1037" customFormat="1" ht="15.75" hidden="1" thickBot="1" x14ac:dyDescent="0.25">
      <c r="A172" s="1181">
        <v>2143</v>
      </c>
      <c r="B172" s="1187">
        <v>5169</v>
      </c>
      <c r="C172" s="1214" t="s">
        <v>1005</v>
      </c>
      <c r="D172" s="1130" t="s">
        <v>430</v>
      </c>
      <c r="E172" s="1135"/>
      <c r="F172" s="1135"/>
      <c r="G172" s="1135"/>
      <c r="H172" s="3050" t="e">
        <f t="shared" si="6"/>
        <v>#DIV/0!</v>
      </c>
    </row>
    <row r="173" spans="1:8" s="1037" customFormat="1" ht="15.75" hidden="1" thickBot="1" x14ac:dyDescent="0.25">
      <c r="A173" s="1181">
        <v>2143</v>
      </c>
      <c r="B173" s="1187">
        <v>5173</v>
      </c>
      <c r="C173" s="1214" t="s">
        <v>1004</v>
      </c>
      <c r="D173" s="1130" t="s">
        <v>541</v>
      </c>
      <c r="E173" s="1135"/>
      <c r="F173" s="1135"/>
      <c r="G173" s="1135"/>
      <c r="H173" s="3050" t="e">
        <f t="shared" si="6"/>
        <v>#DIV/0!</v>
      </c>
    </row>
    <row r="174" spans="1:8" s="1037" customFormat="1" ht="15.75" hidden="1" thickBot="1" x14ac:dyDescent="0.25">
      <c r="A174" s="1181">
        <v>2143</v>
      </c>
      <c r="B174" s="1187">
        <v>5173</v>
      </c>
      <c r="C174" s="1214" t="s">
        <v>1005</v>
      </c>
      <c r="D174" s="1130" t="s">
        <v>541</v>
      </c>
      <c r="E174" s="1135"/>
      <c r="F174" s="1135"/>
      <c r="G174" s="1135"/>
      <c r="H174" s="3050" t="e">
        <f t="shared" si="6"/>
        <v>#DIV/0!</v>
      </c>
    </row>
    <row r="175" spans="1:8" s="1037" customFormat="1" ht="16.5" thickTop="1" thickBot="1" x14ac:dyDescent="0.3">
      <c r="A175" s="3317" t="s">
        <v>394</v>
      </c>
      <c r="B175" s="3318"/>
      <c r="C175" s="3318"/>
      <c r="D175" s="3318"/>
      <c r="E175" s="1113">
        <f>SUM(E164:E174)</f>
        <v>120</v>
      </c>
      <c r="F175" s="1113">
        <f>SUM(F164:F174)</f>
        <v>430</v>
      </c>
      <c r="G175" s="1113">
        <f>SUM(G164:G174)</f>
        <v>424</v>
      </c>
      <c r="H175" s="1381">
        <f t="shared" si="6"/>
        <v>98.604651162790702</v>
      </c>
    </row>
    <row r="176" spans="1:8" s="1037" customFormat="1" ht="14.25" customHeight="1" thickTop="1" x14ac:dyDescent="0.25">
      <c r="A176" s="1118"/>
      <c r="B176" s="1118"/>
      <c r="C176" s="1118"/>
      <c r="D176" s="1118"/>
      <c r="E176" s="1119"/>
      <c r="F176" s="1119"/>
      <c r="G176" s="1119"/>
      <c r="H176" s="1138"/>
    </row>
    <row r="177" spans="1:8" ht="30" customHeight="1" x14ac:dyDescent="0.25">
      <c r="A177" s="3335" t="s">
        <v>1468</v>
      </c>
      <c r="B177" s="3334"/>
      <c r="C177" s="3334"/>
      <c r="D177" s="3334"/>
      <c r="E177" s="3334"/>
      <c r="F177" s="3334"/>
      <c r="G177" s="3334"/>
      <c r="H177" s="3334"/>
    </row>
    <row r="178" spans="1:8" ht="15.75" thickBot="1" x14ac:dyDescent="0.3">
      <c r="A178" s="1103" t="s">
        <v>1467</v>
      </c>
      <c r="H178" s="1177" t="s">
        <v>92</v>
      </c>
    </row>
    <row r="179" spans="1:8" s="1037" customFormat="1" ht="25.5" thickTop="1" thickBot="1" x14ac:dyDescent="0.25">
      <c r="A179" s="1104" t="s">
        <v>93</v>
      </c>
      <c r="B179" s="1105" t="s">
        <v>392</v>
      </c>
      <c r="C179" s="1105" t="s">
        <v>209</v>
      </c>
      <c r="D179" s="1106" t="s">
        <v>95</v>
      </c>
      <c r="E179" s="1127" t="s">
        <v>328</v>
      </c>
      <c r="F179" s="1127" t="s">
        <v>329</v>
      </c>
      <c r="G179" s="1128" t="s">
        <v>448</v>
      </c>
      <c r="H179" s="1129" t="s">
        <v>449</v>
      </c>
    </row>
    <row r="180" spans="1:8" s="1037" customFormat="1" ht="13.5" thickTop="1" thickBot="1" x14ac:dyDescent="0.25">
      <c r="A180" s="1042">
        <v>1</v>
      </c>
      <c r="B180" s="1041">
        <v>2</v>
      </c>
      <c r="C180" s="1041">
        <v>3</v>
      </c>
      <c r="D180" s="1041">
        <v>4</v>
      </c>
      <c r="E180" s="1040">
        <v>5</v>
      </c>
      <c r="F180" s="1040">
        <v>6</v>
      </c>
      <c r="G180" s="1164">
        <v>7</v>
      </c>
      <c r="H180" s="1186" t="s">
        <v>33</v>
      </c>
    </row>
    <row r="181" spans="1:8" s="1037" customFormat="1" ht="15.75" hidden="1" thickTop="1" x14ac:dyDescent="0.2">
      <c r="A181" s="1181">
        <v>3121</v>
      </c>
      <c r="B181" s="1187">
        <v>6121</v>
      </c>
      <c r="C181" s="1214" t="s">
        <v>972</v>
      </c>
      <c r="D181" s="1130" t="s">
        <v>312</v>
      </c>
      <c r="E181" s="1135"/>
      <c r="F181" s="1135"/>
      <c r="G181" s="1135"/>
      <c r="H181" s="1116" t="e">
        <f>G181/F181*100</f>
        <v>#DIV/0!</v>
      </c>
    </row>
    <row r="182" spans="1:8" s="1037" customFormat="1" ht="15.75" thickTop="1" x14ac:dyDescent="0.2">
      <c r="A182" s="1181">
        <v>3121</v>
      </c>
      <c r="B182" s="1187">
        <v>5139</v>
      </c>
      <c r="C182" s="1214" t="s">
        <v>1450</v>
      </c>
      <c r="D182" s="1130" t="s">
        <v>827</v>
      </c>
      <c r="E182" s="1135">
        <v>0</v>
      </c>
      <c r="F182" s="1135">
        <v>1</v>
      </c>
      <c r="G182" s="1135">
        <v>0</v>
      </c>
      <c r="H182" s="3050">
        <f>G182/F182*100</f>
        <v>0</v>
      </c>
    </row>
    <row r="183" spans="1:8" s="1037" customFormat="1" ht="15" x14ac:dyDescent="0.2">
      <c r="A183" s="1181">
        <v>3121</v>
      </c>
      <c r="B183" s="1187">
        <v>5139</v>
      </c>
      <c r="C183" s="1214" t="s">
        <v>1449</v>
      </c>
      <c r="D183" s="1130" t="s">
        <v>827</v>
      </c>
      <c r="E183" s="1135">
        <v>0</v>
      </c>
      <c r="F183" s="1135">
        <v>0</v>
      </c>
      <c r="G183" s="1135">
        <v>0</v>
      </c>
      <c r="H183" s="3050">
        <v>0</v>
      </c>
    </row>
    <row r="184" spans="1:8" s="1037" customFormat="1" ht="15" x14ac:dyDescent="0.2">
      <c r="A184" s="1181">
        <v>3121</v>
      </c>
      <c r="B184" s="1187">
        <v>5139</v>
      </c>
      <c r="C184" s="1187">
        <v>107500881</v>
      </c>
      <c r="D184" s="1130" t="s">
        <v>827</v>
      </c>
      <c r="E184" s="1135">
        <v>0</v>
      </c>
      <c r="F184" s="1135">
        <v>6</v>
      </c>
      <c r="G184" s="1135">
        <v>4</v>
      </c>
      <c r="H184" s="3050">
        <f t="shared" ref="H184:H186" si="7">G184/F184*100</f>
        <v>66.666666666666657</v>
      </c>
    </row>
    <row r="185" spans="1:8" s="1037" customFormat="1" ht="15.75" thickBot="1" x14ac:dyDescent="0.25">
      <c r="A185" s="1181">
        <v>3121</v>
      </c>
      <c r="B185" s="1187">
        <v>6121</v>
      </c>
      <c r="C185" s="1187">
        <v>107100880</v>
      </c>
      <c r="D185" s="1130" t="s">
        <v>312</v>
      </c>
      <c r="E185" s="1135">
        <v>120</v>
      </c>
      <c r="F185" s="1135">
        <v>113</v>
      </c>
      <c r="G185" s="1135">
        <v>0</v>
      </c>
      <c r="H185" s="3050">
        <f t="shared" si="7"/>
        <v>0</v>
      </c>
    </row>
    <row r="186" spans="1:8" s="1037" customFormat="1" ht="16.5" thickTop="1" thickBot="1" x14ac:dyDescent="0.3">
      <c r="A186" s="3317" t="s">
        <v>394</v>
      </c>
      <c r="B186" s="3318"/>
      <c r="C186" s="3318"/>
      <c r="D186" s="3318"/>
      <c r="E186" s="1113">
        <f>SUM(E181:E185)</f>
        <v>120</v>
      </c>
      <c r="F186" s="1113">
        <f t="shared" ref="F186:G186" si="8">SUM(F181:F185)</f>
        <v>120</v>
      </c>
      <c r="G186" s="1113">
        <f t="shared" si="8"/>
        <v>4</v>
      </c>
      <c r="H186" s="1381">
        <f t="shared" si="7"/>
        <v>3.3333333333333335</v>
      </c>
    </row>
    <row r="187" spans="1:8" s="1037" customFormat="1" ht="14.25" customHeight="1" thickTop="1" x14ac:dyDescent="0.25">
      <c r="A187" s="1118"/>
      <c r="B187" s="1118"/>
      <c r="C187" s="1118"/>
      <c r="D187" s="1118"/>
      <c r="E187" s="1119"/>
      <c r="F187" s="1119"/>
      <c r="G187" s="1119"/>
      <c r="H187" s="1138"/>
    </row>
    <row r="188" spans="1:8" ht="46.5" customHeight="1" x14ac:dyDescent="0.25">
      <c r="A188" s="3335" t="s">
        <v>1466</v>
      </c>
      <c r="B188" s="3334"/>
      <c r="C188" s="3334"/>
      <c r="D188" s="3334"/>
      <c r="E188" s="3334"/>
      <c r="F188" s="3334"/>
      <c r="G188" s="3334"/>
      <c r="H188" s="3334"/>
    </row>
    <row r="189" spans="1:8" ht="15.75" thickBot="1" x14ac:dyDescent="0.3">
      <c r="A189" s="1103" t="s">
        <v>1465</v>
      </c>
      <c r="H189" s="1177" t="s">
        <v>92</v>
      </c>
    </row>
    <row r="190" spans="1:8" s="1037" customFormat="1" ht="25.5" thickTop="1" thickBot="1" x14ac:dyDescent="0.25">
      <c r="A190" s="1104" t="s">
        <v>93</v>
      </c>
      <c r="B190" s="1105" t="s">
        <v>392</v>
      </c>
      <c r="C190" s="1105" t="s">
        <v>209</v>
      </c>
      <c r="D190" s="1106" t="s">
        <v>95</v>
      </c>
      <c r="E190" s="1127" t="s">
        <v>328</v>
      </c>
      <c r="F190" s="1127" t="s">
        <v>329</v>
      </c>
      <c r="G190" s="1128" t="s">
        <v>448</v>
      </c>
      <c r="H190" s="1129" t="s">
        <v>449</v>
      </c>
    </row>
    <row r="191" spans="1:8" s="1037" customFormat="1" ht="13.5" thickTop="1" thickBot="1" x14ac:dyDescent="0.25">
      <c r="A191" s="1042">
        <v>1</v>
      </c>
      <c r="B191" s="1041">
        <v>2</v>
      </c>
      <c r="C191" s="1041">
        <v>3</v>
      </c>
      <c r="D191" s="1041">
        <v>4</v>
      </c>
      <c r="E191" s="1040">
        <v>5</v>
      </c>
      <c r="F191" s="1040">
        <v>6</v>
      </c>
      <c r="G191" s="1164">
        <v>7</v>
      </c>
      <c r="H191" s="1186" t="s">
        <v>33</v>
      </c>
    </row>
    <row r="192" spans="1:8" s="1037" customFormat="1" ht="15.75" thickTop="1" x14ac:dyDescent="0.2">
      <c r="A192" s="1181">
        <v>3122</v>
      </c>
      <c r="B192" s="1187">
        <v>5139</v>
      </c>
      <c r="C192" s="1214" t="s">
        <v>1450</v>
      </c>
      <c r="D192" s="1130" t="s">
        <v>827</v>
      </c>
      <c r="E192" s="1135">
        <v>0</v>
      </c>
      <c r="F192" s="1135">
        <v>0</v>
      </c>
      <c r="G192" s="1135">
        <v>0</v>
      </c>
      <c r="H192" s="3050">
        <v>0</v>
      </c>
    </row>
    <row r="193" spans="1:8" s="1037" customFormat="1" ht="15" x14ac:dyDescent="0.2">
      <c r="A193" s="1181">
        <v>3122</v>
      </c>
      <c r="B193" s="1187">
        <v>5139</v>
      </c>
      <c r="C193" s="1214" t="s">
        <v>1449</v>
      </c>
      <c r="D193" s="1130" t="s">
        <v>827</v>
      </c>
      <c r="E193" s="1135">
        <v>0</v>
      </c>
      <c r="F193" s="1135">
        <v>0</v>
      </c>
      <c r="G193" s="1135">
        <v>0</v>
      </c>
      <c r="H193" s="3050">
        <v>0</v>
      </c>
    </row>
    <row r="194" spans="1:8" s="1037" customFormat="1" ht="15" x14ac:dyDescent="0.2">
      <c r="A194" s="1181">
        <v>3122</v>
      </c>
      <c r="B194" s="1187">
        <v>5139</v>
      </c>
      <c r="C194" s="1187">
        <v>107500881</v>
      </c>
      <c r="D194" s="1130" t="s">
        <v>827</v>
      </c>
      <c r="E194" s="1135">
        <v>0</v>
      </c>
      <c r="F194" s="1135">
        <v>2</v>
      </c>
      <c r="G194" s="1135">
        <v>2</v>
      </c>
      <c r="H194" s="3050">
        <f>G194/F194*100</f>
        <v>100</v>
      </c>
    </row>
    <row r="195" spans="1:8" s="1037" customFormat="1" ht="15" x14ac:dyDescent="0.2">
      <c r="A195" s="1181">
        <v>3122</v>
      </c>
      <c r="B195" s="1187">
        <v>6121</v>
      </c>
      <c r="C195" s="1187">
        <v>107100880</v>
      </c>
      <c r="D195" s="1130" t="s">
        <v>312</v>
      </c>
      <c r="E195" s="1135">
        <v>120</v>
      </c>
      <c r="F195" s="1135">
        <v>0</v>
      </c>
      <c r="G195" s="1135">
        <v>0</v>
      </c>
      <c r="H195" s="3050">
        <v>0</v>
      </c>
    </row>
    <row r="196" spans="1:8" s="1037" customFormat="1" ht="15" hidden="1" x14ac:dyDescent="0.2">
      <c r="A196" s="1181">
        <v>3121</v>
      </c>
      <c r="B196" s="1187">
        <v>5139</v>
      </c>
      <c r="C196" s="1187">
        <v>38100884</v>
      </c>
      <c r="D196" s="1130" t="s">
        <v>312</v>
      </c>
      <c r="E196" s="1135"/>
      <c r="F196" s="1135"/>
      <c r="G196" s="1135"/>
      <c r="H196" s="3050" t="e">
        <f t="shared" ref="H196:H203" si="9">G196/F196*100</f>
        <v>#DIV/0!</v>
      </c>
    </row>
    <row r="197" spans="1:8" s="1037" customFormat="1" ht="15" hidden="1" x14ac:dyDescent="0.2">
      <c r="A197" s="1181">
        <v>3121</v>
      </c>
      <c r="B197" s="1187">
        <v>5139</v>
      </c>
      <c r="C197" s="1187">
        <v>38100880</v>
      </c>
      <c r="D197" s="1130" t="s">
        <v>312</v>
      </c>
      <c r="E197" s="1135"/>
      <c r="F197" s="1135"/>
      <c r="G197" s="1135"/>
      <c r="H197" s="3050" t="e">
        <f t="shared" si="9"/>
        <v>#DIV/0!</v>
      </c>
    </row>
    <row r="198" spans="1:8" s="1037" customFormat="1" ht="15" hidden="1" x14ac:dyDescent="0.2">
      <c r="A198" s="1181">
        <v>3121</v>
      </c>
      <c r="B198" s="1187">
        <v>5139</v>
      </c>
      <c r="C198" s="1187">
        <v>107500881</v>
      </c>
      <c r="D198" s="1130" t="s">
        <v>312</v>
      </c>
      <c r="E198" s="1135"/>
      <c r="F198" s="1135"/>
      <c r="G198" s="1135"/>
      <c r="H198" s="3050" t="e">
        <f t="shared" si="9"/>
        <v>#DIV/0!</v>
      </c>
    </row>
    <row r="199" spans="1:8" s="1037" customFormat="1" ht="15" hidden="1" x14ac:dyDescent="0.2">
      <c r="A199" s="1181">
        <v>3121</v>
      </c>
      <c r="B199" s="1187">
        <v>6121</v>
      </c>
      <c r="C199" s="1187">
        <v>107100880</v>
      </c>
      <c r="D199" s="1130" t="s">
        <v>312</v>
      </c>
      <c r="E199" s="1135"/>
      <c r="F199" s="1135"/>
      <c r="G199" s="1135"/>
      <c r="H199" s="3050" t="e">
        <f t="shared" si="9"/>
        <v>#DIV/0!</v>
      </c>
    </row>
    <row r="200" spans="1:8" s="1037" customFormat="1" ht="15" hidden="1" x14ac:dyDescent="0.2">
      <c r="A200" s="1181">
        <v>5273</v>
      </c>
      <c r="B200" s="1187">
        <v>6121</v>
      </c>
      <c r="C200" s="1214" t="s">
        <v>1034</v>
      </c>
      <c r="D200" s="1130" t="s">
        <v>312</v>
      </c>
      <c r="E200" s="1135"/>
      <c r="F200" s="1135"/>
      <c r="G200" s="1135"/>
      <c r="H200" s="3050" t="e">
        <f t="shared" si="9"/>
        <v>#DIV/0!</v>
      </c>
    </row>
    <row r="201" spans="1:8" s="1037" customFormat="1" ht="15" hidden="1" x14ac:dyDescent="0.2">
      <c r="A201" s="1181">
        <v>5273</v>
      </c>
      <c r="B201" s="1187">
        <v>6121</v>
      </c>
      <c r="C201" s="1214" t="s">
        <v>1033</v>
      </c>
      <c r="D201" s="1130" t="s">
        <v>312</v>
      </c>
      <c r="E201" s="1135"/>
      <c r="F201" s="1135"/>
      <c r="G201" s="1135"/>
      <c r="H201" s="3050" t="e">
        <f t="shared" si="9"/>
        <v>#DIV/0!</v>
      </c>
    </row>
    <row r="202" spans="1:8" s="1037" customFormat="1" ht="15" hidden="1" x14ac:dyDescent="0.2">
      <c r="A202" s="1181">
        <v>5273</v>
      </c>
      <c r="B202" s="1187">
        <v>6121</v>
      </c>
      <c r="C202" s="1214" t="s">
        <v>1031</v>
      </c>
      <c r="D202" s="1130" t="s">
        <v>312</v>
      </c>
      <c r="E202" s="1135"/>
      <c r="F202" s="1135"/>
      <c r="G202" s="1135"/>
      <c r="H202" s="3050" t="e">
        <f t="shared" si="9"/>
        <v>#DIV/0!</v>
      </c>
    </row>
    <row r="203" spans="1:8" s="1037" customFormat="1" ht="15" hidden="1" x14ac:dyDescent="0.2">
      <c r="A203" s="1181">
        <v>5273</v>
      </c>
      <c r="B203" s="1187">
        <v>6122</v>
      </c>
      <c r="C203" s="1214" t="s">
        <v>1034</v>
      </c>
      <c r="D203" s="1130" t="s">
        <v>312</v>
      </c>
      <c r="E203" s="1135"/>
      <c r="F203" s="1135"/>
      <c r="G203" s="1135"/>
      <c r="H203" s="3050" t="e">
        <f t="shared" si="9"/>
        <v>#DIV/0!</v>
      </c>
    </row>
    <row r="204" spans="1:8" s="1037" customFormat="1" ht="15" hidden="1" x14ac:dyDescent="0.2">
      <c r="A204" s="1181">
        <v>5273</v>
      </c>
      <c r="B204" s="1187">
        <v>6122</v>
      </c>
      <c r="C204" s="1214" t="s">
        <v>1033</v>
      </c>
      <c r="D204" s="1130" t="s">
        <v>312</v>
      </c>
      <c r="E204" s="1135"/>
      <c r="F204" s="1135"/>
      <c r="G204" s="1135"/>
      <c r="H204" s="3050">
        <v>0</v>
      </c>
    </row>
    <row r="205" spans="1:8" s="1037" customFormat="1" ht="15" hidden="1" x14ac:dyDescent="0.2">
      <c r="A205" s="1181">
        <v>5273</v>
      </c>
      <c r="B205" s="1187">
        <v>6122</v>
      </c>
      <c r="C205" s="1214" t="s">
        <v>1031</v>
      </c>
      <c r="D205" s="1130" t="s">
        <v>312</v>
      </c>
      <c r="E205" s="1135"/>
      <c r="F205" s="1135"/>
      <c r="G205" s="1135"/>
      <c r="H205" s="3050" t="e">
        <f>G205/F205*100</f>
        <v>#DIV/0!</v>
      </c>
    </row>
    <row r="206" spans="1:8" s="1037" customFormat="1" ht="15" hidden="1" x14ac:dyDescent="0.2">
      <c r="A206" s="1181">
        <v>5273</v>
      </c>
      <c r="B206" s="1187">
        <v>6122</v>
      </c>
      <c r="C206" s="1214" t="s">
        <v>1023</v>
      </c>
      <c r="D206" s="1130" t="s">
        <v>312</v>
      </c>
      <c r="E206" s="1135"/>
      <c r="F206" s="1135"/>
      <c r="G206" s="1135"/>
      <c r="H206" s="3050">
        <v>0</v>
      </c>
    </row>
    <row r="207" spans="1:8" s="1037" customFormat="1" ht="15" hidden="1" x14ac:dyDescent="0.2">
      <c r="A207" s="1181">
        <v>5273</v>
      </c>
      <c r="B207" s="1187">
        <v>6125</v>
      </c>
      <c r="C207" s="1214" t="s">
        <v>1034</v>
      </c>
      <c r="D207" s="1130" t="s">
        <v>312</v>
      </c>
      <c r="E207" s="1135"/>
      <c r="F207" s="1135"/>
      <c r="G207" s="1135"/>
      <c r="H207" s="3050" t="e">
        <f>G207/F207*100</f>
        <v>#DIV/0!</v>
      </c>
    </row>
    <row r="208" spans="1:8" s="1037" customFormat="1" ht="15" hidden="1" x14ac:dyDescent="0.2">
      <c r="A208" s="1181">
        <v>5273</v>
      </c>
      <c r="B208" s="1187">
        <v>6125</v>
      </c>
      <c r="C208" s="1214" t="s">
        <v>1033</v>
      </c>
      <c r="D208" s="1130" t="s">
        <v>312</v>
      </c>
      <c r="E208" s="1135"/>
      <c r="F208" s="1135"/>
      <c r="G208" s="1135"/>
      <c r="H208" s="3050" t="e">
        <f>G208/F208*100</f>
        <v>#DIV/0!</v>
      </c>
    </row>
    <row r="209" spans="1:8" s="1037" customFormat="1" ht="15.75" thickBot="1" x14ac:dyDescent="0.25">
      <c r="A209" s="1181">
        <v>3122</v>
      </c>
      <c r="B209" s="1187">
        <v>6121</v>
      </c>
      <c r="C209" s="1214" t="s">
        <v>1464</v>
      </c>
      <c r="D209" s="1130" t="s">
        <v>312</v>
      </c>
      <c r="E209" s="1135">
        <v>0</v>
      </c>
      <c r="F209" s="1135">
        <v>334</v>
      </c>
      <c r="G209" s="1135">
        <v>334</v>
      </c>
      <c r="H209" s="3050">
        <f>G209/F209*100</f>
        <v>100</v>
      </c>
    </row>
    <row r="210" spans="1:8" s="1037" customFormat="1" ht="16.5" thickTop="1" thickBot="1" x14ac:dyDescent="0.3">
      <c r="A210" s="3317" t="s">
        <v>394</v>
      </c>
      <c r="B210" s="3318"/>
      <c r="C210" s="3318"/>
      <c r="D210" s="3318"/>
      <c r="E210" s="1113">
        <f>SUM(E192:E209)</f>
        <v>120</v>
      </c>
      <c r="F210" s="1113">
        <f>SUM(F192:F209)</f>
        <v>336</v>
      </c>
      <c r="G210" s="1113">
        <f>SUM(G192:G209)</f>
        <v>336</v>
      </c>
      <c r="H210" s="1381">
        <f>G210/F210*100</f>
        <v>100</v>
      </c>
    </row>
    <row r="211" spans="1:8" s="1037" customFormat="1" ht="14.25" customHeight="1" thickTop="1" x14ac:dyDescent="0.25">
      <c r="A211" s="1118"/>
      <c r="B211" s="1118"/>
      <c r="C211" s="1118"/>
      <c r="D211" s="1118"/>
      <c r="E211" s="1119"/>
      <c r="F211" s="1119"/>
      <c r="G211" s="1119"/>
      <c r="H211" s="1138"/>
    </row>
    <row r="212" spans="1:8" s="1037" customFormat="1" ht="14.25" customHeight="1" x14ac:dyDescent="0.25">
      <c r="A212" s="1118"/>
      <c r="B212" s="1118"/>
      <c r="C212" s="1118"/>
      <c r="D212" s="1118"/>
      <c r="E212" s="1119"/>
      <c r="F212" s="1119"/>
      <c r="G212" s="1119"/>
      <c r="H212" s="1138"/>
    </row>
    <row r="213" spans="1:8" s="1037" customFormat="1" ht="15" hidden="1" x14ac:dyDescent="0.25">
      <c r="A213" s="1103" t="s">
        <v>732</v>
      </c>
      <c r="B213" s="1097"/>
      <c r="C213" s="1097"/>
      <c r="D213" s="1098"/>
      <c r="E213" s="1123"/>
      <c r="F213" s="1123"/>
      <c r="G213" s="1123"/>
      <c r="H213" s="1098"/>
    </row>
    <row r="214" spans="1:8" s="1037" customFormat="1" ht="15" hidden="1" x14ac:dyDescent="0.25">
      <c r="A214" s="1103" t="s">
        <v>733</v>
      </c>
      <c r="B214" s="1097"/>
      <c r="C214" s="1097"/>
      <c r="D214" s="1098"/>
      <c r="E214" s="1123"/>
      <c r="F214" s="1123"/>
      <c r="G214" s="1123"/>
      <c r="H214" s="1177" t="s">
        <v>92</v>
      </c>
    </row>
    <row r="215" spans="1:8" s="1037" customFormat="1" ht="25.5" hidden="1" thickTop="1" thickBot="1" x14ac:dyDescent="0.25">
      <c r="A215" s="1104" t="s">
        <v>93</v>
      </c>
      <c r="B215" s="1105" t="s">
        <v>392</v>
      </c>
      <c r="C215" s="1105" t="s">
        <v>209</v>
      </c>
      <c r="D215" s="1106" t="s">
        <v>95</v>
      </c>
      <c r="E215" s="1127" t="s">
        <v>328</v>
      </c>
      <c r="F215" s="1127" t="s">
        <v>329</v>
      </c>
      <c r="G215" s="1128" t="s">
        <v>448</v>
      </c>
      <c r="H215" s="1129" t="s">
        <v>449</v>
      </c>
    </row>
    <row r="216" spans="1:8" s="1037" customFormat="1" ht="13.5" hidden="1" thickTop="1" thickBot="1" x14ac:dyDescent="0.25">
      <c r="A216" s="1042">
        <v>1</v>
      </c>
      <c r="B216" s="1041">
        <v>2</v>
      </c>
      <c r="C216" s="1041">
        <v>3</v>
      </c>
      <c r="D216" s="1041">
        <v>4</v>
      </c>
      <c r="E216" s="1040">
        <v>5</v>
      </c>
      <c r="F216" s="1040">
        <v>6</v>
      </c>
      <c r="G216" s="1164">
        <v>7</v>
      </c>
      <c r="H216" s="1186" t="s">
        <v>33</v>
      </c>
    </row>
    <row r="217" spans="1:8" s="1037" customFormat="1" ht="15" hidden="1" x14ac:dyDescent="0.2">
      <c r="A217" s="1181">
        <v>6402</v>
      </c>
      <c r="B217" s="1187">
        <v>5363</v>
      </c>
      <c r="C217" s="1187">
        <v>19</v>
      </c>
      <c r="D217" s="1130" t="s">
        <v>739</v>
      </c>
      <c r="E217" s="1135"/>
      <c r="F217" s="1135"/>
      <c r="G217" s="1135"/>
      <c r="H217" s="1116" t="e">
        <f t="shared" ref="H217:H224" si="10">G217/F217*100</f>
        <v>#DIV/0!</v>
      </c>
    </row>
    <row r="218" spans="1:8" s="1037" customFormat="1" ht="15" hidden="1" x14ac:dyDescent="0.2">
      <c r="A218" s="1181">
        <v>5273</v>
      </c>
      <c r="B218" s="1187">
        <v>5137</v>
      </c>
      <c r="C218" s="1187">
        <v>41100880</v>
      </c>
      <c r="D218" s="1130" t="s">
        <v>88</v>
      </c>
      <c r="E218" s="1135">
        <v>0</v>
      </c>
      <c r="F218" s="1135">
        <v>0</v>
      </c>
      <c r="G218" s="1135">
        <v>0</v>
      </c>
      <c r="H218" s="1116" t="e">
        <f t="shared" si="10"/>
        <v>#DIV/0!</v>
      </c>
    </row>
    <row r="219" spans="1:8" s="1037" customFormat="1" ht="15" hidden="1" x14ac:dyDescent="0.2">
      <c r="A219" s="1181">
        <v>5273</v>
      </c>
      <c r="B219" s="1187">
        <v>5137</v>
      </c>
      <c r="C219" s="1187">
        <v>41100882</v>
      </c>
      <c r="D219" s="1130" t="s">
        <v>88</v>
      </c>
      <c r="E219" s="1135">
        <v>0</v>
      </c>
      <c r="F219" s="1135">
        <v>0</v>
      </c>
      <c r="G219" s="1135">
        <v>0</v>
      </c>
      <c r="H219" s="1116" t="e">
        <f t="shared" si="10"/>
        <v>#DIV/0!</v>
      </c>
    </row>
    <row r="220" spans="1:8" s="1037" customFormat="1" ht="15" hidden="1" x14ac:dyDescent="0.2">
      <c r="A220" s="1181">
        <v>5273</v>
      </c>
      <c r="B220" s="1187">
        <v>5137</v>
      </c>
      <c r="C220" s="1187">
        <v>41500881</v>
      </c>
      <c r="D220" s="1130" t="s">
        <v>88</v>
      </c>
      <c r="E220" s="1135">
        <v>0</v>
      </c>
      <c r="F220" s="1135">
        <v>0</v>
      </c>
      <c r="G220" s="1135">
        <v>0</v>
      </c>
      <c r="H220" s="1116" t="e">
        <f t="shared" si="10"/>
        <v>#DIV/0!</v>
      </c>
    </row>
    <row r="221" spans="1:8" s="1037" customFormat="1" ht="15" hidden="1" x14ac:dyDescent="0.2">
      <c r="A221" s="1181">
        <v>5273</v>
      </c>
      <c r="B221" s="1111">
        <v>5139</v>
      </c>
      <c r="C221" s="1187">
        <v>41100880</v>
      </c>
      <c r="D221" s="1130" t="s">
        <v>152</v>
      </c>
      <c r="E221" s="1135">
        <v>0</v>
      </c>
      <c r="F221" s="1135">
        <v>0</v>
      </c>
      <c r="G221" s="1135">
        <v>0</v>
      </c>
      <c r="H221" s="1116" t="e">
        <f t="shared" si="10"/>
        <v>#DIV/0!</v>
      </c>
    </row>
    <row r="222" spans="1:8" s="1037" customFormat="1" ht="15" hidden="1" x14ac:dyDescent="0.2">
      <c r="A222" s="1181">
        <v>5273</v>
      </c>
      <c r="B222" s="1111">
        <v>5139</v>
      </c>
      <c r="C222" s="1187">
        <v>41100882</v>
      </c>
      <c r="D222" s="1130" t="s">
        <v>152</v>
      </c>
      <c r="E222" s="1135">
        <v>0</v>
      </c>
      <c r="F222" s="1135">
        <v>0</v>
      </c>
      <c r="G222" s="1135">
        <v>0</v>
      </c>
      <c r="H222" s="1116" t="e">
        <f t="shared" si="10"/>
        <v>#DIV/0!</v>
      </c>
    </row>
    <row r="223" spans="1:8" s="1037" customFormat="1" ht="15" hidden="1" x14ac:dyDescent="0.2">
      <c r="A223" s="1181">
        <v>5273</v>
      </c>
      <c r="B223" s="1111">
        <v>5139</v>
      </c>
      <c r="C223" s="1187">
        <v>41500881</v>
      </c>
      <c r="D223" s="1130" t="s">
        <v>152</v>
      </c>
      <c r="E223" s="1135">
        <v>0</v>
      </c>
      <c r="F223" s="1135">
        <v>0</v>
      </c>
      <c r="G223" s="1135">
        <v>0</v>
      </c>
      <c r="H223" s="1116" t="e">
        <f t="shared" si="10"/>
        <v>#DIV/0!</v>
      </c>
    </row>
    <row r="224" spans="1:8" s="1037" customFormat="1" ht="15" hidden="1" x14ac:dyDescent="0.2">
      <c r="A224" s="1181">
        <v>5273</v>
      </c>
      <c r="B224" s="1111">
        <v>5163</v>
      </c>
      <c r="C224" s="1187">
        <v>41100880</v>
      </c>
      <c r="D224" s="1130" t="s">
        <v>452</v>
      </c>
      <c r="E224" s="1135">
        <v>0</v>
      </c>
      <c r="F224" s="1135">
        <v>0</v>
      </c>
      <c r="G224" s="1135">
        <v>0</v>
      </c>
      <c r="H224" s="1116" t="e">
        <f t="shared" si="10"/>
        <v>#DIV/0!</v>
      </c>
    </row>
    <row r="225" spans="1:8" s="1037" customFormat="1" ht="15" hidden="1" x14ac:dyDescent="0.2">
      <c r="A225" s="1181">
        <v>5273</v>
      </c>
      <c r="B225" s="1111">
        <v>5163</v>
      </c>
      <c r="C225" s="1187">
        <v>41100882</v>
      </c>
      <c r="D225" s="1130" t="s">
        <v>452</v>
      </c>
      <c r="E225" s="1135">
        <v>0</v>
      </c>
      <c r="F225" s="1135">
        <v>0</v>
      </c>
      <c r="G225" s="1135">
        <v>0</v>
      </c>
      <c r="H225" s="1116">
        <v>0</v>
      </c>
    </row>
    <row r="226" spans="1:8" s="1037" customFormat="1" ht="15" hidden="1" x14ac:dyDescent="0.2">
      <c r="A226" s="1181">
        <v>5273</v>
      </c>
      <c r="B226" s="1111">
        <v>5163</v>
      </c>
      <c r="C226" s="1187">
        <v>41500881</v>
      </c>
      <c r="D226" s="1130" t="s">
        <v>452</v>
      </c>
      <c r="E226" s="1135">
        <v>0</v>
      </c>
      <c r="F226" s="1135">
        <v>0</v>
      </c>
      <c r="G226" s="1135">
        <v>0</v>
      </c>
      <c r="H226" s="1116">
        <v>0</v>
      </c>
    </row>
    <row r="227" spans="1:8" s="1037" customFormat="1" ht="15" hidden="1" x14ac:dyDescent="0.2">
      <c r="A227" s="1181">
        <v>5273</v>
      </c>
      <c r="B227" s="1111">
        <v>5164</v>
      </c>
      <c r="C227" s="1187">
        <v>41100880</v>
      </c>
      <c r="D227" s="1130" t="s">
        <v>101</v>
      </c>
      <c r="E227" s="1135">
        <v>0</v>
      </c>
      <c r="F227" s="1135">
        <v>0</v>
      </c>
      <c r="G227" s="1135">
        <v>0</v>
      </c>
      <c r="H227" s="1116" t="e">
        <f>G227/F227*100</f>
        <v>#DIV/0!</v>
      </c>
    </row>
    <row r="228" spans="1:8" s="1037" customFormat="1" ht="15" hidden="1" x14ac:dyDescent="0.2">
      <c r="A228" s="1181">
        <v>5273</v>
      </c>
      <c r="B228" s="1111">
        <v>5164</v>
      </c>
      <c r="C228" s="1187">
        <v>41100882</v>
      </c>
      <c r="D228" s="1130" t="s">
        <v>101</v>
      </c>
      <c r="E228" s="1135">
        <v>0</v>
      </c>
      <c r="F228" s="1135">
        <v>0</v>
      </c>
      <c r="G228" s="1135">
        <v>0</v>
      </c>
      <c r="H228" s="1116">
        <v>0</v>
      </c>
    </row>
    <row r="229" spans="1:8" s="1037" customFormat="1" ht="15" hidden="1" x14ac:dyDescent="0.2">
      <c r="A229" s="1181">
        <v>5273</v>
      </c>
      <c r="B229" s="1187">
        <v>5164</v>
      </c>
      <c r="C229" s="1187">
        <v>41500881</v>
      </c>
      <c r="D229" s="1130" t="s">
        <v>101</v>
      </c>
      <c r="E229" s="1135">
        <v>0</v>
      </c>
      <c r="F229" s="1135">
        <v>0</v>
      </c>
      <c r="G229" s="1135">
        <v>0</v>
      </c>
      <c r="H229" s="1116" t="e">
        <f t="shared" ref="H229:H239" si="11">G229/F229*100</f>
        <v>#DIV/0!</v>
      </c>
    </row>
    <row r="230" spans="1:8" s="1037" customFormat="1" ht="30.75" hidden="1" customHeight="1" thickTop="1" x14ac:dyDescent="0.2">
      <c r="A230" s="1181">
        <v>5273</v>
      </c>
      <c r="B230" s="1187">
        <v>5166</v>
      </c>
      <c r="C230" s="1187">
        <v>41100880</v>
      </c>
      <c r="D230" s="1130" t="s">
        <v>317</v>
      </c>
      <c r="E230" s="1135">
        <v>0</v>
      </c>
      <c r="F230" s="1135">
        <v>0</v>
      </c>
      <c r="G230" s="1135">
        <v>0</v>
      </c>
      <c r="H230" s="1116" t="e">
        <f t="shared" si="11"/>
        <v>#DIV/0!</v>
      </c>
    </row>
    <row r="231" spans="1:8" s="1037" customFormat="1" ht="30.75" hidden="1" customHeight="1" thickTop="1" x14ac:dyDescent="0.2">
      <c r="A231" s="1181">
        <v>5273</v>
      </c>
      <c r="B231" s="1187">
        <v>5166</v>
      </c>
      <c r="C231" s="1187">
        <v>41100882</v>
      </c>
      <c r="D231" s="1130" t="s">
        <v>317</v>
      </c>
      <c r="E231" s="1135">
        <v>0</v>
      </c>
      <c r="F231" s="1135">
        <v>0</v>
      </c>
      <c r="G231" s="1135">
        <v>0</v>
      </c>
      <c r="H231" s="1116" t="e">
        <f t="shared" si="11"/>
        <v>#DIV/0!</v>
      </c>
    </row>
    <row r="232" spans="1:8" s="1037" customFormat="1" ht="30.75" hidden="1" customHeight="1" thickTop="1" x14ac:dyDescent="0.2">
      <c r="A232" s="1181">
        <v>5273</v>
      </c>
      <c r="B232" s="1187">
        <v>5166</v>
      </c>
      <c r="C232" s="1187">
        <v>41500881</v>
      </c>
      <c r="D232" s="1130" t="s">
        <v>317</v>
      </c>
      <c r="E232" s="1135">
        <v>0</v>
      </c>
      <c r="F232" s="1135">
        <v>0</v>
      </c>
      <c r="G232" s="1135">
        <v>0</v>
      </c>
      <c r="H232" s="1116" t="e">
        <f t="shared" si="11"/>
        <v>#DIV/0!</v>
      </c>
    </row>
    <row r="233" spans="1:8" s="1037" customFormat="1" ht="15" hidden="1" x14ac:dyDescent="0.2">
      <c r="A233" s="1181">
        <v>5273</v>
      </c>
      <c r="B233" s="1187">
        <v>5169</v>
      </c>
      <c r="C233" s="1187">
        <v>41100880</v>
      </c>
      <c r="D233" s="1130" t="s">
        <v>430</v>
      </c>
      <c r="E233" s="1135">
        <v>0</v>
      </c>
      <c r="F233" s="1135">
        <v>0</v>
      </c>
      <c r="G233" s="1135">
        <v>0</v>
      </c>
      <c r="H233" s="1116" t="e">
        <f t="shared" si="11"/>
        <v>#DIV/0!</v>
      </c>
    </row>
    <row r="234" spans="1:8" s="1037" customFormat="1" ht="15" hidden="1" x14ac:dyDescent="0.2">
      <c r="A234" s="1181">
        <v>5273</v>
      </c>
      <c r="B234" s="1187">
        <v>5169</v>
      </c>
      <c r="C234" s="1187">
        <v>41100882</v>
      </c>
      <c r="D234" s="1130" t="s">
        <v>430</v>
      </c>
      <c r="E234" s="1135">
        <v>0</v>
      </c>
      <c r="F234" s="1135">
        <v>0</v>
      </c>
      <c r="G234" s="1135">
        <v>0</v>
      </c>
      <c r="H234" s="1116" t="e">
        <f t="shared" si="11"/>
        <v>#DIV/0!</v>
      </c>
    </row>
    <row r="235" spans="1:8" s="1037" customFormat="1" ht="15" hidden="1" x14ac:dyDescent="0.2">
      <c r="A235" s="1181">
        <v>5273</v>
      </c>
      <c r="B235" s="1187">
        <v>5169</v>
      </c>
      <c r="C235" s="1187">
        <v>41500881</v>
      </c>
      <c r="D235" s="1130" t="s">
        <v>430</v>
      </c>
      <c r="E235" s="1135">
        <v>0</v>
      </c>
      <c r="F235" s="1135">
        <v>0</v>
      </c>
      <c r="G235" s="1135">
        <v>0</v>
      </c>
      <c r="H235" s="1116" t="e">
        <f t="shared" si="11"/>
        <v>#DIV/0!</v>
      </c>
    </row>
    <row r="236" spans="1:8" s="1037" customFormat="1" ht="15" hidden="1" x14ac:dyDescent="0.2">
      <c r="A236" s="1181">
        <v>5273</v>
      </c>
      <c r="B236" s="1187">
        <v>5175</v>
      </c>
      <c r="C236" s="1187">
        <v>41100880</v>
      </c>
      <c r="D236" s="1130" t="s">
        <v>352</v>
      </c>
      <c r="E236" s="1135">
        <v>0</v>
      </c>
      <c r="F236" s="1135">
        <v>0</v>
      </c>
      <c r="G236" s="1135">
        <v>0</v>
      </c>
      <c r="H236" s="1116" t="e">
        <f t="shared" si="11"/>
        <v>#DIV/0!</v>
      </c>
    </row>
    <row r="237" spans="1:8" s="1037" customFormat="1" ht="15" hidden="1" x14ac:dyDescent="0.2">
      <c r="A237" s="1181">
        <v>5273</v>
      </c>
      <c r="B237" s="1187">
        <v>5175</v>
      </c>
      <c r="C237" s="1187">
        <v>41100882</v>
      </c>
      <c r="D237" s="1130" t="s">
        <v>352</v>
      </c>
      <c r="E237" s="1135">
        <v>0</v>
      </c>
      <c r="F237" s="1135">
        <v>0</v>
      </c>
      <c r="G237" s="1135">
        <v>0</v>
      </c>
      <c r="H237" s="1116" t="e">
        <f t="shared" si="11"/>
        <v>#DIV/0!</v>
      </c>
    </row>
    <row r="238" spans="1:8" s="1037" customFormat="1" ht="15" hidden="1" x14ac:dyDescent="0.2">
      <c r="A238" s="1181">
        <v>5273</v>
      </c>
      <c r="B238" s="1187">
        <v>5175</v>
      </c>
      <c r="C238" s="1187">
        <v>41500881</v>
      </c>
      <c r="D238" s="1130" t="s">
        <v>352</v>
      </c>
      <c r="E238" s="1135">
        <v>0</v>
      </c>
      <c r="F238" s="1135">
        <v>0</v>
      </c>
      <c r="G238" s="1135">
        <v>0</v>
      </c>
      <c r="H238" s="1116" t="e">
        <f t="shared" si="11"/>
        <v>#DIV/0!</v>
      </c>
    </row>
    <row r="239" spans="1:8" s="1037" customFormat="1" ht="16.5" hidden="1" thickTop="1" thickBot="1" x14ac:dyDescent="0.3">
      <c r="A239" s="3317" t="s">
        <v>394</v>
      </c>
      <c r="B239" s="3318"/>
      <c r="C239" s="3318"/>
      <c r="D239" s="3318"/>
      <c r="E239" s="1113">
        <f>SUM(E217:E238)</f>
        <v>0</v>
      </c>
      <c r="F239" s="1113">
        <f>SUM(F217:F238)</f>
        <v>0</v>
      </c>
      <c r="G239" s="1113">
        <f>SUM(G217:G238)</f>
        <v>0</v>
      </c>
      <c r="H239" s="1117" t="e">
        <f t="shared" si="11"/>
        <v>#DIV/0!</v>
      </c>
    </row>
    <row r="240" spans="1:8" s="1037" customFormat="1" ht="15" hidden="1" x14ac:dyDescent="0.25">
      <c r="A240" s="1118"/>
      <c r="B240" s="1118"/>
      <c r="C240" s="1118"/>
      <c r="D240" s="1118"/>
      <c r="E240" s="1119"/>
      <c r="F240" s="1119"/>
      <c r="G240" s="1119"/>
      <c r="H240" s="1138"/>
    </row>
    <row r="241" spans="1:8" ht="15" hidden="1" customHeight="1" x14ac:dyDescent="0.25">
      <c r="A241" s="1103" t="s">
        <v>658</v>
      </c>
    </row>
    <row r="242" spans="1:8" s="997" customFormat="1" ht="15" hidden="1" x14ac:dyDescent="0.25">
      <c r="A242" s="1103" t="s">
        <v>657</v>
      </c>
      <c r="B242" s="1003"/>
      <c r="C242" s="1003"/>
      <c r="E242" s="1218"/>
      <c r="F242" s="1218"/>
      <c r="G242" s="1218"/>
      <c r="H242" s="1219" t="s">
        <v>92</v>
      </c>
    </row>
    <row r="243" spans="1:8" s="1037" customFormat="1" ht="25.5" hidden="1" thickTop="1" thickBot="1" x14ac:dyDescent="0.25">
      <c r="A243" s="1104" t="s">
        <v>93</v>
      </c>
      <c r="B243" s="1105" t="s">
        <v>392</v>
      </c>
      <c r="C243" s="1105" t="s">
        <v>209</v>
      </c>
      <c r="D243" s="1106" t="s">
        <v>95</v>
      </c>
      <c r="E243" s="1127" t="s">
        <v>328</v>
      </c>
      <c r="F243" s="1127" t="s">
        <v>329</v>
      </c>
      <c r="G243" s="1128" t="s">
        <v>448</v>
      </c>
      <c r="H243" s="1129" t="s">
        <v>449</v>
      </c>
    </row>
    <row r="244" spans="1:8" s="1037" customFormat="1" ht="13.5" hidden="1" thickTop="1" thickBot="1" x14ac:dyDescent="0.25">
      <c r="A244" s="1042">
        <v>1</v>
      </c>
      <c r="B244" s="1041">
        <v>2</v>
      </c>
      <c r="C244" s="1041">
        <v>3</v>
      </c>
      <c r="D244" s="1041">
        <v>4</v>
      </c>
      <c r="E244" s="1040">
        <v>5</v>
      </c>
      <c r="F244" s="1040">
        <v>6</v>
      </c>
      <c r="G244" s="1164">
        <v>7</v>
      </c>
      <c r="H244" s="1186" t="s">
        <v>33</v>
      </c>
    </row>
    <row r="245" spans="1:8" s="1221" customFormat="1" ht="16.5" hidden="1" customHeight="1" thickTop="1" x14ac:dyDescent="0.2">
      <c r="A245" s="1181">
        <v>4357</v>
      </c>
      <c r="B245" s="1187">
        <v>5166</v>
      </c>
      <c r="C245" s="1213" t="s">
        <v>388</v>
      </c>
      <c r="D245" s="1220" t="s">
        <v>317</v>
      </c>
      <c r="E245" s="1142">
        <v>0</v>
      </c>
      <c r="F245" s="1142">
        <v>0</v>
      </c>
      <c r="G245" s="1142">
        <v>0</v>
      </c>
      <c r="H245" s="1116" t="e">
        <f t="shared" ref="H245:H251" si="12">G245/F245*100</f>
        <v>#DIV/0!</v>
      </c>
    </row>
    <row r="246" spans="1:8" s="1037" customFormat="1" ht="15" hidden="1" x14ac:dyDescent="0.2">
      <c r="A246" s="1110">
        <v>4357</v>
      </c>
      <c r="B246" s="1111">
        <v>5169</v>
      </c>
      <c r="C246" s="1213">
        <v>53100880</v>
      </c>
      <c r="D246" s="1130" t="s">
        <v>430</v>
      </c>
      <c r="E246" s="1135">
        <v>0</v>
      </c>
      <c r="F246" s="1135"/>
      <c r="G246" s="1135"/>
      <c r="H246" s="1116" t="e">
        <f t="shared" si="12"/>
        <v>#DIV/0!</v>
      </c>
    </row>
    <row r="247" spans="1:8" s="1037" customFormat="1" ht="15" hidden="1" x14ac:dyDescent="0.2">
      <c r="A247" s="1110">
        <v>4357</v>
      </c>
      <c r="B247" s="1111">
        <v>5169</v>
      </c>
      <c r="C247" s="1213">
        <v>53100884</v>
      </c>
      <c r="D247" s="1130" t="s">
        <v>430</v>
      </c>
      <c r="E247" s="1135">
        <v>0</v>
      </c>
      <c r="F247" s="1135"/>
      <c r="G247" s="1135"/>
      <c r="H247" s="1116" t="e">
        <f t="shared" si="12"/>
        <v>#DIV/0!</v>
      </c>
    </row>
    <row r="248" spans="1:8" s="1037" customFormat="1" ht="15" hidden="1" x14ac:dyDescent="0.2">
      <c r="A248" s="1110">
        <v>4357</v>
      </c>
      <c r="B248" s="1111">
        <v>5169</v>
      </c>
      <c r="C248" s="1213">
        <v>53190001</v>
      </c>
      <c r="D248" s="1130" t="s">
        <v>430</v>
      </c>
      <c r="E248" s="1135">
        <v>0</v>
      </c>
      <c r="F248" s="1135"/>
      <c r="G248" s="1135"/>
      <c r="H248" s="1116" t="e">
        <f t="shared" si="12"/>
        <v>#DIV/0!</v>
      </c>
    </row>
    <row r="249" spans="1:8" s="1037" customFormat="1" ht="15" hidden="1" x14ac:dyDescent="0.2">
      <c r="A249" s="1110">
        <v>4357</v>
      </c>
      <c r="B249" s="1111">
        <v>5169</v>
      </c>
      <c r="C249" s="1213">
        <v>53515319</v>
      </c>
      <c r="D249" s="1130" t="s">
        <v>430</v>
      </c>
      <c r="E249" s="1135">
        <v>0</v>
      </c>
      <c r="F249" s="1135"/>
      <c r="G249" s="1135"/>
      <c r="H249" s="1116" t="e">
        <f t="shared" si="12"/>
        <v>#DIV/0!</v>
      </c>
    </row>
    <row r="250" spans="1:8" s="1037" customFormat="1" ht="15" hidden="1" x14ac:dyDescent="0.2">
      <c r="A250" s="1110"/>
      <c r="B250" s="1111"/>
      <c r="C250" s="1143"/>
      <c r="D250" s="1143"/>
      <c r="E250" s="1135"/>
      <c r="F250" s="1135"/>
      <c r="G250" s="1135"/>
      <c r="H250" s="1116" t="e">
        <f t="shared" si="12"/>
        <v>#DIV/0!</v>
      </c>
    </row>
    <row r="251" spans="1:8" s="1037" customFormat="1" ht="15" hidden="1" x14ac:dyDescent="0.2">
      <c r="A251" s="1110"/>
      <c r="B251" s="1111"/>
      <c r="C251" s="1143"/>
      <c r="D251" s="1143"/>
      <c r="E251" s="1135"/>
      <c r="F251" s="1135"/>
      <c r="G251" s="1135"/>
      <c r="H251" s="1116" t="e">
        <f t="shared" si="12"/>
        <v>#DIV/0!</v>
      </c>
    </row>
    <row r="252" spans="1:8" s="1037" customFormat="1" ht="15" hidden="1" x14ac:dyDescent="0.2">
      <c r="A252" s="1110">
        <v>4357</v>
      </c>
      <c r="B252" s="1111">
        <v>5171</v>
      </c>
      <c r="C252" s="1213" t="s">
        <v>387</v>
      </c>
      <c r="D252" s="1130" t="s">
        <v>456</v>
      </c>
      <c r="E252" s="1135">
        <v>0</v>
      </c>
      <c r="F252" s="1135"/>
      <c r="G252" s="1135"/>
      <c r="H252" s="1116">
        <v>0</v>
      </c>
    </row>
    <row r="253" spans="1:8" s="1037" customFormat="1" ht="15" hidden="1" x14ac:dyDescent="0.2">
      <c r="A253" s="1110">
        <v>4357</v>
      </c>
      <c r="B253" s="1111">
        <v>6121</v>
      </c>
      <c r="C253" s="1213" t="s">
        <v>388</v>
      </c>
      <c r="D253" s="1130" t="s">
        <v>312</v>
      </c>
      <c r="E253" s="1135">
        <v>0</v>
      </c>
      <c r="F253" s="1135"/>
      <c r="G253" s="1135"/>
      <c r="H253" s="1116">
        <v>0</v>
      </c>
    </row>
    <row r="254" spans="1:8" s="1037" customFormat="1" ht="16.5" hidden="1" thickTop="1" thickBot="1" x14ac:dyDescent="0.3">
      <c r="A254" s="3317" t="s">
        <v>394</v>
      </c>
      <c r="B254" s="3318"/>
      <c r="C254" s="3318"/>
      <c r="D254" s="3318"/>
      <c r="E254" s="1113">
        <f>SUM(E245:E253)</f>
        <v>0</v>
      </c>
      <c r="F254" s="1113">
        <f>SUM(F245:F253)</f>
        <v>0</v>
      </c>
      <c r="G254" s="1113">
        <f>SUM(G245:G253)</f>
        <v>0</v>
      </c>
      <c r="H254" s="1117" t="e">
        <f>G254/F254*100</f>
        <v>#DIV/0!</v>
      </c>
    </row>
    <row r="255" spans="1:8" s="1037" customFormat="1" ht="15" hidden="1" x14ac:dyDescent="0.25">
      <c r="A255" s="1118"/>
      <c r="B255" s="1118"/>
      <c r="C255" s="1118"/>
      <c r="D255" s="1118"/>
      <c r="E255" s="1119"/>
      <c r="F255" s="1119"/>
      <c r="G255" s="1119"/>
      <c r="H255" s="1138"/>
    </row>
    <row r="256" spans="1:8" ht="15" customHeight="1" x14ac:dyDescent="0.25">
      <c r="A256" s="1103" t="s">
        <v>1463</v>
      </c>
    </row>
    <row r="257" spans="1:8" ht="15.75" thickBot="1" x14ac:dyDescent="0.3">
      <c r="A257" s="1103" t="s">
        <v>1462</v>
      </c>
      <c r="H257" s="1177" t="s">
        <v>92</v>
      </c>
    </row>
    <row r="258" spans="1:8" s="1037" customFormat="1" ht="25.5" thickTop="1" thickBot="1" x14ac:dyDescent="0.25">
      <c r="A258" s="1104" t="s">
        <v>93</v>
      </c>
      <c r="B258" s="1105" t="s">
        <v>392</v>
      </c>
      <c r="C258" s="1105" t="s">
        <v>209</v>
      </c>
      <c r="D258" s="1106" t="s">
        <v>95</v>
      </c>
      <c r="E258" s="1127" t="s">
        <v>328</v>
      </c>
      <c r="F258" s="1127" t="s">
        <v>329</v>
      </c>
      <c r="G258" s="1128" t="s">
        <v>448</v>
      </c>
      <c r="H258" s="1129" t="s">
        <v>449</v>
      </c>
    </row>
    <row r="259" spans="1:8" s="1037" customFormat="1" ht="13.5" thickTop="1" thickBot="1" x14ac:dyDescent="0.25">
      <c r="A259" s="1042">
        <v>1</v>
      </c>
      <c r="B259" s="1041">
        <v>2</v>
      </c>
      <c r="C259" s="1041">
        <v>3</v>
      </c>
      <c r="D259" s="1041">
        <v>4</v>
      </c>
      <c r="E259" s="1040">
        <v>5</v>
      </c>
      <c r="F259" s="1040">
        <v>6</v>
      </c>
      <c r="G259" s="1164">
        <v>7</v>
      </c>
      <c r="H259" s="1186" t="s">
        <v>33</v>
      </c>
    </row>
    <row r="260" spans="1:8" s="1037" customFormat="1" ht="16.5" thickTop="1" thickBot="1" x14ac:dyDescent="0.25">
      <c r="A260" s="1110">
        <v>3122</v>
      </c>
      <c r="B260" s="1111">
        <v>6121</v>
      </c>
      <c r="C260" s="1213" t="s">
        <v>1450</v>
      </c>
      <c r="D260" s="1130" t="s">
        <v>312</v>
      </c>
      <c r="E260" s="1135">
        <v>120</v>
      </c>
      <c r="F260" s="1135">
        <v>0</v>
      </c>
      <c r="G260" s="1135">
        <v>0</v>
      </c>
      <c r="H260" s="3050">
        <v>0</v>
      </c>
    </row>
    <row r="261" spans="1:8" s="1037" customFormat="1" ht="15.75" hidden="1" thickBot="1" x14ac:dyDescent="0.25">
      <c r="A261" s="1110">
        <v>4357</v>
      </c>
      <c r="B261" s="1111">
        <v>5169</v>
      </c>
      <c r="C261" s="1213" t="s">
        <v>1016</v>
      </c>
      <c r="D261" s="1130" t="s">
        <v>430</v>
      </c>
      <c r="E261" s="1135"/>
      <c r="F261" s="1135"/>
      <c r="G261" s="1135"/>
      <c r="H261" s="3050" t="e">
        <f t="shared" ref="H261:H264" si="13">G261/F261*100</f>
        <v>#DIV/0!</v>
      </c>
    </row>
    <row r="262" spans="1:8" s="1037" customFormat="1" ht="15.75" hidden="1" thickBot="1" x14ac:dyDescent="0.25">
      <c r="A262" s="1110">
        <v>4357</v>
      </c>
      <c r="B262" s="1111">
        <v>5169</v>
      </c>
      <c r="C262" s="1213" t="s">
        <v>1032</v>
      </c>
      <c r="D262" s="1130" t="s">
        <v>430</v>
      </c>
      <c r="E262" s="1135"/>
      <c r="F262" s="1135"/>
      <c r="G262" s="1135"/>
      <c r="H262" s="3050" t="e">
        <f t="shared" si="13"/>
        <v>#DIV/0!</v>
      </c>
    </row>
    <row r="263" spans="1:8" s="1037" customFormat="1" ht="15.75" hidden="1" thickBot="1" x14ac:dyDescent="0.25">
      <c r="A263" s="1110">
        <v>4357</v>
      </c>
      <c r="B263" s="1111">
        <v>5169</v>
      </c>
      <c r="C263" s="1213" t="s">
        <v>1014</v>
      </c>
      <c r="D263" s="1130" t="s">
        <v>430</v>
      </c>
      <c r="E263" s="1135"/>
      <c r="F263" s="1135"/>
      <c r="G263" s="1135"/>
      <c r="H263" s="3050" t="e">
        <f t="shared" si="13"/>
        <v>#DIV/0!</v>
      </c>
    </row>
    <row r="264" spans="1:8" s="1037" customFormat="1" ht="15.75" hidden="1" thickBot="1" x14ac:dyDescent="0.25">
      <c r="A264" s="1110">
        <v>4357</v>
      </c>
      <c r="B264" s="1111">
        <v>6121</v>
      </c>
      <c r="C264" s="1222" t="s">
        <v>798</v>
      </c>
      <c r="D264" s="1130" t="s">
        <v>312</v>
      </c>
      <c r="E264" s="1135"/>
      <c r="F264" s="1135"/>
      <c r="G264" s="1135"/>
      <c r="H264" s="3050" t="e">
        <f t="shared" si="13"/>
        <v>#DIV/0!</v>
      </c>
    </row>
    <row r="265" spans="1:8" s="1037" customFormat="1" ht="16.5" thickTop="1" thickBot="1" x14ac:dyDescent="0.3">
      <c r="A265" s="3317" t="s">
        <v>394</v>
      </c>
      <c r="B265" s="3318"/>
      <c r="C265" s="3318"/>
      <c r="D265" s="3318"/>
      <c r="E265" s="1113">
        <f>SUM(E260:E264)</f>
        <v>120</v>
      </c>
      <c r="F265" s="1113">
        <f>SUM(F260:F264)</f>
        <v>0</v>
      </c>
      <c r="G265" s="1113">
        <f>SUM(G260:G264)</f>
        <v>0</v>
      </c>
      <c r="H265" s="3051">
        <v>0</v>
      </c>
    </row>
    <row r="266" spans="1:8" s="1037" customFormat="1" ht="15.75" thickTop="1" x14ac:dyDescent="0.25">
      <c r="A266" s="1118"/>
      <c r="B266" s="1118"/>
      <c r="C266" s="1118"/>
      <c r="D266" s="1118"/>
      <c r="E266" s="1119"/>
      <c r="F266" s="1119"/>
      <c r="G266" s="1119"/>
      <c r="H266" s="1217"/>
    </row>
    <row r="267" spans="1:8" ht="15" x14ac:dyDescent="0.25">
      <c r="A267" s="1103" t="s">
        <v>2005</v>
      </c>
    </row>
    <row r="268" spans="1:8" ht="15.75" thickBot="1" x14ac:dyDescent="0.3">
      <c r="A268" s="1103" t="s">
        <v>1461</v>
      </c>
      <c r="H268" s="1177" t="s">
        <v>92</v>
      </c>
    </row>
    <row r="269" spans="1:8" s="1037" customFormat="1" ht="25.5" thickTop="1" thickBot="1" x14ac:dyDescent="0.25">
      <c r="A269" s="1104" t="s">
        <v>93</v>
      </c>
      <c r="B269" s="1105" t="s">
        <v>392</v>
      </c>
      <c r="C269" s="1105" t="s">
        <v>209</v>
      </c>
      <c r="D269" s="1106" t="s">
        <v>95</v>
      </c>
      <c r="E269" s="1127" t="s">
        <v>328</v>
      </c>
      <c r="F269" s="1127" t="s">
        <v>329</v>
      </c>
      <c r="G269" s="1128" t="s">
        <v>448</v>
      </c>
      <c r="H269" s="1129" t="s">
        <v>449</v>
      </c>
    </row>
    <row r="270" spans="1:8" s="1037" customFormat="1" ht="13.5" thickTop="1" thickBot="1" x14ac:dyDescent="0.25">
      <c r="A270" s="1042">
        <v>1</v>
      </c>
      <c r="B270" s="1041">
        <v>2</v>
      </c>
      <c r="C270" s="1041">
        <v>3</v>
      </c>
      <c r="D270" s="1041">
        <v>4</v>
      </c>
      <c r="E270" s="1040">
        <v>5</v>
      </c>
      <c r="F270" s="1040">
        <v>6</v>
      </c>
      <c r="G270" s="1164">
        <v>7</v>
      </c>
      <c r="H270" s="1186" t="s">
        <v>33</v>
      </c>
    </row>
    <row r="271" spans="1:8" s="1037" customFormat="1" ht="15.75" thickTop="1" x14ac:dyDescent="0.2">
      <c r="A271" s="1110">
        <v>3122</v>
      </c>
      <c r="B271" s="1111">
        <v>6121</v>
      </c>
      <c r="C271" s="1216" t="s">
        <v>1450</v>
      </c>
      <c r="D271" s="1130" t="s">
        <v>312</v>
      </c>
      <c r="E271" s="1135">
        <v>681</v>
      </c>
      <c r="F271" s="1135">
        <v>26</v>
      </c>
      <c r="G271" s="1135">
        <v>0</v>
      </c>
      <c r="H271" s="3050">
        <f t="shared" ref="H271:H274" si="14">G271/F271*100</f>
        <v>0</v>
      </c>
    </row>
    <row r="272" spans="1:8" s="1037" customFormat="1" ht="15" x14ac:dyDescent="0.2">
      <c r="A272" s="1110">
        <v>3122</v>
      </c>
      <c r="B272" s="1111">
        <v>6121</v>
      </c>
      <c r="C272" s="1216" t="s">
        <v>1449</v>
      </c>
      <c r="D272" s="1130" t="s">
        <v>312</v>
      </c>
      <c r="E272" s="1135">
        <v>0</v>
      </c>
      <c r="F272" s="1135">
        <v>13</v>
      </c>
      <c r="G272" s="1135">
        <v>0</v>
      </c>
      <c r="H272" s="3050">
        <f t="shared" si="14"/>
        <v>0</v>
      </c>
    </row>
    <row r="273" spans="1:8" s="1037" customFormat="1" ht="15" x14ac:dyDescent="0.2">
      <c r="A273" s="1110">
        <v>3122</v>
      </c>
      <c r="B273" s="1111">
        <v>6121</v>
      </c>
      <c r="C273" s="1216" t="s">
        <v>1464</v>
      </c>
      <c r="D273" s="1130" t="s">
        <v>312</v>
      </c>
      <c r="E273" s="1135">
        <v>0</v>
      </c>
      <c r="F273" s="1135">
        <v>268</v>
      </c>
      <c r="G273" s="1135">
        <v>268</v>
      </c>
      <c r="H273" s="3050">
        <f t="shared" si="14"/>
        <v>100</v>
      </c>
    </row>
    <row r="274" spans="1:8" s="1037" customFormat="1" ht="15" x14ac:dyDescent="0.2">
      <c r="A274" s="1110">
        <v>3122</v>
      </c>
      <c r="B274" s="1111">
        <v>6121</v>
      </c>
      <c r="C274" s="1214" t="s">
        <v>1448</v>
      </c>
      <c r="D274" s="1130" t="s">
        <v>312</v>
      </c>
      <c r="E274" s="1135">
        <v>0</v>
      </c>
      <c r="F274" s="1135">
        <v>217</v>
      </c>
      <c r="G274" s="1135">
        <v>0</v>
      </c>
      <c r="H274" s="3050">
        <f t="shared" si="14"/>
        <v>0</v>
      </c>
    </row>
    <row r="275" spans="1:8" s="1037" customFormat="1" ht="15.75" thickBot="1" x14ac:dyDescent="0.25">
      <c r="A275" s="1110">
        <v>3122</v>
      </c>
      <c r="B275" s="1111">
        <v>6123</v>
      </c>
      <c r="C275" s="1214" t="s">
        <v>1464</v>
      </c>
      <c r="D275" s="1130" t="s">
        <v>586</v>
      </c>
      <c r="E275" s="1135">
        <v>0</v>
      </c>
      <c r="F275" s="1135">
        <v>157</v>
      </c>
      <c r="G275" s="1135">
        <v>60</v>
      </c>
      <c r="H275" s="3050">
        <f t="shared" ref="H275:H276" si="15">G275/F275*100</f>
        <v>38.216560509554142</v>
      </c>
    </row>
    <row r="276" spans="1:8" s="1037" customFormat="1" ht="16.5" thickTop="1" thickBot="1" x14ac:dyDescent="0.3">
      <c r="A276" s="3317" t="s">
        <v>394</v>
      </c>
      <c r="B276" s="3318"/>
      <c r="C276" s="3318"/>
      <c r="D276" s="3318"/>
      <c r="E276" s="1113">
        <f>SUM(E271:E275)</f>
        <v>681</v>
      </c>
      <c r="F276" s="1113">
        <f>SUM(F271:F275)</f>
        <v>681</v>
      </c>
      <c r="G276" s="1113">
        <f>SUM(G271:G275)</f>
        <v>328</v>
      </c>
      <c r="H276" s="1381">
        <f t="shared" si="15"/>
        <v>48.164464023494865</v>
      </c>
    </row>
    <row r="277" spans="1:8" s="1037" customFormat="1" ht="15.75" thickTop="1" x14ac:dyDescent="0.25">
      <c r="A277" s="1118"/>
      <c r="B277" s="1118"/>
      <c r="C277" s="1118"/>
      <c r="D277" s="1118"/>
      <c r="E277" s="1119"/>
      <c r="F277" s="1119"/>
      <c r="G277" s="1119"/>
      <c r="H277" s="1138"/>
    </row>
    <row r="278" spans="1:8" ht="29.25" customHeight="1" x14ac:dyDescent="0.25">
      <c r="A278" s="3335" t="s">
        <v>1830</v>
      </c>
      <c r="B278" s="3210"/>
      <c r="C278" s="3210"/>
      <c r="D278" s="3210"/>
      <c r="E278" s="3210"/>
      <c r="F278" s="3210"/>
      <c r="G278" s="3210"/>
      <c r="H278" s="3210"/>
    </row>
    <row r="279" spans="1:8" ht="15.75" thickBot="1" x14ac:dyDescent="0.3">
      <c r="A279" s="1103" t="s">
        <v>1779</v>
      </c>
      <c r="H279" s="1177" t="s">
        <v>92</v>
      </c>
    </row>
    <row r="280" spans="1:8" s="1037" customFormat="1" ht="25.5" thickTop="1" thickBot="1" x14ac:dyDescent="0.25">
      <c r="A280" s="1104" t="s">
        <v>93</v>
      </c>
      <c r="B280" s="1105" t="s">
        <v>392</v>
      </c>
      <c r="C280" s="1105" t="s">
        <v>209</v>
      </c>
      <c r="D280" s="1106" t="s">
        <v>95</v>
      </c>
      <c r="E280" s="1127" t="s">
        <v>328</v>
      </c>
      <c r="F280" s="1127" t="s">
        <v>329</v>
      </c>
      <c r="G280" s="1128" t="s">
        <v>448</v>
      </c>
      <c r="H280" s="1129" t="s">
        <v>449</v>
      </c>
    </row>
    <row r="281" spans="1:8" s="1037" customFormat="1" ht="13.5" thickTop="1" thickBot="1" x14ac:dyDescent="0.25">
      <c r="A281" s="1042">
        <v>1</v>
      </c>
      <c r="B281" s="1041">
        <v>2</v>
      </c>
      <c r="C281" s="1041">
        <v>3</v>
      </c>
      <c r="D281" s="1041">
        <v>4</v>
      </c>
      <c r="E281" s="1040">
        <v>5</v>
      </c>
      <c r="F281" s="1040">
        <v>6</v>
      </c>
      <c r="G281" s="1164">
        <v>7</v>
      </c>
      <c r="H281" s="1186" t="s">
        <v>33</v>
      </c>
    </row>
    <row r="282" spans="1:8" s="1037" customFormat="1" ht="15.75" hidden="1" thickTop="1" x14ac:dyDescent="0.2">
      <c r="A282" s="1110">
        <v>4357</v>
      </c>
      <c r="B282" s="1111">
        <v>6121</v>
      </c>
      <c r="C282" s="1111">
        <v>11</v>
      </c>
      <c r="D282" s="1130" t="s">
        <v>312</v>
      </c>
      <c r="E282" s="1135"/>
      <c r="F282" s="1135"/>
      <c r="G282" s="1135"/>
      <c r="H282" s="1116">
        <v>0</v>
      </c>
    </row>
    <row r="283" spans="1:8" s="1037" customFormat="1" ht="15.75" thickTop="1" x14ac:dyDescent="0.2">
      <c r="A283" s="1110">
        <v>3122</v>
      </c>
      <c r="B283" s="1111">
        <v>6122</v>
      </c>
      <c r="C283" s="1216" t="s">
        <v>1450</v>
      </c>
      <c r="D283" s="1130" t="s">
        <v>313</v>
      </c>
      <c r="E283" s="1135">
        <v>0</v>
      </c>
      <c r="F283" s="1135">
        <v>8</v>
      </c>
      <c r="G283" s="1135">
        <v>0</v>
      </c>
      <c r="H283" s="3050">
        <f>G283/F283*100</f>
        <v>0</v>
      </c>
    </row>
    <row r="284" spans="1:8" s="1037" customFormat="1" ht="15" x14ac:dyDescent="0.2">
      <c r="A284" s="1110">
        <v>3122</v>
      </c>
      <c r="B284" s="1111">
        <v>6122</v>
      </c>
      <c r="C284" s="1216" t="s">
        <v>1449</v>
      </c>
      <c r="D284" s="1130" t="s">
        <v>313</v>
      </c>
      <c r="E284" s="1135">
        <v>0</v>
      </c>
      <c r="F284" s="1135">
        <v>4</v>
      </c>
      <c r="G284" s="1135">
        <v>0</v>
      </c>
      <c r="H284" s="3050">
        <f>G284/F284*100</f>
        <v>0</v>
      </c>
    </row>
    <row r="285" spans="1:8" s="1037" customFormat="1" ht="15.75" thickBot="1" x14ac:dyDescent="0.25">
      <c r="A285" s="1110">
        <v>3122</v>
      </c>
      <c r="B285" s="1111">
        <v>6122</v>
      </c>
      <c r="C285" s="1216" t="s">
        <v>1448</v>
      </c>
      <c r="D285" s="1130" t="s">
        <v>313</v>
      </c>
      <c r="E285" s="1135">
        <v>0</v>
      </c>
      <c r="F285" s="1135">
        <v>68</v>
      </c>
      <c r="G285" s="1135">
        <v>0</v>
      </c>
      <c r="H285" s="3050">
        <f>G285/F285*100</f>
        <v>0</v>
      </c>
    </row>
    <row r="286" spans="1:8" s="1037" customFormat="1" ht="16.5" thickTop="1" thickBot="1" x14ac:dyDescent="0.3">
      <c r="A286" s="3317" t="s">
        <v>394</v>
      </c>
      <c r="B286" s="3318"/>
      <c r="C286" s="3318"/>
      <c r="D286" s="3318"/>
      <c r="E286" s="1113">
        <f>SUM(E282:E285)</f>
        <v>0</v>
      </c>
      <c r="F286" s="1113">
        <f>SUM(F282:F285)</f>
        <v>80</v>
      </c>
      <c r="G286" s="1113">
        <f>SUM(G282:G285)</f>
        <v>0</v>
      </c>
      <c r="H286" s="1381">
        <f>G286/F286*100</f>
        <v>0</v>
      </c>
    </row>
    <row r="287" spans="1:8" s="1037" customFormat="1" ht="15.75" thickTop="1" x14ac:dyDescent="0.25">
      <c r="A287" s="1118"/>
      <c r="B287" s="1118"/>
      <c r="C287" s="1118"/>
      <c r="D287" s="1118"/>
      <c r="E287" s="1119"/>
      <c r="F287" s="1119"/>
      <c r="G287" s="1119"/>
      <c r="H287" s="1138"/>
    </row>
    <row r="288" spans="1:8" ht="15" x14ac:dyDescent="0.25">
      <c r="A288" s="1103" t="s">
        <v>1829</v>
      </c>
    </row>
    <row r="289" spans="1:8" ht="15.75" thickBot="1" x14ac:dyDescent="0.3">
      <c r="A289" s="1103" t="s">
        <v>1778</v>
      </c>
      <c r="H289" s="1177" t="s">
        <v>92</v>
      </c>
    </row>
    <row r="290" spans="1:8" s="1037" customFormat="1" ht="25.5" thickTop="1" thickBot="1" x14ac:dyDescent="0.25">
      <c r="A290" s="1104" t="s">
        <v>93</v>
      </c>
      <c r="B290" s="1105" t="s">
        <v>392</v>
      </c>
      <c r="C290" s="1105" t="s">
        <v>209</v>
      </c>
      <c r="D290" s="1106" t="s">
        <v>95</v>
      </c>
      <c r="E290" s="1127" t="s">
        <v>328</v>
      </c>
      <c r="F290" s="1127" t="s">
        <v>329</v>
      </c>
      <c r="G290" s="1128" t="s">
        <v>448</v>
      </c>
      <c r="H290" s="1129" t="s">
        <v>449</v>
      </c>
    </row>
    <row r="291" spans="1:8" s="1037" customFormat="1" ht="13.5" thickTop="1" thickBot="1" x14ac:dyDescent="0.25">
      <c r="A291" s="1042">
        <v>1</v>
      </c>
      <c r="B291" s="1041">
        <v>2</v>
      </c>
      <c r="C291" s="1041">
        <v>3</v>
      </c>
      <c r="D291" s="1041">
        <v>4</v>
      </c>
      <c r="E291" s="1040">
        <v>5</v>
      </c>
      <c r="F291" s="1040">
        <v>6</v>
      </c>
      <c r="G291" s="1164">
        <v>7</v>
      </c>
      <c r="H291" s="1186" t="s">
        <v>33</v>
      </c>
    </row>
    <row r="292" spans="1:8" s="1037" customFormat="1" ht="15.75" thickTop="1" x14ac:dyDescent="0.2">
      <c r="A292" s="1110">
        <v>3122</v>
      </c>
      <c r="B292" s="1111">
        <v>6122</v>
      </c>
      <c r="C292" s="1216" t="s">
        <v>1450</v>
      </c>
      <c r="D292" s="1130" t="s">
        <v>313</v>
      </c>
      <c r="E292" s="1135">
        <v>0</v>
      </c>
      <c r="F292" s="1135">
        <v>8</v>
      </c>
      <c r="G292" s="1135">
        <v>8</v>
      </c>
      <c r="H292" s="3050">
        <f t="shared" ref="H292:H295" si="16">G292/F292*100</f>
        <v>100</v>
      </c>
    </row>
    <row r="293" spans="1:8" s="1037" customFormat="1" ht="15" x14ac:dyDescent="0.2">
      <c r="A293" s="1110">
        <v>3122</v>
      </c>
      <c r="B293" s="1111">
        <v>6122</v>
      </c>
      <c r="C293" s="1216" t="s">
        <v>1449</v>
      </c>
      <c r="D293" s="1130" t="s">
        <v>313</v>
      </c>
      <c r="E293" s="1135">
        <v>0</v>
      </c>
      <c r="F293" s="1135">
        <v>4</v>
      </c>
      <c r="G293" s="1135">
        <v>4</v>
      </c>
      <c r="H293" s="3050">
        <f t="shared" si="16"/>
        <v>100</v>
      </c>
    </row>
    <row r="294" spans="1:8" s="1037" customFormat="1" ht="15.75" thickBot="1" x14ac:dyDescent="0.25">
      <c r="A294" s="1110">
        <v>3122</v>
      </c>
      <c r="B294" s="1111">
        <v>6122</v>
      </c>
      <c r="C294" s="1216" t="s">
        <v>1448</v>
      </c>
      <c r="D294" s="1130" t="s">
        <v>313</v>
      </c>
      <c r="E294" s="1135">
        <v>0</v>
      </c>
      <c r="F294" s="1135">
        <v>68</v>
      </c>
      <c r="G294" s="1135">
        <v>67</v>
      </c>
      <c r="H294" s="3050">
        <f t="shared" si="16"/>
        <v>98.529411764705884</v>
      </c>
    </row>
    <row r="295" spans="1:8" s="1037" customFormat="1" ht="16.5" thickTop="1" thickBot="1" x14ac:dyDescent="0.3">
      <c r="A295" s="3317" t="s">
        <v>394</v>
      </c>
      <c r="B295" s="3318"/>
      <c r="C295" s="3318"/>
      <c r="D295" s="3318"/>
      <c r="E295" s="1113">
        <f>SUM(E292:E294)</f>
        <v>0</v>
      </c>
      <c r="F295" s="1113">
        <f>SUM(F292:F294)</f>
        <v>80</v>
      </c>
      <c r="G295" s="1113">
        <f>SUM(G292:G294)</f>
        <v>79</v>
      </c>
      <c r="H295" s="1381">
        <f t="shared" si="16"/>
        <v>98.75</v>
      </c>
    </row>
    <row r="296" spans="1:8" s="1037" customFormat="1" ht="15.75" thickTop="1" x14ac:dyDescent="0.25">
      <c r="A296" s="1118"/>
      <c r="B296" s="1118"/>
      <c r="C296" s="1118"/>
      <c r="D296" s="1118"/>
      <c r="E296" s="1119"/>
      <c r="F296" s="1119"/>
      <c r="G296" s="1119"/>
      <c r="H296" s="1138"/>
    </row>
    <row r="297" spans="1:8" s="1037" customFormat="1" ht="15" hidden="1" x14ac:dyDescent="0.25">
      <c r="A297" s="1118"/>
      <c r="B297" s="1118"/>
      <c r="C297" s="1118"/>
      <c r="D297" s="1118"/>
      <c r="E297" s="1119"/>
      <c r="F297" s="1119"/>
      <c r="G297" s="1119"/>
      <c r="H297" s="1138"/>
    </row>
    <row r="298" spans="1:8" s="1037" customFormat="1" ht="15" hidden="1" x14ac:dyDescent="0.25">
      <c r="A298" s="1118"/>
      <c r="B298" s="1118"/>
      <c r="C298" s="1118"/>
      <c r="D298" s="1118"/>
      <c r="E298" s="1119"/>
      <c r="F298" s="1119"/>
      <c r="G298" s="1119"/>
      <c r="H298" s="1138"/>
    </row>
    <row r="299" spans="1:8" s="1037" customFormat="1" ht="15" hidden="1" x14ac:dyDescent="0.25">
      <c r="A299" s="1118"/>
      <c r="B299" s="1118"/>
      <c r="C299" s="1118"/>
      <c r="D299" s="1118"/>
      <c r="E299" s="1119"/>
      <c r="F299" s="1119"/>
      <c r="G299" s="1119"/>
      <c r="H299" s="1138"/>
    </row>
    <row r="300" spans="1:8" s="1037" customFormat="1" ht="15" hidden="1" x14ac:dyDescent="0.25">
      <c r="A300" s="1118"/>
      <c r="B300" s="1118"/>
      <c r="C300" s="1118"/>
      <c r="D300" s="1118"/>
      <c r="E300" s="1119"/>
      <c r="F300" s="1119"/>
      <c r="G300" s="1119"/>
      <c r="H300" s="1138"/>
    </row>
    <row r="301" spans="1:8" s="1037" customFormat="1" ht="15" hidden="1" x14ac:dyDescent="0.25">
      <c r="A301" s="1118"/>
      <c r="B301" s="1118"/>
      <c r="C301" s="1118"/>
      <c r="D301" s="1118"/>
      <c r="E301" s="1119"/>
      <c r="F301" s="1119"/>
      <c r="G301" s="1119"/>
      <c r="H301" s="1138"/>
    </row>
    <row r="302" spans="1:8" s="1037" customFormat="1" ht="15" hidden="1" x14ac:dyDescent="0.25">
      <c r="A302" s="1118"/>
      <c r="B302" s="1118"/>
      <c r="C302" s="1118"/>
      <c r="D302" s="1118"/>
      <c r="E302" s="1119"/>
      <c r="F302" s="1119"/>
      <c r="G302" s="1119"/>
      <c r="H302" s="1138"/>
    </row>
    <row r="303" spans="1:8" ht="15" hidden="1" customHeight="1" x14ac:dyDescent="0.25">
      <c r="A303" s="1103" t="s">
        <v>265</v>
      </c>
    </row>
    <row r="304" spans="1:8" ht="15" hidden="1" x14ac:dyDescent="0.25">
      <c r="A304" s="1103" t="s">
        <v>266</v>
      </c>
      <c r="H304" s="1177" t="s">
        <v>92</v>
      </c>
    </row>
    <row r="305" spans="1:8" s="1037" customFormat="1" ht="25.5" hidden="1" thickTop="1" thickBot="1" x14ac:dyDescent="0.25">
      <c r="A305" s="1104" t="s">
        <v>93</v>
      </c>
      <c r="B305" s="1105" t="s">
        <v>392</v>
      </c>
      <c r="C305" s="1105" t="s">
        <v>209</v>
      </c>
      <c r="D305" s="1106" t="s">
        <v>95</v>
      </c>
      <c r="E305" s="1127" t="s">
        <v>328</v>
      </c>
      <c r="F305" s="1127" t="s">
        <v>329</v>
      </c>
      <c r="G305" s="1128" t="s">
        <v>448</v>
      </c>
      <c r="H305" s="1129" t="s">
        <v>449</v>
      </c>
    </row>
    <row r="306" spans="1:8" s="1037" customFormat="1" ht="13.5" hidden="1" thickTop="1" thickBot="1" x14ac:dyDescent="0.25">
      <c r="A306" s="1042">
        <v>1</v>
      </c>
      <c r="B306" s="1041">
        <v>2</v>
      </c>
      <c r="C306" s="1041">
        <v>3</v>
      </c>
      <c r="D306" s="1041">
        <v>4</v>
      </c>
      <c r="E306" s="1040">
        <v>5</v>
      </c>
      <c r="F306" s="1040">
        <v>6</v>
      </c>
      <c r="G306" s="1164">
        <v>7</v>
      </c>
      <c r="H306" s="1186" t="s">
        <v>33</v>
      </c>
    </row>
    <row r="307" spans="1:8" s="1037" customFormat="1" ht="15" hidden="1" x14ac:dyDescent="0.2">
      <c r="A307" s="1110">
        <v>4357</v>
      </c>
      <c r="B307" s="1111">
        <v>5169</v>
      </c>
      <c r="C307" s="1222">
        <v>53100880</v>
      </c>
      <c r="D307" s="1130" t="s">
        <v>430</v>
      </c>
      <c r="E307" s="1135"/>
      <c r="F307" s="1135"/>
      <c r="G307" s="1135"/>
      <c r="H307" s="1116" t="e">
        <f>G307/F307*100</f>
        <v>#DIV/0!</v>
      </c>
    </row>
    <row r="308" spans="1:8" s="1037" customFormat="1" ht="15" hidden="1" x14ac:dyDescent="0.2">
      <c r="A308" s="1110">
        <v>4357</v>
      </c>
      <c r="B308" s="1111">
        <v>5169</v>
      </c>
      <c r="C308" s="1222">
        <v>53100882</v>
      </c>
      <c r="D308" s="1130" t="s">
        <v>430</v>
      </c>
      <c r="E308" s="1135"/>
      <c r="F308" s="1135"/>
      <c r="G308" s="1135"/>
      <c r="H308" s="1116" t="e">
        <f>G308/F308*100</f>
        <v>#DIV/0!</v>
      </c>
    </row>
    <row r="309" spans="1:8" s="1037" customFormat="1" ht="15" hidden="1" x14ac:dyDescent="0.2">
      <c r="A309" s="1110">
        <v>4357</v>
      </c>
      <c r="B309" s="1111">
        <v>5169</v>
      </c>
      <c r="C309" s="1222">
        <v>53100884</v>
      </c>
      <c r="D309" s="1130" t="s">
        <v>430</v>
      </c>
      <c r="E309" s="1135"/>
      <c r="F309" s="1135"/>
      <c r="G309" s="1135"/>
      <c r="H309" s="1116">
        <v>0</v>
      </c>
    </row>
    <row r="310" spans="1:8" s="1037" customFormat="1" ht="15" hidden="1" x14ac:dyDescent="0.2">
      <c r="A310" s="1110">
        <v>4357</v>
      </c>
      <c r="B310" s="1111">
        <v>5169</v>
      </c>
      <c r="C310" s="1222" t="s">
        <v>795</v>
      </c>
      <c r="D310" s="1130" t="s">
        <v>430</v>
      </c>
      <c r="E310" s="1135"/>
      <c r="F310" s="1135"/>
      <c r="G310" s="1135"/>
      <c r="H310" s="1116" t="e">
        <f>G310/F310*100</f>
        <v>#DIV/0!</v>
      </c>
    </row>
    <row r="311" spans="1:8" s="1037" customFormat="1" ht="16.5" hidden="1" thickTop="1" thickBot="1" x14ac:dyDescent="0.3">
      <c r="A311" s="3317" t="s">
        <v>394</v>
      </c>
      <c r="B311" s="3318"/>
      <c r="C311" s="3318"/>
      <c r="D311" s="3318"/>
      <c r="E311" s="1113">
        <f>SUM(E307:E310)</f>
        <v>0</v>
      </c>
      <c r="F311" s="1113">
        <f>SUM(F307:F310)</f>
        <v>0</v>
      </c>
      <c r="G311" s="1113">
        <f>SUM(G307:G310)</f>
        <v>0</v>
      </c>
      <c r="H311" s="1117" t="e">
        <f>G311/F311*100</f>
        <v>#DIV/0!</v>
      </c>
    </row>
    <row r="312" spans="1:8" s="1037" customFormat="1" ht="15.75" hidden="1" thickTop="1" x14ac:dyDescent="0.25">
      <c r="A312" s="1118"/>
      <c r="B312" s="1118"/>
      <c r="C312" s="1118"/>
      <c r="D312" s="1118"/>
      <c r="E312" s="1119"/>
      <c r="F312" s="1119"/>
      <c r="G312" s="1119"/>
      <c r="H312" s="1217"/>
    </row>
    <row r="313" spans="1:8" ht="15" hidden="1" x14ac:dyDescent="0.25">
      <c r="A313" s="1103" t="s">
        <v>153</v>
      </c>
    </row>
    <row r="314" spans="1:8" ht="15" hidden="1" x14ac:dyDescent="0.25">
      <c r="A314" s="1103" t="s">
        <v>127</v>
      </c>
      <c r="H314" s="1177" t="s">
        <v>92</v>
      </c>
    </row>
    <row r="315" spans="1:8" s="1037" customFormat="1" ht="25.5" hidden="1" thickTop="1" thickBot="1" x14ac:dyDescent="0.25">
      <c r="A315" s="1104" t="s">
        <v>93</v>
      </c>
      <c r="B315" s="1105" t="s">
        <v>392</v>
      </c>
      <c r="C315" s="1105" t="s">
        <v>209</v>
      </c>
      <c r="D315" s="1106" t="s">
        <v>95</v>
      </c>
      <c r="E315" s="1127" t="s">
        <v>328</v>
      </c>
      <c r="F315" s="1127" t="s">
        <v>329</v>
      </c>
      <c r="G315" s="1128" t="s">
        <v>448</v>
      </c>
      <c r="H315" s="1129" t="s">
        <v>449</v>
      </c>
    </row>
    <row r="316" spans="1:8" s="1037" customFormat="1" ht="13.5" hidden="1" thickTop="1" thickBot="1" x14ac:dyDescent="0.25">
      <c r="A316" s="1042">
        <v>1</v>
      </c>
      <c r="B316" s="1041">
        <v>2</v>
      </c>
      <c r="C316" s="1041">
        <v>3</v>
      </c>
      <c r="D316" s="1041">
        <v>4</v>
      </c>
      <c r="E316" s="1040">
        <v>5</v>
      </c>
      <c r="F316" s="1040">
        <v>6</v>
      </c>
      <c r="G316" s="1164">
        <v>7</v>
      </c>
      <c r="H316" s="1186" t="s">
        <v>33</v>
      </c>
    </row>
    <row r="317" spans="1:8" s="1037" customFormat="1" ht="15" hidden="1" x14ac:dyDescent="0.2">
      <c r="A317" s="1110">
        <v>3122</v>
      </c>
      <c r="B317" s="1111">
        <v>5137</v>
      </c>
      <c r="C317" s="1111">
        <v>38100874</v>
      </c>
      <c r="D317" s="1130" t="s">
        <v>88</v>
      </c>
      <c r="E317" s="1135">
        <v>0</v>
      </c>
      <c r="F317" s="1135">
        <v>0</v>
      </c>
      <c r="G317" s="1135">
        <v>0</v>
      </c>
      <c r="H317" s="1116" t="e">
        <f t="shared" ref="H317:H322" si="17">G317/F317*100</f>
        <v>#DIV/0!</v>
      </c>
    </row>
    <row r="318" spans="1:8" s="1037" customFormat="1" ht="15" hidden="1" x14ac:dyDescent="0.2">
      <c r="A318" s="1110">
        <v>3122</v>
      </c>
      <c r="B318" s="1111">
        <v>6121</v>
      </c>
      <c r="C318" s="1111">
        <v>38100870</v>
      </c>
      <c r="D318" s="1130" t="s">
        <v>312</v>
      </c>
      <c r="E318" s="1135">
        <v>0</v>
      </c>
      <c r="F318" s="1135">
        <v>0</v>
      </c>
      <c r="G318" s="1135">
        <v>0</v>
      </c>
      <c r="H318" s="1116" t="e">
        <f t="shared" si="17"/>
        <v>#DIV/0!</v>
      </c>
    </row>
    <row r="319" spans="1:8" s="1037" customFormat="1" ht="15" hidden="1" x14ac:dyDescent="0.2">
      <c r="A319" s="1110">
        <v>3122</v>
      </c>
      <c r="B319" s="1111">
        <v>6121</v>
      </c>
      <c r="C319" s="1111">
        <v>38100872</v>
      </c>
      <c r="D319" s="1130" t="s">
        <v>312</v>
      </c>
      <c r="E319" s="1135">
        <v>0</v>
      </c>
      <c r="F319" s="1135">
        <v>0</v>
      </c>
      <c r="G319" s="1135">
        <v>0</v>
      </c>
      <c r="H319" s="1116" t="e">
        <f t="shared" si="17"/>
        <v>#DIV/0!</v>
      </c>
    </row>
    <row r="320" spans="1:8" s="1037" customFormat="1" ht="15" hidden="1" x14ac:dyDescent="0.2">
      <c r="A320" s="1110">
        <v>3122</v>
      </c>
      <c r="B320" s="1111">
        <v>6121</v>
      </c>
      <c r="C320" s="1111">
        <v>38100874</v>
      </c>
      <c r="D320" s="1130" t="s">
        <v>312</v>
      </c>
      <c r="E320" s="1135">
        <v>0</v>
      </c>
      <c r="F320" s="1135">
        <v>0</v>
      </c>
      <c r="G320" s="1135">
        <v>0</v>
      </c>
      <c r="H320" s="1116" t="e">
        <f t="shared" si="17"/>
        <v>#DIV/0!</v>
      </c>
    </row>
    <row r="321" spans="1:8" s="1037" customFormat="1" ht="15" hidden="1" x14ac:dyDescent="0.2">
      <c r="A321" s="1110">
        <v>3122</v>
      </c>
      <c r="B321" s="1111">
        <v>6121</v>
      </c>
      <c r="C321" s="1111">
        <v>38500871</v>
      </c>
      <c r="D321" s="1130" t="s">
        <v>312</v>
      </c>
      <c r="E321" s="1135">
        <v>0</v>
      </c>
      <c r="F321" s="1135">
        <v>0</v>
      </c>
      <c r="G321" s="1135">
        <v>0</v>
      </c>
      <c r="H321" s="1116" t="e">
        <f t="shared" si="17"/>
        <v>#DIV/0!</v>
      </c>
    </row>
    <row r="322" spans="1:8" s="1037" customFormat="1" ht="16.5" hidden="1" thickTop="1" thickBot="1" x14ac:dyDescent="0.3">
      <c r="A322" s="3317" t="s">
        <v>394</v>
      </c>
      <c r="B322" s="3318"/>
      <c r="C322" s="3318"/>
      <c r="D322" s="3318"/>
      <c r="E322" s="1113">
        <f>SUM(E321:E321)</f>
        <v>0</v>
      </c>
      <c r="F322" s="1113">
        <f>SUM(F317:F321)</f>
        <v>0</v>
      </c>
      <c r="G322" s="1113">
        <f>SUM(G317:G321)</f>
        <v>0</v>
      </c>
      <c r="H322" s="1117" t="e">
        <f t="shared" si="17"/>
        <v>#DIV/0!</v>
      </c>
    </row>
    <row r="323" spans="1:8" s="1037" customFormat="1" ht="15" hidden="1" x14ac:dyDescent="0.25">
      <c r="A323" s="1118"/>
      <c r="B323" s="1118"/>
      <c r="C323" s="1118"/>
      <c r="D323" s="1118"/>
      <c r="E323" s="1119"/>
      <c r="F323" s="1119"/>
      <c r="G323" s="1119"/>
      <c r="H323" s="1138"/>
    </row>
    <row r="324" spans="1:8" ht="15" hidden="1" x14ac:dyDescent="0.25">
      <c r="A324" s="1103" t="s">
        <v>736</v>
      </c>
    </row>
    <row r="325" spans="1:8" ht="15" hidden="1" x14ac:dyDescent="0.25">
      <c r="A325" s="1103" t="s">
        <v>737</v>
      </c>
      <c r="H325" s="1177" t="s">
        <v>92</v>
      </c>
    </row>
    <row r="326" spans="1:8" s="1037" customFormat="1" ht="25.5" hidden="1" thickTop="1" thickBot="1" x14ac:dyDescent="0.25">
      <c r="A326" s="1104" t="s">
        <v>93</v>
      </c>
      <c r="B326" s="1105" t="s">
        <v>392</v>
      </c>
      <c r="C326" s="1105" t="s">
        <v>209</v>
      </c>
      <c r="D326" s="1106" t="s">
        <v>95</v>
      </c>
      <c r="E326" s="1127" t="s">
        <v>328</v>
      </c>
      <c r="F326" s="1127" t="s">
        <v>329</v>
      </c>
      <c r="G326" s="1128" t="s">
        <v>448</v>
      </c>
      <c r="H326" s="1129" t="s">
        <v>449</v>
      </c>
    </row>
    <row r="327" spans="1:8" s="1037" customFormat="1" ht="13.5" hidden="1" thickTop="1" thickBot="1" x14ac:dyDescent="0.25">
      <c r="A327" s="1042">
        <v>1</v>
      </c>
      <c r="B327" s="1041">
        <v>2</v>
      </c>
      <c r="C327" s="1041">
        <v>3</v>
      </c>
      <c r="D327" s="1041">
        <v>4</v>
      </c>
      <c r="E327" s="1040">
        <v>5</v>
      </c>
      <c r="F327" s="1040">
        <v>6</v>
      </c>
      <c r="G327" s="1164">
        <v>7</v>
      </c>
      <c r="H327" s="1186" t="s">
        <v>33</v>
      </c>
    </row>
    <row r="328" spans="1:8" s="1037" customFormat="1" ht="16.5" hidden="1" customHeight="1" thickTop="1" x14ac:dyDescent="0.2">
      <c r="A328" s="1110">
        <v>6172</v>
      </c>
      <c r="B328" s="1187">
        <v>5139</v>
      </c>
      <c r="C328" s="1223">
        <v>36100874</v>
      </c>
      <c r="D328" s="1130" t="s">
        <v>100</v>
      </c>
      <c r="E328" s="1135"/>
      <c r="F328" s="1135"/>
      <c r="G328" s="1135"/>
      <c r="H328" s="1116" t="e">
        <f t="shared" ref="H328:H333" si="18">G328/F328*100</f>
        <v>#DIV/0!</v>
      </c>
    </row>
    <row r="329" spans="1:8" s="1037" customFormat="1" ht="13.5" hidden="1" customHeight="1" x14ac:dyDescent="0.2">
      <c r="A329" s="1110">
        <v>6172</v>
      </c>
      <c r="B329" s="1187">
        <v>5167</v>
      </c>
      <c r="C329" s="1223">
        <v>36100870</v>
      </c>
      <c r="D329" s="1130" t="s">
        <v>455</v>
      </c>
      <c r="E329" s="1135"/>
      <c r="F329" s="1135"/>
      <c r="G329" s="1135"/>
      <c r="H329" s="1116" t="e">
        <f t="shared" si="18"/>
        <v>#DIV/0!</v>
      </c>
    </row>
    <row r="330" spans="1:8" s="1037" customFormat="1" ht="14.25" hidden="1" customHeight="1" x14ac:dyDescent="0.2">
      <c r="A330" s="1110">
        <v>6172</v>
      </c>
      <c r="B330" s="1187">
        <v>5167</v>
      </c>
      <c r="C330" s="1223">
        <v>36500871</v>
      </c>
      <c r="D330" s="1130" t="s">
        <v>455</v>
      </c>
      <c r="E330" s="1135"/>
      <c r="F330" s="1135"/>
      <c r="G330" s="1135"/>
      <c r="H330" s="1116" t="e">
        <f t="shared" si="18"/>
        <v>#DIV/0!</v>
      </c>
    </row>
    <row r="331" spans="1:8" s="1037" customFormat="1" ht="45" hidden="1" x14ac:dyDescent="0.2">
      <c r="A331" s="1181">
        <v>6172</v>
      </c>
      <c r="B331" s="1187">
        <v>5168</v>
      </c>
      <c r="C331" s="1223">
        <v>36100870</v>
      </c>
      <c r="D331" s="1130" t="s">
        <v>838</v>
      </c>
      <c r="E331" s="1135"/>
      <c r="F331" s="1135"/>
      <c r="G331" s="1135"/>
      <c r="H331" s="1116" t="e">
        <f t="shared" si="18"/>
        <v>#DIV/0!</v>
      </c>
    </row>
    <row r="332" spans="1:8" s="1037" customFormat="1" ht="45" hidden="1" x14ac:dyDescent="0.2">
      <c r="A332" s="1181">
        <v>6172</v>
      </c>
      <c r="B332" s="1187">
        <v>5168</v>
      </c>
      <c r="C332" s="1223">
        <v>36500871</v>
      </c>
      <c r="D332" s="1130" t="s">
        <v>838</v>
      </c>
      <c r="E332" s="1135"/>
      <c r="F332" s="1135"/>
      <c r="G332" s="1135"/>
      <c r="H332" s="1116" t="e">
        <f t="shared" si="18"/>
        <v>#DIV/0!</v>
      </c>
    </row>
    <row r="333" spans="1:8" s="1037" customFormat="1" ht="15" hidden="1" x14ac:dyDescent="0.2">
      <c r="A333" s="1110">
        <v>6172</v>
      </c>
      <c r="B333" s="1187">
        <v>5169</v>
      </c>
      <c r="C333" s="1223">
        <v>36100870</v>
      </c>
      <c r="D333" s="1130" t="s">
        <v>430</v>
      </c>
      <c r="E333" s="1135"/>
      <c r="F333" s="1135"/>
      <c r="G333" s="1135"/>
      <c r="H333" s="1116" t="e">
        <f t="shared" si="18"/>
        <v>#DIV/0!</v>
      </c>
    </row>
    <row r="334" spans="1:8" s="1037" customFormat="1" ht="15" hidden="1" x14ac:dyDescent="0.2">
      <c r="A334" s="1110">
        <v>6172</v>
      </c>
      <c r="B334" s="1187">
        <v>5169</v>
      </c>
      <c r="C334" s="1223">
        <v>36100874</v>
      </c>
      <c r="D334" s="1130" t="s">
        <v>430</v>
      </c>
      <c r="E334" s="1135"/>
      <c r="F334" s="1135"/>
      <c r="G334" s="1135"/>
      <c r="H334" s="1116">
        <v>0</v>
      </c>
    </row>
    <row r="335" spans="1:8" s="1037" customFormat="1" ht="15" hidden="1" x14ac:dyDescent="0.2">
      <c r="A335" s="1110">
        <v>6172</v>
      </c>
      <c r="B335" s="1187">
        <v>5169</v>
      </c>
      <c r="C335" s="1223">
        <v>36500871</v>
      </c>
      <c r="D335" s="1130" t="s">
        <v>430</v>
      </c>
      <c r="E335" s="1135"/>
      <c r="F335" s="1135"/>
      <c r="G335" s="1135"/>
      <c r="H335" s="1116" t="e">
        <f t="shared" ref="H335:H340" si="19">G335/F335*100</f>
        <v>#DIV/0!</v>
      </c>
    </row>
    <row r="336" spans="1:8" s="1037" customFormat="1" ht="15" hidden="1" x14ac:dyDescent="0.2">
      <c r="A336" s="1110">
        <v>6172</v>
      </c>
      <c r="B336" s="1187">
        <v>5172</v>
      </c>
      <c r="C336" s="1223">
        <v>36100870</v>
      </c>
      <c r="D336" s="1130" t="s">
        <v>457</v>
      </c>
      <c r="E336" s="1135"/>
      <c r="F336" s="1135"/>
      <c r="G336" s="1135"/>
      <c r="H336" s="1116" t="e">
        <f t="shared" si="19"/>
        <v>#DIV/0!</v>
      </c>
    </row>
    <row r="337" spans="1:8" s="1037" customFormat="1" ht="15" hidden="1" x14ac:dyDescent="0.2">
      <c r="A337" s="1110">
        <v>6172</v>
      </c>
      <c r="B337" s="1187">
        <v>5172</v>
      </c>
      <c r="C337" s="1223">
        <v>36500871</v>
      </c>
      <c r="D337" s="1130" t="s">
        <v>457</v>
      </c>
      <c r="E337" s="1135"/>
      <c r="F337" s="1135"/>
      <c r="G337" s="1135"/>
      <c r="H337" s="1116" t="e">
        <f t="shared" si="19"/>
        <v>#DIV/0!</v>
      </c>
    </row>
    <row r="338" spans="1:8" s="1037" customFormat="1" ht="15" hidden="1" x14ac:dyDescent="0.2">
      <c r="A338" s="1110">
        <v>6172</v>
      </c>
      <c r="B338" s="1187">
        <v>6111</v>
      </c>
      <c r="C338" s="1223">
        <v>36100870</v>
      </c>
      <c r="D338" s="1130" t="s">
        <v>457</v>
      </c>
      <c r="E338" s="1135"/>
      <c r="F338" s="1135"/>
      <c r="G338" s="1135"/>
      <c r="H338" s="1116" t="e">
        <f t="shared" si="19"/>
        <v>#DIV/0!</v>
      </c>
    </row>
    <row r="339" spans="1:8" s="1037" customFormat="1" ht="15" hidden="1" x14ac:dyDescent="0.2">
      <c r="A339" s="1110">
        <v>6172</v>
      </c>
      <c r="B339" s="1187">
        <v>6111</v>
      </c>
      <c r="C339" s="1223">
        <v>36500871</v>
      </c>
      <c r="D339" s="1130" t="s">
        <v>457</v>
      </c>
      <c r="E339" s="1135">
        <v>0</v>
      </c>
      <c r="F339" s="1135"/>
      <c r="G339" s="1135"/>
      <c r="H339" s="1116" t="e">
        <f t="shared" si="19"/>
        <v>#DIV/0!</v>
      </c>
    </row>
    <row r="340" spans="1:8" s="1037" customFormat="1" ht="16.5" hidden="1" thickTop="1" thickBot="1" x14ac:dyDescent="0.3">
      <c r="A340" s="3317" t="s">
        <v>394</v>
      </c>
      <c r="B340" s="3318"/>
      <c r="C340" s="3318"/>
      <c r="D340" s="3318"/>
      <c r="E340" s="1113">
        <f>SUM(E328:E339)</f>
        <v>0</v>
      </c>
      <c r="F340" s="1113">
        <f>SUM(F328:F339)</f>
        <v>0</v>
      </c>
      <c r="G340" s="1113">
        <f>SUM(G328:G339)</f>
        <v>0</v>
      </c>
      <c r="H340" s="1117" t="e">
        <f t="shared" si="19"/>
        <v>#DIV/0!</v>
      </c>
    </row>
    <row r="341" spans="1:8" s="1037" customFormat="1" ht="15" x14ac:dyDescent="0.25">
      <c r="A341" s="1118"/>
      <c r="B341" s="1118"/>
      <c r="C341" s="1118"/>
      <c r="D341" s="1118"/>
      <c r="E341" s="1119"/>
      <c r="F341" s="1119"/>
      <c r="G341" s="1119"/>
      <c r="H341" s="1138"/>
    </row>
    <row r="342" spans="1:8" ht="30.75" customHeight="1" x14ac:dyDescent="0.25">
      <c r="A342" s="3335" t="s">
        <v>1781</v>
      </c>
      <c r="B342" s="3334"/>
      <c r="C342" s="3334"/>
      <c r="D342" s="3334"/>
      <c r="E342" s="3334"/>
      <c r="F342" s="3334"/>
      <c r="G342" s="3334"/>
      <c r="H342" s="3334"/>
    </row>
    <row r="343" spans="1:8" ht="15.75" thickBot="1" x14ac:dyDescent="0.3">
      <c r="A343" s="1103" t="s">
        <v>1780</v>
      </c>
      <c r="H343" s="1177" t="s">
        <v>92</v>
      </c>
    </row>
    <row r="344" spans="1:8" s="1037" customFormat="1" ht="25.5" thickTop="1" thickBot="1" x14ac:dyDescent="0.25">
      <c r="A344" s="1104" t="s">
        <v>93</v>
      </c>
      <c r="B344" s="1105" t="s">
        <v>392</v>
      </c>
      <c r="C344" s="1105" t="s">
        <v>209</v>
      </c>
      <c r="D344" s="1106" t="s">
        <v>95</v>
      </c>
      <c r="E344" s="1127" t="s">
        <v>328</v>
      </c>
      <c r="F344" s="1127" t="s">
        <v>329</v>
      </c>
      <c r="G344" s="1128" t="s">
        <v>448</v>
      </c>
      <c r="H344" s="1129" t="s">
        <v>449</v>
      </c>
    </row>
    <row r="345" spans="1:8" s="1037" customFormat="1" ht="13.5" thickTop="1" thickBot="1" x14ac:dyDescent="0.25">
      <c r="A345" s="1042">
        <v>1</v>
      </c>
      <c r="B345" s="1041">
        <v>2</v>
      </c>
      <c r="C345" s="1041">
        <v>3</v>
      </c>
      <c r="D345" s="1041">
        <v>4</v>
      </c>
      <c r="E345" s="1040">
        <v>5</v>
      </c>
      <c r="F345" s="1040">
        <v>6</v>
      </c>
      <c r="G345" s="1164">
        <v>7</v>
      </c>
      <c r="H345" s="1186" t="s">
        <v>33</v>
      </c>
    </row>
    <row r="346" spans="1:8" s="1037" customFormat="1" ht="15.75" hidden="1" thickTop="1" x14ac:dyDescent="0.2">
      <c r="A346" s="1110">
        <v>4357</v>
      </c>
      <c r="B346" s="1111">
        <v>5137</v>
      </c>
      <c r="C346" s="1223">
        <v>36100874</v>
      </c>
      <c r="D346" s="1130" t="s">
        <v>88</v>
      </c>
      <c r="E346" s="1135"/>
      <c r="F346" s="1135"/>
      <c r="G346" s="1135"/>
      <c r="H346" s="1116" t="e">
        <f t="shared" ref="H346:H351" si="20">G346/F346*100</f>
        <v>#DIV/0!</v>
      </c>
    </row>
    <row r="347" spans="1:8" s="1037" customFormat="1" ht="15.75" hidden="1" thickTop="1" x14ac:dyDescent="0.2">
      <c r="A347" s="1110">
        <v>4357</v>
      </c>
      <c r="B347" s="1111">
        <v>5137</v>
      </c>
      <c r="C347" s="1223">
        <v>36113003</v>
      </c>
      <c r="D347" s="1130" t="s">
        <v>88</v>
      </c>
      <c r="E347" s="1135"/>
      <c r="F347" s="1135"/>
      <c r="G347" s="1135"/>
      <c r="H347" s="1116" t="e">
        <f t="shared" si="20"/>
        <v>#DIV/0!</v>
      </c>
    </row>
    <row r="348" spans="1:8" s="1037" customFormat="1" ht="15.75" hidden="1" thickTop="1" x14ac:dyDescent="0.2">
      <c r="A348" s="1110">
        <v>4357</v>
      </c>
      <c r="B348" s="1111">
        <v>5137</v>
      </c>
      <c r="C348" s="1223">
        <v>36513003</v>
      </c>
      <c r="D348" s="1130" t="s">
        <v>88</v>
      </c>
      <c r="E348" s="1135"/>
      <c r="F348" s="1135"/>
      <c r="G348" s="1135"/>
      <c r="H348" s="1116" t="e">
        <f t="shared" si="20"/>
        <v>#DIV/0!</v>
      </c>
    </row>
    <row r="349" spans="1:8" s="1037" customFormat="1" ht="15.75" hidden="1" thickTop="1" x14ac:dyDescent="0.2">
      <c r="A349" s="1110">
        <v>4357</v>
      </c>
      <c r="B349" s="1111">
        <v>5153</v>
      </c>
      <c r="C349" s="1223">
        <v>36100874</v>
      </c>
      <c r="D349" s="1130" t="s">
        <v>582</v>
      </c>
      <c r="E349" s="1135"/>
      <c r="F349" s="1135"/>
      <c r="G349" s="1135"/>
      <c r="H349" s="1116" t="e">
        <f t="shared" si="20"/>
        <v>#DIV/0!</v>
      </c>
    </row>
    <row r="350" spans="1:8" s="1037" customFormat="1" ht="15.75" hidden="1" thickTop="1" x14ac:dyDescent="0.2">
      <c r="A350" s="1110">
        <v>4357</v>
      </c>
      <c r="B350" s="1111">
        <v>5154</v>
      </c>
      <c r="C350" s="1223">
        <v>36100874</v>
      </c>
      <c r="D350" s="1130" t="s">
        <v>159</v>
      </c>
      <c r="E350" s="1135"/>
      <c r="F350" s="1135"/>
      <c r="G350" s="1135"/>
      <c r="H350" s="1116" t="e">
        <f t="shared" si="20"/>
        <v>#DIV/0!</v>
      </c>
    </row>
    <row r="351" spans="1:8" s="1037" customFormat="1" ht="15.75" hidden="1" thickTop="1" x14ac:dyDescent="0.2">
      <c r="A351" s="1110">
        <v>4357</v>
      </c>
      <c r="B351" s="1111">
        <v>6121</v>
      </c>
      <c r="C351" s="1223">
        <v>36100874</v>
      </c>
      <c r="D351" s="1130" t="s">
        <v>312</v>
      </c>
      <c r="E351" s="1135"/>
      <c r="F351" s="1135"/>
      <c r="G351" s="1135"/>
      <c r="H351" s="1116" t="e">
        <f t="shared" si="20"/>
        <v>#DIV/0!</v>
      </c>
    </row>
    <row r="352" spans="1:8" s="1037" customFormat="1" ht="15.75" thickTop="1" x14ac:dyDescent="0.2">
      <c r="A352" s="1110">
        <v>3421</v>
      </c>
      <c r="B352" s="1111">
        <v>6121</v>
      </c>
      <c r="C352" s="1216" t="s">
        <v>1450</v>
      </c>
      <c r="D352" s="1130" t="s">
        <v>312</v>
      </c>
      <c r="E352" s="1135">
        <v>0</v>
      </c>
      <c r="F352" s="1135">
        <v>30</v>
      </c>
      <c r="G352" s="1135">
        <v>0</v>
      </c>
      <c r="H352" s="3050">
        <v>0</v>
      </c>
    </row>
    <row r="353" spans="1:8" s="1037" customFormat="1" ht="15" x14ac:dyDescent="0.2">
      <c r="A353" s="1110">
        <v>3421</v>
      </c>
      <c r="B353" s="1111">
        <v>6121</v>
      </c>
      <c r="C353" s="1216" t="s">
        <v>1449</v>
      </c>
      <c r="D353" s="1130" t="s">
        <v>312</v>
      </c>
      <c r="E353" s="1135">
        <v>0</v>
      </c>
      <c r="F353" s="1135">
        <v>15</v>
      </c>
      <c r="G353" s="1135">
        <v>0</v>
      </c>
      <c r="H353" s="3050">
        <f>G353/F353*100</f>
        <v>0</v>
      </c>
    </row>
    <row r="354" spans="1:8" s="1037" customFormat="1" ht="15.75" thickBot="1" x14ac:dyDescent="0.25">
      <c r="A354" s="1110">
        <v>3421</v>
      </c>
      <c r="B354" s="1111">
        <v>6121</v>
      </c>
      <c r="C354" s="1216" t="s">
        <v>1448</v>
      </c>
      <c r="D354" s="1130" t="s">
        <v>312</v>
      </c>
      <c r="E354" s="1135">
        <v>0</v>
      </c>
      <c r="F354" s="1135">
        <v>255</v>
      </c>
      <c r="G354" s="1135">
        <v>0</v>
      </c>
      <c r="H354" s="3050">
        <f>G354/F354*100</f>
        <v>0</v>
      </c>
    </row>
    <row r="355" spans="1:8" s="1037" customFormat="1" ht="16.5" thickTop="1" thickBot="1" x14ac:dyDescent="0.3">
      <c r="A355" s="3317" t="s">
        <v>394</v>
      </c>
      <c r="B355" s="3318"/>
      <c r="C355" s="3318"/>
      <c r="D355" s="3318"/>
      <c r="E355" s="1113">
        <f>SUM(E346:E354)</f>
        <v>0</v>
      </c>
      <c r="F355" s="1113">
        <f>SUM(F346:F354)</f>
        <v>300</v>
      </c>
      <c r="G355" s="1113">
        <f>SUM(G346:G354)</f>
        <v>0</v>
      </c>
      <c r="H355" s="1381">
        <v>0</v>
      </c>
    </row>
    <row r="356" spans="1:8" s="1037" customFormat="1" ht="14.25" customHeight="1" thickTop="1" x14ac:dyDescent="0.25">
      <c r="A356" s="1101"/>
      <c r="B356" s="1097"/>
      <c r="C356" s="1097"/>
      <c r="D356" s="1098"/>
      <c r="E356" s="1123"/>
      <c r="F356" s="1123"/>
      <c r="G356" s="1123"/>
      <c r="H356" s="1098"/>
    </row>
    <row r="357" spans="1:8" ht="15" hidden="1" x14ac:dyDescent="0.25">
      <c r="A357" s="1103" t="s">
        <v>796</v>
      </c>
    </row>
    <row r="358" spans="1:8" ht="15" hidden="1" x14ac:dyDescent="0.25">
      <c r="A358" s="1103" t="s">
        <v>797</v>
      </c>
      <c r="H358" s="1177" t="s">
        <v>92</v>
      </c>
    </row>
    <row r="359" spans="1:8" s="1037" customFormat="1" ht="25.5" hidden="1" thickTop="1" thickBot="1" x14ac:dyDescent="0.25">
      <c r="A359" s="1104" t="s">
        <v>93</v>
      </c>
      <c r="B359" s="1105" t="s">
        <v>392</v>
      </c>
      <c r="C359" s="1105" t="s">
        <v>209</v>
      </c>
      <c r="D359" s="1106" t="s">
        <v>95</v>
      </c>
      <c r="E359" s="1127" t="s">
        <v>328</v>
      </c>
      <c r="F359" s="1127" t="s">
        <v>329</v>
      </c>
      <c r="G359" s="1128" t="s">
        <v>448</v>
      </c>
      <c r="H359" s="1129" t="s">
        <v>449</v>
      </c>
    </row>
    <row r="360" spans="1:8" s="1037" customFormat="1" ht="13.5" hidden="1" thickTop="1" thickBot="1" x14ac:dyDescent="0.25">
      <c r="A360" s="1042">
        <v>1</v>
      </c>
      <c r="B360" s="1041">
        <v>2</v>
      </c>
      <c r="C360" s="1041">
        <v>3</v>
      </c>
      <c r="D360" s="1041">
        <v>4</v>
      </c>
      <c r="E360" s="1040">
        <v>5</v>
      </c>
      <c r="F360" s="1040">
        <v>6</v>
      </c>
      <c r="G360" s="1164">
        <v>7</v>
      </c>
      <c r="H360" s="1186" t="s">
        <v>33</v>
      </c>
    </row>
    <row r="361" spans="1:8" s="1037" customFormat="1" ht="15.75" hidden="1" customHeight="1" thickTop="1" x14ac:dyDescent="0.2">
      <c r="A361" s="1110">
        <v>2143</v>
      </c>
      <c r="B361" s="1111">
        <v>5169</v>
      </c>
      <c r="C361" s="1111">
        <v>53100870</v>
      </c>
      <c r="D361" s="1130" t="s">
        <v>312</v>
      </c>
      <c r="E361" s="1135">
        <v>0</v>
      </c>
      <c r="F361" s="1135"/>
      <c r="G361" s="1135"/>
      <c r="H361" s="1116" t="e">
        <f>G361/F361*100</f>
        <v>#DIV/0!</v>
      </c>
    </row>
    <row r="362" spans="1:8" s="1037" customFormat="1" ht="15.75" hidden="1" customHeight="1" x14ac:dyDescent="0.2">
      <c r="A362" s="1110">
        <v>2143</v>
      </c>
      <c r="B362" s="1111">
        <v>5169</v>
      </c>
      <c r="C362" s="1111">
        <v>53100874</v>
      </c>
      <c r="D362" s="1130" t="s">
        <v>312</v>
      </c>
      <c r="E362" s="1135">
        <v>0</v>
      </c>
      <c r="F362" s="1135"/>
      <c r="G362" s="1135"/>
      <c r="H362" s="1116" t="e">
        <f>G362/F362*100</f>
        <v>#DIV/0!</v>
      </c>
    </row>
    <row r="363" spans="1:8" s="1037" customFormat="1" ht="15.75" hidden="1" customHeight="1" thickBot="1" x14ac:dyDescent="0.25">
      <c r="A363" s="1110">
        <v>2143</v>
      </c>
      <c r="B363" s="1111">
        <v>5169</v>
      </c>
      <c r="C363" s="1111">
        <v>53190877</v>
      </c>
      <c r="D363" s="1130" t="s">
        <v>312</v>
      </c>
      <c r="E363" s="1135">
        <v>0</v>
      </c>
      <c r="F363" s="1135"/>
      <c r="G363" s="1135"/>
      <c r="H363" s="1116" t="e">
        <f>G363/F363*100</f>
        <v>#DIV/0!</v>
      </c>
    </row>
    <row r="364" spans="1:8" s="1037" customFormat="1" ht="15.75" hidden="1" customHeight="1" thickBot="1" x14ac:dyDescent="0.25">
      <c r="A364" s="1110">
        <v>3122</v>
      </c>
      <c r="B364" s="1111">
        <v>6121</v>
      </c>
      <c r="C364" s="1111">
        <v>83515835</v>
      </c>
      <c r="D364" s="1130" t="s">
        <v>312</v>
      </c>
      <c r="E364" s="1135">
        <v>0</v>
      </c>
      <c r="F364" s="1135"/>
      <c r="G364" s="1135"/>
      <c r="H364" s="1116" t="e">
        <f>G364/F364*100</f>
        <v>#DIV/0!</v>
      </c>
    </row>
    <row r="365" spans="1:8" s="1037" customFormat="1" ht="16.5" hidden="1" thickTop="1" thickBot="1" x14ac:dyDescent="0.3">
      <c r="A365" s="3317" t="s">
        <v>394</v>
      </c>
      <c r="B365" s="3318"/>
      <c r="C365" s="3318"/>
      <c r="D365" s="3318"/>
      <c r="E365" s="1113">
        <f>SUM(E361:E364)</f>
        <v>0</v>
      </c>
      <c r="F365" s="1113">
        <f>SUM(F361:F364)</f>
        <v>0</v>
      </c>
      <c r="G365" s="1113">
        <f>SUM(G361:G364)</f>
        <v>0</v>
      </c>
      <c r="H365" s="1117" t="e">
        <f>G365/F365*100</f>
        <v>#DIV/0!</v>
      </c>
    </row>
    <row r="366" spans="1:8" s="1037" customFormat="1" ht="14.25" hidden="1" customHeight="1" x14ac:dyDescent="0.25">
      <c r="A366" s="1101"/>
      <c r="B366" s="1097"/>
      <c r="C366" s="1097"/>
      <c r="D366" s="1098"/>
      <c r="E366" s="1123"/>
      <c r="F366" s="1123"/>
      <c r="G366" s="1123"/>
      <c r="H366" s="1098"/>
    </row>
    <row r="367" spans="1:8" ht="15" hidden="1" x14ac:dyDescent="0.25">
      <c r="A367" s="1103" t="s">
        <v>728</v>
      </c>
    </row>
    <row r="368" spans="1:8" ht="15" hidden="1" x14ac:dyDescent="0.25">
      <c r="A368" s="1103" t="s">
        <v>729</v>
      </c>
      <c r="H368" s="1177" t="s">
        <v>92</v>
      </c>
    </row>
    <row r="369" spans="1:8" s="1037" customFormat="1" ht="25.5" hidden="1" thickTop="1" thickBot="1" x14ac:dyDescent="0.25">
      <c r="A369" s="1104" t="s">
        <v>93</v>
      </c>
      <c r="B369" s="1105" t="s">
        <v>392</v>
      </c>
      <c r="C369" s="1105" t="s">
        <v>209</v>
      </c>
      <c r="D369" s="1106" t="s">
        <v>95</v>
      </c>
      <c r="E369" s="1127" t="s">
        <v>328</v>
      </c>
      <c r="F369" s="1127" t="s">
        <v>329</v>
      </c>
      <c r="G369" s="1128" t="s">
        <v>448</v>
      </c>
      <c r="H369" s="1129" t="s">
        <v>449</v>
      </c>
    </row>
    <row r="370" spans="1:8" s="1037" customFormat="1" ht="13.5" hidden="1" thickTop="1" thickBot="1" x14ac:dyDescent="0.25">
      <c r="A370" s="1042">
        <v>1</v>
      </c>
      <c r="B370" s="1041">
        <v>2</v>
      </c>
      <c r="C370" s="1041">
        <v>3</v>
      </c>
      <c r="D370" s="1041">
        <v>4</v>
      </c>
      <c r="E370" s="1040">
        <v>5</v>
      </c>
      <c r="F370" s="1040">
        <v>6</v>
      </c>
      <c r="G370" s="1164">
        <v>7</v>
      </c>
      <c r="H370" s="1186" t="s">
        <v>33</v>
      </c>
    </row>
    <row r="371" spans="1:8" s="1037" customFormat="1" ht="15.75" hidden="1" customHeight="1" thickTop="1" x14ac:dyDescent="0.2">
      <c r="A371" s="1110">
        <v>3122</v>
      </c>
      <c r="B371" s="1111">
        <v>5139</v>
      </c>
      <c r="C371" s="1216">
        <v>38100880</v>
      </c>
      <c r="D371" s="1130" t="s">
        <v>325</v>
      </c>
      <c r="E371" s="1135"/>
      <c r="F371" s="1135"/>
      <c r="G371" s="1135"/>
      <c r="H371" s="1116">
        <v>0</v>
      </c>
    </row>
    <row r="372" spans="1:8" s="1037" customFormat="1" ht="15.75" hidden="1" customHeight="1" x14ac:dyDescent="0.2">
      <c r="A372" s="1110">
        <v>3122</v>
      </c>
      <c r="B372" s="1111">
        <v>5139</v>
      </c>
      <c r="C372" s="1216">
        <v>38500881</v>
      </c>
      <c r="D372" s="1130" t="s">
        <v>325</v>
      </c>
      <c r="E372" s="1135"/>
      <c r="F372" s="1135"/>
      <c r="G372" s="1135"/>
      <c r="H372" s="1116" t="e">
        <f t="shared" ref="H372:H381" si="21">G372/F372*100</f>
        <v>#DIV/0!</v>
      </c>
    </row>
    <row r="373" spans="1:8" s="1037" customFormat="1" ht="15.75" hidden="1" customHeight="1" x14ac:dyDescent="0.2">
      <c r="A373" s="1110">
        <v>3122</v>
      </c>
      <c r="B373" s="1111">
        <v>5191</v>
      </c>
      <c r="C373" s="1216">
        <v>38100884</v>
      </c>
      <c r="D373" s="1130" t="s">
        <v>847</v>
      </c>
      <c r="E373" s="1135"/>
      <c r="F373" s="1135"/>
      <c r="G373" s="1135"/>
      <c r="H373" s="1116" t="e">
        <f t="shared" si="21"/>
        <v>#DIV/0!</v>
      </c>
    </row>
    <row r="374" spans="1:8" s="1037" customFormat="1" ht="15.75" hidden="1" customHeight="1" x14ac:dyDescent="0.2">
      <c r="A374" s="1110">
        <v>3122</v>
      </c>
      <c r="B374" s="1111">
        <v>6122</v>
      </c>
      <c r="C374" s="1216">
        <v>38100870</v>
      </c>
      <c r="D374" s="1130" t="s">
        <v>313</v>
      </c>
      <c r="E374" s="1135"/>
      <c r="F374" s="1135"/>
      <c r="G374" s="1135"/>
      <c r="H374" s="1116" t="e">
        <f t="shared" si="21"/>
        <v>#DIV/0!</v>
      </c>
    </row>
    <row r="375" spans="1:8" s="1037" customFormat="1" ht="15.75" hidden="1" customHeight="1" x14ac:dyDescent="0.2">
      <c r="A375" s="1110">
        <v>3122</v>
      </c>
      <c r="B375" s="1111">
        <v>6122</v>
      </c>
      <c r="C375" s="1216">
        <v>38100880</v>
      </c>
      <c r="D375" s="1130" t="s">
        <v>313</v>
      </c>
      <c r="E375" s="1135"/>
      <c r="F375" s="1135"/>
      <c r="G375" s="1135"/>
      <c r="H375" s="1116" t="e">
        <f t="shared" si="21"/>
        <v>#DIV/0!</v>
      </c>
    </row>
    <row r="376" spans="1:8" s="1037" customFormat="1" ht="15.75" hidden="1" customHeight="1" x14ac:dyDescent="0.2">
      <c r="A376" s="1110">
        <v>3122</v>
      </c>
      <c r="B376" s="1111">
        <v>6122</v>
      </c>
      <c r="C376" s="1216">
        <v>38500871</v>
      </c>
      <c r="D376" s="1130" t="s">
        <v>313</v>
      </c>
      <c r="E376" s="1135"/>
      <c r="F376" s="1135"/>
      <c r="G376" s="1135"/>
      <c r="H376" s="1116" t="e">
        <f t="shared" si="21"/>
        <v>#DIV/0!</v>
      </c>
    </row>
    <row r="377" spans="1:8" s="1037" customFormat="1" ht="15.75" hidden="1" customHeight="1" x14ac:dyDescent="0.2">
      <c r="A377" s="1110">
        <v>3122</v>
      </c>
      <c r="B377" s="1111">
        <v>6122</v>
      </c>
      <c r="C377" s="1216">
        <v>38500881</v>
      </c>
      <c r="D377" s="1130" t="s">
        <v>313</v>
      </c>
      <c r="E377" s="1135"/>
      <c r="F377" s="1135"/>
      <c r="G377" s="1135"/>
      <c r="H377" s="1116" t="e">
        <f t="shared" si="21"/>
        <v>#DIV/0!</v>
      </c>
    </row>
    <row r="378" spans="1:8" s="1037" customFormat="1" ht="15.75" hidden="1" customHeight="1" thickBot="1" x14ac:dyDescent="0.25">
      <c r="A378" s="1110">
        <v>3122</v>
      </c>
      <c r="B378" s="1111">
        <v>6122</v>
      </c>
      <c r="C378" s="1216">
        <v>38587505</v>
      </c>
      <c r="D378" s="1130" t="s">
        <v>313</v>
      </c>
      <c r="E378" s="1135"/>
      <c r="F378" s="1135"/>
      <c r="G378" s="1135"/>
      <c r="H378" s="1116" t="e">
        <f t="shared" si="21"/>
        <v>#DIV/0!</v>
      </c>
    </row>
    <row r="379" spans="1:8" s="1037" customFormat="1" ht="15" hidden="1" x14ac:dyDescent="0.2">
      <c r="A379" s="1110">
        <v>3122</v>
      </c>
      <c r="B379" s="1111">
        <v>6121</v>
      </c>
      <c r="C379" s="1111">
        <v>53190877</v>
      </c>
      <c r="D379" s="1130" t="s">
        <v>312</v>
      </c>
      <c r="E379" s="1135">
        <v>0</v>
      </c>
      <c r="F379" s="1135"/>
      <c r="G379" s="1135"/>
      <c r="H379" s="1116" t="e">
        <f t="shared" si="21"/>
        <v>#DIV/0!</v>
      </c>
    </row>
    <row r="380" spans="1:8" s="1037" customFormat="1" ht="15" hidden="1" x14ac:dyDescent="0.2">
      <c r="A380" s="1110">
        <v>3122</v>
      </c>
      <c r="B380" s="1187">
        <v>6121</v>
      </c>
      <c r="C380" s="1223">
        <v>53115835</v>
      </c>
      <c r="D380" s="1130" t="s">
        <v>312</v>
      </c>
      <c r="E380" s="1135">
        <v>0</v>
      </c>
      <c r="F380" s="1135"/>
      <c r="G380" s="1135"/>
      <c r="H380" s="1116" t="e">
        <f t="shared" si="21"/>
        <v>#DIV/0!</v>
      </c>
    </row>
    <row r="381" spans="1:8" s="1037" customFormat="1" ht="16.5" hidden="1" thickTop="1" thickBot="1" x14ac:dyDescent="0.3">
      <c r="A381" s="3317" t="s">
        <v>394</v>
      </c>
      <c r="B381" s="3318"/>
      <c r="C381" s="3318"/>
      <c r="D381" s="3318"/>
      <c r="E381" s="1113">
        <f>SUM(E371:E380)</f>
        <v>0</v>
      </c>
      <c r="F381" s="1113">
        <f>SUM(F371:F380)</f>
        <v>0</v>
      </c>
      <c r="G381" s="1113">
        <f>SUM(G371:G380)</f>
        <v>0</v>
      </c>
      <c r="H381" s="1117" t="e">
        <f t="shared" si="21"/>
        <v>#DIV/0!</v>
      </c>
    </row>
    <row r="382" spans="1:8" s="1037" customFormat="1" ht="14.25" hidden="1" customHeight="1" thickTop="1" x14ac:dyDescent="0.25">
      <c r="A382" s="1101"/>
      <c r="B382" s="1097"/>
      <c r="C382" s="1097"/>
      <c r="D382" s="1098"/>
      <c r="E382" s="1123"/>
      <c r="F382" s="1123"/>
      <c r="G382" s="1123"/>
      <c r="H382" s="1098"/>
    </row>
    <row r="383" spans="1:8" ht="29.25" customHeight="1" x14ac:dyDescent="0.25">
      <c r="A383" s="3335" t="s">
        <v>1783</v>
      </c>
      <c r="B383" s="3334"/>
      <c r="C383" s="3334"/>
      <c r="D383" s="3334"/>
      <c r="E383" s="3334"/>
      <c r="F383" s="3334"/>
      <c r="G383" s="3334"/>
      <c r="H383" s="3334"/>
    </row>
    <row r="384" spans="1:8" ht="15.75" thickBot="1" x14ac:dyDescent="0.3">
      <c r="A384" s="1103" t="s">
        <v>1782</v>
      </c>
      <c r="H384" s="1177" t="s">
        <v>92</v>
      </c>
    </row>
    <row r="385" spans="1:8" s="1037" customFormat="1" ht="25.5" thickTop="1" thickBot="1" x14ac:dyDescent="0.25">
      <c r="A385" s="1104" t="s">
        <v>93</v>
      </c>
      <c r="B385" s="1105" t="s">
        <v>392</v>
      </c>
      <c r="C385" s="1105" t="s">
        <v>209</v>
      </c>
      <c r="D385" s="1106" t="s">
        <v>95</v>
      </c>
      <c r="E385" s="1127" t="s">
        <v>328</v>
      </c>
      <c r="F385" s="1127" t="s">
        <v>329</v>
      </c>
      <c r="G385" s="1128" t="s">
        <v>448</v>
      </c>
      <c r="H385" s="1129" t="s">
        <v>449</v>
      </c>
    </row>
    <row r="386" spans="1:8" s="1037" customFormat="1" ht="13.5" thickTop="1" thickBot="1" x14ac:dyDescent="0.25">
      <c r="A386" s="1042">
        <v>1</v>
      </c>
      <c r="B386" s="1041">
        <v>2</v>
      </c>
      <c r="C386" s="1041">
        <v>3</v>
      </c>
      <c r="D386" s="1041">
        <v>4</v>
      </c>
      <c r="E386" s="1040">
        <v>5</v>
      </c>
      <c r="F386" s="1040">
        <v>6</v>
      </c>
      <c r="G386" s="1164">
        <v>7</v>
      </c>
      <c r="H386" s="1186" t="s">
        <v>33</v>
      </c>
    </row>
    <row r="387" spans="1:8" s="1037" customFormat="1" ht="15.75" hidden="1" customHeight="1" thickTop="1" x14ac:dyDescent="0.2">
      <c r="A387" s="1110">
        <v>3122</v>
      </c>
      <c r="B387" s="1111">
        <v>5139</v>
      </c>
      <c r="C387" s="1111">
        <v>38100870</v>
      </c>
      <c r="D387" s="1130" t="s">
        <v>325</v>
      </c>
      <c r="E387" s="1135"/>
      <c r="F387" s="1135"/>
      <c r="G387" s="1135"/>
      <c r="H387" s="1116">
        <v>0</v>
      </c>
    </row>
    <row r="388" spans="1:8" s="1037" customFormat="1" ht="15.75" hidden="1" customHeight="1" x14ac:dyDescent="0.2">
      <c r="A388" s="1110">
        <v>3122</v>
      </c>
      <c r="B388" s="1111">
        <v>5139</v>
      </c>
      <c r="C388" s="1111">
        <v>38500871</v>
      </c>
      <c r="D388" s="1130" t="s">
        <v>325</v>
      </c>
      <c r="E388" s="1135"/>
      <c r="F388" s="1135"/>
      <c r="G388" s="1135"/>
      <c r="H388" s="1116">
        <v>0</v>
      </c>
    </row>
    <row r="389" spans="1:8" s="1037" customFormat="1" ht="15.75" hidden="1" customHeight="1" x14ac:dyDescent="0.2">
      <c r="A389" s="1110">
        <v>3122</v>
      </c>
      <c r="B389" s="1111">
        <v>6122</v>
      </c>
      <c r="C389" s="1111">
        <v>38100870</v>
      </c>
      <c r="D389" s="1130" t="s">
        <v>313</v>
      </c>
      <c r="E389" s="1135"/>
      <c r="F389" s="1135"/>
      <c r="G389" s="1135"/>
      <c r="H389" s="1116" t="e">
        <f t="shared" ref="H389:H397" si="22">G389/F389*100</f>
        <v>#DIV/0!</v>
      </c>
    </row>
    <row r="390" spans="1:8" s="1037" customFormat="1" ht="15.75" hidden="1" customHeight="1" x14ac:dyDescent="0.2">
      <c r="A390" s="1110">
        <v>3122</v>
      </c>
      <c r="B390" s="1111">
        <v>6122</v>
      </c>
      <c r="C390" s="1111">
        <v>38100880</v>
      </c>
      <c r="D390" s="1130" t="s">
        <v>313</v>
      </c>
      <c r="E390" s="1135"/>
      <c r="F390" s="1135"/>
      <c r="G390" s="1135"/>
      <c r="H390" s="1116" t="e">
        <f t="shared" si="22"/>
        <v>#DIV/0!</v>
      </c>
    </row>
    <row r="391" spans="1:8" s="1037" customFormat="1" ht="15.75" customHeight="1" thickTop="1" thickBot="1" x14ac:dyDescent="0.25">
      <c r="A391" s="1110">
        <v>2229</v>
      </c>
      <c r="B391" s="1111">
        <v>6125</v>
      </c>
      <c r="C391" s="1216" t="s">
        <v>1450</v>
      </c>
      <c r="D391" s="1130" t="s">
        <v>103</v>
      </c>
      <c r="E391" s="1135">
        <v>10000</v>
      </c>
      <c r="F391" s="1135">
        <v>10000</v>
      </c>
      <c r="G391" s="1135">
        <v>0</v>
      </c>
      <c r="H391" s="3050">
        <f t="shared" si="22"/>
        <v>0</v>
      </c>
    </row>
    <row r="392" spans="1:8" s="1037" customFormat="1" ht="15.75" hidden="1" customHeight="1" x14ac:dyDescent="0.2">
      <c r="A392" s="1110">
        <v>3122</v>
      </c>
      <c r="B392" s="1111">
        <v>6122</v>
      </c>
      <c r="C392" s="1111">
        <v>38500871</v>
      </c>
      <c r="D392" s="1130" t="s">
        <v>313</v>
      </c>
      <c r="E392" s="1135"/>
      <c r="F392" s="1135"/>
      <c r="G392" s="1135"/>
      <c r="H392" s="3050" t="e">
        <f t="shared" si="22"/>
        <v>#DIV/0!</v>
      </c>
    </row>
    <row r="393" spans="1:8" s="1037" customFormat="1" ht="15.75" hidden="1" customHeight="1" x14ac:dyDescent="0.2">
      <c r="A393" s="1110">
        <v>3122</v>
      </c>
      <c r="B393" s="1111">
        <v>6122</v>
      </c>
      <c r="C393" s="1111">
        <v>38500881</v>
      </c>
      <c r="D393" s="1130" t="s">
        <v>313</v>
      </c>
      <c r="E393" s="1135"/>
      <c r="F393" s="1135"/>
      <c r="G393" s="1135"/>
      <c r="H393" s="3050" t="e">
        <f t="shared" si="22"/>
        <v>#DIV/0!</v>
      </c>
    </row>
    <row r="394" spans="1:8" s="1037" customFormat="1" ht="15.75" hidden="1" customHeight="1" thickBot="1" x14ac:dyDescent="0.25">
      <c r="A394" s="1110">
        <v>3122</v>
      </c>
      <c r="B394" s="1111">
        <v>6122</v>
      </c>
      <c r="C394" s="1111">
        <v>38587505</v>
      </c>
      <c r="D394" s="1130" t="s">
        <v>313</v>
      </c>
      <c r="E394" s="1135"/>
      <c r="F394" s="1135"/>
      <c r="G394" s="1135"/>
      <c r="H394" s="3050" t="e">
        <f t="shared" si="22"/>
        <v>#DIV/0!</v>
      </c>
    </row>
    <row r="395" spans="1:8" s="1037" customFormat="1" ht="15.75" hidden="1" thickBot="1" x14ac:dyDescent="0.25">
      <c r="A395" s="1110">
        <v>3122</v>
      </c>
      <c r="B395" s="1111">
        <v>6121</v>
      </c>
      <c r="C395" s="1111">
        <v>53190877</v>
      </c>
      <c r="D395" s="1130" t="s">
        <v>312</v>
      </c>
      <c r="E395" s="1135">
        <v>0</v>
      </c>
      <c r="F395" s="1135"/>
      <c r="G395" s="1135"/>
      <c r="H395" s="3050" t="e">
        <f t="shared" si="22"/>
        <v>#DIV/0!</v>
      </c>
    </row>
    <row r="396" spans="1:8" s="1037" customFormat="1" ht="15.75" hidden="1" thickBot="1" x14ac:dyDescent="0.25">
      <c r="A396" s="1110">
        <v>3122</v>
      </c>
      <c r="B396" s="1187">
        <v>6121</v>
      </c>
      <c r="C396" s="1223">
        <v>53115835</v>
      </c>
      <c r="D396" s="1130" t="s">
        <v>312</v>
      </c>
      <c r="E396" s="1135">
        <v>0</v>
      </c>
      <c r="F396" s="1135"/>
      <c r="G396" s="1135"/>
      <c r="H396" s="3050" t="e">
        <f t="shared" si="22"/>
        <v>#DIV/0!</v>
      </c>
    </row>
    <row r="397" spans="1:8" s="1037" customFormat="1" ht="16.5" thickTop="1" thickBot="1" x14ac:dyDescent="0.3">
      <c r="A397" s="3317" t="s">
        <v>394</v>
      </c>
      <c r="B397" s="3318"/>
      <c r="C397" s="3318"/>
      <c r="D397" s="3318"/>
      <c r="E397" s="1113">
        <f>SUM(E387:E396)</f>
        <v>10000</v>
      </c>
      <c r="F397" s="1113">
        <f>SUM(F387:F396)</f>
        <v>10000</v>
      </c>
      <c r="G397" s="1113">
        <f>SUM(G387:G396)</f>
        <v>0</v>
      </c>
      <c r="H397" s="1381">
        <f t="shared" si="22"/>
        <v>0</v>
      </c>
    </row>
    <row r="398" spans="1:8" s="1037" customFormat="1" ht="14.25" customHeight="1" thickTop="1" x14ac:dyDescent="0.25">
      <c r="A398" s="1101"/>
      <c r="B398" s="1097"/>
      <c r="C398" s="1097"/>
      <c r="D398" s="1098"/>
      <c r="E398" s="1123"/>
      <c r="F398" s="1123"/>
      <c r="G398" s="1123"/>
      <c r="H398" s="1098"/>
    </row>
    <row r="399" spans="1:8" ht="29.25" customHeight="1" x14ac:dyDescent="0.25">
      <c r="A399" s="3335" t="s">
        <v>1460</v>
      </c>
      <c r="B399" s="3334"/>
      <c r="C399" s="3334"/>
      <c r="D399" s="3334"/>
      <c r="E399" s="3334"/>
      <c r="F399" s="3334"/>
      <c r="G399" s="3334"/>
      <c r="H399" s="3334"/>
    </row>
    <row r="400" spans="1:8" ht="15.75" thickBot="1" x14ac:dyDescent="0.3">
      <c r="A400" s="1103" t="s">
        <v>1459</v>
      </c>
      <c r="H400" s="1177" t="s">
        <v>92</v>
      </c>
    </row>
    <row r="401" spans="1:8" s="1037" customFormat="1" ht="25.5" thickTop="1" thickBot="1" x14ac:dyDescent="0.25">
      <c r="A401" s="1104" t="s">
        <v>93</v>
      </c>
      <c r="B401" s="1105" t="s">
        <v>392</v>
      </c>
      <c r="C401" s="1105" t="s">
        <v>209</v>
      </c>
      <c r="D401" s="1106" t="s">
        <v>95</v>
      </c>
      <c r="E401" s="1127" t="s">
        <v>328</v>
      </c>
      <c r="F401" s="1127" t="s">
        <v>329</v>
      </c>
      <c r="G401" s="1128" t="s">
        <v>448</v>
      </c>
      <c r="H401" s="1129" t="s">
        <v>449</v>
      </c>
    </row>
    <row r="402" spans="1:8" s="1037" customFormat="1" ht="13.5" thickTop="1" thickBot="1" x14ac:dyDescent="0.25">
      <c r="A402" s="1042">
        <v>1</v>
      </c>
      <c r="B402" s="1041">
        <v>2</v>
      </c>
      <c r="C402" s="1041">
        <v>3</v>
      </c>
      <c r="D402" s="1041">
        <v>4</v>
      </c>
      <c r="E402" s="1040">
        <v>5</v>
      </c>
      <c r="F402" s="1040">
        <v>6</v>
      </c>
      <c r="G402" s="1164">
        <v>7</v>
      </c>
      <c r="H402" s="1186" t="s">
        <v>33</v>
      </c>
    </row>
    <row r="403" spans="1:8" s="1037" customFormat="1" ht="15.75" customHeight="1" thickTop="1" x14ac:dyDescent="0.2">
      <c r="A403" s="1110">
        <v>3533</v>
      </c>
      <c r="B403" s="1111">
        <v>6122</v>
      </c>
      <c r="C403" s="1216" t="s">
        <v>1450</v>
      </c>
      <c r="D403" s="1130" t="s">
        <v>313</v>
      </c>
      <c r="E403" s="1135">
        <v>160</v>
      </c>
      <c r="F403" s="1135">
        <v>160</v>
      </c>
      <c r="G403" s="1135">
        <v>61</v>
      </c>
      <c r="H403" s="3050">
        <f t="shared" ref="H403" si="23">G403/F403*100</f>
        <v>38.125</v>
      </c>
    </row>
    <row r="404" spans="1:8" s="1037" customFormat="1" ht="15.75" hidden="1" customHeight="1" x14ac:dyDescent="0.2">
      <c r="A404" s="1110">
        <v>3533</v>
      </c>
      <c r="B404" s="1111">
        <v>6122</v>
      </c>
      <c r="C404" s="1216" t="s">
        <v>1005</v>
      </c>
      <c r="D404" s="1130" t="s">
        <v>312</v>
      </c>
      <c r="E404" s="1135"/>
      <c r="F404" s="1135"/>
      <c r="G404" s="1135"/>
      <c r="H404" s="3050">
        <v>0</v>
      </c>
    </row>
    <row r="405" spans="1:8" s="1037" customFormat="1" ht="15.75" hidden="1" customHeight="1" x14ac:dyDescent="0.2">
      <c r="A405" s="1110">
        <v>3533</v>
      </c>
      <c r="B405" s="1111">
        <v>6122</v>
      </c>
      <c r="C405" s="1216" t="s">
        <v>1011</v>
      </c>
      <c r="D405" s="1130" t="s">
        <v>313</v>
      </c>
      <c r="E405" s="1135"/>
      <c r="F405" s="1135"/>
      <c r="G405" s="1135"/>
      <c r="H405" s="3050" t="e">
        <f t="shared" ref="H405:H411" si="24">G405/F405*100</f>
        <v>#DIV/0!</v>
      </c>
    </row>
    <row r="406" spans="1:8" s="1037" customFormat="1" ht="15" hidden="1" x14ac:dyDescent="0.2">
      <c r="A406" s="1110">
        <v>3533</v>
      </c>
      <c r="B406" s="1111">
        <v>6122</v>
      </c>
      <c r="C406" s="1216" t="s">
        <v>1004</v>
      </c>
      <c r="D406" s="1130" t="s">
        <v>313</v>
      </c>
      <c r="E406" s="1135"/>
      <c r="F406" s="1135"/>
      <c r="G406" s="1135"/>
      <c r="H406" s="3050" t="e">
        <f t="shared" si="24"/>
        <v>#DIV/0!</v>
      </c>
    </row>
    <row r="407" spans="1:8" s="1037" customFormat="1" ht="15" hidden="1" x14ac:dyDescent="0.2">
      <c r="A407" s="1110">
        <v>3533</v>
      </c>
      <c r="B407" s="1111">
        <v>6122</v>
      </c>
      <c r="C407" s="1216" t="s">
        <v>949</v>
      </c>
      <c r="D407" s="1130" t="s">
        <v>313</v>
      </c>
      <c r="E407" s="1135"/>
      <c r="F407" s="1135"/>
      <c r="G407" s="1135"/>
      <c r="H407" s="3050" t="e">
        <f t="shared" si="24"/>
        <v>#DIV/0!</v>
      </c>
    </row>
    <row r="408" spans="1:8" s="1037" customFormat="1" ht="15" hidden="1" x14ac:dyDescent="0.2">
      <c r="A408" s="1110">
        <v>3533</v>
      </c>
      <c r="B408" s="1111">
        <v>6122</v>
      </c>
      <c r="C408" s="1111"/>
      <c r="D408" s="1130" t="s">
        <v>313</v>
      </c>
      <c r="E408" s="1135">
        <v>0</v>
      </c>
      <c r="F408" s="1135"/>
      <c r="G408" s="1135"/>
      <c r="H408" s="3050" t="e">
        <f t="shared" si="24"/>
        <v>#DIV/0!</v>
      </c>
    </row>
    <row r="409" spans="1:8" s="1037" customFormat="1" ht="15" hidden="1" x14ac:dyDescent="0.2">
      <c r="A409" s="1110">
        <v>3533</v>
      </c>
      <c r="B409" s="1111">
        <v>6122</v>
      </c>
      <c r="C409" s="1111"/>
      <c r="D409" s="1130" t="s">
        <v>313</v>
      </c>
      <c r="E409" s="1135">
        <v>0</v>
      </c>
      <c r="F409" s="1135"/>
      <c r="G409" s="1135"/>
      <c r="H409" s="3050" t="e">
        <f t="shared" si="24"/>
        <v>#DIV/0!</v>
      </c>
    </row>
    <row r="410" spans="1:8" s="1037" customFormat="1" ht="15" hidden="1" x14ac:dyDescent="0.2">
      <c r="A410" s="1110">
        <v>3533</v>
      </c>
      <c r="B410" s="1111">
        <v>6122</v>
      </c>
      <c r="C410" s="1111"/>
      <c r="D410" s="1130" t="s">
        <v>313</v>
      </c>
      <c r="E410" s="1135">
        <v>0</v>
      </c>
      <c r="F410" s="1135"/>
      <c r="G410" s="1135"/>
      <c r="H410" s="3050" t="e">
        <f t="shared" si="24"/>
        <v>#DIV/0!</v>
      </c>
    </row>
    <row r="411" spans="1:8" s="1037" customFormat="1" ht="15" hidden="1" x14ac:dyDescent="0.2">
      <c r="A411" s="1110">
        <v>3533</v>
      </c>
      <c r="B411" s="1111">
        <v>6122</v>
      </c>
      <c r="C411" s="1111"/>
      <c r="D411" s="1130" t="s">
        <v>312</v>
      </c>
      <c r="E411" s="1135">
        <v>0</v>
      </c>
      <c r="F411" s="1135"/>
      <c r="G411" s="1135"/>
      <c r="H411" s="3050" t="e">
        <f t="shared" si="24"/>
        <v>#DIV/0!</v>
      </c>
    </row>
    <row r="412" spans="1:8" s="1037" customFormat="1" ht="15.75" thickBot="1" x14ac:dyDescent="0.25">
      <c r="A412" s="1110">
        <v>3533</v>
      </c>
      <c r="B412" s="1111">
        <v>6122</v>
      </c>
      <c r="C412" s="1223">
        <v>107500891</v>
      </c>
      <c r="D412" s="1130" t="s">
        <v>313</v>
      </c>
      <c r="E412" s="1135">
        <v>1440</v>
      </c>
      <c r="F412" s="1135">
        <v>0</v>
      </c>
      <c r="G412" s="1135">
        <v>0</v>
      </c>
      <c r="H412" s="3050">
        <v>0</v>
      </c>
    </row>
    <row r="413" spans="1:8" s="1037" customFormat="1" ht="16.5" thickTop="1" thickBot="1" x14ac:dyDescent="0.3">
      <c r="A413" s="3317" t="s">
        <v>394</v>
      </c>
      <c r="B413" s="3318"/>
      <c r="C413" s="3318"/>
      <c r="D413" s="3318"/>
      <c r="E413" s="1113">
        <f>SUM(E403:E412)</f>
        <v>1600</v>
      </c>
      <c r="F413" s="1113">
        <f>SUM(F403:F412)</f>
        <v>160</v>
      </c>
      <c r="G413" s="1113">
        <f>SUM(G403:G412)</f>
        <v>61</v>
      </c>
      <c r="H413" s="1381">
        <f t="shared" ref="H413" si="25">G413/F413*100</f>
        <v>38.125</v>
      </c>
    </row>
    <row r="414" spans="1:8" s="1037" customFormat="1" ht="14.25" customHeight="1" thickTop="1" x14ac:dyDescent="0.25">
      <c r="A414" s="1101"/>
      <c r="B414" s="1097"/>
      <c r="C414" s="1097"/>
      <c r="D414" s="1098"/>
      <c r="E414" s="1123"/>
      <c r="F414" s="1123"/>
      <c r="G414" s="1123"/>
      <c r="H414" s="1098"/>
    </row>
    <row r="415" spans="1:8" ht="15" x14ac:dyDescent="0.25">
      <c r="A415" s="1103" t="s">
        <v>1785</v>
      </c>
    </row>
    <row r="416" spans="1:8" ht="15.75" thickBot="1" x14ac:dyDescent="0.3">
      <c r="A416" s="1103" t="s">
        <v>1784</v>
      </c>
      <c r="H416" s="1177" t="s">
        <v>92</v>
      </c>
    </row>
    <row r="417" spans="1:8" s="1037" customFormat="1" ht="25.5" thickTop="1" thickBot="1" x14ac:dyDescent="0.25">
      <c r="A417" s="1104" t="s">
        <v>93</v>
      </c>
      <c r="B417" s="1105" t="s">
        <v>392</v>
      </c>
      <c r="C417" s="1105" t="s">
        <v>209</v>
      </c>
      <c r="D417" s="1106" t="s">
        <v>95</v>
      </c>
      <c r="E417" s="1127" t="s">
        <v>328</v>
      </c>
      <c r="F417" s="1127" t="s">
        <v>329</v>
      </c>
      <c r="G417" s="1128" t="s">
        <v>448</v>
      </c>
      <c r="H417" s="1129" t="s">
        <v>449</v>
      </c>
    </row>
    <row r="418" spans="1:8" s="1037" customFormat="1" ht="13.5" thickTop="1" thickBot="1" x14ac:dyDescent="0.25">
      <c r="A418" s="1042">
        <v>1</v>
      </c>
      <c r="B418" s="1041">
        <v>2</v>
      </c>
      <c r="C418" s="1041">
        <v>3</v>
      </c>
      <c r="D418" s="1041">
        <v>4</v>
      </c>
      <c r="E418" s="1040">
        <v>5</v>
      </c>
      <c r="F418" s="1040">
        <v>6</v>
      </c>
      <c r="G418" s="1164">
        <v>7</v>
      </c>
      <c r="H418" s="1186" t="s">
        <v>33</v>
      </c>
    </row>
    <row r="419" spans="1:8" s="1037" customFormat="1" ht="15.75" hidden="1" customHeight="1" thickTop="1" x14ac:dyDescent="0.2">
      <c r="A419" s="1110">
        <v>3122</v>
      </c>
      <c r="B419" s="1111">
        <v>5137</v>
      </c>
      <c r="C419" s="1111">
        <v>38100880</v>
      </c>
      <c r="D419" s="1130" t="s">
        <v>88</v>
      </c>
      <c r="E419" s="1135"/>
      <c r="F419" s="1135"/>
      <c r="G419" s="1135"/>
      <c r="H419" s="1116" t="e">
        <f>G419/F419*100</f>
        <v>#DIV/0!</v>
      </c>
    </row>
    <row r="420" spans="1:8" s="1037" customFormat="1" ht="15.75" hidden="1" customHeight="1" x14ac:dyDescent="0.2">
      <c r="A420" s="1110">
        <v>3122</v>
      </c>
      <c r="B420" s="1111">
        <v>5137</v>
      </c>
      <c r="C420" s="1111">
        <v>38500881</v>
      </c>
      <c r="D420" s="1130" t="s">
        <v>88</v>
      </c>
      <c r="E420" s="1135"/>
      <c r="F420" s="1135"/>
      <c r="G420" s="1135"/>
      <c r="H420" s="1116" t="e">
        <f>G420/F420*100</f>
        <v>#DIV/0!</v>
      </c>
    </row>
    <row r="421" spans="1:8" s="1037" customFormat="1" ht="15.75" hidden="1" customHeight="1" x14ac:dyDescent="0.2">
      <c r="A421" s="1110">
        <v>3122</v>
      </c>
      <c r="B421" s="1111">
        <v>6121</v>
      </c>
      <c r="C421" s="1111">
        <v>10</v>
      </c>
      <c r="D421" s="1130" t="s">
        <v>312</v>
      </c>
      <c r="E421" s="1135"/>
      <c r="F421" s="1135"/>
      <c r="G421" s="1135"/>
      <c r="H421" s="1116">
        <v>0</v>
      </c>
    </row>
    <row r="422" spans="1:8" s="1037" customFormat="1" ht="15.75" thickTop="1" x14ac:dyDescent="0.2">
      <c r="A422" s="1110">
        <v>3523</v>
      </c>
      <c r="B422" s="1111">
        <v>6122</v>
      </c>
      <c r="C422" s="1216" t="s">
        <v>872</v>
      </c>
      <c r="D422" s="1130" t="s">
        <v>313</v>
      </c>
      <c r="E422" s="1135">
        <v>1200</v>
      </c>
      <c r="F422" s="1135">
        <v>87</v>
      </c>
      <c r="G422" s="1135">
        <v>0</v>
      </c>
      <c r="H422" s="3050">
        <f t="shared" ref="H422:H427" si="26">G422/F422*100</f>
        <v>0</v>
      </c>
    </row>
    <row r="423" spans="1:8" s="1037" customFormat="1" ht="15.75" thickBot="1" x14ac:dyDescent="0.25">
      <c r="A423" s="1110">
        <v>3523</v>
      </c>
      <c r="B423" s="1111">
        <v>6122</v>
      </c>
      <c r="C423" s="1216" t="s">
        <v>965</v>
      </c>
      <c r="D423" s="1130" t="s">
        <v>313</v>
      </c>
      <c r="E423" s="1135">
        <v>8000</v>
      </c>
      <c r="F423" s="1135">
        <v>0</v>
      </c>
      <c r="G423" s="1135">
        <v>0</v>
      </c>
      <c r="H423" s="3050">
        <v>0</v>
      </c>
    </row>
    <row r="424" spans="1:8" s="1037" customFormat="1" ht="15.75" hidden="1" thickBot="1" x14ac:dyDescent="0.25">
      <c r="A424" s="1110">
        <v>3122</v>
      </c>
      <c r="B424" s="1111">
        <v>6122</v>
      </c>
      <c r="C424" s="1216">
        <v>38500871</v>
      </c>
      <c r="D424" s="1130" t="s">
        <v>313</v>
      </c>
      <c r="E424" s="1135"/>
      <c r="F424" s="1135"/>
      <c r="G424" s="1135"/>
      <c r="H424" s="3050" t="e">
        <f t="shared" si="26"/>
        <v>#DIV/0!</v>
      </c>
    </row>
    <row r="425" spans="1:8" s="1037" customFormat="1" ht="15.75" hidden="1" thickBot="1" x14ac:dyDescent="0.25">
      <c r="A425" s="1110">
        <v>3122</v>
      </c>
      <c r="B425" s="1111">
        <v>6122</v>
      </c>
      <c r="C425" s="1216">
        <v>38500881</v>
      </c>
      <c r="D425" s="1130" t="s">
        <v>313</v>
      </c>
      <c r="E425" s="1135"/>
      <c r="F425" s="1135"/>
      <c r="G425" s="1135"/>
      <c r="H425" s="3050" t="e">
        <f t="shared" si="26"/>
        <v>#DIV/0!</v>
      </c>
    </row>
    <row r="426" spans="1:8" s="1037" customFormat="1" ht="15.75" hidden="1" thickBot="1" x14ac:dyDescent="0.25">
      <c r="A426" s="1110">
        <v>3122</v>
      </c>
      <c r="B426" s="1111">
        <v>6122</v>
      </c>
      <c r="C426" s="1216">
        <v>38587505</v>
      </c>
      <c r="D426" s="1130" t="s">
        <v>313</v>
      </c>
      <c r="E426" s="1135"/>
      <c r="F426" s="1135"/>
      <c r="G426" s="1135"/>
      <c r="H426" s="3050" t="e">
        <f t="shared" si="26"/>
        <v>#DIV/0!</v>
      </c>
    </row>
    <row r="427" spans="1:8" s="1037" customFormat="1" ht="15.75" hidden="1" thickBot="1" x14ac:dyDescent="0.25">
      <c r="A427" s="1110">
        <v>3122</v>
      </c>
      <c r="B427" s="1111">
        <v>6121</v>
      </c>
      <c r="C427" s="1216">
        <v>53190877</v>
      </c>
      <c r="D427" s="1130" t="s">
        <v>312</v>
      </c>
      <c r="E427" s="1135"/>
      <c r="F427" s="1135"/>
      <c r="G427" s="1135"/>
      <c r="H427" s="3050" t="e">
        <f t="shared" si="26"/>
        <v>#DIV/0!</v>
      </c>
    </row>
    <row r="428" spans="1:8" s="1037" customFormat="1" ht="15.75" hidden="1" thickBot="1" x14ac:dyDescent="0.25">
      <c r="A428" s="1110">
        <v>3122</v>
      </c>
      <c r="B428" s="1187">
        <v>6122</v>
      </c>
      <c r="C428" s="1214" t="s">
        <v>1009</v>
      </c>
      <c r="D428" s="1130" t="s">
        <v>313</v>
      </c>
      <c r="E428" s="1135"/>
      <c r="F428" s="1135"/>
      <c r="G428" s="1135"/>
      <c r="H428" s="3050">
        <v>0</v>
      </c>
    </row>
    <row r="429" spans="1:8" s="1037" customFormat="1" ht="16.5" thickTop="1" thickBot="1" x14ac:dyDescent="0.3">
      <c r="A429" s="3317" t="s">
        <v>394</v>
      </c>
      <c r="B429" s="3318"/>
      <c r="C429" s="3318"/>
      <c r="D429" s="3318"/>
      <c r="E429" s="1113">
        <f>SUM(E419:E428)</f>
        <v>9200</v>
      </c>
      <c r="F429" s="1113">
        <f>SUM(F419:F428)</f>
        <v>87</v>
      </c>
      <c r="G429" s="1113">
        <f>SUM(G419:G428)</f>
        <v>0</v>
      </c>
      <c r="H429" s="1381">
        <f>G429/F429*100</f>
        <v>0</v>
      </c>
    </row>
    <row r="430" spans="1:8" s="1037" customFormat="1" ht="14.25" customHeight="1" thickTop="1" x14ac:dyDescent="0.25">
      <c r="A430" s="1101"/>
      <c r="B430" s="1097"/>
      <c r="C430" s="1097"/>
      <c r="D430" s="1098"/>
      <c r="E430" s="1123"/>
      <c r="F430" s="1123"/>
      <c r="G430" s="1123"/>
      <c r="H430" s="1098"/>
    </row>
    <row r="431" spans="1:8" ht="15" x14ac:dyDescent="0.25">
      <c r="A431" s="1103" t="s">
        <v>1787</v>
      </c>
    </row>
    <row r="432" spans="1:8" ht="15.75" thickBot="1" x14ac:dyDescent="0.3">
      <c r="A432" s="1103" t="s">
        <v>1786</v>
      </c>
      <c r="H432" s="1177" t="s">
        <v>92</v>
      </c>
    </row>
    <row r="433" spans="1:8" s="1037" customFormat="1" ht="25.5" thickTop="1" thickBot="1" x14ac:dyDescent="0.25">
      <c r="A433" s="1104" t="s">
        <v>93</v>
      </c>
      <c r="B433" s="1105" t="s">
        <v>392</v>
      </c>
      <c r="C433" s="1105" t="s">
        <v>209</v>
      </c>
      <c r="D433" s="1106" t="s">
        <v>95</v>
      </c>
      <c r="E433" s="1127" t="s">
        <v>328</v>
      </c>
      <c r="F433" s="1127" t="s">
        <v>329</v>
      </c>
      <c r="G433" s="1128" t="s">
        <v>448</v>
      </c>
      <c r="H433" s="1129" t="s">
        <v>449</v>
      </c>
    </row>
    <row r="434" spans="1:8" s="1037" customFormat="1" ht="13.5" thickTop="1" thickBot="1" x14ac:dyDescent="0.25">
      <c r="A434" s="1042">
        <v>1</v>
      </c>
      <c r="B434" s="1041">
        <v>2</v>
      </c>
      <c r="C434" s="1041">
        <v>3</v>
      </c>
      <c r="D434" s="1041">
        <v>4</v>
      </c>
      <c r="E434" s="1040">
        <v>5</v>
      </c>
      <c r="F434" s="1040">
        <v>6</v>
      </c>
      <c r="G434" s="1164">
        <v>7</v>
      </c>
      <c r="H434" s="1186" t="s">
        <v>33</v>
      </c>
    </row>
    <row r="435" spans="1:8" s="1037" customFormat="1" ht="15.75" hidden="1" thickTop="1" x14ac:dyDescent="0.2">
      <c r="A435" s="1110">
        <v>3122</v>
      </c>
      <c r="B435" s="1111">
        <v>5137</v>
      </c>
      <c r="C435" s="1111">
        <v>38100884</v>
      </c>
      <c r="D435" s="1130" t="s">
        <v>312</v>
      </c>
      <c r="E435" s="1135"/>
      <c r="F435" s="1135"/>
      <c r="G435" s="1135"/>
      <c r="H435" s="1116" t="e">
        <f>G435/F435*100</f>
        <v>#DIV/0!</v>
      </c>
    </row>
    <row r="436" spans="1:8" s="1037" customFormat="1" ht="17.25" customHeight="1" thickTop="1" thickBot="1" x14ac:dyDescent="0.25">
      <c r="A436" s="1110">
        <v>3523</v>
      </c>
      <c r="B436" s="1111">
        <v>5166</v>
      </c>
      <c r="C436" s="1216" t="s">
        <v>1715</v>
      </c>
      <c r="D436" s="1130" t="s">
        <v>317</v>
      </c>
      <c r="E436" s="1135">
        <v>0</v>
      </c>
      <c r="F436" s="1135">
        <v>160</v>
      </c>
      <c r="G436" s="1135">
        <v>0</v>
      </c>
      <c r="H436" s="3050">
        <v>0</v>
      </c>
    </row>
    <row r="437" spans="1:8" s="1037" customFormat="1" ht="15.75" hidden="1" thickBot="1" x14ac:dyDescent="0.25">
      <c r="A437" s="1110">
        <v>3523</v>
      </c>
      <c r="B437" s="1111">
        <v>6122</v>
      </c>
      <c r="C437" s="1216" t="s">
        <v>963</v>
      </c>
      <c r="D437" s="1130" t="s">
        <v>313</v>
      </c>
      <c r="E437" s="1135"/>
      <c r="F437" s="1135"/>
      <c r="G437" s="1135"/>
      <c r="H437" s="3050" t="e">
        <f t="shared" ref="H437:H445" si="27">G437/F437*100</f>
        <v>#DIV/0!</v>
      </c>
    </row>
    <row r="438" spans="1:8" s="1037" customFormat="1" ht="15.75" hidden="1" thickBot="1" x14ac:dyDescent="0.25">
      <c r="A438" s="1110">
        <v>3523</v>
      </c>
      <c r="B438" s="1111">
        <v>6122</v>
      </c>
      <c r="C438" s="1216" t="s">
        <v>1426</v>
      </c>
      <c r="D438" s="1130" t="s">
        <v>313</v>
      </c>
      <c r="E438" s="1135"/>
      <c r="F438" s="1135"/>
      <c r="G438" s="1135"/>
      <c r="H438" s="3050" t="e">
        <f t="shared" si="27"/>
        <v>#DIV/0!</v>
      </c>
    </row>
    <row r="439" spans="1:8" s="1037" customFormat="1" ht="15.75" hidden="1" thickBot="1" x14ac:dyDescent="0.25">
      <c r="A439" s="1110">
        <v>3122</v>
      </c>
      <c r="B439" s="1111">
        <v>6121</v>
      </c>
      <c r="C439" s="1216" t="s">
        <v>1005</v>
      </c>
      <c r="D439" s="1130" t="s">
        <v>312</v>
      </c>
      <c r="E439" s="1135"/>
      <c r="F439" s="1135"/>
      <c r="G439" s="1135"/>
      <c r="H439" s="3050" t="e">
        <f t="shared" si="27"/>
        <v>#DIV/0!</v>
      </c>
    </row>
    <row r="440" spans="1:8" s="1037" customFormat="1" ht="15.75" hidden="1" thickBot="1" x14ac:dyDescent="0.25">
      <c r="A440" s="1110">
        <v>3122</v>
      </c>
      <c r="B440" s="1111">
        <v>6121</v>
      </c>
      <c r="C440" s="1216" t="s">
        <v>1009</v>
      </c>
      <c r="D440" s="1130" t="s">
        <v>312</v>
      </c>
      <c r="E440" s="1135"/>
      <c r="F440" s="1135"/>
      <c r="G440" s="1135"/>
      <c r="H440" s="3050" t="e">
        <f t="shared" si="27"/>
        <v>#DIV/0!</v>
      </c>
    </row>
    <row r="441" spans="1:8" s="1037" customFormat="1" ht="15.75" hidden="1" thickBot="1" x14ac:dyDescent="0.25">
      <c r="A441" s="1110">
        <v>3122</v>
      </c>
      <c r="B441" s="1111">
        <v>6121</v>
      </c>
      <c r="C441" s="1216" t="s">
        <v>949</v>
      </c>
      <c r="D441" s="1130" t="s">
        <v>312</v>
      </c>
      <c r="E441" s="1135"/>
      <c r="F441" s="1135"/>
      <c r="G441" s="1135"/>
      <c r="H441" s="3050" t="e">
        <f t="shared" si="27"/>
        <v>#DIV/0!</v>
      </c>
    </row>
    <row r="442" spans="1:8" s="1037" customFormat="1" ht="15.75" hidden="1" thickBot="1" x14ac:dyDescent="0.25">
      <c r="A442" s="1110">
        <v>3122</v>
      </c>
      <c r="B442" s="1111">
        <v>6122</v>
      </c>
      <c r="C442" s="1216">
        <v>38587505</v>
      </c>
      <c r="D442" s="1130" t="s">
        <v>313</v>
      </c>
      <c r="E442" s="1135"/>
      <c r="F442" s="1135"/>
      <c r="G442" s="1135"/>
      <c r="H442" s="3050" t="e">
        <f t="shared" si="27"/>
        <v>#DIV/0!</v>
      </c>
    </row>
    <row r="443" spans="1:8" s="1037" customFormat="1" ht="15.75" hidden="1" thickBot="1" x14ac:dyDescent="0.25">
      <c r="A443" s="1110">
        <v>3122</v>
      </c>
      <c r="B443" s="1111">
        <v>6122</v>
      </c>
      <c r="C443" s="1216" t="s">
        <v>1006</v>
      </c>
      <c r="D443" s="1130" t="s">
        <v>313</v>
      </c>
      <c r="E443" s="1135"/>
      <c r="F443" s="1135"/>
      <c r="G443" s="1135"/>
      <c r="H443" s="3050" t="e">
        <f t="shared" si="27"/>
        <v>#DIV/0!</v>
      </c>
    </row>
    <row r="444" spans="1:8" s="1037" customFormat="1" ht="15.75" hidden="1" thickBot="1" x14ac:dyDescent="0.25">
      <c r="A444" s="1110">
        <v>3122</v>
      </c>
      <c r="B444" s="1187">
        <v>6121</v>
      </c>
      <c r="C444" s="1223">
        <v>53115835</v>
      </c>
      <c r="D444" s="1130" t="s">
        <v>312</v>
      </c>
      <c r="E444" s="1135">
        <v>0</v>
      </c>
      <c r="F444" s="1135"/>
      <c r="G444" s="1135"/>
      <c r="H444" s="3050" t="e">
        <f t="shared" si="27"/>
        <v>#DIV/0!</v>
      </c>
    </row>
    <row r="445" spans="1:8" s="1037" customFormat="1" ht="16.5" thickTop="1" thickBot="1" x14ac:dyDescent="0.3">
      <c r="A445" s="3317" t="s">
        <v>394</v>
      </c>
      <c r="B445" s="3318"/>
      <c r="C445" s="3318"/>
      <c r="D445" s="3318"/>
      <c r="E445" s="1113">
        <f>SUM(E435:E444)</f>
        <v>0</v>
      </c>
      <c r="F445" s="1113">
        <f>SUM(F435:F444)</f>
        <v>160</v>
      </c>
      <c r="G445" s="1113">
        <f>SUM(G435:G444)</f>
        <v>0</v>
      </c>
      <c r="H445" s="1381">
        <f t="shared" si="27"/>
        <v>0</v>
      </c>
    </row>
    <row r="446" spans="1:8" s="1037" customFormat="1" ht="14.25" customHeight="1" thickTop="1" x14ac:dyDescent="0.25">
      <c r="A446" s="1101"/>
      <c r="B446" s="1097"/>
      <c r="C446" s="1097"/>
      <c r="D446" s="1098"/>
      <c r="E446" s="1123"/>
      <c r="F446" s="1123"/>
      <c r="G446" s="1123"/>
      <c r="H446" s="1098"/>
    </row>
    <row r="447" spans="1:8" ht="15" x14ac:dyDescent="0.25">
      <c r="A447" s="1103" t="s">
        <v>1789</v>
      </c>
    </row>
    <row r="448" spans="1:8" ht="15.75" thickBot="1" x14ac:dyDescent="0.3">
      <c r="A448" s="1103" t="s">
        <v>1788</v>
      </c>
      <c r="H448" s="1177" t="s">
        <v>92</v>
      </c>
    </row>
    <row r="449" spans="1:8" s="1037" customFormat="1" ht="25.5" thickTop="1" thickBot="1" x14ac:dyDescent="0.25">
      <c r="A449" s="1104" t="s">
        <v>93</v>
      </c>
      <c r="B449" s="1105" t="s">
        <v>392</v>
      </c>
      <c r="C449" s="1105" t="s">
        <v>209</v>
      </c>
      <c r="D449" s="1106" t="s">
        <v>95</v>
      </c>
      <c r="E449" s="1127" t="s">
        <v>328</v>
      </c>
      <c r="F449" s="1127" t="s">
        <v>329</v>
      </c>
      <c r="G449" s="1128" t="s">
        <v>448</v>
      </c>
      <c r="H449" s="1129" t="s">
        <v>449</v>
      </c>
    </row>
    <row r="450" spans="1:8" s="1037" customFormat="1" ht="13.5" thickTop="1" thickBot="1" x14ac:dyDescent="0.25">
      <c r="A450" s="1042">
        <v>1</v>
      </c>
      <c r="B450" s="1041">
        <v>2</v>
      </c>
      <c r="C450" s="1041">
        <v>3</v>
      </c>
      <c r="D450" s="1041">
        <v>4</v>
      </c>
      <c r="E450" s="1040">
        <v>5</v>
      </c>
      <c r="F450" s="1040">
        <v>6</v>
      </c>
      <c r="G450" s="1164">
        <v>7</v>
      </c>
      <c r="H450" s="1186" t="s">
        <v>33</v>
      </c>
    </row>
    <row r="451" spans="1:8" s="1037" customFormat="1" ht="15.75" customHeight="1" thickTop="1" thickBot="1" x14ac:dyDescent="0.25">
      <c r="A451" s="1110">
        <v>3523</v>
      </c>
      <c r="B451" s="1111">
        <v>5166</v>
      </c>
      <c r="C451" s="1216" t="s">
        <v>1715</v>
      </c>
      <c r="D451" s="1130" t="s">
        <v>317</v>
      </c>
      <c r="E451" s="1135">
        <v>0</v>
      </c>
      <c r="F451" s="1135">
        <v>120</v>
      </c>
      <c r="G451" s="1135">
        <v>117</v>
      </c>
      <c r="H451" s="3050">
        <f>G451/F451*100</f>
        <v>97.5</v>
      </c>
    </row>
    <row r="452" spans="1:8" s="1037" customFormat="1" ht="15.75" hidden="1" customHeight="1" x14ac:dyDescent="0.2">
      <c r="A452" s="1110">
        <v>3523</v>
      </c>
      <c r="B452" s="1111">
        <v>6121</v>
      </c>
      <c r="C452" s="1216">
        <v>38500881</v>
      </c>
      <c r="D452" s="1130" t="s">
        <v>312</v>
      </c>
      <c r="E452" s="1135"/>
      <c r="F452" s="1135"/>
      <c r="G452" s="1135"/>
      <c r="H452" s="3050" t="e">
        <f>G452/F452*100</f>
        <v>#DIV/0!</v>
      </c>
    </row>
    <row r="453" spans="1:8" s="1037" customFormat="1" ht="15.75" hidden="1" customHeight="1" x14ac:dyDescent="0.2">
      <c r="A453" s="1110">
        <v>3523</v>
      </c>
      <c r="B453" s="1111">
        <v>6121</v>
      </c>
      <c r="C453" s="1216">
        <v>10</v>
      </c>
      <c r="D453" s="1130" t="s">
        <v>312</v>
      </c>
      <c r="E453" s="1135"/>
      <c r="F453" s="1135"/>
      <c r="G453" s="1135"/>
      <c r="H453" s="3050">
        <v>0</v>
      </c>
    </row>
    <row r="454" spans="1:8" s="1037" customFormat="1" ht="15.75" hidden="1" thickBot="1" x14ac:dyDescent="0.25">
      <c r="A454" s="1110">
        <v>3523</v>
      </c>
      <c r="B454" s="1111">
        <v>6121</v>
      </c>
      <c r="C454" s="1216">
        <v>38100880</v>
      </c>
      <c r="D454" s="1130" t="s">
        <v>312</v>
      </c>
      <c r="E454" s="1135"/>
      <c r="F454" s="1135"/>
      <c r="G454" s="1135"/>
      <c r="H454" s="3050" t="e">
        <f t="shared" ref="H454:H461" si="28">G454/F454*100</f>
        <v>#DIV/0!</v>
      </c>
    </row>
    <row r="455" spans="1:8" s="1037" customFormat="1" ht="15.75" hidden="1" thickBot="1" x14ac:dyDescent="0.25">
      <c r="A455" s="1110">
        <v>3523</v>
      </c>
      <c r="B455" s="1111">
        <v>6121</v>
      </c>
      <c r="C455" s="1216">
        <v>38500881</v>
      </c>
      <c r="D455" s="1130" t="s">
        <v>312</v>
      </c>
      <c r="E455" s="1135"/>
      <c r="F455" s="1135"/>
      <c r="G455" s="1135"/>
      <c r="H455" s="3050" t="e">
        <f t="shared" si="28"/>
        <v>#DIV/0!</v>
      </c>
    </row>
    <row r="456" spans="1:8" s="1037" customFormat="1" ht="15.75" hidden="1" thickBot="1" x14ac:dyDescent="0.25">
      <c r="A456" s="1110">
        <v>3523</v>
      </c>
      <c r="B456" s="1111">
        <v>6121</v>
      </c>
      <c r="C456" s="1216">
        <v>38500871</v>
      </c>
      <c r="D456" s="1130" t="s">
        <v>312</v>
      </c>
      <c r="E456" s="1135"/>
      <c r="F456" s="1135"/>
      <c r="G456" s="1135"/>
      <c r="H456" s="3050" t="e">
        <f t="shared" si="28"/>
        <v>#DIV/0!</v>
      </c>
    </row>
    <row r="457" spans="1:8" s="1037" customFormat="1" ht="15.75" hidden="1" thickBot="1" x14ac:dyDescent="0.25">
      <c r="A457" s="1110">
        <v>3523</v>
      </c>
      <c r="B457" s="1111">
        <v>6125</v>
      </c>
      <c r="C457" s="1216" t="s">
        <v>1426</v>
      </c>
      <c r="D457" s="1130" t="s">
        <v>103</v>
      </c>
      <c r="E457" s="1135"/>
      <c r="F457" s="1135"/>
      <c r="G457" s="1135"/>
      <c r="H457" s="3050" t="e">
        <f t="shared" si="28"/>
        <v>#DIV/0!</v>
      </c>
    </row>
    <row r="458" spans="1:8" s="1037" customFormat="1" ht="15.75" hidden="1" thickBot="1" x14ac:dyDescent="0.25">
      <c r="A458" s="1110">
        <v>3122</v>
      </c>
      <c r="B458" s="1111">
        <v>6121</v>
      </c>
      <c r="C458" s="1216" t="s">
        <v>1009</v>
      </c>
      <c r="D458" s="1130" t="s">
        <v>312</v>
      </c>
      <c r="E458" s="1135"/>
      <c r="F458" s="1135"/>
      <c r="G458" s="1135"/>
      <c r="H458" s="3050" t="e">
        <f t="shared" si="28"/>
        <v>#DIV/0!</v>
      </c>
    </row>
    <row r="459" spans="1:8" s="1037" customFormat="1" ht="15.75" hidden="1" thickBot="1" x14ac:dyDescent="0.25">
      <c r="A459" s="1110">
        <v>3122</v>
      </c>
      <c r="B459" s="1111">
        <v>6121</v>
      </c>
      <c r="C459" s="1216" t="s">
        <v>949</v>
      </c>
      <c r="D459" s="1130" t="s">
        <v>312</v>
      </c>
      <c r="E459" s="1135"/>
      <c r="F459" s="1135"/>
      <c r="G459" s="1135"/>
      <c r="H459" s="3050" t="e">
        <f t="shared" si="28"/>
        <v>#DIV/0!</v>
      </c>
    </row>
    <row r="460" spans="1:8" s="1037" customFormat="1" ht="15.75" hidden="1" thickBot="1" x14ac:dyDescent="0.25">
      <c r="A460" s="1110">
        <v>3122</v>
      </c>
      <c r="B460" s="1187">
        <v>6121</v>
      </c>
      <c r="C460" s="1223">
        <v>53115835</v>
      </c>
      <c r="D460" s="1130" t="s">
        <v>312</v>
      </c>
      <c r="E460" s="1135">
        <v>0</v>
      </c>
      <c r="F460" s="1135"/>
      <c r="G460" s="1135"/>
      <c r="H460" s="3050" t="e">
        <f t="shared" si="28"/>
        <v>#DIV/0!</v>
      </c>
    </row>
    <row r="461" spans="1:8" s="1037" customFormat="1" ht="16.5" thickTop="1" thickBot="1" x14ac:dyDescent="0.3">
      <c r="A461" s="3317" t="s">
        <v>394</v>
      </c>
      <c r="B461" s="3318"/>
      <c r="C461" s="3318"/>
      <c r="D461" s="3318"/>
      <c r="E461" s="1113">
        <f>SUM(E451:E460)</f>
        <v>0</v>
      </c>
      <c r="F461" s="1113">
        <f>SUM(F451:F460)</f>
        <v>120</v>
      </c>
      <c r="G461" s="1113">
        <f>SUM(G451:G460)</f>
        <v>117</v>
      </c>
      <c r="H461" s="1381">
        <f t="shared" si="28"/>
        <v>97.5</v>
      </c>
    </row>
    <row r="462" spans="1:8" s="1037" customFormat="1" ht="14.25" customHeight="1" thickTop="1" x14ac:dyDescent="0.25">
      <c r="A462" s="1101"/>
      <c r="B462" s="1097"/>
      <c r="C462" s="1097"/>
      <c r="D462" s="1098"/>
      <c r="E462" s="1123"/>
      <c r="F462" s="1123"/>
      <c r="G462" s="1123"/>
      <c r="H462" s="1098"/>
    </row>
    <row r="463" spans="1:8" s="1037" customFormat="1" ht="14.25" hidden="1" customHeight="1" x14ac:dyDescent="0.25">
      <c r="A463" s="1101"/>
      <c r="B463" s="1097"/>
      <c r="C463" s="1097"/>
      <c r="D463" s="1098"/>
      <c r="E463" s="1123"/>
      <c r="F463" s="1123"/>
      <c r="G463" s="1123"/>
      <c r="H463" s="1098"/>
    </row>
    <row r="464" spans="1:8" ht="15" hidden="1" x14ac:dyDescent="0.25">
      <c r="A464" s="1103" t="s">
        <v>730</v>
      </c>
    </row>
    <row r="465" spans="1:8" ht="15" hidden="1" x14ac:dyDescent="0.25">
      <c r="A465" s="1103" t="s">
        <v>731</v>
      </c>
      <c r="H465" s="1177" t="s">
        <v>92</v>
      </c>
    </row>
    <row r="466" spans="1:8" s="1037" customFormat="1" ht="25.5" hidden="1" thickTop="1" thickBot="1" x14ac:dyDescent="0.25">
      <c r="A466" s="1104" t="s">
        <v>93</v>
      </c>
      <c r="B466" s="1105" t="s">
        <v>392</v>
      </c>
      <c r="C466" s="1105" t="s">
        <v>209</v>
      </c>
      <c r="D466" s="1106" t="s">
        <v>95</v>
      </c>
      <c r="E466" s="1127" t="s">
        <v>328</v>
      </c>
      <c r="F466" s="1127" t="s">
        <v>329</v>
      </c>
      <c r="G466" s="1128" t="s">
        <v>448</v>
      </c>
      <c r="H466" s="1129" t="s">
        <v>449</v>
      </c>
    </row>
    <row r="467" spans="1:8" s="1037" customFormat="1" ht="13.5" hidden="1" thickTop="1" thickBot="1" x14ac:dyDescent="0.25">
      <c r="A467" s="1042">
        <v>1</v>
      </c>
      <c r="B467" s="1041">
        <v>2</v>
      </c>
      <c r="C467" s="1041">
        <v>3</v>
      </c>
      <c r="D467" s="1041">
        <v>4</v>
      </c>
      <c r="E467" s="1040">
        <v>5</v>
      </c>
      <c r="F467" s="1040">
        <v>6</v>
      </c>
      <c r="G467" s="1164">
        <v>7</v>
      </c>
      <c r="H467" s="1186" t="s">
        <v>33</v>
      </c>
    </row>
    <row r="468" spans="1:8" s="1037" customFormat="1" ht="15" hidden="1" x14ac:dyDescent="0.2">
      <c r="A468" s="1110">
        <v>4357</v>
      </c>
      <c r="B468" s="1111">
        <v>5137</v>
      </c>
      <c r="C468" s="1111">
        <v>38100870</v>
      </c>
      <c r="D468" s="1130" t="s">
        <v>88</v>
      </c>
      <c r="E468" s="1135"/>
      <c r="F468" s="1135"/>
      <c r="G468" s="1135"/>
      <c r="H468" s="1116" t="e">
        <f t="shared" ref="H468:H476" si="29">G468/F468*100</f>
        <v>#DIV/0!</v>
      </c>
    </row>
    <row r="469" spans="1:8" s="1037" customFormat="1" ht="15" hidden="1" x14ac:dyDescent="0.2">
      <c r="A469" s="1110">
        <v>4357</v>
      </c>
      <c r="B469" s="1111">
        <v>5137</v>
      </c>
      <c r="C469" s="1111">
        <v>38500871</v>
      </c>
      <c r="D469" s="1130" t="s">
        <v>88</v>
      </c>
      <c r="E469" s="1135"/>
      <c r="F469" s="1135"/>
      <c r="G469" s="1135"/>
      <c r="H469" s="1116" t="e">
        <f t="shared" si="29"/>
        <v>#DIV/0!</v>
      </c>
    </row>
    <row r="470" spans="1:8" s="1037" customFormat="1" ht="15" hidden="1" x14ac:dyDescent="0.2">
      <c r="A470" s="1110">
        <v>4357</v>
      </c>
      <c r="B470" s="1111">
        <v>6121</v>
      </c>
      <c r="C470" s="1111">
        <v>38100870</v>
      </c>
      <c r="D470" s="1130" t="s">
        <v>312</v>
      </c>
      <c r="E470" s="1135"/>
      <c r="F470" s="1135"/>
      <c r="G470" s="1135"/>
      <c r="H470" s="1116" t="e">
        <f t="shared" si="29"/>
        <v>#DIV/0!</v>
      </c>
    </row>
    <row r="471" spans="1:8" s="1037" customFormat="1" ht="15" hidden="1" x14ac:dyDescent="0.2">
      <c r="A471" s="1110">
        <v>4357</v>
      </c>
      <c r="B471" s="1111">
        <v>6121</v>
      </c>
      <c r="C471" s="1111">
        <v>38100874</v>
      </c>
      <c r="D471" s="1130" t="s">
        <v>312</v>
      </c>
      <c r="E471" s="1135"/>
      <c r="F471" s="1135"/>
      <c r="G471" s="1135"/>
      <c r="H471" s="1116" t="e">
        <f t="shared" si="29"/>
        <v>#DIV/0!</v>
      </c>
    </row>
    <row r="472" spans="1:8" s="1037" customFormat="1" ht="15" hidden="1" x14ac:dyDescent="0.2">
      <c r="A472" s="1110">
        <v>4357</v>
      </c>
      <c r="B472" s="1111">
        <v>6121</v>
      </c>
      <c r="C472" s="1111">
        <v>38500871</v>
      </c>
      <c r="D472" s="1130" t="s">
        <v>312</v>
      </c>
      <c r="E472" s="1135"/>
      <c r="F472" s="1135"/>
      <c r="G472" s="1135"/>
      <c r="H472" s="1116" t="e">
        <f t="shared" si="29"/>
        <v>#DIV/0!</v>
      </c>
    </row>
    <row r="473" spans="1:8" s="1037" customFormat="1" ht="15" hidden="1" x14ac:dyDescent="0.2">
      <c r="A473" s="1110">
        <v>4357</v>
      </c>
      <c r="B473" s="1111">
        <v>6121</v>
      </c>
      <c r="C473" s="1111">
        <v>38587505</v>
      </c>
      <c r="D473" s="1130" t="s">
        <v>312</v>
      </c>
      <c r="E473" s="1135"/>
      <c r="F473" s="1135"/>
      <c r="G473" s="1135"/>
      <c r="H473" s="1116" t="e">
        <f t="shared" si="29"/>
        <v>#DIV/0!</v>
      </c>
    </row>
    <row r="474" spans="1:8" s="1037" customFormat="1" ht="15" hidden="1" x14ac:dyDescent="0.2">
      <c r="A474" s="1110">
        <v>4357</v>
      </c>
      <c r="B474" s="1111">
        <v>6122</v>
      </c>
      <c r="C474" s="1111">
        <v>38100870</v>
      </c>
      <c r="D474" s="1130" t="s">
        <v>848</v>
      </c>
      <c r="E474" s="1135"/>
      <c r="F474" s="1135"/>
      <c r="G474" s="1135"/>
      <c r="H474" s="1116" t="e">
        <f t="shared" si="29"/>
        <v>#DIV/0!</v>
      </c>
    </row>
    <row r="475" spans="1:8" s="1037" customFormat="1" ht="15.75" hidden="1" customHeight="1" thickBot="1" x14ac:dyDescent="0.25">
      <c r="A475" s="1110">
        <v>4357</v>
      </c>
      <c r="B475" s="1111">
        <v>6122</v>
      </c>
      <c r="C475" s="1111">
        <v>38500871</v>
      </c>
      <c r="D475" s="1130" t="s">
        <v>848</v>
      </c>
      <c r="E475" s="1135"/>
      <c r="F475" s="1135"/>
      <c r="G475" s="1135"/>
      <c r="H475" s="1116" t="e">
        <f t="shared" si="29"/>
        <v>#DIV/0!</v>
      </c>
    </row>
    <row r="476" spans="1:8" s="1037" customFormat="1" ht="16.5" hidden="1" thickTop="1" thickBot="1" x14ac:dyDescent="0.3">
      <c r="A476" s="3317" t="s">
        <v>394</v>
      </c>
      <c r="B476" s="3318"/>
      <c r="C476" s="3318"/>
      <c r="D476" s="3318"/>
      <c r="E476" s="1113">
        <f>SUM(E473:E475)</f>
        <v>0</v>
      </c>
      <c r="F476" s="1113">
        <f>SUM(F468:F475)</f>
        <v>0</v>
      </c>
      <c r="G476" s="1113">
        <f>SUM(G468:G475)</f>
        <v>0</v>
      </c>
      <c r="H476" s="1117" t="e">
        <f t="shared" si="29"/>
        <v>#DIV/0!</v>
      </c>
    </row>
    <row r="477" spans="1:8" s="1037" customFormat="1" ht="15" hidden="1" x14ac:dyDescent="0.25">
      <c r="A477" s="1118"/>
      <c r="B477" s="1118"/>
      <c r="C477" s="1118"/>
      <c r="D477" s="1118"/>
      <c r="E477" s="1119"/>
      <c r="F477" s="1119"/>
      <c r="G477" s="1119"/>
      <c r="H477" s="1138"/>
    </row>
    <row r="478" spans="1:8" ht="15" hidden="1" customHeight="1" x14ac:dyDescent="0.25">
      <c r="A478" s="1103" t="s">
        <v>273</v>
      </c>
    </row>
    <row r="479" spans="1:8" ht="15" hidden="1" x14ac:dyDescent="0.25">
      <c r="A479" s="1103" t="s">
        <v>274</v>
      </c>
      <c r="H479" s="1177" t="s">
        <v>92</v>
      </c>
    </row>
    <row r="480" spans="1:8" s="1037" customFormat="1" ht="25.5" hidden="1" thickTop="1" thickBot="1" x14ac:dyDescent="0.25">
      <c r="A480" s="1104" t="s">
        <v>93</v>
      </c>
      <c r="B480" s="1105" t="s">
        <v>392</v>
      </c>
      <c r="C480" s="1105" t="s">
        <v>209</v>
      </c>
      <c r="D480" s="1106" t="s">
        <v>95</v>
      </c>
      <c r="E480" s="1127" t="s">
        <v>328</v>
      </c>
      <c r="F480" s="1127" t="s">
        <v>329</v>
      </c>
      <c r="G480" s="1128" t="s">
        <v>448</v>
      </c>
      <c r="H480" s="1129" t="s">
        <v>449</v>
      </c>
    </row>
    <row r="481" spans="1:8" s="1037" customFormat="1" ht="13.5" hidden="1" thickTop="1" thickBot="1" x14ac:dyDescent="0.25">
      <c r="A481" s="1042">
        <v>1</v>
      </c>
      <c r="B481" s="1041">
        <v>2</v>
      </c>
      <c r="C481" s="1041">
        <v>3</v>
      </c>
      <c r="D481" s="1041">
        <v>4</v>
      </c>
      <c r="E481" s="1040">
        <v>5</v>
      </c>
      <c r="F481" s="1040">
        <v>6</v>
      </c>
      <c r="G481" s="1164">
        <v>7</v>
      </c>
      <c r="H481" s="1186" t="s">
        <v>33</v>
      </c>
    </row>
    <row r="482" spans="1:8" s="1037" customFormat="1" ht="15.75" hidden="1" customHeight="1" thickTop="1" x14ac:dyDescent="0.2">
      <c r="A482" s="1110">
        <v>4357</v>
      </c>
      <c r="B482" s="1111">
        <v>5169</v>
      </c>
      <c r="C482" s="1111">
        <v>53100880</v>
      </c>
      <c r="D482" s="1130" t="s">
        <v>430</v>
      </c>
      <c r="E482" s="1135"/>
      <c r="F482" s="1135"/>
      <c r="G482" s="1135"/>
      <c r="H482" s="1116" t="e">
        <f>G482/F482*100</f>
        <v>#DIV/0!</v>
      </c>
    </row>
    <row r="483" spans="1:8" s="1037" customFormat="1" ht="15.75" hidden="1" customHeight="1" x14ac:dyDescent="0.2">
      <c r="A483" s="1110">
        <v>4357</v>
      </c>
      <c r="B483" s="1111">
        <v>5169</v>
      </c>
      <c r="C483" s="1111">
        <v>53100882</v>
      </c>
      <c r="D483" s="1130" t="s">
        <v>430</v>
      </c>
      <c r="E483" s="1135"/>
      <c r="F483" s="1135"/>
      <c r="G483" s="1135"/>
      <c r="H483" s="1116" t="e">
        <f>G483/F483*100</f>
        <v>#DIV/0!</v>
      </c>
    </row>
    <row r="484" spans="1:8" s="1037" customFormat="1" ht="15.75" hidden="1" customHeight="1" x14ac:dyDescent="0.2">
      <c r="A484" s="1110">
        <v>4357</v>
      </c>
      <c r="B484" s="1111">
        <v>5169</v>
      </c>
      <c r="C484" s="1111">
        <v>53500881</v>
      </c>
      <c r="D484" s="1130" t="s">
        <v>430</v>
      </c>
      <c r="E484" s="1135"/>
      <c r="F484" s="1135"/>
      <c r="G484" s="1135"/>
      <c r="H484" s="1116" t="e">
        <f>G484/F484*100</f>
        <v>#DIV/0!</v>
      </c>
    </row>
    <row r="485" spans="1:8" s="1037" customFormat="1" ht="15.75" hidden="1" customHeight="1" x14ac:dyDescent="0.2">
      <c r="A485" s="1110">
        <v>4357</v>
      </c>
      <c r="B485" s="1111">
        <v>6121</v>
      </c>
      <c r="C485" s="1111">
        <v>53100880</v>
      </c>
      <c r="D485" s="1130" t="s">
        <v>312</v>
      </c>
      <c r="E485" s="1135"/>
      <c r="F485" s="1135"/>
      <c r="G485" s="1135"/>
      <c r="H485" s="1116" t="e">
        <f>G485/F485*100</f>
        <v>#DIV/0!</v>
      </c>
    </row>
    <row r="486" spans="1:8" s="1037" customFormat="1" ht="15.75" hidden="1" customHeight="1" thickBot="1" x14ac:dyDescent="0.25">
      <c r="A486" s="1110">
        <v>4357</v>
      </c>
      <c r="B486" s="1111">
        <v>6121</v>
      </c>
      <c r="C486" s="1111">
        <v>53100884</v>
      </c>
      <c r="D486" s="1130" t="s">
        <v>312</v>
      </c>
      <c r="E486" s="1135"/>
      <c r="F486" s="1135"/>
      <c r="G486" s="1135"/>
      <c r="H486" s="1121" t="e">
        <f>G486/F486*100</f>
        <v>#DIV/0!</v>
      </c>
    </row>
    <row r="487" spans="1:8" s="1037" customFormat="1" ht="12" hidden="1" x14ac:dyDescent="0.2">
      <c r="A487" s="1366"/>
      <c r="B487" s="1143"/>
      <c r="C487" s="1143"/>
      <c r="D487" s="1143"/>
      <c r="E487" s="1367"/>
      <c r="F487" s="1367"/>
      <c r="G487" s="1368"/>
      <c r="H487" s="1369"/>
    </row>
    <row r="488" spans="1:8" s="1037" customFormat="1" ht="16.5" hidden="1" thickTop="1" thickBot="1" x14ac:dyDescent="0.3">
      <c r="A488" s="3317" t="s">
        <v>394</v>
      </c>
      <c r="B488" s="3318"/>
      <c r="C488" s="3318"/>
      <c r="D488" s="3318"/>
      <c r="E488" s="1113">
        <f>SUM(E482:E487)</f>
        <v>0</v>
      </c>
      <c r="F488" s="1113">
        <f>SUM(F482:F487)</f>
        <v>0</v>
      </c>
      <c r="G488" s="1113">
        <f>SUM(G482:G487)</f>
        <v>0</v>
      </c>
      <c r="H488" s="1121" t="e">
        <f>G488/F488*100</f>
        <v>#DIV/0!</v>
      </c>
    </row>
    <row r="489" spans="1:8" s="1037" customFormat="1" ht="14.25" hidden="1" customHeight="1" thickTop="1" x14ac:dyDescent="0.25">
      <c r="A489" s="1101"/>
      <c r="B489" s="1097"/>
      <c r="C489" s="1097"/>
      <c r="D489" s="1098"/>
      <c r="E489" s="1123"/>
      <c r="F489" s="1123"/>
      <c r="G489" s="1123"/>
      <c r="H489" s="1098"/>
    </row>
    <row r="490" spans="1:8" ht="15" customHeight="1" x14ac:dyDescent="0.25">
      <c r="A490" s="1103" t="s">
        <v>1791</v>
      </c>
    </row>
    <row r="491" spans="1:8" ht="15.75" thickBot="1" x14ac:dyDescent="0.3">
      <c r="A491" s="1103" t="s">
        <v>1790</v>
      </c>
      <c r="H491" s="1177" t="s">
        <v>92</v>
      </c>
    </row>
    <row r="492" spans="1:8" s="1037" customFormat="1" ht="25.5" thickTop="1" thickBot="1" x14ac:dyDescent="0.25">
      <c r="A492" s="1104" t="s">
        <v>93</v>
      </c>
      <c r="B492" s="1105" t="s">
        <v>392</v>
      </c>
      <c r="C492" s="1105" t="s">
        <v>209</v>
      </c>
      <c r="D492" s="1106" t="s">
        <v>95</v>
      </c>
      <c r="E492" s="1127" t="s">
        <v>328</v>
      </c>
      <c r="F492" s="1127" t="s">
        <v>329</v>
      </c>
      <c r="G492" s="1128" t="s">
        <v>448</v>
      </c>
      <c r="H492" s="1129" t="s">
        <v>449</v>
      </c>
    </row>
    <row r="493" spans="1:8" s="1037" customFormat="1" ht="13.5" thickTop="1" thickBot="1" x14ac:dyDescent="0.25">
      <c r="A493" s="1042">
        <v>1</v>
      </c>
      <c r="B493" s="1041">
        <v>2</v>
      </c>
      <c r="C493" s="1041">
        <v>3</v>
      </c>
      <c r="D493" s="1041">
        <v>4</v>
      </c>
      <c r="E493" s="1040">
        <v>5</v>
      </c>
      <c r="F493" s="1040">
        <v>6</v>
      </c>
      <c r="G493" s="1164">
        <v>7</v>
      </c>
      <c r="H493" s="1186" t="s">
        <v>33</v>
      </c>
    </row>
    <row r="494" spans="1:8" s="1037" customFormat="1" ht="15.75" customHeight="1" thickTop="1" thickBot="1" x14ac:dyDescent="0.25">
      <c r="A494" s="1110">
        <v>3523</v>
      </c>
      <c r="B494" s="1111">
        <v>5166</v>
      </c>
      <c r="C494" s="1216" t="s">
        <v>1715</v>
      </c>
      <c r="D494" s="1130" t="s">
        <v>317</v>
      </c>
      <c r="E494" s="1135">
        <v>0</v>
      </c>
      <c r="F494" s="1135">
        <v>600</v>
      </c>
      <c r="G494" s="1135">
        <v>436</v>
      </c>
      <c r="H494" s="3050">
        <f>G494/F494*100</f>
        <v>72.666666666666671</v>
      </c>
    </row>
    <row r="495" spans="1:8" s="1037" customFormat="1" ht="15.75" hidden="1" customHeight="1" x14ac:dyDescent="0.2">
      <c r="A495" s="1110">
        <v>3523</v>
      </c>
      <c r="B495" s="1111">
        <v>6121</v>
      </c>
      <c r="C495" s="1216" t="s">
        <v>1426</v>
      </c>
      <c r="D495" s="1130" t="s">
        <v>312</v>
      </c>
      <c r="E495" s="1135"/>
      <c r="F495" s="1135"/>
      <c r="G495" s="1135"/>
      <c r="H495" s="3050" t="e">
        <f>G495/F495*100</f>
        <v>#DIV/0!</v>
      </c>
    </row>
    <row r="496" spans="1:8" s="1037" customFormat="1" ht="15.75" hidden="1" customHeight="1" thickBot="1" x14ac:dyDescent="0.25">
      <c r="A496" s="1110">
        <v>3523</v>
      </c>
      <c r="B496" s="1111">
        <v>6125</v>
      </c>
      <c r="C496" s="1216" t="s">
        <v>963</v>
      </c>
      <c r="D496" s="1130" t="s">
        <v>103</v>
      </c>
      <c r="E496" s="1135"/>
      <c r="F496" s="1135"/>
      <c r="G496" s="1135"/>
      <c r="H496" s="3050">
        <v>0</v>
      </c>
    </row>
    <row r="497" spans="1:8" s="1037" customFormat="1" ht="15.75" hidden="1" customHeight="1" thickBot="1" x14ac:dyDescent="0.25">
      <c r="A497" s="1110">
        <v>3523</v>
      </c>
      <c r="B497" s="1111">
        <v>6125</v>
      </c>
      <c r="C497" s="1216" t="s">
        <v>1426</v>
      </c>
      <c r="D497" s="1130" t="s">
        <v>103</v>
      </c>
      <c r="E497" s="1135">
        <v>0</v>
      </c>
      <c r="F497" s="1135">
        <v>0</v>
      </c>
      <c r="G497" s="1135">
        <v>0</v>
      </c>
      <c r="H497" s="3050" t="e">
        <f t="shared" ref="H497:H502" si="30">G497/F497*100</f>
        <v>#DIV/0!</v>
      </c>
    </row>
    <row r="498" spans="1:8" s="1037" customFormat="1" ht="15.75" hidden="1" thickBot="1" x14ac:dyDescent="0.25">
      <c r="A498" s="1110">
        <v>4357</v>
      </c>
      <c r="B498" s="1111">
        <v>6121</v>
      </c>
      <c r="C498" s="1216" t="s">
        <v>1004</v>
      </c>
      <c r="D498" s="1130" t="s">
        <v>312</v>
      </c>
      <c r="E498" s="1135"/>
      <c r="F498" s="1135"/>
      <c r="G498" s="1135"/>
      <c r="H498" s="3050" t="e">
        <f t="shared" si="30"/>
        <v>#DIV/0!</v>
      </c>
    </row>
    <row r="499" spans="1:8" s="1037" customFormat="1" ht="15.75" hidden="1" thickBot="1" x14ac:dyDescent="0.25">
      <c r="A499" s="1110">
        <v>4357</v>
      </c>
      <c r="B499" s="1111">
        <v>6121</v>
      </c>
      <c r="C499" s="1216" t="s">
        <v>1005</v>
      </c>
      <c r="D499" s="1130" t="s">
        <v>312</v>
      </c>
      <c r="E499" s="1135"/>
      <c r="F499" s="1135"/>
      <c r="G499" s="1171"/>
      <c r="H499" s="3050" t="e">
        <f t="shared" si="30"/>
        <v>#DIV/0!</v>
      </c>
    </row>
    <row r="500" spans="1:8" s="1037" customFormat="1" ht="15.75" hidden="1" thickBot="1" x14ac:dyDescent="0.25">
      <c r="A500" s="1110">
        <v>4357</v>
      </c>
      <c r="B500" s="1111">
        <v>6122</v>
      </c>
      <c r="C500" s="1216" t="s">
        <v>1004</v>
      </c>
      <c r="D500" s="1130" t="s">
        <v>313</v>
      </c>
      <c r="E500" s="1135"/>
      <c r="F500" s="1135"/>
      <c r="G500" s="1171"/>
      <c r="H500" s="3050" t="e">
        <f t="shared" si="30"/>
        <v>#DIV/0!</v>
      </c>
    </row>
    <row r="501" spans="1:8" s="1037" customFormat="1" ht="15.75" hidden="1" thickBot="1" x14ac:dyDescent="0.25">
      <c r="A501" s="1110">
        <v>4357</v>
      </c>
      <c r="B501" s="1111">
        <v>6122</v>
      </c>
      <c r="C501" s="1216" t="s">
        <v>1005</v>
      </c>
      <c r="D501" s="1130" t="s">
        <v>313</v>
      </c>
      <c r="E501" s="1135"/>
      <c r="F501" s="1135"/>
      <c r="G501" s="1135"/>
      <c r="H501" s="3050" t="e">
        <f t="shared" si="30"/>
        <v>#DIV/0!</v>
      </c>
    </row>
    <row r="502" spans="1:8" s="1037" customFormat="1" ht="16.5" thickTop="1" thickBot="1" x14ac:dyDescent="0.3">
      <c r="A502" s="3317" t="s">
        <v>394</v>
      </c>
      <c r="B502" s="3318"/>
      <c r="C502" s="3318"/>
      <c r="D502" s="3318"/>
      <c r="E502" s="1113">
        <f>SUM(E494:E501)</f>
        <v>0</v>
      </c>
      <c r="F502" s="1113">
        <f>SUM(F494:F501)</f>
        <v>600</v>
      </c>
      <c r="G502" s="1113">
        <f>SUM(G494:G501)</f>
        <v>436</v>
      </c>
      <c r="H502" s="1381">
        <f t="shared" si="30"/>
        <v>72.666666666666671</v>
      </c>
    </row>
    <row r="503" spans="1:8" s="1037" customFormat="1" ht="14.25" customHeight="1" thickTop="1" x14ac:dyDescent="0.25">
      <c r="A503" s="1101"/>
      <c r="B503" s="1097"/>
      <c r="C503" s="1097"/>
      <c r="D503" s="1098"/>
      <c r="E503" s="1123"/>
      <c r="F503" s="1123"/>
      <c r="G503" s="1123"/>
      <c r="H503" s="1098"/>
    </row>
    <row r="504" spans="1:8" ht="15" customHeight="1" x14ac:dyDescent="0.25">
      <c r="A504" s="1103" t="s">
        <v>1793</v>
      </c>
    </row>
    <row r="505" spans="1:8" ht="15.75" thickBot="1" x14ac:dyDescent="0.3">
      <c r="A505" s="1103" t="s">
        <v>1792</v>
      </c>
      <c r="H505" s="1177" t="s">
        <v>92</v>
      </c>
    </row>
    <row r="506" spans="1:8" s="1037" customFormat="1" ht="25.5" thickTop="1" thickBot="1" x14ac:dyDescent="0.25">
      <c r="A506" s="1104" t="s">
        <v>93</v>
      </c>
      <c r="B506" s="1105" t="s">
        <v>392</v>
      </c>
      <c r="C506" s="1105" t="s">
        <v>209</v>
      </c>
      <c r="D506" s="1106" t="s">
        <v>95</v>
      </c>
      <c r="E506" s="1127" t="s">
        <v>328</v>
      </c>
      <c r="F506" s="1127" t="s">
        <v>329</v>
      </c>
      <c r="G506" s="1128" t="s">
        <v>448</v>
      </c>
      <c r="H506" s="1129" t="s">
        <v>449</v>
      </c>
    </row>
    <row r="507" spans="1:8" s="1037" customFormat="1" ht="13.5" thickTop="1" thickBot="1" x14ac:dyDescent="0.25">
      <c r="A507" s="1042">
        <v>1</v>
      </c>
      <c r="B507" s="1041">
        <v>2</v>
      </c>
      <c r="C507" s="1041">
        <v>3</v>
      </c>
      <c r="D507" s="1041">
        <v>4</v>
      </c>
      <c r="E507" s="1040">
        <v>5</v>
      </c>
      <c r="F507" s="1040">
        <v>6</v>
      </c>
      <c r="G507" s="1164">
        <v>7</v>
      </c>
      <c r="H507" s="1186" t="s">
        <v>33</v>
      </c>
    </row>
    <row r="508" spans="1:8" s="1037" customFormat="1" ht="15.75" customHeight="1" thickTop="1" x14ac:dyDescent="0.2">
      <c r="A508" s="1110">
        <v>2143</v>
      </c>
      <c r="B508" s="1111">
        <v>5169</v>
      </c>
      <c r="C508" s="1216" t="s">
        <v>872</v>
      </c>
      <c r="D508" s="1130" t="s">
        <v>430</v>
      </c>
      <c r="E508" s="1135">
        <v>180</v>
      </c>
      <c r="F508" s="1135">
        <v>0</v>
      </c>
      <c r="G508" s="1135">
        <v>0</v>
      </c>
      <c r="H508" s="3050">
        <v>0</v>
      </c>
    </row>
    <row r="509" spans="1:8" s="1037" customFormat="1" ht="15.75" customHeight="1" thickBot="1" x14ac:dyDescent="0.25">
      <c r="A509" s="1110">
        <v>2143</v>
      </c>
      <c r="B509" s="1111">
        <v>5169</v>
      </c>
      <c r="C509" s="1216" t="s">
        <v>965</v>
      </c>
      <c r="D509" s="1130" t="s">
        <v>430</v>
      </c>
      <c r="E509" s="1135">
        <v>1000</v>
      </c>
      <c r="F509" s="1135">
        <v>0</v>
      </c>
      <c r="G509" s="1135">
        <v>0</v>
      </c>
      <c r="H509" s="3050">
        <v>0</v>
      </c>
    </row>
    <row r="510" spans="1:8" s="1037" customFormat="1" ht="15.75" hidden="1" customHeight="1" x14ac:dyDescent="0.2">
      <c r="A510" s="1110">
        <v>4357</v>
      </c>
      <c r="B510" s="1111">
        <v>6121</v>
      </c>
      <c r="C510" s="1216" t="s">
        <v>1005</v>
      </c>
      <c r="D510" s="1130" t="s">
        <v>312</v>
      </c>
      <c r="E510" s="1135"/>
      <c r="F510" s="1135"/>
      <c r="G510" s="1135"/>
      <c r="H510" s="3050" t="e">
        <f>G510/F510*100</f>
        <v>#DIV/0!</v>
      </c>
    </row>
    <row r="511" spans="1:8" s="1037" customFormat="1" ht="15.75" hidden="1" customHeight="1" thickBot="1" x14ac:dyDescent="0.25">
      <c r="A511" s="1110">
        <v>4357</v>
      </c>
      <c r="B511" s="1111">
        <v>6121</v>
      </c>
      <c r="C511" s="1216" t="s">
        <v>949</v>
      </c>
      <c r="D511" s="1130" t="s">
        <v>312</v>
      </c>
      <c r="E511" s="1135"/>
      <c r="F511" s="1135"/>
      <c r="G511" s="1135"/>
      <c r="H511" s="3050" t="e">
        <f>G511/F511*100</f>
        <v>#DIV/0!</v>
      </c>
    </row>
    <row r="512" spans="1:8" s="1037" customFormat="1" ht="15.75" hidden="1" customHeight="1" thickBot="1" x14ac:dyDescent="0.25">
      <c r="A512" s="1110">
        <v>4357</v>
      </c>
      <c r="B512" s="1111">
        <v>6121</v>
      </c>
      <c r="C512" s="1111">
        <v>38587505</v>
      </c>
      <c r="D512" s="1130" t="s">
        <v>312</v>
      </c>
      <c r="E512" s="1135">
        <v>0</v>
      </c>
      <c r="F512" s="1135">
        <v>0</v>
      </c>
      <c r="G512" s="1135">
        <v>0</v>
      </c>
      <c r="H512" s="1384" t="e">
        <f>G512/F512*100</f>
        <v>#DIV/0!</v>
      </c>
    </row>
    <row r="513" spans="1:8" s="1037" customFormat="1" hidden="1" thickBot="1" x14ac:dyDescent="0.25">
      <c r="A513" s="1366"/>
      <c r="B513" s="1143"/>
      <c r="C513" s="1143"/>
      <c r="D513" s="1143"/>
      <c r="E513" s="1367"/>
      <c r="F513" s="1367"/>
      <c r="G513" s="1368"/>
      <c r="H513" s="3052"/>
    </row>
    <row r="514" spans="1:8" s="1037" customFormat="1" ht="16.5" thickTop="1" thickBot="1" x14ac:dyDescent="0.3">
      <c r="A514" s="3317" t="s">
        <v>394</v>
      </c>
      <c r="B514" s="3318"/>
      <c r="C514" s="3318"/>
      <c r="D514" s="3318"/>
      <c r="E514" s="1113">
        <f>SUM(E508:E513)</f>
        <v>1180</v>
      </c>
      <c r="F514" s="1113">
        <f>SUM(F508:F513)</f>
        <v>0</v>
      </c>
      <c r="G514" s="1113">
        <f>SUM(G508:G513)</f>
        <v>0</v>
      </c>
      <c r="H514" s="1381">
        <v>0</v>
      </c>
    </row>
    <row r="515" spans="1:8" s="1037" customFormat="1" ht="14.25" customHeight="1" thickTop="1" x14ac:dyDescent="0.25">
      <c r="A515" s="1101"/>
      <c r="B515" s="1097"/>
      <c r="C515" s="1097"/>
      <c r="D515" s="1098"/>
      <c r="E515" s="1123"/>
      <c r="F515" s="1123"/>
      <c r="G515" s="1123"/>
      <c r="H515" s="1098"/>
    </row>
    <row r="516" spans="1:8" ht="15" customHeight="1" x14ac:dyDescent="0.25">
      <c r="A516" s="1103" t="s">
        <v>1795</v>
      </c>
    </row>
    <row r="517" spans="1:8" ht="15.75" thickBot="1" x14ac:dyDescent="0.3">
      <c r="A517" s="1103" t="s">
        <v>1794</v>
      </c>
      <c r="H517" s="1177" t="s">
        <v>92</v>
      </c>
    </row>
    <row r="518" spans="1:8" s="1037" customFormat="1" ht="25.5" thickTop="1" thickBot="1" x14ac:dyDescent="0.25">
      <c r="A518" s="1104" t="s">
        <v>93</v>
      </c>
      <c r="B518" s="1105" t="s">
        <v>392</v>
      </c>
      <c r="C518" s="1105" t="s">
        <v>209</v>
      </c>
      <c r="D518" s="1106" t="s">
        <v>95</v>
      </c>
      <c r="E518" s="1127" t="s">
        <v>328</v>
      </c>
      <c r="F518" s="1127" t="s">
        <v>329</v>
      </c>
      <c r="G518" s="1128" t="s">
        <v>448</v>
      </c>
      <c r="H518" s="1129" t="s">
        <v>449</v>
      </c>
    </row>
    <row r="519" spans="1:8" s="1037" customFormat="1" ht="13.5" thickTop="1" thickBot="1" x14ac:dyDescent="0.25">
      <c r="A519" s="1042">
        <v>1</v>
      </c>
      <c r="B519" s="1041">
        <v>2</v>
      </c>
      <c r="C519" s="1041">
        <v>3</v>
      </c>
      <c r="D519" s="1041">
        <v>4</v>
      </c>
      <c r="E519" s="1040">
        <v>5</v>
      </c>
      <c r="F519" s="1040">
        <v>6</v>
      </c>
      <c r="G519" s="1164">
        <v>7</v>
      </c>
      <c r="H519" s="1186" t="s">
        <v>33</v>
      </c>
    </row>
    <row r="520" spans="1:8" s="1037" customFormat="1" ht="15.75" thickTop="1" x14ac:dyDescent="0.2">
      <c r="A520" s="1110">
        <v>2143</v>
      </c>
      <c r="B520" s="1111">
        <v>5169</v>
      </c>
      <c r="C520" s="1216" t="s">
        <v>872</v>
      </c>
      <c r="D520" s="1130" t="s">
        <v>430</v>
      </c>
      <c r="E520" s="1135">
        <v>400</v>
      </c>
      <c r="F520" s="1135">
        <v>0</v>
      </c>
      <c r="G520" s="1135">
        <v>0</v>
      </c>
      <c r="H520" s="3050">
        <v>0</v>
      </c>
    </row>
    <row r="521" spans="1:8" s="1037" customFormat="1" ht="15.75" thickBot="1" x14ac:dyDescent="0.25">
      <c r="A521" s="1110">
        <v>2143</v>
      </c>
      <c r="B521" s="1111">
        <v>5169</v>
      </c>
      <c r="C521" s="1216" t="s">
        <v>965</v>
      </c>
      <c r="D521" s="1130" t="s">
        <v>430</v>
      </c>
      <c r="E521" s="1135">
        <v>4000</v>
      </c>
      <c r="F521" s="1135">
        <v>0</v>
      </c>
      <c r="G521" s="1135">
        <v>0</v>
      </c>
      <c r="H521" s="3050">
        <v>0</v>
      </c>
    </row>
    <row r="522" spans="1:8" s="1037" customFormat="1" ht="15.75" hidden="1" thickBot="1" x14ac:dyDescent="0.25">
      <c r="A522" s="1110">
        <v>3315</v>
      </c>
      <c r="B522" s="1111">
        <v>6121</v>
      </c>
      <c r="C522" s="1216" t="s">
        <v>1004</v>
      </c>
      <c r="D522" s="1130" t="s">
        <v>312</v>
      </c>
      <c r="E522" s="1135"/>
      <c r="F522" s="1135"/>
      <c r="G522" s="1135"/>
      <c r="H522" s="3050" t="e">
        <f>G522/F522*100</f>
        <v>#DIV/0!</v>
      </c>
    </row>
    <row r="523" spans="1:8" s="1037" customFormat="1" ht="15.75" hidden="1" thickBot="1" x14ac:dyDescent="0.25">
      <c r="A523" s="1110">
        <v>3315</v>
      </c>
      <c r="B523" s="1111">
        <v>6121</v>
      </c>
      <c r="C523" s="1216" t="s">
        <v>1006</v>
      </c>
      <c r="D523" s="1130" t="s">
        <v>312</v>
      </c>
      <c r="E523" s="1135"/>
      <c r="F523" s="1135"/>
      <c r="G523" s="1135"/>
      <c r="H523" s="3050" t="e">
        <f>G523/F523*100</f>
        <v>#DIV/0!</v>
      </c>
    </row>
    <row r="524" spans="1:8" s="1037" customFormat="1" ht="15.75" hidden="1" thickBot="1" x14ac:dyDescent="0.25">
      <c r="A524" s="1110">
        <v>3315</v>
      </c>
      <c r="B524" s="1111">
        <v>6121</v>
      </c>
      <c r="C524" s="1216" t="s">
        <v>1005</v>
      </c>
      <c r="D524" s="1130" t="s">
        <v>312</v>
      </c>
      <c r="E524" s="1135"/>
      <c r="F524" s="1135"/>
      <c r="G524" s="1135"/>
      <c r="H524" s="3050" t="e">
        <f>G524/F524*100</f>
        <v>#DIV/0!</v>
      </c>
    </row>
    <row r="525" spans="1:8" s="1037" customFormat="1" ht="15.75" hidden="1" thickBot="1" x14ac:dyDescent="0.25">
      <c r="A525" s="1110">
        <v>3315</v>
      </c>
      <c r="B525" s="1111">
        <v>6121</v>
      </c>
      <c r="C525" s="1216" t="s">
        <v>1009</v>
      </c>
      <c r="D525" s="1130" t="s">
        <v>312</v>
      </c>
      <c r="E525" s="1135"/>
      <c r="F525" s="1135"/>
      <c r="G525" s="1135"/>
      <c r="H525" s="3050">
        <v>0</v>
      </c>
    </row>
    <row r="526" spans="1:8" s="1037" customFormat="1" ht="15.75" hidden="1" thickBot="1" x14ac:dyDescent="0.25">
      <c r="A526" s="1110">
        <v>3315</v>
      </c>
      <c r="B526" s="1111">
        <v>6121</v>
      </c>
      <c r="C526" s="1216" t="s">
        <v>949</v>
      </c>
      <c r="D526" s="1130" t="s">
        <v>312</v>
      </c>
      <c r="E526" s="1135"/>
      <c r="F526" s="1135"/>
      <c r="G526" s="1135"/>
      <c r="H526" s="3050" t="e">
        <f>G526/F526*100</f>
        <v>#DIV/0!</v>
      </c>
    </row>
    <row r="527" spans="1:8" s="1037" customFormat="1" ht="15.75" hidden="1" thickBot="1" x14ac:dyDescent="0.25">
      <c r="A527" s="1110">
        <v>3315</v>
      </c>
      <c r="B527" s="1111">
        <v>6122</v>
      </c>
      <c r="C527" s="1216" t="s">
        <v>1004</v>
      </c>
      <c r="D527" s="1130" t="s">
        <v>313</v>
      </c>
      <c r="E527" s="1135"/>
      <c r="F527" s="1135"/>
      <c r="G527" s="1135"/>
      <c r="H527" s="3050" t="e">
        <f>G527/F527*100</f>
        <v>#DIV/0!</v>
      </c>
    </row>
    <row r="528" spans="1:8" s="1037" customFormat="1" ht="15.75" hidden="1" thickBot="1" x14ac:dyDescent="0.25">
      <c r="A528" s="1110">
        <v>3315</v>
      </c>
      <c r="B528" s="1111">
        <v>6122</v>
      </c>
      <c r="C528" s="1216" t="s">
        <v>1006</v>
      </c>
      <c r="D528" s="1130" t="s">
        <v>313</v>
      </c>
      <c r="E528" s="1135"/>
      <c r="F528" s="1135"/>
      <c r="G528" s="1135"/>
      <c r="H528" s="3050" t="e">
        <f>G528/F528*100</f>
        <v>#DIV/0!</v>
      </c>
    </row>
    <row r="529" spans="1:8" s="1037" customFormat="1" ht="15.75" hidden="1" thickBot="1" x14ac:dyDescent="0.25">
      <c r="A529" s="1110">
        <v>3315</v>
      </c>
      <c r="B529" s="1111">
        <v>6122</v>
      </c>
      <c r="C529" s="1216" t="s">
        <v>1005</v>
      </c>
      <c r="D529" s="1130" t="s">
        <v>313</v>
      </c>
      <c r="E529" s="1135"/>
      <c r="F529" s="1135"/>
      <c r="G529" s="1135"/>
      <c r="H529" s="3050" t="e">
        <f>G529/F529*100</f>
        <v>#DIV/0!</v>
      </c>
    </row>
    <row r="530" spans="1:8" s="1037" customFormat="1" ht="16.5" thickTop="1" thickBot="1" x14ac:dyDescent="0.3">
      <c r="A530" s="3317" t="s">
        <v>394</v>
      </c>
      <c r="B530" s="3318"/>
      <c r="C530" s="3318"/>
      <c r="D530" s="3318"/>
      <c r="E530" s="1113">
        <f>SUM(E520:E529)</f>
        <v>4400</v>
      </c>
      <c r="F530" s="1113">
        <f>SUM(F520:F529)</f>
        <v>0</v>
      </c>
      <c r="G530" s="1113">
        <f>SUM(G520:G529)</f>
        <v>0</v>
      </c>
      <c r="H530" s="1381">
        <v>0</v>
      </c>
    </row>
    <row r="531" spans="1:8" s="1037" customFormat="1" ht="14.25" customHeight="1" thickTop="1" x14ac:dyDescent="0.25">
      <c r="A531" s="1101"/>
      <c r="B531" s="1097"/>
      <c r="C531" s="1097"/>
      <c r="D531" s="1098"/>
      <c r="E531" s="1123"/>
      <c r="F531" s="1123"/>
      <c r="G531" s="1123"/>
      <c r="H531" s="1098"/>
    </row>
    <row r="532" spans="1:8" ht="15" customHeight="1" x14ac:dyDescent="0.25">
      <c r="A532" s="1103" t="s">
        <v>1458</v>
      </c>
    </row>
    <row r="533" spans="1:8" ht="15.75" thickBot="1" x14ac:dyDescent="0.3">
      <c r="A533" s="1103" t="s">
        <v>1457</v>
      </c>
      <c r="H533" s="1177" t="s">
        <v>92</v>
      </c>
    </row>
    <row r="534" spans="1:8" s="1037" customFormat="1" ht="25.5" thickTop="1" thickBot="1" x14ac:dyDescent="0.25">
      <c r="A534" s="1104" t="s">
        <v>93</v>
      </c>
      <c r="B534" s="1105" t="s">
        <v>392</v>
      </c>
      <c r="C534" s="1105" t="s">
        <v>209</v>
      </c>
      <c r="D534" s="1106" t="s">
        <v>95</v>
      </c>
      <c r="E534" s="1127" t="s">
        <v>328</v>
      </c>
      <c r="F534" s="1127" t="s">
        <v>329</v>
      </c>
      <c r="G534" s="1128" t="s">
        <v>448</v>
      </c>
      <c r="H534" s="1129" t="s">
        <v>449</v>
      </c>
    </row>
    <row r="535" spans="1:8" s="1037" customFormat="1" ht="13.5" thickTop="1" thickBot="1" x14ac:dyDescent="0.25">
      <c r="A535" s="1042">
        <v>1</v>
      </c>
      <c r="B535" s="1041">
        <v>2</v>
      </c>
      <c r="C535" s="1041">
        <v>3</v>
      </c>
      <c r="D535" s="1041">
        <v>4</v>
      </c>
      <c r="E535" s="1040">
        <v>5</v>
      </c>
      <c r="F535" s="1040">
        <v>6</v>
      </c>
      <c r="G535" s="1164">
        <v>7</v>
      </c>
      <c r="H535" s="1186" t="s">
        <v>33</v>
      </c>
    </row>
    <row r="536" spans="1:8" s="1037" customFormat="1" ht="15.75" thickTop="1" x14ac:dyDescent="0.2">
      <c r="A536" s="1110">
        <v>2143</v>
      </c>
      <c r="B536" s="1111">
        <v>5139</v>
      </c>
      <c r="C536" s="1216" t="s">
        <v>872</v>
      </c>
      <c r="D536" s="1130" t="s">
        <v>1797</v>
      </c>
      <c r="E536" s="1135">
        <v>0</v>
      </c>
      <c r="F536" s="1135">
        <v>336</v>
      </c>
      <c r="G536" s="1135">
        <v>336</v>
      </c>
      <c r="H536" s="3050">
        <f>G536/F536*100</f>
        <v>100</v>
      </c>
    </row>
    <row r="537" spans="1:8" s="1037" customFormat="1" ht="15" x14ac:dyDescent="0.2">
      <c r="A537" s="1110">
        <v>2143</v>
      </c>
      <c r="B537" s="1111">
        <v>5139</v>
      </c>
      <c r="C537" s="1216" t="s">
        <v>1796</v>
      </c>
      <c r="D537" s="1130" t="s">
        <v>1797</v>
      </c>
      <c r="E537" s="1135">
        <v>0</v>
      </c>
      <c r="F537" s="1135">
        <v>63</v>
      </c>
      <c r="G537" s="1135">
        <v>63</v>
      </c>
      <c r="H537" s="3050">
        <f>G537/F537*100</f>
        <v>100</v>
      </c>
    </row>
    <row r="538" spans="1:8" s="1037" customFormat="1" ht="15" x14ac:dyDescent="0.2">
      <c r="A538" s="1110">
        <v>2143</v>
      </c>
      <c r="B538" s="1111">
        <v>5164</v>
      </c>
      <c r="C538" s="1216" t="s">
        <v>872</v>
      </c>
      <c r="D538" s="1130" t="s">
        <v>101</v>
      </c>
      <c r="E538" s="1135">
        <v>0</v>
      </c>
      <c r="F538" s="1135">
        <v>237</v>
      </c>
      <c r="G538" s="1135">
        <v>0</v>
      </c>
      <c r="H538" s="3050">
        <v>0</v>
      </c>
    </row>
    <row r="539" spans="1:8" s="1037" customFormat="1" ht="15" x14ac:dyDescent="0.2">
      <c r="A539" s="1110">
        <v>2143</v>
      </c>
      <c r="B539" s="1111">
        <v>5169</v>
      </c>
      <c r="C539" s="1216" t="s">
        <v>872</v>
      </c>
      <c r="D539" s="1130" t="s">
        <v>430</v>
      </c>
      <c r="E539" s="1135">
        <v>0</v>
      </c>
      <c r="F539" s="1135">
        <v>198</v>
      </c>
      <c r="G539" s="1135">
        <v>61</v>
      </c>
      <c r="H539" s="3050">
        <f>G539/F539*100</f>
        <v>30.808080808080806</v>
      </c>
    </row>
    <row r="540" spans="1:8" s="1037" customFormat="1" ht="15" x14ac:dyDescent="0.2">
      <c r="A540" s="1110">
        <v>2143</v>
      </c>
      <c r="B540" s="1111">
        <v>5169</v>
      </c>
      <c r="C540" s="1216" t="s">
        <v>1796</v>
      </c>
      <c r="D540" s="1130" t="s">
        <v>430</v>
      </c>
      <c r="E540" s="1135">
        <v>0</v>
      </c>
      <c r="F540" s="1135">
        <v>2037</v>
      </c>
      <c r="G540" s="1135">
        <v>1714</v>
      </c>
      <c r="H540" s="3050">
        <f>G540/F540*100</f>
        <v>84.143348060873834</v>
      </c>
    </row>
    <row r="541" spans="1:8" s="1037" customFormat="1" ht="15.75" thickBot="1" x14ac:dyDescent="0.25">
      <c r="A541" s="1110">
        <v>6330</v>
      </c>
      <c r="B541" s="1111">
        <v>5345</v>
      </c>
      <c r="C541" s="1216"/>
      <c r="D541" s="1130" t="s">
        <v>1802</v>
      </c>
      <c r="E541" s="1135">
        <v>0</v>
      </c>
      <c r="F541" s="1135">
        <v>0</v>
      </c>
      <c r="G541" s="1135">
        <v>1777</v>
      </c>
      <c r="H541" s="3050">
        <v>0</v>
      </c>
    </row>
    <row r="542" spans="1:8" s="1037" customFormat="1" ht="16.5" thickTop="1" thickBot="1" x14ac:dyDescent="0.3">
      <c r="A542" s="3317" t="s">
        <v>394</v>
      </c>
      <c r="B542" s="3318"/>
      <c r="C542" s="3318"/>
      <c r="D542" s="3318"/>
      <c r="E542" s="1113">
        <f t="shared" ref="E542:F542" si="31">SUM(E536:E541)</f>
        <v>0</v>
      </c>
      <c r="F542" s="1113">
        <f t="shared" si="31"/>
        <v>2871</v>
      </c>
      <c r="G542" s="1113">
        <f>SUM(G536:G541)</f>
        <v>3951</v>
      </c>
      <c r="H542" s="1381">
        <f>G542/F542*100</f>
        <v>137.61755485893417</v>
      </c>
    </row>
    <row r="543" spans="1:8" s="1037" customFormat="1" ht="14.25" customHeight="1" thickTop="1" x14ac:dyDescent="0.25">
      <c r="A543" s="1101"/>
      <c r="B543" s="1097"/>
      <c r="C543" s="1097"/>
      <c r="D543" s="1098"/>
      <c r="E543" s="1123"/>
      <c r="F543" s="1123"/>
      <c r="G543" s="1123"/>
      <c r="H543" s="1098"/>
    </row>
    <row r="544" spans="1:8" ht="31.5" customHeight="1" x14ac:dyDescent="0.25">
      <c r="A544" s="3335" t="s">
        <v>1456</v>
      </c>
      <c r="B544" s="3337"/>
      <c r="C544" s="3337"/>
      <c r="D544" s="3337"/>
      <c r="E544" s="3337"/>
      <c r="F544" s="3337"/>
      <c r="G544" s="3337"/>
      <c r="H544" s="3337"/>
    </row>
    <row r="545" spans="1:13" ht="15.75" thickBot="1" x14ac:dyDescent="0.3">
      <c r="A545" s="1103" t="s">
        <v>1455</v>
      </c>
      <c r="H545" s="1177" t="s">
        <v>92</v>
      </c>
    </row>
    <row r="546" spans="1:13" s="1037" customFormat="1" ht="25.5" thickTop="1" thickBot="1" x14ac:dyDescent="0.25">
      <c r="A546" s="1104" t="s">
        <v>93</v>
      </c>
      <c r="B546" s="1105" t="s">
        <v>392</v>
      </c>
      <c r="C546" s="1105" t="s">
        <v>209</v>
      </c>
      <c r="D546" s="1106" t="s">
        <v>95</v>
      </c>
      <c r="E546" s="1127" t="s">
        <v>328</v>
      </c>
      <c r="F546" s="1127" t="s">
        <v>329</v>
      </c>
      <c r="G546" s="1128" t="s">
        <v>448</v>
      </c>
      <c r="H546" s="1129" t="s">
        <v>449</v>
      </c>
    </row>
    <row r="547" spans="1:13" s="1037" customFormat="1" ht="16.5" thickTop="1" thickBot="1" x14ac:dyDescent="0.25">
      <c r="A547" s="1110">
        <v>5272</v>
      </c>
      <c r="B547" s="1111">
        <v>5169</v>
      </c>
      <c r="C547" s="1216" t="s">
        <v>1451</v>
      </c>
      <c r="D547" s="1130" t="s">
        <v>430</v>
      </c>
      <c r="E547" s="1135">
        <v>77</v>
      </c>
      <c r="F547" s="1135">
        <v>77</v>
      </c>
      <c r="G547" s="1135">
        <v>0</v>
      </c>
      <c r="H547" s="3050">
        <v>0</v>
      </c>
    </row>
    <row r="548" spans="1:13" s="1037" customFormat="1" ht="13.5" hidden="1" customHeight="1" x14ac:dyDescent="0.2">
      <c r="A548" s="1110">
        <v>3533</v>
      </c>
      <c r="B548" s="1111">
        <v>6125</v>
      </c>
      <c r="C548" s="1216" t="s">
        <v>963</v>
      </c>
      <c r="D548" s="1130" t="s">
        <v>103</v>
      </c>
      <c r="E548" s="1135"/>
      <c r="F548" s="1135"/>
      <c r="G548" s="1135"/>
      <c r="H548" s="3050" t="e">
        <f>G548/F548*100</f>
        <v>#DIV/0!</v>
      </c>
    </row>
    <row r="549" spans="1:13" s="1037" customFormat="1" ht="15.75" hidden="1" customHeight="1" thickBot="1" x14ac:dyDescent="0.25">
      <c r="A549" s="1110">
        <v>3533</v>
      </c>
      <c r="B549" s="1111">
        <v>6125</v>
      </c>
      <c r="C549" s="1216" t="s">
        <v>962</v>
      </c>
      <c r="D549" s="1130" t="s">
        <v>103</v>
      </c>
      <c r="E549" s="1135"/>
      <c r="F549" s="1135"/>
      <c r="G549" s="1135"/>
      <c r="H549" s="3050" t="e">
        <f>G549/F549*100</f>
        <v>#DIV/0!</v>
      </c>
    </row>
    <row r="550" spans="1:13" s="1037" customFormat="1" ht="16.5" thickTop="1" thickBot="1" x14ac:dyDescent="0.3">
      <c r="A550" s="3317" t="s">
        <v>394</v>
      </c>
      <c r="B550" s="3318"/>
      <c r="C550" s="3318"/>
      <c r="D550" s="3318"/>
      <c r="E550" s="1113">
        <f>SUM(E547:E549)</f>
        <v>77</v>
      </c>
      <c r="F550" s="1113">
        <f>SUM(F547:F549)</f>
        <v>77</v>
      </c>
      <c r="G550" s="1113">
        <f>SUM(G547:G549)</f>
        <v>0</v>
      </c>
      <c r="H550" s="1381">
        <f>G550/F550*100</f>
        <v>0</v>
      </c>
    </row>
    <row r="551" spans="1:13" s="1037" customFormat="1" ht="18.75" thickTop="1" x14ac:dyDescent="0.25">
      <c r="A551" s="1101"/>
      <c r="B551" s="1097"/>
      <c r="C551" s="1097"/>
      <c r="D551" s="1098"/>
      <c r="E551" s="1123"/>
      <c r="F551" s="1123"/>
      <c r="G551" s="1123"/>
      <c r="H551" s="1098"/>
    </row>
    <row r="552" spans="1:13" ht="31.5" customHeight="1" x14ac:dyDescent="0.25">
      <c r="A552" s="3335" t="s">
        <v>1799</v>
      </c>
      <c r="B552" s="3337"/>
      <c r="C552" s="3337"/>
      <c r="D552" s="3337"/>
      <c r="E552" s="3337"/>
      <c r="F552" s="3337"/>
      <c r="G552" s="3337"/>
      <c r="H552" s="3337"/>
    </row>
    <row r="553" spans="1:13" ht="15.75" thickBot="1" x14ac:dyDescent="0.3">
      <c r="A553" s="1103" t="s">
        <v>1798</v>
      </c>
      <c r="H553" s="1177" t="s">
        <v>92</v>
      </c>
    </row>
    <row r="554" spans="1:13" s="1037" customFormat="1" ht="25.5" thickTop="1" thickBot="1" x14ac:dyDescent="0.25">
      <c r="A554" s="1104" t="s">
        <v>93</v>
      </c>
      <c r="B554" s="1105" t="s">
        <v>392</v>
      </c>
      <c r="C554" s="1105" t="s">
        <v>209</v>
      </c>
      <c r="D554" s="1106" t="s">
        <v>95</v>
      </c>
      <c r="E554" s="1127" t="s">
        <v>328</v>
      </c>
      <c r="F554" s="1127" t="s">
        <v>329</v>
      </c>
      <c r="G554" s="1128" t="s">
        <v>448</v>
      </c>
      <c r="H554" s="1129" t="s">
        <v>449</v>
      </c>
    </row>
    <row r="555" spans="1:13" s="1037" customFormat="1" ht="15.75" thickTop="1" x14ac:dyDescent="0.2">
      <c r="A555" s="1110">
        <v>5273</v>
      </c>
      <c r="B555" s="1111">
        <v>6111</v>
      </c>
      <c r="C555" s="1216" t="s">
        <v>1450</v>
      </c>
      <c r="D555" s="1130" t="s">
        <v>457</v>
      </c>
      <c r="E555" s="1135">
        <v>0</v>
      </c>
      <c r="F555" s="1135">
        <v>7</v>
      </c>
      <c r="G555" s="1135">
        <v>6</v>
      </c>
      <c r="H555" s="3050">
        <f>G555/F555*100</f>
        <v>85.714285714285708</v>
      </c>
    </row>
    <row r="556" spans="1:13" s="1037" customFormat="1" ht="15" x14ac:dyDescent="0.2">
      <c r="A556" s="1110">
        <v>5273</v>
      </c>
      <c r="B556" s="1111">
        <v>6111</v>
      </c>
      <c r="C556" s="1216" t="s">
        <v>1449</v>
      </c>
      <c r="D556" s="1130" t="s">
        <v>457</v>
      </c>
      <c r="E556" s="1135">
        <v>0</v>
      </c>
      <c r="F556" s="1135">
        <v>4</v>
      </c>
      <c r="G556" s="1135">
        <v>3</v>
      </c>
      <c r="H556" s="3050">
        <f t="shared" ref="H556:H557" si="32">G556/F556*100</f>
        <v>75</v>
      </c>
    </row>
    <row r="557" spans="1:13" s="1037" customFormat="1" ht="15.75" customHeight="1" thickBot="1" x14ac:dyDescent="0.25">
      <c r="A557" s="1110">
        <v>5273</v>
      </c>
      <c r="B557" s="1111">
        <v>6111</v>
      </c>
      <c r="C557" s="1216" t="s">
        <v>1448</v>
      </c>
      <c r="D557" s="1130" t="s">
        <v>457</v>
      </c>
      <c r="E557" s="1135">
        <v>0</v>
      </c>
      <c r="F557" s="1135">
        <v>60</v>
      </c>
      <c r="G557" s="1135">
        <v>51</v>
      </c>
      <c r="H557" s="3050">
        <f t="shared" si="32"/>
        <v>85</v>
      </c>
    </row>
    <row r="558" spans="1:13" s="1037" customFormat="1" ht="16.5" thickTop="1" thickBot="1" x14ac:dyDescent="0.3">
      <c r="A558" s="3317" t="s">
        <v>394</v>
      </c>
      <c r="B558" s="3318"/>
      <c r="C558" s="3318"/>
      <c r="D558" s="3318"/>
      <c r="E558" s="1113">
        <f>SUM(E555:E557)</f>
        <v>0</v>
      </c>
      <c r="F558" s="1113">
        <f>SUM(F555:F557)</f>
        <v>71</v>
      </c>
      <c r="G558" s="1113">
        <f>SUM(G555:G557)</f>
        <v>60</v>
      </c>
      <c r="H558" s="1381">
        <f>G558/F558*100</f>
        <v>84.507042253521121</v>
      </c>
    </row>
    <row r="559" spans="1:13" s="1037" customFormat="1" ht="18.75" thickTop="1" x14ac:dyDescent="0.25">
      <c r="A559" s="1101"/>
      <c r="B559" s="1097"/>
      <c r="C559" s="1097"/>
      <c r="D559" s="1098"/>
      <c r="E559" s="1123"/>
      <c r="F559" s="1123"/>
      <c r="G559" s="1123"/>
      <c r="H559" s="1098"/>
    </row>
    <row r="560" spans="1:13" s="1037" customFormat="1" ht="30" customHeight="1" x14ac:dyDescent="0.25">
      <c r="A560" s="3336" t="s">
        <v>1453</v>
      </c>
      <c r="B560" s="3336"/>
      <c r="C560" s="3336"/>
      <c r="D560" s="3336"/>
      <c r="E560" s="3336"/>
      <c r="F560" s="3336"/>
      <c r="G560" s="3336"/>
      <c r="H560" s="3336"/>
      <c r="I560" s="2194"/>
      <c r="J560" s="2194"/>
      <c r="K560" s="2194"/>
      <c r="L560" s="2194"/>
      <c r="M560" s="2194"/>
    </row>
    <row r="561" spans="1:13" s="1037" customFormat="1" ht="15.75" thickBot="1" x14ac:dyDescent="0.3">
      <c r="A561" s="1202" t="s">
        <v>1452</v>
      </c>
      <c r="B561" s="1202"/>
      <c r="C561" s="1202"/>
      <c r="D561" s="2194"/>
      <c r="E561" s="2193"/>
      <c r="F561" s="2193"/>
      <c r="G561" s="2193"/>
      <c r="H561" s="2192" t="s">
        <v>92</v>
      </c>
      <c r="I561" s="2194"/>
      <c r="J561" s="2194"/>
      <c r="K561" s="2194"/>
      <c r="L561" s="2194"/>
      <c r="M561" s="2194"/>
    </row>
    <row r="562" spans="1:13" s="1037" customFormat="1" ht="25.5" thickTop="1" thickBot="1" x14ac:dyDescent="0.25">
      <c r="A562" s="1203" t="s">
        <v>93</v>
      </c>
      <c r="B562" s="1204" t="s">
        <v>392</v>
      </c>
      <c r="C562" s="1204" t="s">
        <v>209</v>
      </c>
      <c r="D562" s="1205" t="s">
        <v>95</v>
      </c>
      <c r="E562" s="1206" t="s">
        <v>328</v>
      </c>
      <c r="F562" s="1206" t="s">
        <v>329</v>
      </c>
      <c r="G562" s="1207" t="s">
        <v>448</v>
      </c>
      <c r="H562" s="2191" t="s">
        <v>449</v>
      </c>
      <c r="I562" s="2195"/>
      <c r="J562" s="2195"/>
      <c r="K562" s="2195"/>
      <c r="L562" s="2195"/>
      <c r="M562" s="2195"/>
    </row>
    <row r="563" spans="1:13" s="1037" customFormat="1" ht="15.75" thickTop="1" x14ac:dyDescent="0.2">
      <c r="A563" s="1110">
        <v>6172</v>
      </c>
      <c r="B563" s="2899">
        <v>6111</v>
      </c>
      <c r="C563" s="1216" t="s">
        <v>1450</v>
      </c>
      <c r="D563" s="1130" t="s">
        <v>457</v>
      </c>
      <c r="E563" s="1208">
        <v>1100</v>
      </c>
      <c r="F563" s="1208">
        <v>0</v>
      </c>
      <c r="G563" s="1208">
        <v>0</v>
      </c>
      <c r="H563" s="3053">
        <v>0</v>
      </c>
      <c r="I563" s="2195"/>
      <c r="J563" s="2195"/>
      <c r="K563" s="2195"/>
      <c r="L563" s="2195"/>
      <c r="M563" s="2195"/>
    </row>
    <row r="564" spans="1:13" s="1037" customFormat="1" ht="15" x14ac:dyDescent="0.2">
      <c r="A564" s="1110">
        <v>6172</v>
      </c>
      <c r="B564" s="2899">
        <v>6111</v>
      </c>
      <c r="C564" s="1216" t="s">
        <v>1749</v>
      </c>
      <c r="D564" s="1130" t="s">
        <v>457</v>
      </c>
      <c r="E564" s="1208">
        <v>9900</v>
      </c>
      <c r="F564" s="1208">
        <v>0</v>
      </c>
      <c r="G564" s="1208">
        <v>0</v>
      </c>
      <c r="H564" s="3053">
        <v>0</v>
      </c>
      <c r="I564" s="2195"/>
      <c r="J564" s="2195"/>
      <c r="K564" s="2195"/>
      <c r="L564" s="2195"/>
      <c r="M564" s="2195"/>
    </row>
    <row r="565" spans="1:13" s="1037" customFormat="1" ht="15" x14ac:dyDescent="0.2">
      <c r="A565" s="1110">
        <v>6172</v>
      </c>
      <c r="B565" s="2899">
        <v>6125</v>
      </c>
      <c r="C565" s="1216" t="s">
        <v>1450</v>
      </c>
      <c r="D565" s="1130" t="s">
        <v>103</v>
      </c>
      <c r="E565" s="1208">
        <v>0</v>
      </c>
      <c r="F565" s="1208">
        <v>773</v>
      </c>
      <c r="G565" s="1208">
        <v>23</v>
      </c>
      <c r="H565" s="3053">
        <f t="shared" ref="H565:H567" si="33">G565/F565*100</f>
        <v>2.9754204398447608</v>
      </c>
      <c r="I565" s="2195"/>
      <c r="J565" s="2195"/>
      <c r="K565" s="2195"/>
      <c r="L565" s="2195"/>
      <c r="M565" s="2195"/>
    </row>
    <row r="566" spans="1:13" s="1037" customFormat="1" ht="15" x14ac:dyDescent="0.2">
      <c r="A566" s="1110">
        <v>6172</v>
      </c>
      <c r="B566" s="1111">
        <v>6125</v>
      </c>
      <c r="C566" s="1216" t="s">
        <v>1449</v>
      </c>
      <c r="D566" s="1130" t="s">
        <v>103</v>
      </c>
      <c r="E566" s="1208">
        <v>0</v>
      </c>
      <c r="F566" s="1208">
        <v>12</v>
      </c>
      <c r="G566" s="1208">
        <v>11</v>
      </c>
      <c r="H566" s="3053">
        <f t="shared" si="33"/>
        <v>91.666666666666657</v>
      </c>
      <c r="I566" s="2195"/>
      <c r="J566" s="2195"/>
      <c r="K566" s="2195"/>
      <c r="L566" s="2195"/>
      <c r="M566" s="2195"/>
    </row>
    <row r="567" spans="1:13" s="1037" customFormat="1" ht="15" x14ac:dyDescent="0.2">
      <c r="A567" s="1110">
        <v>6172</v>
      </c>
      <c r="B567" s="1111">
        <v>6125</v>
      </c>
      <c r="C567" s="1216" t="s">
        <v>1464</v>
      </c>
      <c r="D567" s="1130" t="s">
        <v>103</v>
      </c>
      <c r="E567" s="1208">
        <v>0</v>
      </c>
      <c r="F567" s="1208">
        <v>115</v>
      </c>
      <c r="G567" s="1208">
        <v>0</v>
      </c>
      <c r="H567" s="3053">
        <f t="shared" si="33"/>
        <v>0</v>
      </c>
      <c r="I567" s="2195"/>
      <c r="J567" s="2195"/>
      <c r="K567" s="2195"/>
      <c r="L567" s="2195"/>
      <c r="M567" s="2195"/>
    </row>
    <row r="568" spans="1:13" s="1037" customFormat="1" ht="15.75" thickBot="1" x14ac:dyDescent="0.25">
      <c r="A568" s="1110">
        <v>6172</v>
      </c>
      <c r="B568" s="1111">
        <v>6125</v>
      </c>
      <c r="C568" s="1216" t="s">
        <v>1448</v>
      </c>
      <c r="D568" s="1130" t="s">
        <v>103</v>
      </c>
      <c r="E568" s="1208">
        <v>0</v>
      </c>
      <c r="F568" s="1208">
        <v>200</v>
      </c>
      <c r="G568" s="1208">
        <v>190</v>
      </c>
      <c r="H568" s="3053">
        <f>G568/F568*100</f>
        <v>95</v>
      </c>
      <c r="I568" s="2195"/>
      <c r="J568" s="2195"/>
      <c r="K568" s="2195"/>
      <c r="L568" s="2195"/>
      <c r="M568" s="2195"/>
    </row>
    <row r="569" spans="1:13" s="1037" customFormat="1" ht="16.5" thickTop="1" thickBot="1" x14ac:dyDescent="0.3">
      <c r="A569" s="3338" t="s">
        <v>394</v>
      </c>
      <c r="B569" s="3339"/>
      <c r="C569" s="3339"/>
      <c r="D569" s="3340"/>
      <c r="E569" s="1209">
        <f>SUM(E563:E568)</f>
        <v>11000</v>
      </c>
      <c r="F569" s="1209">
        <f t="shared" ref="F569:G569" si="34">SUM(F563:F568)</f>
        <v>1100</v>
      </c>
      <c r="G569" s="1209">
        <f t="shared" si="34"/>
        <v>224</v>
      </c>
      <c r="H569" s="3054">
        <f>G569/F569*100</f>
        <v>20.363636363636363</v>
      </c>
      <c r="I569" s="2195"/>
      <c r="J569" s="2195"/>
      <c r="K569" s="2195"/>
      <c r="L569" s="2195"/>
      <c r="M569" s="2195"/>
    </row>
    <row r="570" spans="1:13" s="1037" customFormat="1" ht="18.75" thickTop="1" x14ac:dyDescent="0.25">
      <c r="A570" s="1101"/>
      <c r="B570" s="1097"/>
      <c r="C570" s="1097"/>
      <c r="D570" s="1098"/>
      <c r="E570" s="1123"/>
      <c r="F570" s="1123"/>
      <c r="G570" s="1123"/>
      <c r="H570" s="1098"/>
      <c r="J570" s="1037" t="s">
        <v>280</v>
      </c>
    </row>
    <row r="571" spans="1:13" s="1037" customFormat="1" ht="15" x14ac:dyDescent="0.25">
      <c r="A571" s="3336" t="s">
        <v>1801</v>
      </c>
      <c r="B571" s="3336"/>
      <c r="C571" s="3336"/>
      <c r="D571" s="3336"/>
      <c r="E571" s="3336"/>
      <c r="F571" s="3336"/>
      <c r="G571" s="3336"/>
      <c r="H571" s="3336"/>
    </row>
    <row r="572" spans="1:13" s="1037" customFormat="1" ht="15.75" thickBot="1" x14ac:dyDescent="0.3">
      <c r="A572" s="1202" t="s">
        <v>1800</v>
      </c>
      <c r="B572" s="1202"/>
      <c r="C572" s="1202"/>
      <c r="D572" s="2194"/>
      <c r="E572" s="2193"/>
      <c r="F572" s="2193"/>
      <c r="G572" s="2193"/>
      <c r="H572" s="2192" t="s">
        <v>92</v>
      </c>
    </row>
    <row r="573" spans="1:13" s="1037" customFormat="1" ht="25.5" thickTop="1" thickBot="1" x14ac:dyDescent="0.25">
      <c r="A573" s="1203" t="s">
        <v>93</v>
      </c>
      <c r="B573" s="1204" t="s">
        <v>392</v>
      </c>
      <c r="C573" s="1204" t="s">
        <v>209</v>
      </c>
      <c r="D573" s="1205" t="s">
        <v>95</v>
      </c>
      <c r="E573" s="1206" t="s">
        <v>328</v>
      </c>
      <c r="F573" s="1206" t="s">
        <v>329</v>
      </c>
      <c r="G573" s="1207" t="s">
        <v>448</v>
      </c>
      <c r="H573" s="2191" t="s">
        <v>449</v>
      </c>
    </row>
    <row r="574" spans="1:13" s="1037" customFormat="1" ht="15.75" thickTop="1" x14ac:dyDescent="0.2">
      <c r="A574" s="1110">
        <v>6172</v>
      </c>
      <c r="B574" s="1111">
        <v>6111</v>
      </c>
      <c r="C574" s="1216" t="s">
        <v>1450</v>
      </c>
      <c r="D574" s="1130" t="s">
        <v>103</v>
      </c>
      <c r="E574" s="1208">
        <v>0</v>
      </c>
      <c r="F574" s="1208">
        <v>18</v>
      </c>
      <c r="G574" s="1208">
        <v>17</v>
      </c>
      <c r="H574" s="3055">
        <f>G574/F574*100</f>
        <v>94.444444444444443</v>
      </c>
    </row>
    <row r="575" spans="1:13" s="1037" customFormat="1" ht="15" x14ac:dyDescent="0.2">
      <c r="A575" s="1110">
        <v>6172</v>
      </c>
      <c r="B575" s="1111">
        <v>6111</v>
      </c>
      <c r="C575" s="1216" t="s">
        <v>1449</v>
      </c>
      <c r="D575" s="1130" t="s">
        <v>103</v>
      </c>
      <c r="E575" s="1208">
        <v>0</v>
      </c>
      <c r="F575" s="1208">
        <v>9</v>
      </c>
      <c r="G575" s="1208">
        <v>9</v>
      </c>
      <c r="H575" s="3055">
        <f>G575/F575*100</f>
        <v>100</v>
      </c>
    </row>
    <row r="576" spans="1:13" s="1037" customFormat="1" ht="15.75" thickBot="1" x14ac:dyDescent="0.25">
      <c r="A576" s="1110">
        <v>6172</v>
      </c>
      <c r="B576" s="1111">
        <v>6111</v>
      </c>
      <c r="C576" s="1216" t="s">
        <v>1448</v>
      </c>
      <c r="D576" s="1130" t="s">
        <v>103</v>
      </c>
      <c r="E576" s="1208">
        <v>0</v>
      </c>
      <c r="F576" s="1208">
        <v>153</v>
      </c>
      <c r="G576" s="1208">
        <v>145</v>
      </c>
      <c r="H576" s="3055">
        <f>G576/F576*100</f>
        <v>94.77124183006535</v>
      </c>
    </row>
    <row r="577" spans="1:8" s="1037" customFormat="1" ht="16.5" thickTop="1" thickBot="1" x14ac:dyDescent="0.3">
      <c r="A577" s="3338" t="s">
        <v>394</v>
      </c>
      <c r="B577" s="3339"/>
      <c r="C577" s="3339"/>
      <c r="D577" s="3340"/>
      <c r="E577" s="1209">
        <f>SUM(E574:E576)</f>
        <v>0</v>
      </c>
      <c r="F577" s="1209">
        <f>SUM(F574:F576)</f>
        <v>180</v>
      </c>
      <c r="G577" s="1209">
        <f>SUM(G574:G576)</f>
        <v>171</v>
      </c>
      <c r="H577" s="3056">
        <f>G577/F577*100</f>
        <v>95</v>
      </c>
    </row>
    <row r="578" spans="1:8" s="1037" customFormat="1" ht="18.75" thickTop="1" x14ac:dyDescent="0.25">
      <c r="A578" s="1101"/>
      <c r="B578" s="1097"/>
      <c r="C578" s="1097"/>
      <c r="D578" s="1098"/>
      <c r="E578" s="1123"/>
      <c r="F578" s="1123"/>
      <c r="G578" s="1123"/>
      <c r="H578" s="1098"/>
    </row>
    <row r="579" spans="1:8" s="1037" customFormat="1" ht="18" x14ac:dyDescent="0.25">
      <c r="A579" s="1101"/>
      <c r="B579" s="1097"/>
      <c r="C579" s="1097"/>
      <c r="D579" s="1098"/>
      <c r="E579" s="1123"/>
      <c r="F579" s="1123"/>
      <c r="G579" s="1123"/>
      <c r="H579" s="1098"/>
    </row>
    <row r="580" spans="1:8" s="1037" customFormat="1" ht="18" x14ac:dyDescent="0.25">
      <c r="A580" s="1101"/>
      <c r="B580" s="1097"/>
      <c r="C580" s="1097"/>
      <c r="D580" s="1098"/>
      <c r="E580" s="1123"/>
      <c r="F580" s="1123"/>
      <c r="G580" s="1123"/>
      <c r="H580" s="1098"/>
    </row>
    <row r="581" spans="1:8" s="1037" customFormat="1" ht="18" hidden="1" x14ac:dyDescent="0.25">
      <c r="A581" s="1101"/>
      <c r="B581" s="1097"/>
      <c r="C581" s="1097"/>
      <c r="D581" s="1098"/>
      <c r="E581" s="1123"/>
      <c r="F581" s="1123"/>
      <c r="G581" s="1123"/>
      <c r="H581" s="1098"/>
    </row>
    <row r="582" spans="1:8" s="1037" customFormat="1" ht="18" hidden="1" x14ac:dyDescent="0.25">
      <c r="A582" s="1101"/>
      <c r="B582" s="1097"/>
      <c r="C582" s="1097"/>
      <c r="D582" s="1098"/>
      <c r="E582" s="1123"/>
      <c r="F582" s="1123"/>
      <c r="G582" s="1123"/>
      <c r="H582" s="1098"/>
    </row>
    <row r="583" spans="1:8" s="1037" customFormat="1" ht="18" hidden="1" x14ac:dyDescent="0.25">
      <c r="A583" s="1101"/>
      <c r="B583" s="1097"/>
      <c r="C583" s="1097"/>
      <c r="D583" s="1098"/>
      <c r="E583" s="1123"/>
      <c r="F583" s="1123"/>
      <c r="G583" s="1123"/>
      <c r="H583" s="1098"/>
    </row>
    <row r="584" spans="1:8" s="1037" customFormat="1" ht="18" hidden="1" x14ac:dyDescent="0.25">
      <c r="A584" s="1101"/>
      <c r="B584" s="1097"/>
      <c r="C584" s="1097"/>
      <c r="D584" s="1098"/>
      <c r="E584" s="1123"/>
      <c r="F584" s="1123"/>
      <c r="G584" s="1123"/>
      <c r="H584" s="1098"/>
    </row>
    <row r="585" spans="1:8" s="1037" customFormat="1" ht="18" hidden="1" x14ac:dyDescent="0.25">
      <c r="A585" s="1101"/>
      <c r="B585" s="1097"/>
      <c r="C585" s="1097"/>
      <c r="D585" s="1098"/>
      <c r="E585" s="1123"/>
      <c r="F585" s="1123"/>
      <c r="G585" s="1123"/>
      <c r="H585" s="1098"/>
    </row>
    <row r="586" spans="1:8" s="1037" customFormat="1" ht="18" hidden="1" x14ac:dyDescent="0.25">
      <c r="A586" s="1101"/>
      <c r="B586" s="1097"/>
      <c r="C586" s="1097"/>
      <c r="D586" s="1098"/>
      <c r="E586" s="1123"/>
      <c r="F586" s="1123"/>
      <c r="G586" s="1123"/>
      <c r="H586" s="1098"/>
    </row>
    <row r="587" spans="1:8" s="1037" customFormat="1" ht="18" hidden="1" x14ac:dyDescent="0.25">
      <c r="A587" s="1101"/>
      <c r="B587" s="1097"/>
      <c r="C587" s="1097"/>
      <c r="D587" s="1098"/>
      <c r="E587" s="1123"/>
      <c r="F587" s="1123"/>
      <c r="G587" s="1123"/>
      <c r="H587" s="1098"/>
    </row>
    <row r="588" spans="1:8" s="1037" customFormat="1" ht="18" hidden="1" x14ac:dyDescent="0.25">
      <c r="A588" s="1101"/>
      <c r="B588" s="1097"/>
      <c r="C588" s="1097"/>
      <c r="D588" s="1098"/>
      <c r="E588" s="1123"/>
      <c r="F588" s="1123"/>
      <c r="G588" s="1123"/>
      <c r="H588" s="1098"/>
    </row>
    <row r="589" spans="1:8" s="1037" customFormat="1" ht="15" hidden="1" x14ac:dyDescent="0.25">
      <c r="A589" s="1118"/>
      <c r="B589" s="1118"/>
      <c r="C589" s="1118"/>
      <c r="D589" s="1118"/>
      <c r="E589" s="1119"/>
      <c r="F589" s="1119"/>
      <c r="G589" s="1119"/>
      <c r="H589" s="1138"/>
    </row>
    <row r="590" spans="1:8" ht="15" hidden="1" x14ac:dyDescent="0.25">
      <c r="A590" s="1103" t="s">
        <v>799</v>
      </c>
    </row>
    <row r="591" spans="1:8" ht="1.5" hidden="1" customHeight="1" thickBot="1" x14ac:dyDescent="0.3">
      <c r="A591" s="1103"/>
      <c r="H591" s="1177" t="s">
        <v>92</v>
      </c>
    </row>
    <row r="592" spans="1:8" s="1037" customFormat="1" ht="25.5" hidden="1" thickTop="1" thickBot="1" x14ac:dyDescent="0.25">
      <c r="A592" s="1104" t="s">
        <v>93</v>
      </c>
      <c r="B592" s="1105" t="s">
        <v>392</v>
      </c>
      <c r="C592" s="1105" t="s">
        <v>209</v>
      </c>
      <c r="D592" s="1106" t="s">
        <v>95</v>
      </c>
      <c r="E592" s="1127" t="s">
        <v>328</v>
      </c>
      <c r="F592" s="1127" t="s">
        <v>329</v>
      </c>
      <c r="G592" s="1128" t="s">
        <v>448</v>
      </c>
      <c r="H592" s="1129" t="s">
        <v>449</v>
      </c>
    </row>
    <row r="593" spans="1:11" s="1037" customFormat="1" ht="13.5" hidden="1" thickTop="1" thickBot="1" x14ac:dyDescent="0.25">
      <c r="A593" s="1042">
        <v>1</v>
      </c>
      <c r="B593" s="1041">
        <v>2</v>
      </c>
      <c r="C593" s="1041">
        <v>3</v>
      </c>
      <c r="D593" s="1041">
        <v>4</v>
      </c>
      <c r="E593" s="1040">
        <v>5</v>
      </c>
      <c r="F593" s="1040">
        <v>6</v>
      </c>
      <c r="G593" s="1164">
        <v>7</v>
      </c>
      <c r="H593" s="1186" t="s">
        <v>33</v>
      </c>
    </row>
    <row r="594" spans="1:11" s="1037" customFormat="1" ht="15" hidden="1" x14ac:dyDescent="0.2">
      <c r="A594" s="1110">
        <v>2143</v>
      </c>
      <c r="B594" s="1111">
        <v>5169</v>
      </c>
      <c r="C594" s="1111"/>
      <c r="D594" s="1130" t="s">
        <v>430</v>
      </c>
      <c r="E594" s="1135"/>
      <c r="F594" s="1135">
        <v>0</v>
      </c>
      <c r="G594" s="1135">
        <v>0</v>
      </c>
      <c r="H594" s="1116">
        <v>0</v>
      </c>
    </row>
    <row r="595" spans="1:11" s="1037" customFormat="1" ht="15" hidden="1" x14ac:dyDescent="0.2">
      <c r="A595" s="1110">
        <v>3122</v>
      </c>
      <c r="B595" s="1111">
        <v>6122</v>
      </c>
      <c r="C595" s="1111"/>
      <c r="D595" s="1130" t="s">
        <v>313</v>
      </c>
      <c r="E595" s="1135">
        <v>0</v>
      </c>
      <c r="F595" s="1135"/>
      <c r="G595" s="1135"/>
      <c r="H595" s="1116" t="e">
        <f>G595/F595*100</f>
        <v>#DIV/0!</v>
      </c>
    </row>
    <row r="596" spans="1:11" s="1037" customFormat="1" ht="16.5" hidden="1" thickTop="1" thickBot="1" x14ac:dyDescent="0.3">
      <c r="A596" s="3317" t="s">
        <v>394</v>
      </c>
      <c r="B596" s="3318"/>
      <c r="C596" s="3318"/>
      <c r="D596" s="3318"/>
      <c r="E596" s="1113">
        <f>SUM(E594:E595)</f>
        <v>0</v>
      </c>
      <c r="F596" s="1113">
        <f>SUM(F594:F595)</f>
        <v>0</v>
      </c>
      <c r="G596" s="1113">
        <f>SUM(G594:G595)</f>
        <v>0</v>
      </c>
      <c r="H596" s="1117">
        <v>0</v>
      </c>
    </row>
    <row r="597" spans="1:11" s="1037" customFormat="1" ht="14.25" hidden="1" customHeight="1" x14ac:dyDescent="0.25">
      <c r="A597" s="1101"/>
      <c r="B597" s="1097"/>
      <c r="C597" s="1097"/>
      <c r="D597" s="1098"/>
      <c r="E597" s="1123"/>
      <c r="F597" s="1123"/>
      <c r="G597" s="1123"/>
      <c r="H597" s="1098"/>
    </row>
    <row r="598" spans="1:11" ht="15" hidden="1" x14ac:dyDescent="0.25">
      <c r="A598" s="1103" t="s">
        <v>740</v>
      </c>
    </row>
    <row r="599" spans="1:11" ht="15" hidden="1" x14ac:dyDescent="0.25">
      <c r="A599" s="1103" t="s">
        <v>741</v>
      </c>
      <c r="H599" s="1177" t="s">
        <v>92</v>
      </c>
    </row>
    <row r="600" spans="1:11" s="1037" customFormat="1" ht="25.5" hidden="1" thickTop="1" thickBot="1" x14ac:dyDescent="0.25">
      <c r="A600" s="1104" t="s">
        <v>93</v>
      </c>
      <c r="B600" s="1105" t="s">
        <v>392</v>
      </c>
      <c r="C600" s="1105" t="s">
        <v>209</v>
      </c>
      <c r="D600" s="1106" t="s">
        <v>95</v>
      </c>
      <c r="E600" s="1127" t="s">
        <v>328</v>
      </c>
      <c r="F600" s="1127" t="s">
        <v>329</v>
      </c>
      <c r="G600" s="1128" t="s">
        <v>448</v>
      </c>
      <c r="H600" s="1129" t="s">
        <v>449</v>
      </c>
    </row>
    <row r="601" spans="1:11" s="1037" customFormat="1" ht="13.5" hidden="1" thickTop="1" thickBot="1" x14ac:dyDescent="0.25">
      <c r="A601" s="1042">
        <v>1</v>
      </c>
      <c r="B601" s="1041">
        <v>2</v>
      </c>
      <c r="C601" s="1041">
        <v>3</v>
      </c>
      <c r="D601" s="1041">
        <v>4</v>
      </c>
      <c r="E601" s="1040">
        <v>5</v>
      </c>
      <c r="F601" s="1040">
        <v>6</v>
      </c>
      <c r="G601" s="1164">
        <v>7</v>
      </c>
      <c r="H601" s="1186" t="s">
        <v>33</v>
      </c>
    </row>
    <row r="602" spans="1:11" s="1037" customFormat="1" ht="15" hidden="1" x14ac:dyDescent="0.2">
      <c r="A602" s="1110">
        <v>4357</v>
      </c>
      <c r="B602" s="1111">
        <v>5137</v>
      </c>
      <c r="C602" s="1111">
        <v>36113003</v>
      </c>
      <c r="D602" s="1130" t="s">
        <v>88</v>
      </c>
      <c r="E602" s="1135"/>
      <c r="F602" s="1135"/>
      <c r="G602" s="1135"/>
      <c r="H602" s="1116" t="e">
        <f t="shared" ref="H602:H607" si="35">G602/F602*100</f>
        <v>#DIV/0!</v>
      </c>
    </row>
    <row r="603" spans="1:11" s="1037" customFormat="1" ht="15" hidden="1" x14ac:dyDescent="0.2">
      <c r="A603" s="1110">
        <v>4357</v>
      </c>
      <c r="B603" s="1111">
        <v>5137</v>
      </c>
      <c r="C603" s="1111">
        <v>36513003</v>
      </c>
      <c r="D603" s="1130"/>
      <c r="E603" s="1135"/>
      <c r="F603" s="1135"/>
      <c r="G603" s="1135"/>
      <c r="H603" s="1116" t="e">
        <f t="shared" si="35"/>
        <v>#DIV/0!</v>
      </c>
    </row>
    <row r="604" spans="1:11" s="1037" customFormat="1" ht="15" hidden="1" x14ac:dyDescent="0.2">
      <c r="A604" s="1110">
        <v>4357</v>
      </c>
      <c r="B604" s="1111">
        <v>6121</v>
      </c>
      <c r="C604" s="1111">
        <v>36100874</v>
      </c>
      <c r="D604" s="1130" t="s">
        <v>312</v>
      </c>
      <c r="E604" s="1135"/>
      <c r="F604" s="1135"/>
      <c r="G604" s="1135"/>
      <c r="H604" s="1116" t="e">
        <f t="shared" si="35"/>
        <v>#DIV/0!</v>
      </c>
      <c r="K604" s="1037">
        <v>207865</v>
      </c>
    </row>
    <row r="605" spans="1:11" s="1037" customFormat="1" ht="15" hidden="1" x14ac:dyDescent="0.2">
      <c r="A605" s="1110">
        <v>4357</v>
      </c>
      <c r="B605" s="1111">
        <v>6121</v>
      </c>
      <c r="C605" s="1111">
        <v>36113899</v>
      </c>
      <c r="D605" s="1130" t="s">
        <v>312</v>
      </c>
      <c r="E605" s="1135"/>
      <c r="F605" s="1135"/>
      <c r="G605" s="1135"/>
      <c r="H605" s="1116" t="e">
        <f t="shared" si="35"/>
        <v>#DIV/0!</v>
      </c>
      <c r="I605" s="1370" t="e">
        <f>E52+E53+E54+E55+E57+E60+E75+E107+E108+E164+E165+E168+E169+E171+E172+E173+E174+#REF!+#REF!+#REF!+E246+E247+E248+E249+E264+E307+E308+E309+E310+#REF!+#REF!+#REF!+#REF!+#REF!+E328+#REF!+E329+E330+E331+#REF!+E332+E333+E334+E335+E336+E337+#REF!+#REF!+#REF!+#REF!+E482+E483+E484+E485+#REF!+#REF!+#REF!+#REF!+#REF!+#REF!+#REF!+#REF!+E594+E602+E603+#REF!+#REF!+#REF!+#REF!</f>
        <v>#REF!</v>
      </c>
      <c r="J605" s="1370" t="e">
        <f>F52+F53+F54+F55+F57+F60+F75+F107+F108+F164+F165+F168+F169+F171+F172+F173+F174+#REF!+#REF!+#REF!+F246+F247+F248+F249+F264+F307+F308+F309+F310+#REF!+#REF!+#REF!+#REF!+#REF!+F328+#REF!+F329+F330+F331+#REF!+F332+F333+F334+F335+F336+F337+#REF!+#REF!+#REF!+#REF!+F482+F483+F484+F485+#REF!+#REF!+#REF!+#REF!+#REF!+#REF!+#REF!+#REF!+F594+F602+F603+#REF!+#REF!+#REF!+#REF!</f>
        <v>#REF!</v>
      </c>
      <c r="K605" s="1370" t="e">
        <f>G52+G53+G54+G55+G57+G60+G75+G107+G108+G164+G165+G168+G169+G171+G172+G173+G174+#REF!+#REF!+#REF!+G246+G247+G248+G249+G264+G307+G308+G309+G310+#REF!+#REF!+#REF!+#REF!+#REF!+G328+#REF!+G329+G330+G331+#REF!+G332+G333+G334+G335+G336+G337+#REF!+#REF!+#REF!+#REF!+G482+G483+G484+G485+#REF!+#REF!+#REF!+#REF!+#REF!+#REF!+#REF!+#REF!+G594+G602+G603+#REF!+#REF!+#REF!+#REF!</f>
        <v>#REF!</v>
      </c>
    </row>
    <row r="606" spans="1:11" s="1037" customFormat="1" ht="15" hidden="1" x14ac:dyDescent="0.2">
      <c r="A606" s="1110">
        <v>4357</v>
      </c>
      <c r="B606" s="1111">
        <v>6121</v>
      </c>
      <c r="C606" s="1111">
        <v>36513899</v>
      </c>
      <c r="D606" s="1130" t="s">
        <v>312</v>
      </c>
      <c r="E606" s="1135"/>
      <c r="F606" s="1135"/>
      <c r="G606" s="1135"/>
      <c r="H606" s="1116" t="e">
        <f t="shared" si="35"/>
        <v>#DIV/0!</v>
      </c>
      <c r="J606" s="1370" t="e">
        <f>F109+F110+F111+F112+F113+F114+F115+F140+#REF!+#REF!+#REF!+#REF!+#REF!+F217+F253+F338+F339+#REF!+#REF!+#REF!+#REF!+#REF!+#REF!+#REF!+F354+#REF!+#REF!+#REF!+#REF!+#REF!+F361+F362+F363+F371+F378+F473+F475+F486+#REF!+#REF!+#REF!+#REF!+#REF!+F604+F605+F606</f>
        <v>#REF!</v>
      </c>
      <c r="K606" s="1370" t="e">
        <f>G109+G110+G111+G112+G113+G114+G115+G140+#REF!+#REF!+#REF!+#REF!+#REF!+G217+G253+G338+G339+#REF!+#REF!+#REF!+#REF!+#REF!+#REF!+#REF!+G354+#REF!+#REF!+#REF!+#REF!+#REF!+G361+G362+G363+G371+G378+G473+G475+G486+#REF!+#REF!+#REF!+#REF!+#REF!+G604+G605+G606</f>
        <v>#REF!</v>
      </c>
    </row>
    <row r="607" spans="1:11" s="1037" customFormat="1" ht="16.5" hidden="1" thickTop="1" thickBot="1" x14ac:dyDescent="0.3">
      <c r="A607" s="3317" t="s">
        <v>394</v>
      </c>
      <c r="B607" s="3318"/>
      <c r="C607" s="3318"/>
      <c r="D607" s="3318"/>
      <c r="E607" s="1113">
        <f>SUM(E602:E606)</f>
        <v>0</v>
      </c>
      <c r="F607" s="1113">
        <f>SUM(F602:F606)</f>
        <v>0</v>
      </c>
      <c r="G607" s="1113">
        <f>SUM(G602:G606)</f>
        <v>0</v>
      </c>
      <c r="H607" s="1117" t="e">
        <f t="shared" si="35"/>
        <v>#DIV/0!</v>
      </c>
      <c r="J607" s="1370" t="e">
        <f>F607+F596+#REF!+#REF!+#REF!+F488+F476+F381+F365+F355+F340+F311+F265+F254+F239+F175+F145+F116+F82+F15</f>
        <v>#REF!</v>
      </c>
      <c r="K607" s="1370" t="e">
        <f>G607+G596+#REF!+#REF!+#REF!+G488+G476+G381+G365+G355+G340+G311+G265+G254+G239+G175+G145+G116+G82+G15</f>
        <v>#REF!</v>
      </c>
    </row>
    <row r="608" spans="1:11" s="1037" customFormat="1" ht="14.25" hidden="1" customHeight="1" x14ac:dyDescent="0.25">
      <c r="A608" s="1101"/>
      <c r="B608" s="1097"/>
      <c r="C608" s="1097"/>
      <c r="D608" s="1098"/>
      <c r="E608" s="1123"/>
      <c r="F608" s="1123"/>
      <c r="G608" s="1123"/>
      <c r="H608" s="1098"/>
    </row>
    <row r="609" spans="1:13" s="1037" customFormat="1" ht="14.25" hidden="1" customHeight="1" x14ac:dyDescent="0.25">
      <c r="A609" s="1101"/>
      <c r="B609" s="1097"/>
      <c r="C609" s="1097"/>
      <c r="D609" s="1098"/>
      <c r="E609" s="1123"/>
      <c r="F609" s="1123"/>
      <c r="G609" s="1123"/>
      <c r="H609" s="1098"/>
    </row>
    <row r="610" spans="1:13" s="1037" customFormat="1" ht="13.5" customHeight="1" x14ac:dyDescent="0.25">
      <c r="A610" s="1101"/>
      <c r="B610" s="1097"/>
      <c r="C610" s="1097"/>
      <c r="D610" s="1098"/>
      <c r="E610" s="1123"/>
      <c r="F610" s="1123"/>
      <c r="G610" s="1123"/>
      <c r="H610" s="1098"/>
    </row>
    <row r="611" spans="1:13" s="1037" customFormat="1" ht="6.75" customHeight="1" x14ac:dyDescent="0.25">
      <c r="A611" s="1101"/>
      <c r="B611" s="1097"/>
      <c r="C611" s="1097"/>
      <c r="D611" s="1098"/>
      <c r="E611" s="1123"/>
      <c r="F611" s="1123"/>
      <c r="G611" s="1123"/>
      <c r="H611" s="1098"/>
    </row>
    <row r="612" spans="1:13" ht="6.75" customHeight="1" x14ac:dyDescent="0.2"/>
    <row r="613" spans="1:13" ht="16.5" x14ac:dyDescent="0.25">
      <c r="A613" s="1147" t="s">
        <v>251</v>
      </c>
      <c r="B613" s="1148"/>
      <c r="C613" s="1149"/>
      <c r="D613" s="1150"/>
      <c r="E613" s="1151">
        <f>SUM(E614:E616)</f>
        <v>39928</v>
      </c>
      <c r="F613" s="1151">
        <f>F614+F615+F616+F617</f>
        <v>18796</v>
      </c>
      <c r="G613" s="1151">
        <f>G614+G615+G616+G617</f>
        <v>8229</v>
      </c>
      <c r="H613" s="1170">
        <f>G613/F613*100</f>
        <v>43.780591615237284</v>
      </c>
      <c r="J613" s="1153">
        <f>J614+J615+J616</f>
        <v>39928000</v>
      </c>
      <c r="K613" s="1153">
        <f>K614+K615+K616</f>
        <v>18795500</v>
      </c>
      <c r="L613" s="1153">
        <f>L614+L615+L616</f>
        <v>8229619.2400000002</v>
      </c>
    </row>
    <row r="614" spans="1:13" ht="15" x14ac:dyDescent="0.2">
      <c r="A614" s="1011" t="s">
        <v>147</v>
      </c>
      <c r="B614" s="1013"/>
      <c r="C614" s="1009"/>
      <c r="D614" s="1154"/>
      <c r="E614" s="1012">
        <f>E140+E182+E183+E184+E192+E193+E194+E436+E451+E494+E508+E509+E520+E521+E536+E537+E538+E539+E540+E547</f>
        <v>6007</v>
      </c>
      <c r="F614" s="1012">
        <f t="shared" ref="F614:G614" si="36">F140+F182+F183+F184+F192+F193+F194+F436+F451+F494+F508+F509+F520+F521+F536+F537+F538+F539+F540+F547</f>
        <v>4187</v>
      </c>
      <c r="G614" s="1012">
        <f t="shared" si="36"/>
        <v>2733</v>
      </c>
      <c r="H614" s="1169">
        <f>G614/F614*100</f>
        <v>65.27346548841652</v>
      </c>
      <c r="J614" s="1155">
        <v>6007000</v>
      </c>
      <c r="K614" s="1155">
        <v>4187500</v>
      </c>
      <c r="L614" s="1155">
        <v>2733327.9</v>
      </c>
      <c r="M614" s="1099"/>
    </row>
    <row r="615" spans="1:13" ht="15" x14ac:dyDescent="0.2">
      <c r="A615" s="1011" t="s">
        <v>148</v>
      </c>
      <c r="B615" s="1010"/>
      <c r="C615" s="1009"/>
      <c r="D615" s="1156"/>
      <c r="E615" s="1012">
        <f>E151+E152+E165+E167+E185+E195+E209+E260+E271+E272+E273+E274+E275+E283+E284+E285+E292+E293+E294+E352+E353+E354+E391+E403+E412+E422+E423+E555+E556+E557+E563+E564+E565+E566+E567+E568+E574+E575+E576</f>
        <v>33921</v>
      </c>
      <c r="F615" s="1012">
        <f t="shared" ref="F615:G615" si="37">F151+F152+F165+F167+F185+F195+F209+F260+F271+F272+F273+F274+F275+F283+F284+F285+F292+F293+F294+F352+F353+F354+F391+F403+F412+F422+F423+F555+F556+F557+F563+F564+F565+F566+F567+F568+F574+F575+F576</f>
        <v>14609</v>
      </c>
      <c r="G615" s="1012">
        <f t="shared" si="37"/>
        <v>2578</v>
      </c>
      <c r="H615" s="1169">
        <f>G615/F615*100</f>
        <v>17.646656170853582</v>
      </c>
      <c r="J615" s="1155">
        <v>33921000</v>
      </c>
      <c r="K615" s="1155">
        <v>14608000</v>
      </c>
      <c r="L615" s="1155">
        <v>2577702.6</v>
      </c>
      <c r="M615" s="1099"/>
    </row>
    <row r="616" spans="1:13" ht="15" x14ac:dyDescent="0.2">
      <c r="A616" s="1011" t="s">
        <v>252</v>
      </c>
      <c r="B616" s="1010"/>
      <c r="C616" s="1009"/>
      <c r="D616" s="1156"/>
      <c r="E616" s="1012">
        <f>E14+E541</f>
        <v>0</v>
      </c>
      <c r="F616" s="1012">
        <f t="shared" ref="F616:G616" si="38">F14+F541</f>
        <v>0</v>
      </c>
      <c r="G616" s="1012">
        <f t="shared" si="38"/>
        <v>2918</v>
      </c>
      <c r="H616" s="1169">
        <v>0</v>
      </c>
      <c r="J616" s="1155">
        <v>0</v>
      </c>
      <c r="K616" s="1155">
        <v>0</v>
      </c>
      <c r="L616" s="1155">
        <v>2918588.74</v>
      </c>
    </row>
    <row r="617" spans="1:13" ht="15" x14ac:dyDescent="0.2">
      <c r="A617" s="1011"/>
      <c r="B617" s="1010"/>
      <c r="C617" s="1009"/>
      <c r="D617" s="1156"/>
      <c r="E617" s="1012"/>
      <c r="F617" s="1012"/>
      <c r="G617" s="1012"/>
      <c r="H617" s="1008"/>
    </row>
    <row r="618" spans="1:13" ht="24" customHeight="1" thickBot="1" x14ac:dyDescent="0.4">
      <c r="A618" s="3264" t="s">
        <v>2017</v>
      </c>
      <c r="B618" s="3264"/>
      <c r="C618" s="3264"/>
      <c r="D618" s="3264"/>
      <c r="E618" s="1006">
        <f>SUM(E613)</f>
        <v>39928</v>
      </c>
      <c r="F618" s="1006">
        <f>SUM(F613)</f>
        <v>18796</v>
      </c>
      <c r="G618" s="1006">
        <f>SUM(G613)</f>
        <v>8229</v>
      </c>
      <c r="H618" s="1005">
        <f>(G618/F618)*100</f>
        <v>43.780591615237284</v>
      </c>
    </row>
    <row r="619" spans="1:13" ht="13.5" thickTop="1" x14ac:dyDescent="0.2">
      <c r="A619" s="1097" t="s">
        <v>280</v>
      </c>
    </row>
  </sheetData>
  <mergeCells count="55">
    <mergeCell ref="A145:D145"/>
    <mergeCell ref="A286:D286"/>
    <mergeCell ref="A295:D295"/>
    <mergeCell ref="A311:D311"/>
    <mergeCell ref="A322:D322"/>
    <mergeCell ref="A155:D155"/>
    <mergeCell ref="A175:D175"/>
    <mergeCell ref="A177:H177"/>
    <mergeCell ref="A188:H188"/>
    <mergeCell ref="A278:H278"/>
    <mergeCell ref="A1:H1"/>
    <mergeCell ref="A15:D15"/>
    <mergeCell ref="A24:D24"/>
    <mergeCell ref="A32:D32"/>
    <mergeCell ref="A39:D39"/>
    <mergeCell ref="A46:D46"/>
    <mergeCell ref="A82:D82"/>
    <mergeCell ref="A101:D101"/>
    <mergeCell ref="A116:D116"/>
    <mergeCell ref="A133:D133"/>
    <mergeCell ref="A413:D413"/>
    <mergeCell ref="A429:D429"/>
    <mergeCell ref="A445:D445"/>
    <mergeCell ref="A461:D461"/>
    <mergeCell ref="A476:D476"/>
    <mergeCell ref="A596:D596"/>
    <mergeCell ref="A607:D607"/>
    <mergeCell ref="A618:D618"/>
    <mergeCell ref="A530:D530"/>
    <mergeCell ref="A542:D542"/>
    <mergeCell ref="A550:D550"/>
    <mergeCell ref="A544:H544"/>
    <mergeCell ref="A552:H552"/>
    <mergeCell ref="A571:H571"/>
    <mergeCell ref="A577:D577"/>
    <mergeCell ref="A569:D569"/>
    <mergeCell ref="A488:D488"/>
    <mergeCell ref="A502:D502"/>
    <mergeCell ref="A514:D514"/>
    <mergeCell ref="A558:D558"/>
    <mergeCell ref="A560:H560"/>
    <mergeCell ref="A342:H342"/>
    <mergeCell ref="A383:H383"/>
    <mergeCell ref="A399:H399"/>
    <mergeCell ref="A276:D276"/>
    <mergeCell ref="A186:D186"/>
    <mergeCell ref="A210:D210"/>
    <mergeCell ref="A239:D239"/>
    <mergeCell ref="A254:D254"/>
    <mergeCell ref="A265:D265"/>
    <mergeCell ref="A340:D340"/>
    <mergeCell ref="A355:D355"/>
    <mergeCell ref="A365:D365"/>
    <mergeCell ref="A381:D381"/>
    <mergeCell ref="A397:D397"/>
  </mergeCells>
  <pageMargins left="0.98425196850393704" right="0.78740157480314965" top="0.98425196850393704" bottom="0.98425196850393704" header="0.51181102362204722" footer="0.51181102362204722"/>
  <pageSetup paperSize="9" scale="65" firstPageNumber="142" orientation="portrait" useFirstPageNumber="1" r:id="rId1"/>
  <headerFooter alignWithMargins="0">
    <oddFooter>&amp;L&amp;"Arial,Kurzíva"Zastupitelstvo Olomouckého kraje 25. 6. 2018
5. - Rozpočet Olomouckého kraje 2017 - závěrečný  účet 
Příloha č. 3: Plnění rozpočtu výdajů Olomouckého kraje k 31. 12. 2017&amp;R&amp;"Arial,Kurzíva"Strana &amp;P (celkem 478)</oddFooter>
  </headerFooter>
  <rowBreaks count="3" manualBreakCount="3">
    <brk id="210" max="7" man="1"/>
    <brk id="413" max="7" man="1"/>
    <brk id="542" max="7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FF"/>
  </sheetPr>
  <dimension ref="A1:L271"/>
  <sheetViews>
    <sheetView showGridLines="0" view="pageBreakPreview" topLeftCell="A123" zoomScaleNormal="100" zoomScaleSheetLayoutView="100" workbookViewId="0">
      <selection activeCell="A149" sqref="A149"/>
    </sheetView>
  </sheetViews>
  <sheetFormatPr defaultRowHeight="12.75" x14ac:dyDescent="0.2"/>
  <cols>
    <col min="1" max="1" width="5.28515625" style="1097" customWidth="1"/>
    <col min="2" max="2" width="6.140625" style="1097" customWidth="1"/>
    <col min="3" max="3" width="9.5703125" style="1097" customWidth="1"/>
    <col min="4" max="4" width="42" style="1098" customWidth="1"/>
    <col min="5" max="5" width="15.42578125" style="1123" customWidth="1"/>
    <col min="6" max="6" width="15.85546875" style="1123" customWidth="1"/>
    <col min="7" max="7" width="14.42578125" style="1123" customWidth="1"/>
    <col min="8" max="8" width="8.140625" style="1098" customWidth="1"/>
    <col min="9" max="9" width="14.28515625" style="1098" bestFit="1" customWidth="1"/>
    <col min="10" max="10" width="14.7109375" style="1098" bestFit="1" customWidth="1"/>
    <col min="11" max="12" width="17.28515625" style="1098" bestFit="1" customWidth="1"/>
    <col min="13" max="256" width="9.140625" style="1098"/>
    <col min="257" max="257" width="4.7109375" style="1098" customWidth="1"/>
    <col min="258" max="258" width="6.140625" style="1098" customWidth="1"/>
    <col min="259" max="259" width="8.7109375" style="1098" customWidth="1"/>
    <col min="260" max="260" width="42" style="1098" customWidth="1"/>
    <col min="261" max="261" width="10.42578125" style="1098" customWidth="1"/>
    <col min="262" max="262" width="15.85546875" style="1098" customWidth="1"/>
    <col min="263" max="263" width="14.42578125" style="1098" customWidth="1"/>
    <col min="264" max="264" width="6.42578125" style="1098" customWidth="1"/>
    <col min="265" max="265" width="14.28515625" style="1098" bestFit="1" customWidth="1"/>
    <col min="266" max="266" width="9.140625" style="1098"/>
    <col min="267" max="268" width="17.28515625" style="1098" bestFit="1" customWidth="1"/>
    <col min="269" max="512" width="9.140625" style="1098"/>
    <col min="513" max="513" width="4.7109375" style="1098" customWidth="1"/>
    <col min="514" max="514" width="6.140625" style="1098" customWidth="1"/>
    <col min="515" max="515" width="8.7109375" style="1098" customWidth="1"/>
    <col min="516" max="516" width="42" style="1098" customWidth="1"/>
    <col min="517" max="517" width="10.42578125" style="1098" customWidth="1"/>
    <col min="518" max="518" width="15.85546875" style="1098" customWidth="1"/>
    <col min="519" max="519" width="14.42578125" style="1098" customWidth="1"/>
    <col min="520" max="520" width="6.42578125" style="1098" customWidth="1"/>
    <col min="521" max="521" width="14.28515625" style="1098" bestFit="1" customWidth="1"/>
    <col min="522" max="522" width="9.140625" style="1098"/>
    <col min="523" max="524" width="17.28515625" style="1098" bestFit="1" customWidth="1"/>
    <col min="525" max="768" width="9.140625" style="1098"/>
    <col min="769" max="769" width="4.7109375" style="1098" customWidth="1"/>
    <col min="770" max="770" width="6.140625" style="1098" customWidth="1"/>
    <col min="771" max="771" width="8.7109375" style="1098" customWidth="1"/>
    <col min="772" max="772" width="42" style="1098" customWidth="1"/>
    <col min="773" max="773" width="10.42578125" style="1098" customWidth="1"/>
    <col min="774" max="774" width="15.85546875" style="1098" customWidth="1"/>
    <col min="775" max="775" width="14.42578125" style="1098" customWidth="1"/>
    <col min="776" max="776" width="6.42578125" style="1098" customWidth="1"/>
    <col min="777" max="777" width="14.28515625" style="1098" bestFit="1" customWidth="1"/>
    <col min="778" max="778" width="9.140625" style="1098"/>
    <col min="779" max="780" width="17.28515625" style="1098" bestFit="1" customWidth="1"/>
    <col min="781" max="1024" width="9.140625" style="1098"/>
    <col min="1025" max="1025" width="4.7109375" style="1098" customWidth="1"/>
    <col min="1026" max="1026" width="6.140625" style="1098" customWidth="1"/>
    <col min="1027" max="1027" width="8.7109375" style="1098" customWidth="1"/>
    <col min="1028" max="1028" width="42" style="1098" customWidth="1"/>
    <col min="1029" max="1029" width="10.42578125" style="1098" customWidth="1"/>
    <col min="1030" max="1030" width="15.85546875" style="1098" customWidth="1"/>
    <col min="1031" max="1031" width="14.42578125" style="1098" customWidth="1"/>
    <col min="1032" max="1032" width="6.42578125" style="1098" customWidth="1"/>
    <col min="1033" max="1033" width="14.28515625" style="1098" bestFit="1" customWidth="1"/>
    <col min="1034" max="1034" width="9.140625" style="1098"/>
    <col min="1035" max="1036" width="17.28515625" style="1098" bestFit="1" customWidth="1"/>
    <col min="1037" max="1280" width="9.140625" style="1098"/>
    <col min="1281" max="1281" width="4.7109375" style="1098" customWidth="1"/>
    <col min="1282" max="1282" width="6.140625" style="1098" customWidth="1"/>
    <col min="1283" max="1283" width="8.7109375" style="1098" customWidth="1"/>
    <col min="1284" max="1284" width="42" style="1098" customWidth="1"/>
    <col min="1285" max="1285" width="10.42578125" style="1098" customWidth="1"/>
    <col min="1286" max="1286" width="15.85546875" style="1098" customWidth="1"/>
    <col min="1287" max="1287" width="14.42578125" style="1098" customWidth="1"/>
    <col min="1288" max="1288" width="6.42578125" style="1098" customWidth="1"/>
    <col min="1289" max="1289" width="14.28515625" style="1098" bestFit="1" customWidth="1"/>
    <col min="1290" max="1290" width="9.140625" style="1098"/>
    <col min="1291" max="1292" width="17.28515625" style="1098" bestFit="1" customWidth="1"/>
    <col min="1293" max="1536" width="9.140625" style="1098"/>
    <col min="1537" max="1537" width="4.7109375" style="1098" customWidth="1"/>
    <col min="1538" max="1538" width="6.140625" style="1098" customWidth="1"/>
    <col min="1539" max="1539" width="8.7109375" style="1098" customWidth="1"/>
    <col min="1540" max="1540" width="42" style="1098" customWidth="1"/>
    <col min="1541" max="1541" width="10.42578125" style="1098" customWidth="1"/>
    <col min="1542" max="1542" width="15.85546875" style="1098" customWidth="1"/>
    <col min="1543" max="1543" width="14.42578125" style="1098" customWidth="1"/>
    <col min="1544" max="1544" width="6.42578125" style="1098" customWidth="1"/>
    <col min="1545" max="1545" width="14.28515625" style="1098" bestFit="1" customWidth="1"/>
    <col min="1546" max="1546" width="9.140625" style="1098"/>
    <col min="1547" max="1548" width="17.28515625" style="1098" bestFit="1" customWidth="1"/>
    <col min="1549" max="1792" width="9.140625" style="1098"/>
    <col min="1793" max="1793" width="4.7109375" style="1098" customWidth="1"/>
    <col min="1794" max="1794" width="6.140625" style="1098" customWidth="1"/>
    <col min="1795" max="1795" width="8.7109375" style="1098" customWidth="1"/>
    <col min="1796" max="1796" width="42" style="1098" customWidth="1"/>
    <col min="1797" max="1797" width="10.42578125" style="1098" customWidth="1"/>
    <col min="1798" max="1798" width="15.85546875" style="1098" customWidth="1"/>
    <col min="1799" max="1799" width="14.42578125" style="1098" customWidth="1"/>
    <col min="1800" max="1800" width="6.42578125" style="1098" customWidth="1"/>
    <col min="1801" max="1801" width="14.28515625" style="1098" bestFit="1" customWidth="1"/>
    <col min="1802" max="1802" width="9.140625" style="1098"/>
    <col min="1803" max="1804" width="17.28515625" style="1098" bestFit="1" customWidth="1"/>
    <col min="1805" max="2048" width="9.140625" style="1098"/>
    <col min="2049" max="2049" width="4.7109375" style="1098" customWidth="1"/>
    <col min="2050" max="2050" width="6.140625" style="1098" customWidth="1"/>
    <col min="2051" max="2051" width="8.7109375" style="1098" customWidth="1"/>
    <col min="2052" max="2052" width="42" style="1098" customWidth="1"/>
    <col min="2053" max="2053" width="10.42578125" style="1098" customWidth="1"/>
    <col min="2054" max="2054" width="15.85546875" style="1098" customWidth="1"/>
    <col min="2055" max="2055" width="14.42578125" style="1098" customWidth="1"/>
    <col min="2056" max="2056" width="6.42578125" style="1098" customWidth="1"/>
    <col min="2057" max="2057" width="14.28515625" style="1098" bestFit="1" customWidth="1"/>
    <col min="2058" max="2058" width="9.140625" style="1098"/>
    <col min="2059" max="2060" width="17.28515625" style="1098" bestFit="1" customWidth="1"/>
    <col min="2061" max="2304" width="9.140625" style="1098"/>
    <col min="2305" max="2305" width="4.7109375" style="1098" customWidth="1"/>
    <col min="2306" max="2306" width="6.140625" style="1098" customWidth="1"/>
    <col min="2307" max="2307" width="8.7109375" style="1098" customWidth="1"/>
    <col min="2308" max="2308" width="42" style="1098" customWidth="1"/>
    <col min="2309" max="2309" width="10.42578125" style="1098" customWidth="1"/>
    <col min="2310" max="2310" width="15.85546875" style="1098" customWidth="1"/>
    <col min="2311" max="2311" width="14.42578125" style="1098" customWidth="1"/>
    <col min="2312" max="2312" width="6.42578125" style="1098" customWidth="1"/>
    <col min="2313" max="2313" width="14.28515625" style="1098" bestFit="1" customWidth="1"/>
    <col min="2314" max="2314" width="9.140625" style="1098"/>
    <col min="2315" max="2316" width="17.28515625" style="1098" bestFit="1" customWidth="1"/>
    <col min="2317" max="2560" width="9.140625" style="1098"/>
    <col min="2561" max="2561" width="4.7109375" style="1098" customWidth="1"/>
    <col min="2562" max="2562" width="6.140625" style="1098" customWidth="1"/>
    <col min="2563" max="2563" width="8.7109375" style="1098" customWidth="1"/>
    <col min="2564" max="2564" width="42" style="1098" customWidth="1"/>
    <col min="2565" max="2565" width="10.42578125" style="1098" customWidth="1"/>
    <col min="2566" max="2566" width="15.85546875" style="1098" customWidth="1"/>
    <col min="2567" max="2567" width="14.42578125" style="1098" customWidth="1"/>
    <col min="2568" max="2568" width="6.42578125" style="1098" customWidth="1"/>
    <col min="2569" max="2569" width="14.28515625" style="1098" bestFit="1" customWidth="1"/>
    <col min="2570" max="2570" width="9.140625" style="1098"/>
    <col min="2571" max="2572" width="17.28515625" style="1098" bestFit="1" customWidth="1"/>
    <col min="2573" max="2816" width="9.140625" style="1098"/>
    <col min="2817" max="2817" width="4.7109375" style="1098" customWidth="1"/>
    <col min="2818" max="2818" width="6.140625" style="1098" customWidth="1"/>
    <col min="2819" max="2819" width="8.7109375" style="1098" customWidth="1"/>
    <col min="2820" max="2820" width="42" style="1098" customWidth="1"/>
    <col min="2821" max="2821" width="10.42578125" style="1098" customWidth="1"/>
    <col min="2822" max="2822" width="15.85546875" style="1098" customWidth="1"/>
    <col min="2823" max="2823" width="14.42578125" style="1098" customWidth="1"/>
    <col min="2824" max="2824" width="6.42578125" style="1098" customWidth="1"/>
    <col min="2825" max="2825" width="14.28515625" style="1098" bestFit="1" customWidth="1"/>
    <col min="2826" max="2826" width="9.140625" style="1098"/>
    <col min="2827" max="2828" width="17.28515625" style="1098" bestFit="1" customWidth="1"/>
    <col min="2829" max="3072" width="9.140625" style="1098"/>
    <col min="3073" max="3073" width="4.7109375" style="1098" customWidth="1"/>
    <col min="3074" max="3074" width="6.140625" style="1098" customWidth="1"/>
    <col min="3075" max="3075" width="8.7109375" style="1098" customWidth="1"/>
    <col min="3076" max="3076" width="42" style="1098" customWidth="1"/>
    <col min="3077" max="3077" width="10.42578125" style="1098" customWidth="1"/>
    <col min="3078" max="3078" width="15.85546875" style="1098" customWidth="1"/>
    <col min="3079" max="3079" width="14.42578125" style="1098" customWidth="1"/>
    <col min="3080" max="3080" width="6.42578125" style="1098" customWidth="1"/>
    <col min="3081" max="3081" width="14.28515625" style="1098" bestFit="1" customWidth="1"/>
    <col min="3082" max="3082" width="9.140625" style="1098"/>
    <col min="3083" max="3084" width="17.28515625" style="1098" bestFit="1" customWidth="1"/>
    <col min="3085" max="3328" width="9.140625" style="1098"/>
    <col min="3329" max="3329" width="4.7109375" style="1098" customWidth="1"/>
    <col min="3330" max="3330" width="6.140625" style="1098" customWidth="1"/>
    <col min="3331" max="3331" width="8.7109375" style="1098" customWidth="1"/>
    <col min="3332" max="3332" width="42" style="1098" customWidth="1"/>
    <col min="3333" max="3333" width="10.42578125" style="1098" customWidth="1"/>
    <col min="3334" max="3334" width="15.85546875" style="1098" customWidth="1"/>
    <col min="3335" max="3335" width="14.42578125" style="1098" customWidth="1"/>
    <col min="3336" max="3336" width="6.42578125" style="1098" customWidth="1"/>
    <col min="3337" max="3337" width="14.28515625" style="1098" bestFit="1" customWidth="1"/>
    <col min="3338" max="3338" width="9.140625" style="1098"/>
    <col min="3339" max="3340" width="17.28515625" style="1098" bestFit="1" customWidth="1"/>
    <col min="3341" max="3584" width="9.140625" style="1098"/>
    <col min="3585" max="3585" width="4.7109375" style="1098" customWidth="1"/>
    <col min="3586" max="3586" width="6.140625" style="1098" customWidth="1"/>
    <col min="3587" max="3587" width="8.7109375" style="1098" customWidth="1"/>
    <col min="3588" max="3588" width="42" style="1098" customWidth="1"/>
    <col min="3589" max="3589" width="10.42578125" style="1098" customWidth="1"/>
    <col min="3590" max="3590" width="15.85546875" style="1098" customWidth="1"/>
    <col min="3591" max="3591" width="14.42578125" style="1098" customWidth="1"/>
    <col min="3592" max="3592" width="6.42578125" style="1098" customWidth="1"/>
    <col min="3593" max="3593" width="14.28515625" style="1098" bestFit="1" customWidth="1"/>
    <col min="3594" max="3594" width="9.140625" style="1098"/>
    <col min="3595" max="3596" width="17.28515625" style="1098" bestFit="1" customWidth="1"/>
    <col min="3597" max="3840" width="9.140625" style="1098"/>
    <col min="3841" max="3841" width="4.7109375" style="1098" customWidth="1"/>
    <col min="3842" max="3842" width="6.140625" style="1098" customWidth="1"/>
    <col min="3843" max="3843" width="8.7109375" style="1098" customWidth="1"/>
    <col min="3844" max="3844" width="42" style="1098" customWidth="1"/>
    <col min="3845" max="3845" width="10.42578125" style="1098" customWidth="1"/>
    <col min="3846" max="3846" width="15.85546875" style="1098" customWidth="1"/>
    <col min="3847" max="3847" width="14.42578125" style="1098" customWidth="1"/>
    <col min="3848" max="3848" width="6.42578125" style="1098" customWidth="1"/>
    <col min="3849" max="3849" width="14.28515625" style="1098" bestFit="1" customWidth="1"/>
    <col min="3850" max="3850" width="9.140625" style="1098"/>
    <col min="3851" max="3852" width="17.28515625" style="1098" bestFit="1" customWidth="1"/>
    <col min="3853" max="4096" width="9.140625" style="1098"/>
    <col min="4097" max="4097" width="4.7109375" style="1098" customWidth="1"/>
    <col min="4098" max="4098" width="6.140625" style="1098" customWidth="1"/>
    <col min="4099" max="4099" width="8.7109375" style="1098" customWidth="1"/>
    <col min="4100" max="4100" width="42" style="1098" customWidth="1"/>
    <col min="4101" max="4101" width="10.42578125" style="1098" customWidth="1"/>
    <col min="4102" max="4102" width="15.85546875" style="1098" customWidth="1"/>
    <col min="4103" max="4103" width="14.42578125" style="1098" customWidth="1"/>
    <col min="4104" max="4104" width="6.42578125" style="1098" customWidth="1"/>
    <col min="4105" max="4105" width="14.28515625" style="1098" bestFit="1" customWidth="1"/>
    <col min="4106" max="4106" width="9.140625" style="1098"/>
    <col min="4107" max="4108" width="17.28515625" style="1098" bestFit="1" customWidth="1"/>
    <col min="4109" max="4352" width="9.140625" style="1098"/>
    <col min="4353" max="4353" width="4.7109375" style="1098" customWidth="1"/>
    <col min="4354" max="4354" width="6.140625" style="1098" customWidth="1"/>
    <col min="4355" max="4355" width="8.7109375" style="1098" customWidth="1"/>
    <col min="4356" max="4356" width="42" style="1098" customWidth="1"/>
    <col min="4357" max="4357" width="10.42578125" style="1098" customWidth="1"/>
    <col min="4358" max="4358" width="15.85546875" style="1098" customWidth="1"/>
    <col min="4359" max="4359" width="14.42578125" style="1098" customWidth="1"/>
    <col min="4360" max="4360" width="6.42578125" style="1098" customWidth="1"/>
    <col min="4361" max="4361" width="14.28515625" style="1098" bestFit="1" customWidth="1"/>
    <col min="4362" max="4362" width="9.140625" style="1098"/>
    <col min="4363" max="4364" width="17.28515625" style="1098" bestFit="1" customWidth="1"/>
    <col min="4365" max="4608" width="9.140625" style="1098"/>
    <col min="4609" max="4609" width="4.7109375" style="1098" customWidth="1"/>
    <col min="4610" max="4610" width="6.140625" style="1098" customWidth="1"/>
    <col min="4611" max="4611" width="8.7109375" style="1098" customWidth="1"/>
    <col min="4612" max="4612" width="42" style="1098" customWidth="1"/>
    <col min="4613" max="4613" width="10.42578125" style="1098" customWidth="1"/>
    <col min="4614" max="4614" width="15.85546875" style="1098" customWidth="1"/>
    <col min="4615" max="4615" width="14.42578125" style="1098" customWidth="1"/>
    <col min="4616" max="4616" width="6.42578125" style="1098" customWidth="1"/>
    <col min="4617" max="4617" width="14.28515625" style="1098" bestFit="1" customWidth="1"/>
    <col min="4618" max="4618" width="9.140625" style="1098"/>
    <col min="4619" max="4620" width="17.28515625" style="1098" bestFit="1" customWidth="1"/>
    <col min="4621" max="4864" width="9.140625" style="1098"/>
    <col min="4865" max="4865" width="4.7109375" style="1098" customWidth="1"/>
    <col min="4866" max="4866" width="6.140625" style="1098" customWidth="1"/>
    <col min="4867" max="4867" width="8.7109375" style="1098" customWidth="1"/>
    <col min="4868" max="4868" width="42" style="1098" customWidth="1"/>
    <col min="4869" max="4869" width="10.42578125" style="1098" customWidth="1"/>
    <col min="4870" max="4870" width="15.85546875" style="1098" customWidth="1"/>
    <col min="4871" max="4871" width="14.42578125" style="1098" customWidth="1"/>
    <col min="4872" max="4872" width="6.42578125" style="1098" customWidth="1"/>
    <col min="4873" max="4873" width="14.28515625" style="1098" bestFit="1" customWidth="1"/>
    <col min="4874" max="4874" width="9.140625" style="1098"/>
    <col min="4875" max="4876" width="17.28515625" style="1098" bestFit="1" customWidth="1"/>
    <col min="4877" max="5120" width="9.140625" style="1098"/>
    <col min="5121" max="5121" width="4.7109375" style="1098" customWidth="1"/>
    <col min="5122" max="5122" width="6.140625" style="1098" customWidth="1"/>
    <col min="5123" max="5123" width="8.7109375" style="1098" customWidth="1"/>
    <col min="5124" max="5124" width="42" style="1098" customWidth="1"/>
    <col min="5125" max="5125" width="10.42578125" style="1098" customWidth="1"/>
    <col min="5126" max="5126" width="15.85546875" style="1098" customWidth="1"/>
    <col min="5127" max="5127" width="14.42578125" style="1098" customWidth="1"/>
    <col min="5128" max="5128" width="6.42578125" style="1098" customWidth="1"/>
    <col min="5129" max="5129" width="14.28515625" style="1098" bestFit="1" customWidth="1"/>
    <col min="5130" max="5130" width="9.140625" style="1098"/>
    <col min="5131" max="5132" width="17.28515625" style="1098" bestFit="1" customWidth="1"/>
    <col min="5133" max="5376" width="9.140625" style="1098"/>
    <col min="5377" max="5377" width="4.7109375" style="1098" customWidth="1"/>
    <col min="5378" max="5378" width="6.140625" style="1098" customWidth="1"/>
    <col min="5379" max="5379" width="8.7109375" style="1098" customWidth="1"/>
    <col min="5380" max="5380" width="42" style="1098" customWidth="1"/>
    <col min="5381" max="5381" width="10.42578125" style="1098" customWidth="1"/>
    <col min="5382" max="5382" width="15.85546875" style="1098" customWidth="1"/>
    <col min="5383" max="5383" width="14.42578125" style="1098" customWidth="1"/>
    <col min="5384" max="5384" width="6.42578125" style="1098" customWidth="1"/>
    <col min="5385" max="5385" width="14.28515625" style="1098" bestFit="1" customWidth="1"/>
    <col min="5386" max="5386" width="9.140625" style="1098"/>
    <col min="5387" max="5388" width="17.28515625" style="1098" bestFit="1" customWidth="1"/>
    <col min="5389" max="5632" width="9.140625" style="1098"/>
    <col min="5633" max="5633" width="4.7109375" style="1098" customWidth="1"/>
    <col min="5634" max="5634" width="6.140625" style="1098" customWidth="1"/>
    <col min="5635" max="5635" width="8.7109375" style="1098" customWidth="1"/>
    <col min="5636" max="5636" width="42" style="1098" customWidth="1"/>
    <col min="5637" max="5637" width="10.42578125" style="1098" customWidth="1"/>
    <col min="5638" max="5638" width="15.85546875" style="1098" customWidth="1"/>
    <col min="5639" max="5639" width="14.42578125" style="1098" customWidth="1"/>
    <col min="5640" max="5640" width="6.42578125" style="1098" customWidth="1"/>
    <col min="5641" max="5641" width="14.28515625" style="1098" bestFit="1" customWidth="1"/>
    <col min="5642" max="5642" width="9.140625" style="1098"/>
    <col min="5643" max="5644" width="17.28515625" style="1098" bestFit="1" customWidth="1"/>
    <col min="5645" max="5888" width="9.140625" style="1098"/>
    <col min="5889" max="5889" width="4.7109375" style="1098" customWidth="1"/>
    <col min="5890" max="5890" width="6.140625" style="1098" customWidth="1"/>
    <col min="5891" max="5891" width="8.7109375" style="1098" customWidth="1"/>
    <col min="5892" max="5892" width="42" style="1098" customWidth="1"/>
    <col min="5893" max="5893" width="10.42578125" style="1098" customWidth="1"/>
    <col min="5894" max="5894" width="15.85546875" style="1098" customWidth="1"/>
    <col min="5895" max="5895" width="14.42578125" style="1098" customWidth="1"/>
    <col min="5896" max="5896" width="6.42578125" style="1098" customWidth="1"/>
    <col min="5897" max="5897" width="14.28515625" style="1098" bestFit="1" customWidth="1"/>
    <col min="5898" max="5898" width="9.140625" style="1098"/>
    <col min="5899" max="5900" width="17.28515625" style="1098" bestFit="1" customWidth="1"/>
    <col min="5901" max="6144" width="9.140625" style="1098"/>
    <col min="6145" max="6145" width="4.7109375" style="1098" customWidth="1"/>
    <col min="6146" max="6146" width="6.140625" style="1098" customWidth="1"/>
    <col min="6147" max="6147" width="8.7109375" style="1098" customWidth="1"/>
    <col min="6148" max="6148" width="42" style="1098" customWidth="1"/>
    <col min="6149" max="6149" width="10.42578125" style="1098" customWidth="1"/>
    <col min="6150" max="6150" width="15.85546875" style="1098" customWidth="1"/>
    <col min="6151" max="6151" width="14.42578125" style="1098" customWidth="1"/>
    <col min="6152" max="6152" width="6.42578125" style="1098" customWidth="1"/>
    <col min="6153" max="6153" width="14.28515625" style="1098" bestFit="1" customWidth="1"/>
    <col min="6154" max="6154" width="9.140625" style="1098"/>
    <col min="6155" max="6156" width="17.28515625" style="1098" bestFit="1" customWidth="1"/>
    <col min="6157" max="6400" width="9.140625" style="1098"/>
    <col min="6401" max="6401" width="4.7109375" style="1098" customWidth="1"/>
    <col min="6402" max="6402" width="6.140625" style="1098" customWidth="1"/>
    <col min="6403" max="6403" width="8.7109375" style="1098" customWidth="1"/>
    <col min="6404" max="6404" width="42" style="1098" customWidth="1"/>
    <col min="6405" max="6405" width="10.42578125" style="1098" customWidth="1"/>
    <col min="6406" max="6406" width="15.85546875" style="1098" customWidth="1"/>
    <col min="6407" max="6407" width="14.42578125" style="1098" customWidth="1"/>
    <col min="6408" max="6408" width="6.42578125" style="1098" customWidth="1"/>
    <col min="6409" max="6409" width="14.28515625" style="1098" bestFit="1" customWidth="1"/>
    <col min="6410" max="6410" width="9.140625" style="1098"/>
    <col min="6411" max="6412" width="17.28515625" style="1098" bestFit="1" customWidth="1"/>
    <col min="6413" max="6656" width="9.140625" style="1098"/>
    <col min="6657" max="6657" width="4.7109375" style="1098" customWidth="1"/>
    <col min="6658" max="6658" width="6.140625" style="1098" customWidth="1"/>
    <col min="6659" max="6659" width="8.7109375" style="1098" customWidth="1"/>
    <col min="6660" max="6660" width="42" style="1098" customWidth="1"/>
    <col min="6661" max="6661" width="10.42578125" style="1098" customWidth="1"/>
    <col min="6662" max="6662" width="15.85546875" style="1098" customWidth="1"/>
    <col min="6663" max="6663" width="14.42578125" style="1098" customWidth="1"/>
    <col min="6664" max="6664" width="6.42578125" style="1098" customWidth="1"/>
    <col min="6665" max="6665" width="14.28515625" style="1098" bestFit="1" customWidth="1"/>
    <col min="6666" max="6666" width="9.140625" style="1098"/>
    <col min="6667" max="6668" width="17.28515625" style="1098" bestFit="1" customWidth="1"/>
    <col min="6669" max="6912" width="9.140625" style="1098"/>
    <col min="6913" max="6913" width="4.7109375" style="1098" customWidth="1"/>
    <col min="6914" max="6914" width="6.140625" style="1098" customWidth="1"/>
    <col min="6915" max="6915" width="8.7109375" style="1098" customWidth="1"/>
    <col min="6916" max="6916" width="42" style="1098" customWidth="1"/>
    <col min="6917" max="6917" width="10.42578125" style="1098" customWidth="1"/>
    <col min="6918" max="6918" width="15.85546875" style="1098" customWidth="1"/>
    <col min="6919" max="6919" width="14.42578125" style="1098" customWidth="1"/>
    <col min="6920" max="6920" width="6.42578125" style="1098" customWidth="1"/>
    <col min="6921" max="6921" width="14.28515625" style="1098" bestFit="1" customWidth="1"/>
    <col min="6922" max="6922" width="9.140625" style="1098"/>
    <col min="6923" max="6924" width="17.28515625" style="1098" bestFit="1" customWidth="1"/>
    <col min="6925" max="7168" width="9.140625" style="1098"/>
    <col min="7169" max="7169" width="4.7109375" style="1098" customWidth="1"/>
    <col min="7170" max="7170" width="6.140625" style="1098" customWidth="1"/>
    <col min="7171" max="7171" width="8.7109375" style="1098" customWidth="1"/>
    <col min="7172" max="7172" width="42" style="1098" customWidth="1"/>
    <col min="7173" max="7173" width="10.42578125" style="1098" customWidth="1"/>
    <col min="7174" max="7174" width="15.85546875" style="1098" customWidth="1"/>
    <col min="7175" max="7175" width="14.42578125" style="1098" customWidth="1"/>
    <col min="7176" max="7176" width="6.42578125" style="1098" customWidth="1"/>
    <col min="7177" max="7177" width="14.28515625" style="1098" bestFit="1" customWidth="1"/>
    <col min="7178" max="7178" width="9.140625" style="1098"/>
    <col min="7179" max="7180" width="17.28515625" style="1098" bestFit="1" customWidth="1"/>
    <col min="7181" max="7424" width="9.140625" style="1098"/>
    <col min="7425" max="7425" width="4.7109375" style="1098" customWidth="1"/>
    <col min="7426" max="7426" width="6.140625" style="1098" customWidth="1"/>
    <col min="7427" max="7427" width="8.7109375" style="1098" customWidth="1"/>
    <col min="7428" max="7428" width="42" style="1098" customWidth="1"/>
    <col min="7429" max="7429" width="10.42578125" style="1098" customWidth="1"/>
    <col min="7430" max="7430" width="15.85546875" style="1098" customWidth="1"/>
    <col min="7431" max="7431" width="14.42578125" style="1098" customWidth="1"/>
    <col min="7432" max="7432" width="6.42578125" style="1098" customWidth="1"/>
    <col min="7433" max="7433" width="14.28515625" style="1098" bestFit="1" customWidth="1"/>
    <col min="7434" max="7434" width="9.140625" style="1098"/>
    <col min="7435" max="7436" width="17.28515625" style="1098" bestFit="1" customWidth="1"/>
    <col min="7437" max="7680" width="9.140625" style="1098"/>
    <col min="7681" max="7681" width="4.7109375" style="1098" customWidth="1"/>
    <col min="7682" max="7682" width="6.140625" style="1098" customWidth="1"/>
    <col min="7683" max="7683" width="8.7109375" style="1098" customWidth="1"/>
    <col min="7684" max="7684" width="42" style="1098" customWidth="1"/>
    <col min="7685" max="7685" width="10.42578125" style="1098" customWidth="1"/>
    <col min="7686" max="7686" width="15.85546875" style="1098" customWidth="1"/>
    <col min="7687" max="7687" width="14.42578125" style="1098" customWidth="1"/>
    <col min="7688" max="7688" width="6.42578125" style="1098" customWidth="1"/>
    <col min="7689" max="7689" width="14.28515625" style="1098" bestFit="1" customWidth="1"/>
    <col min="7690" max="7690" width="9.140625" style="1098"/>
    <col min="7691" max="7692" width="17.28515625" style="1098" bestFit="1" customWidth="1"/>
    <col min="7693" max="7936" width="9.140625" style="1098"/>
    <col min="7937" max="7937" width="4.7109375" style="1098" customWidth="1"/>
    <col min="7938" max="7938" width="6.140625" style="1098" customWidth="1"/>
    <col min="7939" max="7939" width="8.7109375" style="1098" customWidth="1"/>
    <col min="7940" max="7940" width="42" style="1098" customWidth="1"/>
    <col min="7941" max="7941" width="10.42578125" style="1098" customWidth="1"/>
    <col min="7942" max="7942" width="15.85546875" style="1098" customWidth="1"/>
    <col min="7943" max="7943" width="14.42578125" style="1098" customWidth="1"/>
    <col min="7944" max="7944" width="6.42578125" style="1098" customWidth="1"/>
    <col min="7945" max="7945" width="14.28515625" style="1098" bestFit="1" customWidth="1"/>
    <col min="7946" max="7946" width="9.140625" style="1098"/>
    <col min="7947" max="7948" width="17.28515625" style="1098" bestFit="1" customWidth="1"/>
    <col min="7949" max="8192" width="9.140625" style="1098"/>
    <col min="8193" max="8193" width="4.7109375" style="1098" customWidth="1"/>
    <col min="8194" max="8194" width="6.140625" style="1098" customWidth="1"/>
    <col min="8195" max="8195" width="8.7109375" style="1098" customWidth="1"/>
    <col min="8196" max="8196" width="42" style="1098" customWidth="1"/>
    <col min="8197" max="8197" width="10.42578125" style="1098" customWidth="1"/>
    <col min="8198" max="8198" width="15.85546875" style="1098" customWidth="1"/>
    <col min="8199" max="8199" width="14.42578125" style="1098" customWidth="1"/>
    <col min="8200" max="8200" width="6.42578125" style="1098" customWidth="1"/>
    <col min="8201" max="8201" width="14.28515625" style="1098" bestFit="1" customWidth="1"/>
    <col min="8202" max="8202" width="9.140625" style="1098"/>
    <col min="8203" max="8204" width="17.28515625" style="1098" bestFit="1" customWidth="1"/>
    <col min="8205" max="8448" width="9.140625" style="1098"/>
    <col min="8449" max="8449" width="4.7109375" style="1098" customWidth="1"/>
    <col min="8450" max="8450" width="6.140625" style="1098" customWidth="1"/>
    <col min="8451" max="8451" width="8.7109375" style="1098" customWidth="1"/>
    <col min="8452" max="8452" width="42" style="1098" customWidth="1"/>
    <col min="8453" max="8453" width="10.42578125" style="1098" customWidth="1"/>
    <col min="8454" max="8454" width="15.85546875" style="1098" customWidth="1"/>
    <col min="8455" max="8455" width="14.42578125" style="1098" customWidth="1"/>
    <col min="8456" max="8456" width="6.42578125" style="1098" customWidth="1"/>
    <col min="8457" max="8457" width="14.28515625" style="1098" bestFit="1" customWidth="1"/>
    <col min="8458" max="8458" width="9.140625" style="1098"/>
    <col min="8459" max="8460" width="17.28515625" style="1098" bestFit="1" customWidth="1"/>
    <col min="8461" max="8704" width="9.140625" style="1098"/>
    <col min="8705" max="8705" width="4.7109375" style="1098" customWidth="1"/>
    <col min="8706" max="8706" width="6.140625" style="1098" customWidth="1"/>
    <col min="8707" max="8707" width="8.7109375" style="1098" customWidth="1"/>
    <col min="8708" max="8708" width="42" style="1098" customWidth="1"/>
    <col min="8709" max="8709" width="10.42578125" style="1098" customWidth="1"/>
    <col min="8710" max="8710" width="15.85546875" style="1098" customWidth="1"/>
    <col min="8711" max="8711" width="14.42578125" style="1098" customWidth="1"/>
    <col min="8712" max="8712" width="6.42578125" style="1098" customWidth="1"/>
    <col min="8713" max="8713" width="14.28515625" style="1098" bestFit="1" customWidth="1"/>
    <col min="8714" max="8714" width="9.140625" style="1098"/>
    <col min="8715" max="8716" width="17.28515625" style="1098" bestFit="1" customWidth="1"/>
    <col min="8717" max="8960" width="9.140625" style="1098"/>
    <col min="8961" max="8961" width="4.7109375" style="1098" customWidth="1"/>
    <col min="8962" max="8962" width="6.140625" style="1098" customWidth="1"/>
    <col min="8963" max="8963" width="8.7109375" style="1098" customWidth="1"/>
    <col min="8964" max="8964" width="42" style="1098" customWidth="1"/>
    <col min="8965" max="8965" width="10.42578125" style="1098" customWidth="1"/>
    <col min="8966" max="8966" width="15.85546875" style="1098" customWidth="1"/>
    <col min="8967" max="8967" width="14.42578125" style="1098" customWidth="1"/>
    <col min="8968" max="8968" width="6.42578125" style="1098" customWidth="1"/>
    <col min="8969" max="8969" width="14.28515625" style="1098" bestFit="1" customWidth="1"/>
    <col min="8970" max="8970" width="9.140625" style="1098"/>
    <col min="8971" max="8972" width="17.28515625" style="1098" bestFit="1" customWidth="1"/>
    <col min="8973" max="9216" width="9.140625" style="1098"/>
    <col min="9217" max="9217" width="4.7109375" style="1098" customWidth="1"/>
    <col min="9218" max="9218" width="6.140625" style="1098" customWidth="1"/>
    <col min="9219" max="9219" width="8.7109375" style="1098" customWidth="1"/>
    <col min="9220" max="9220" width="42" style="1098" customWidth="1"/>
    <col min="9221" max="9221" width="10.42578125" style="1098" customWidth="1"/>
    <col min="9222" max="9222" width="15.85546875" style="1098" customWidth="1"/>
    <col min="9223" max="9223" width="14.42578125" style="1098" customWidth="1"/>
    <col min="9224" max="9224" width="6.42578125" style="1098" customWidth="1"/>
    <col min="9225" max="9225" width="14.28515625" style="1098" bestFit="1" customWidth="1"/>
    <col min="9226" max="9226" width="9.140625" style="1098"/>
    <col min="9227" max="9228" width="17.28515625" style="1098" bestFit="1" customWidth="1"/>
    <col min="9229" max="9472" width="9.140625" style="1098"/>
    <col min="9473" max="9473" width="4.7109375" style="1098" customWidth="1"/>
    <col min="9474" max="9474" width="6.140625" style="1098" customWidth="1"/>
    <col min="9475" max="9475" width="8.7109375" style="1098" customWidth="1"/>
    <col min="9476" max="9476" width="42" style="1098" customWidth="1"/>
    <col min="9477" max="9477" width="10.42578125" style="1098" customWidth="1"/>
    <col min="9478" max="9478" width="15.85546875" style="1098" customWidth="1"/>
    <col min="9479" max="9479" width="14.42578125" style="1098" customWidth="1"/>
    <col min="9480" max="9480" width="6.42578125" style="1098" customWidth="1"/>
    <col min="9481" max="9481" width="14.28515625" style="1098" bestFit="1" customWidth="1"/>
    <col min="9482" max="9482" width="9.140625" style="1098"/>
    <col min="9483" max="9484" width="17.28515625" style="1098" bestFit="1" customWidth="1"/>
    <col min="9485" max="9728" width="9.140625" style="1098"/>
    <col min="9729" max="9729" width="4.7109375" style="1098" customWidth="1"/>
    <col min="9730" max="9730" width="6.140625" style="1098" customWidth="1"/>
    <col min="9731" max="9731" width="8.7109375" style="1098" customWidth="1"/>
    <col min="9732" max="9732" width="42" style="1098" customWidth="1"/>
    <col min="9733" max="9733" width="10.42578125" style="1098" customWidth="1"/>
    <col min="9734" max="9734" width="15.85546875" style="1098" customWidth="1"/>
    <col min="9735" max="9735" width="14.42578125" style="1098" customWidth="1"/>
    <col min="9736" max="9736" width="6.42578125" style="1098" customWidth="1"/>
    <col min="9737" max="9737" width="14.28515625" style="1098" bestFit="1" customWidth="1"/>
    <col min="9738" max="9738" width="9.140625" style="1098"/>
    <col min="9739" max="9740" width="17.28515625" style="1098" bestFit="1" customWidth="1"/>
    <col min="9741" max="9984" width="9.140625" style="1098"/>
    <col min="9985" max="9985" width="4.7109375" style="1098" customWidth="1"/>
    <col min="9986" max="9986" width="6.140625" style="1098" customWidth="1"/>
    <col min="9987" max="9987" width="8.7109375" style="1098" customWidth="1"/>
    <col min="9988" max="9988" width="42" style="1098" customWidth="1"/>
    <col min="9989" max="9989" width="10.42578125" style="1098" customWidth="1"/>
    <col min="9990" max="9990" width="15.85546875" style="1098" customWidth="1"/>
    <col min="9991" max="9991" width="14.42578125" style="1098" customWidth="1"/>
    <col min="9992" max="9992" width="6.42578125" style="1098" customWidth="1"/>
    <col min="9993" max="9993" width="14.28515625" style="1098" bestFit="1" customWidth="1"/>
    <col min="9994" max="9994" width="9.140625" style="1098"/>
    <col min="9995" max="9996" width="17.28515625" style="1098" bestFit="1" customWidth="1"/>
    <col min="9997" max="10240" width="9.140625" style="1098"/>
    <col min="10241" max="10241" width="4.7109375" style="1098" customWidth="1"/>
    <col min="10242" max="10242" width="6.140625" style="1098" customWidth="1"/>
    <col min="10243" max="10243" width="8.7109375" style="1098" customWidth="1"/>
    <col min="10244" max="10244" width="42" style="1098" customWidth="1"/>
    <col min="10245" max="10245" width="10.42578125" style="1098" customWidth="1"/>
    <col min="10246" max="10246" width="15.85546875" style="1098" customWidth="1"/>
    <col min="10247" max="10247" width="14.42578125" style="1098" customWidth="1"/>
    <col min="10248" max="10248" width="6.42578125" style="1098" customWidth="1"/>
    <col min="10249" max="10249" width="14.28515625" style="1098" bestFit="1" customWidth="1"/>
    <col min="10250" max="10250" width="9.140625" style="1098"/>
    <col min="10251" max="10252" width="17.28515625" style="1098" bestFit="1" customWidth="1"/>
    <col min="10253" max="10496" width="9.140625" style="1098"/>
    <col min="10497" max="10497" width="4.7109375" style="1098" customWidth="1"/>
    <col min="10498" max="10498" width="6.140625" style="1098" customWidth="1"/>
    <col min="10499" max="10499" width="8.7109375" style="1098" customWidth="1"/>
    <col min="10500" max="10500" width="42" style="1098" customWidth="1"/>
    <col min="10501" max="10501" width="10.42578125" style="1098" customWidth="1"/>
    <col min="10502" max="10502" width="15.85546875" style="1098" customWidth="1"/>
    <col min="10503" max="10503" width="14.42578125" style="1098" customWidth="1"/>
    <col min="10504" max="10504" width="6.42578125" style="1098" customWidth="1"/>
    <col min="10505" max="10505" width="14.28515625" style="1098" bestFit="1" customWidth="1"/>
    <col min="10506" max="10506" width="9.140625" style="1098"/>
    <col min="10507" max="10508" width="17.28515625" style="1098" bestFit="1" customWidth="1"/>
    <col min="10509" max="10752" width="9.140625" style="1098"/>
    <col min="10753" max="10753" width="4.7109375" style="1098" customWidth="1"/>
    <col min="10754" max="10754" width="6.140625" style="1098" customWidth="1"/>
    <col min="10755" max="10755" width="8.7109375" style="1098" customWidth="1"/>
    <col min="10756" max="10756" width="42" style="1098" customWidth="1"/>
    <col min="10757" max="10757" width="10.42578125" style="1098" customWidth="1"/>
    <col min="10758" max="10758" width="15.85546875" style="1098" customWidth="1"/>
    <col min="10759" max="10759" width="14.42578125" style="1098" customWidth="1"/>
    <col min="10760" max="10760" width="6.42578125" style="1098" customWidth="1"/>
    <col min="10761" max="10761" width="14.28515625" style="1098" bestFit="1" customWidth="1"/>
    <col min="10762" max="10762" width="9.140625" style="1098"/>
    <col min="10763" max="10764" width="17.28515625" style="1098" bestFit="1" customWidth="1"/>
    <col min="10765" max="11008" width="9.140625" style="1098"/>
    <col min="11009" max="11009" width="4.7109375" style="1098" customWidth="1"/>
    <col min="11010" max="11010" width="6.140625" style="1098" customWidth="1"/>
    <col min="11011" max="11011" width="8.7109375" style="1098" customWidth="1"/>
    <col min="11012" max="11012" width="42" style="1098" customWidth="1"/>
    <col min="11013" max="11013" width="10.42578125" style="1098" customWidth="1"/>
    <col min="11014" max="11014" width="15.85546875" style="1098" customWidth="1"/>
    <col min="11015" max="11015" width="14.42578125" style="1098" customWidth="1"/>
    <col min="11016" max="11016" width="6.42578125" style="1098" customWidth="1"/>
    <col min="11017" max="11017" width="14.28515625" style="1098" bestFit="1" customWidth="1"/>
    <col min="11018" max="11018" width="9.140625" style="1098"/>
    <col min="11019" max="11020" width="17.28515625" style="1098" bestFit="1" customWidth="1"/>
    <col min="11021" max="11264" width="9.140625" style="1098"/>
    <col min="11265" max="11265" width="4.7109375" style="1098" customWidth="1"/>
    <col min="11266" max="11266" width="6.140625" style="1098" customWidth="1"/>
    <col min="11267" max="11267" width="8.7109375" style="1098" customWidth="1"/>
    <col min="11268" max="11268" width="42" style="1098" customWidth="1"/>
    <col min="11269" max="11269" width="10.42578125" style="1098" customWidth="1"/>
    <col min="11270" max="11270" width="15.85546875" style="1098" customWidth="1"/>
    <col min="11271" max="11271" width="14.42578125" style="1098" customWidth="1"/>
    <col min="11272" max="11272" width="6.42578125" style="1098" customWidth="1"/>
    <col min="11273" max="11273" width="14.28515625" style="1098" bestFit="1" customWidth="1"/>
    <col min="11274" max="11274" width="9.140625" style="1098"/>
    <col min="11275" max="11276" width="17.28515625" style="1098" bestFit="1" customWidth="1"/>
    <col min="11277" max="11520" width="9.140625" style="1098"/>
    <col min="11521" max="11521" width="4.7109375" style="1098" customWidth="1"/>
    <col min="11522" max="11522" width="6.140625" style="1098" customWidth="1"/>
    <col min="11523" max="11523" width="8.7109375" style="1098" customWidth="1"/>
    <col min="11524" max="11524" width="42" style="1098" customWidth="1"/>
    <col min="11525" max="11525" width="10.42578125" style="1098" customWidth="1"/>
    <col min="11526" max="11526" width="15.85546875" style="1098" customWidth="1"/>
    <col min="11527" max="11527" width="14.42578125" style="1098" customWidth="1"/>
    <col min="11528" max="11528" width="6.42578125" style="1098" customWidth="1"/>
    <col min="11529" max="11529" width="14.28515625" style="1098" bestFit="1" customWidth="1"/>
    <col min="11530" max="11530" width="9.140625" style="1098"/>
    <col min="11531" max="11532" width="17.28515625" style="1098" bestFit="1" customWidth="1"/>
    <col min="11533" max="11776" width="9.140625" style="1098"/>
    <col min="11777" max="11777" width="4.7109375" style="1098" customWidth="1"/>
    <col min="11778" max="11778" width="6.140625" style="1098" customWidth="1"/>
    <col min="11779" max="11779" width="8.7109375" style="1098" customWidth="1"/>
    <col min="11780" max="11780" width="42" style="1098" customWidth="1"/>
    <col min="11781" max="11781" width="10.42578125" style="1098" customWidth="1"/>
    <col min="11782" max="11782" width="15.85546875" style="1098" customWidth="1"/>
    <col min="11783" max="11783" width="14.42578125" style="1098" customWidth="1"/>
    <col min="11784" max="11784" width="6.42578125" style="1098" customWidth="1"/>
    <col min="11785" max="11785" width="14.28515625" style="1098" bestFit="1" customWidth="1"/>
    <col min="11786" max="11786" width="9.140625" style="1098"/>
    <col min="11787" max="11788" width="17.28515625" style="1098" bestFit="1" customWidth="1"/>
    <col min="11789" max="12032" width="9.140625" style="1098"/>
    <col min="12033" max="12033" width="4.7109375" style="1098" customWidth="1"/>
    <col min="12034" max="12034" width="6.140625" style="1098" customWidth="1"/>
    <col min="12035" max="12035" width="8.7109375" style="1098" customWidth="1"/>
    <col min="12036" max="12036" width="42" style="1098" customWidth="1"/>
    <col min="12037" max="12037" width="10.42578125" style="1098" customWidth="1"/>
    <col min="12038" max="12038" width="15.85546875" style="1098" customWidth="1"/>
    <col min="12039" max="12039" width="14.42578125" style="1098" customWidth="1"/>
    <col min="12040" max="12040" width="6.42578125" style="1098" customWidth="1"/>
    <col min="12041" max="12041" width="14.28515625" style="1098" bestFit="1" customWidth="1"/>
    <col min="12042" max="12042" width="9.140625" style="1098"/>
    <col min="12043" max="12044" width="17.28515625" style="1098" bestFit="1" customWidth="1"/>
    <col min="12045" max="12288" width="9.140625" style="1098"/>
    <col min="12289" max="12289" width="4.7109375" style="1098" customWidth="1"/>
    <col min="12290" max="12290" width="6.140625" style="1098" customWidth="1"/>
    <col min="12291" max="12291" width="8.7109375" style="1098" customWidth="1"/>
    <col min="12292" max="12292" width="42" style="1098" customWidth="1"/>
    <col min="12293" max="12293" width="10.42578125" style="1098" customWidth="1"/>
    <col min="12294" max="12294" width="15.85546875" style="1098" customWidth="1"/>
    <col min="12295" max="12295" width="14.42578125" style="1098" customWidth="1"/>
    <col min="12296" max="12296" width="6.42578125" style="1098" customWidth="1"/>
    <col min="12297" max="12297" width="14.28515625" style="1098" bestFit="1" customWidth="1"/>
    <col min="12298" max="12298" width="9.140625" style="1098"/>
    <col min="12299" max="12300" width="17.28515625" style="1098" bestFit="1" customWidth="1"/>
    <col min="12301" max="12544" width="9.140625" style="1098"/>
    <col min="12545" max="12545" width="4.7109375" style="1098" customWidth="1"/>
    <col min="12546" max="12546" width="6.140625" style="1098" customWidth="1"/>
    <col min="12547" max="12547" width="8.7109375" style="1098" customWidth="1"/>
    <col min="12548" max="12548" width="42" style="1098" customWidth="1"/>
    <col min="12549" max="12549" width="10.42578125" style="1098" customWidth="1"/>
    <col min="12550" max="12550" width="15.85546875" style="1098" customWidth="1"/>
    <col min="12551" max="12551" width="14.42578125" style="1098" customWidth="1"/>
    <col min="12552" max="12552" width="6.42578125" style="1098" customWidth="1"/>
    <col min="12553" max="12553" width="14.28515625" style="1098" bestFit="1" customWidth="1"/>
    <col min="12554" max="12554" width="9.140625" style="1098"/>
    <col min="12555" max="12556" width="17.28515625" style="1098" bestFit="1" customWidth="1"/>
    <col min="12557" max="12800" width="9.140625" style="1098"/>
    <col min="12801" max="12801" width="4.7109375" style="1098" customWidth="1"/>
    <col min="12802" max="12802" width="6.140625" style="1098" customWidth="1"/>
    <col min="12803" max="12803" width="8.7109375" style="1098" customWidth="1"/>
    <col min="12804" max="12804" width="42" style="1098" customWidth="1"/>
    <col min="12805" max="12805" width="10.42578125" style="1098" customWidth="1"/>
    <col min="12806" max="12806" width="15.85546875" style="1098" customWidth="1"/>
    <col min="12807" max="12807" width="14.42578125" style="1098" customWidth="1"/>
    <col min="12808" max="12808" width="6.42578125" style="1098" customWidth="1"/>
    <col min="12809" max="12809" width="14.28515625" style="1098" bestFit="1" customWidth="1"/>
    <col min="12810" max="12810" width="9.140625" style="1098"/>
    <col min="12811" max="12812" width="17.28515625" style="1098" bestFit="1" customWidth="1"/>
    <col min="12813" max="13056" width="9.140625" style="1098"/>
    <col min="13057" max="13057" width="4.7109375" style="1098" customWidth="1"/>
    <col min="13058" max="13058" width="6.140625" style="1098" customWidth="1"/>
    <col min="13059" max="13059" width="8.7109375" style="1098" customWidth="1"/>
    <col min="13060" max="13060" width="42" style="1098" customWidth="1"/>
    <col min="13061" max="13061" width="10.42578125" style="1098" customWidth="1"/>
    <col min="13062" max="13062" width="15.85546875" style="1098" customWidth="1"/>
    <col min="13063" max="13063" width="14.42578125" style="1098" customWidth="1"/>
    <col min="13064" max="13064" width="6.42578125" style="1098" customWidth="1"/>
    <col min="13065" max="13065" width="14.28515625" style="1098" bestFit="1" customWidth="1"/>
    <col min="13066" max="13066" width="9.140625" style="1098"/>
    <col min="13067" max="13068" width="17.28515625" style="1098" bestFit="1" customWidth="1"/>
    <col min="13069" max="13312" width="9.140625" style="1098"/>
    <col min="13313" max="13313" width="4.7109375" style="1098" customWidth="1"/>
    <col min="13314" max="13314" width="6.140625" style="1098" customWidth="1"/>
    <col min="13315" max="13315" width="8.7109375" style="1098" customWidth="1"/>
    <col min="13316" max="13316" width="42" style="1098" customWidth="1"/>
    <col min="13317" max="13317" width="10.42578125" style="1098" customWidth="1"/>
    <col min="13318" max="13318" width="15.85546875" style="1098" customWidth="1"/>
    <col min="13319" max="13319" width="14.42578125" style="1098" customWidth="1"/>
    <col min="13320" max="13320" width="6.42578125" style="1098" customWidth="1"/>
    <col min="13321" max="13321" width="14.28515625" style="1098" bestFit="1" customWidth="1"/>
    <col min="13322" max="13322" width="9.140625" style="1098"/>
    <col min="13323" max="13324" width="17.28515625" style="1098" bestFit="1" customWidth="1"/>
    <col min="13325" max="13568" width="9.140625" style="1098"/>
    <col min="13569" max="13569" width="4.7109375" style="1098" customWidth="1"/>
    <col min="13570" max="13570" width="6.140625" style="1098" customWidth="1"/>
    <col min="13571" max="13571" width="8.7109375" style="1098" customWidth="1"/>
    <col min="13572" max="13572" width="42" style="1098" customWidth="1"/>
    <col min="13573" max="13573" width="10.42578125" style="1098" customWidth="1"/>
    <col min="13574" max="13574" width="15.85546875" style="1098" customWidth="1"/>
    <col min="13575" max="13575" width="14.42578125" style="1098" customWidth="1"/>
    <col min="13576" max="13576" width="6.42578125" style="1098" customWidth="1"/>
    <col min="13577" max="13577" width="14.28515625" style="1098" bestFit="1" customWidth="1"/>
    <col min="13578" max="13578" width="9.140625" style="1098"/>
    <col min="13579" max="13580" width="17.28515625" style="1098" bestFit="1" customWidth="1"/>
    <col min="13581" max="13824" width="9.140625" style="1098"/>
    <col min="13825" max="13825" width="4.7109375" style="1098" customWidth="1"/>
    <col min="13826" max="13826" width="6.140625" style="1098" customWidth="1"/>
    <col min="13827" max="13827" width="8.7109375" style="1098" customWidth="1"/>
    <col min="13828" max="13828" width="42" style="1098" customWidth="1"/>
    <col min="13829" max="13829" width="10.42578125" style="1098" customWidth="1"/>
    <col min="13830" max="13830" width="15.85546875" style="1098" customWidth="1"/>
    <col min="13831" max="13831" width="14.42578125" style="1098" customWidth="1"/>
    <col min="13832" max="13832" width="6.42578125" style="1098" customWidth="1"/>
    <col min="13833" max="13833" width="14.28515625" style="1098" bestFit="1" customWidth="1"/>
    <col min="13834" max="13834" width="9.140625" style="1098"/>
    <col min="13835" max="13836" width="17.28515625" style="1098" bestFit="1" customWidth="1"/>
    <col min="13837" max="14080" width="9.140625" style="1098"/>
    <col min="14081" max="14081" width="4.7109375" style="1098" customWidth="1"/>
    <col min="14082" max="14082" width="6.140625" style="1098" customWidth="1"/>
    <col min="14083" max="14083" width="8.7109375" style="1098" customWidth="1"/>
    <col min="14084" max="14084" width="42" style="1098" customWidth="1"/>
    <col min="14085" max="14085" width="10.42578125" style="1098" customWidth="1"/>
    <col min="14086" max="14086" width="15.85546875" style="1098" customWidth="1"/>
    <col min="14087" max="14087" width="14.42578125" style="1098" customWidth="1"/>
    <col min="14088" max="14088" width="6.42578125" style="1098" customWidth="1"/>
    <col min="14089" max="14089" width="14.28515625" style="1098" bestFit="1" customWidth="1"/>
    <col min="14090" max="14090" width="9.140625" style="1098"/>
    <col min="14091" max="14092" width="17.28515625" style="1098" bestFit="1" customWidth="1"/>
    <col min="14093" max="14336" width="9.140625" style="1098"/>
    <col min="14337" max="14337" width="4.7109375" style="1098" customWidth="1"/>
    <col min="14338" max="14338" width="6.140625" style="1098" customWidth="1"/>
    <col min="14339" max="14339" width="8.7109375" style="1098" customWidth="1"/>
    <col min="14340" max="14340" width="42" style="1098" customWidth="1"/>
    <col min="14341" max="14341" width="10.42578125" style="1098" customWidth="1"/>
    <col min="14342" max="14342" width="15.85546875" style="1098" customWidth="1"/>
    <col min="14343" max="14343" width="14.42578125" style="1098" customWidth="1"/>
    <col min="14344" max="14344" width="6.42578125" style="1098" customWidth="1"/>
    <col min="14345" max="14345" width="14.28515625" style="1098" bestFit="1" customWidth="1"/>
    <col min="14346" max="14346" width="9.140625" style="1098"/>
    <col min="14347" max="14348" width="17.28515625" style="1098" bestFit="1" customWidth="1"/>
    <col min="14349" max="14592" width="9.140625" style="1098"/>
    <col min="14593" max="14593" width="4.7109375" style="1098" customWidth="1"/>
    <col min="14594" max="14594" width="6.140625" style="1098" customWidth="1"/>
    <col min="14595" max="14595" width="8.7109375" style="1098" customWidth="1"/>
    <col min="14596" max="14596" width="42" style="1098" customWidth="1"/>
    <col min="14597" max="14597" width="10.42578125" style="1098" customWidth="1"/>
    <col min="14598" max="14598" width="15.85546875" style="1098" customWidth="1"/>
    <col min="14599" max="14599" width="14.42578125" style="1098" customWidth="1"/>
    <col min="14600" max="14600" width="6.42578125" style="1098" customWidth="1"/>
    <col min="14601" max="14601" width="14.28515625" style="1098" bestFit="1" customWidth="1"/>
    <col min="14602" max="14602" width="9.140625" style="1098"/>
    <col min="14603" max="14604" width="17.28515625" style="1098" bestFit="1" customWidth="1"/>
    <col min="14605" max="14848" width="9.140625" style="1098"/>
    <col min="14849" max="14849" width="4.7109375" style="1098" customWidth="1"/>
    <col min="14850" max="14850" width="6.140625" style="1098" customWidth="1"/>
    <col min="14851" max="14851" width="8.7109375" style="1098" customWidth="1"/>
    <col min="14852" max="14852" width="42" style="1098" customWidth="1"/>
    <col min="14853" max="14853" width="10.42578125" style="1098" customWidth="1"/>
    <col min="14854" max="14854" width="15.85546875" style="1098" customWidth="1"/>
    <col min="14855" max="14855" width="14.42578125" style="1098" customWidth="1"/>
    <col min="14856" max="14856" width="6.42578125" style="1098" customWidth="1"/>
    <col min="14857" max="14857" width="14.28515625" style="1098" bestFit="1" customWidth="1"/>
    <col min="14858" max="14858" width="9.140625" style="1098"/>
    <col min="14859" max="14860" width="17.28515625" style="1098" bestFit="1" customWidth="1"/>
    <col min="14861" max="15104" width="9.140625" style="1098"/>
    <col min="15105" max="15105" width="4.7109375" style="1098" customWidth="1"/>
    <col min="15106" max="15106" width="6.140625" style="1098" customWidth="1"/>
    <col min="15107" max="15107" width="8.7109375" style="1098" customWidth="1"/>
    <col min="15108" max="15108" width="42" style="1098" customWidth="1"/>
    <col min="15109" max="15109" width="10.42578125" style="1098" customWidth="1"/>
    <col min="15110" max="15110" width="15.85546875" style="1098" customWidth="1"/>
    <col min="15111" max="15111" width="14.42578125" style="1098" customWidth="1"/>
    <col min="15112" max="15112" width="6.42578125" style="1098" customWidth="1"/>
    <col min="15113" max="15113" width="14.28515625" style="1098" bestFit="1" customWidth="1"/>
    <col min="15114" max="15114" width="9.140625" style="1098"/>
    <col min="15115" max="15116" width="17.28515625" style="1098" bestFit="1" customWidth="1"/>
    <col min="15117" max="15360" width="9.140625" style="1098"/>
    <col min="15361" max="15361" width="4.7109375" style="1098" customWidth="1"/>
    <col min="15362" max="15362" width="6.140625" style="1098" customWidth="1"/>
    <col min="15363" max="15363" width="8.7109375" style="1098" customWidth="1"/>
    <col min="15364" max="15364" width="42" style="1098" customWidth="1"/>
    <col min="15365" max="15365" width="10.42578125" style="1098" customWidth="1"/>
    <col min="15366" max="15366" width="15.85546875" style="1098" customWidth="1"/>
    <col min="15367" max="15367" width="14.42578125" style="1098" customWidth="1"/>
    <col min="15368" max="15368" width="6.42578125" style="1098" customWidth="1"/>
    <col min="15369" max="15369" width="14.28515625" style="1098" bestFit="1" customWidth="1"/>
    <col min="15370" max="15370" width="9.140625" style="1098"/>
    <col min="15371" max="15372" width="17.28515625" style="1098" bestFit="1" customWidth="1"/>
    <col min="15373" max="15616" width="9.140625" style="1098"/>
    <col min="15617" max="15617" width="4.7109375" style="1098" customWidth="1"/>
    <col min="15618" max="15618" width="6.140625" style="1098" customWidth="1"/>
    <col min="15619" max="15619" width="8.7109375" style="1098" customWidth="1"/>
    <col min="15620" max="15620" width="42" style="1098" customWidth="1"/>
    <col min="15621" max="15621" width="10.42578125" style="1098" customWidth="1"/>
    <col min="15622" max="15622" width="15.85546875" style="1098" customWidth="1"/>
    <col min="15623" max="15623" width="14.42578125" style="1098" customWidth="1"/>
    <col min="15624" max="15624" width="6.42578125" style="1098" customWidth="1"/>
    <col min="15625" max="15625" width="14.28515625" style="1098" bestFit="1" customWidth="1"/>
    <col min="15626" max="15626" width="9.140625" style="1098"/>
    <col min="15627" max="15628" width="17.28515625" style="1098" bestFit="1" customWidth="1"/>
    <col min="15629" max="15872" width="9.140625" style="1098"/>
    <col min="15873" max="15873" width="4.7109375" style="1098" customWidth="1"/>
    <col min="15874" max="15874" width="6.140625" style="1098" customWidth="1"/>
    <col min="15875" max="15875" width="8.7109375" style="1098" customWidth="1"/>
    <col min="15876" max="15876" width="42" style="1098" customWidth="1"/>
    <col min="15877" max="15877" width="10.42578125" style="1098" customWidth="1"/>
    <col min="15878" max="15878" width="15.85546875" style="1098" customWidth="1"/>
    <col min="15879" max="15879" width="14.42578125" style="1098" customWidth="1"/>
    <col min="15880" max="15880" width="6.42578125" style="1098" customWidth="1"/>
    <col min="15881" max="15881" width="14.28515625" style="1098" bestFit="1" customWidth="1"/>
    <col min="15882" max="15882" width="9.140625" style="1098"/>
    <col min="15883" max="15884" width="17.28515625" style="1098" bestFit="1" customWidth="1"/>
    <col min="15885" max="16128" width="9.140625" style="1098"/>
    <col min="16129" max="16129" width="4.7109375" style="1098" customWidth="1"/>
    <col min="16130" max="16130" width="6.140625" style="1098" customWidth="1"/>
    <col min="16131" max="16131" width="8.7109375" style="1098" customWidth="1"/>
    <col min="16132" max="16132" width="42" style="1098" customWidth="1"/>
    <col min="16133" max="16133" width="10.42578125" style="1098" customWidth="1"/>
    <col min="16134" max="16134" width="15.85546875" style="1098" customWidth="1"/>
    <col min="16135" max="16135" width="14.42578125" style="1098" customWidth="1"/>
    <col min="16136" max="16136" width="6.42578125" style="1098" customWidth="1"/>
    <col min="16137" max="16137" width="14.28515625" style="1098" bestFit="1" customWidth="1"/>
    <col min="16138" max="16138" width="9.140625" style="1098"/>
    <col min="16139" max="16140" width="17.28515625" style="1098" bestFit="1" customWidth="1"/>
    <col min="16141" max="16384" width="9.140625" style="1098"/>
  </cols>
  <sheetData>
    <row r="1" spans="1:8" ht="19.5" customHeight="1" thickBot="1" x14ac:dyDescent="0.25">
      <c r="A1" s="3320" t="s">
        <v>166</v>
      </c>
      <c r="B1" s="3320"/>
      <c r="C1" s="3320"/>
      <c r="D1" s="3320"/>
      <c r="E1" s="3320"/>
      <c r="F1" s="3320"/>
      <c r="G1" s="3320"/>
      <c r="H1" s="3320"/>
    </row>
    <row r="2" spans="1:8" ht="19.5" customHeight="1" x14ac:dyDescent="0.25">
      <c r="A2" s="1224"/>
      <c r="B2" s="2567"/>
      <c r="C2" s="2567"/>
      <c r="D2" s="2567"/>
      <c r="E2" s="2567"/>
      <c r="F2" s="2567"/>
      <c r="G2" s="2567"/>
      <c r="H2" s="1163" t="s">
        <v>167</v>
      </c>
    </row>
    <row r="3" spans="1:8" ht="19.5" customHeight="1" x14ac:dyDescent="0.2">
      <c r="A3" s="1077" t="s">
        <v>201</v>
      </c>
      <c r="B3" s="2567"/>
      <c r="C3" s="1096" t="s">
        <v>121</v>
      </c>
      <c r="D3" s="1076"/>
      <c r="E3" s="2567"/>
      <c r="F3" s="2567"/>
      <c r="G3" s="2567"/>
      <c r="H3" s="2567"/>
    </row>
    <row r="4" spans="1:8" ht="19.5" customHeight="1" x14ac:dyDescent="0.25">
      <c r="A4" s="1224"/>
      <c r="B4" s="2567"/>
      <c r="C4" s="1096" t="s">
        <v>781</v>
      </c>
      <c r="D4" s="1002"/>
      <c r="E4" s="2567"/>
      <c r="F4" s="2567"/>
      <c r="G4" s="2567"/>
      <c r="H4" s="2567"/>
    </row>
    <row r="5" spans="1:8" ht="19.5" hidden="1" customHeight="1" x14ac:dyDescent="0.25">
      <c r="A5" s="1224"/>
      <c r="B5" s="2567"/>
      <c r="C5" s="1096"/>
      <c r="D5" s="2567"/>
      <c r="E5" s="2567"/>
      <c r="F5" s="2567"/>
      <c r="G5" s="2567"/>
      <c r="H5" s="2567"/>
    </row>
    <row r="6" spans="1:8" ht="18" x14ac:dyDescent="0.25">
      <c r="A6" s="1101" t="s">
        <v>168</v>
      </c>
      <c r="B6" s="1125"/>
      <c r="C6" s="1125"/>
      <c r="D6" s="1125"/>
      <c r="E6" s="1125"/>
      <c r="F6" s="1125"/>
      <c r="G6" s="1125"/>
      <c r="H6" s="1163"/>
    </row>
    <row r="7" spans="1:8" ht="18" x14ac:dyDescent="0.25">
      <c r="A7" s="1101"/>
      <c r="B7" s="1125"/>
      <c r="C7" s="1125"/>
      <c r="D7" s="1125"/>
      <c r="E7" s="1125"/>
      <c r="F7" s="1125"/>
      <c r="G7" s="1125"/>
      <c r="H7" s="1163"/>
    </row>
    <row r="8" spans="1:8" ht="18" x14ac:dyDescent="0.25">
      <c r="A8" s="1103" t="s">
        <v>1477</v>
      </c>
      <c r="B8" s="1125"/>
      <c r="C8" s="1125"/>
      <c r="D8" s="1125"/>
      <c r="E8" s="1125"/>
      <c r="F8" s="1125"/>
      <c r="G8" s="1125"/>
      <c r="H8" s="1163"/>
    </row>
    <row r="9" spans="1:8" ht="15.75" thickBot="1" x14ac:dyDescent="0.3">
      <c r="A9" s="1103" t="s">
        <v>1476</v>
      </c>
      <c r="H9" s="1177" t="s">
        <v>92</v>
      </c>
    </row>
    <row r="10" spans="1:8" s="1037" customFormat="1" ht="25.5" thickTop="1" thickBot="1" x14ac:dyDescent="0.25">
      <c r="A10" s="1104" t="s">
        <v>93</v>
      </c>
      <c r="B10" s="1105" t="s">
        <v>392</v>
      </c>
      <c r="C10" s="1105" t="s">
        <v>209</v>
      </c>
      <c r="D10" s="1106" t="s">
        <v>95</v>
      </c>
      <c r="E10" s="1127" t="s">
        <v>328</v>
      </c>
      <c r="F10" s="1127" t="s">
        <v>329</v>
      </c>
      <c r="G10" s="1128" t="s">
        <v>448</v>
      </c>
      <c r="H10" s="1129" t="s">
        <v>449</v>
      </c>
    </row>
    <row r="11" spans="1:8" s="1037" customFormat="1" ht="13.5" thickTop="1" thickBot="1" x14ac:dyDescent="0.25">
      <c r="A11" s="1042">
        <v>1</v>
      </c>
      <c r="B11" s="1041">
        <v>2</v>
      </c>
      <c r="C11" s="1041">
        <v>3</v>
      </c>
      <c r="D11" s="1041">
        <v>4</v>
      </c>
      <c r="E11" s="1040">
        <v>5</v>
      </c>
      <c r="F11" s="1040">
        <v>6</v>
      </c>
      <c r="G11" s="1164">
        <v>7</v>
      </c>
      <c r="H11" s="1186" t="s">
        <v>33</v>
      </c>
    </row>
    <row r="12" spans="1:8" ht="15.75" customHeight="1" thickTop="1" x14ac:dyDescent="0.2">
      <c r="A12" s="1124">
        <v>4344</v>
      </c>
      <c r="B12" s="1112">
        <v>5169</v>
      </c>
      <c r="C12" s="2200" t="s">
        <v>1038</v>
      </c>
      <c r="D12" s="1130" t="s">
        <v>430</v>
      </c>
      <c r="E12" s="1126">
        <v>730</v>
      </c>
      <c r="F12" s="1126">
        <v>730</v>
      </c>
      <c r="G12" s="1126">
        <v>703</v>
      </c>
      <c r="H12" s="3051">
        <f t="shared" ref="H12:H29" si="0">G12/F12*100</f>
        <v>96.30136986301369</v>
      </c>
    </row>
    <row r="13" spans="1:8" ht="15.75" customHeight="1" x14ac:dyDescent="0.2">
      <c r="A13" s="1110">
        <v>4344</v>
      </c>
      <c r="B13" s="1111">
        <v>5169</v>
      </c>
      <c r="C13" s="1216" t="s">
        <v>1264</v>
      </c>
      <c r="D13" s="1130" t="s">
        <v>430</v>
      </c>
      <c r="E13" s="1135">
        <v>0</v>
      </c>
      <c r="F13" s="1135">
        <v>1460</v>
      </c>
      <c r="G13" s="1135">
        <v>1405</v>
      </c>
      <c r="H13" s="3050">
        <f t="shared" si="0"/>
        <v>96.232876712328761</v>
      </c>
    </row>
    <row r="14" spans="1:8" ht="15.75" hidden="1" customHeight="1" x14ac:dyDescent="0.2">
      <c r="A14" s="1110">
        <v>4374</v>
      </c>
      <c r="B14" s="1111">
        <v>5169</v>
      </c>
      <c r="C14" s="1216">
        <v>33113233</v>
      </c>
      <c r="D14" s="1130" t="s">
        <v>430</v>
      </c>
      <c r="E14" s="1135"/>
      <c r="F14" s="1135"/>
      <c r="G14" s="1135"/>
      <c r="H14" s="3050" t="e">
        <f t="shared" si="0"/>
        <v>#DIV/0!</v>
      </c>
    </row>
    <row r="15" spans="1:8" ht="15.75" hidden="1" customHeight="1" x14ac:dyDescent="0.2">
      <c r="A15" s="1110">
        <v>4374</v>
      </c>
      <c r="B15" s="1111">
        <v>5169</v>
      </c>
      <c r="C15" s="1216">
        <v>33513233</v>
      </c>
      <c r="D15" s="1130" t="s">
        <v>430</v>
      </c>
      <c r="E15" s="1135"/>
      <c r="F15" s="1135"/>
      <c r="G15" s="1135"/>
      <c r="H15" s="3050" t="e">
        <f t="shared" si="0"/>
        <v>#DIV/0!</v>
      </c>
    </row>
    <row r="16" spans="1:8" ht="15.75" hidden="1" customHeight="1" x14ac:dyDescent="0.2">
      <c r="A16" s="1110">
        <v>4371</v>
      </c>
      <c r="B16" s="1111">
        <v>5169</v>
      </c>
      <c r="C16" s="1216">
        <v>33113233</v>
      </c>
      <c r="D16" s="1130" t="s">
        <v>430</v>
      </c>
      <c r="E16" s="1135"/>
      <c r="F16" s="1135"/>
      <c r="G16" s="1135"/>
      <c r="H16" s="3050" t="e">
        <f t="shared" si="0"/>
        <v>#DIV/0!</v>
      </c>
    </row>
    <row r="17" spans="1:8" ht="15.75" hidden="1" customHeight="1" x14ac:dyDescent="0.2">
      <c r="A17" s="1110">
        <v>4371</v>
      </c>
      <c r="B17" s="1111">
        <v>5169</v>
      </c>
      <c r="C17" s="1216">
        <v>33513233</v>
      </c>
      <c r="D17" s="1130" t="s">
        <v>430</v>
      </c>
      <c r="E17" s="1135"/>
      <c r="F17" s="1135"/>
      <c r="G17" s="1135"/>
      <c r="H17" s="3050" t="e">
        <f t="shared" si="0"/>
        <v>#DIV/0!</v>
      </c>
    </row>
    <row r="18" spans="1:8" ht="15.75" hidden="1" customHeight="1" x14ac:dyDescent="0.2">
      <c r="A18" s="1110">
        <v>4372</v>
      </c>
      <c r="B18" s="1111">
        <v>5169</v>
      </c>
      <c r="C18" s="1216">
        <v>33113233</v>
      </c>
      <c r="D18" s="1130" t="s">
        <v>430</v>
      </c>
      <c r="E18" s="1135"/>
      <c r="F18" s="1135"/>
      <c r="G18" s="1135"/>
      <c r="H18" s="3050" t="e">
        <f t="shared" si="0"/>
        <v>#DIV/0!</v>
      </c>
    </row>
    <row r="19" spans="1:8" ht="15.75" hidden="1" customHeight="1" x14ac:dyDescent="0.2">
      <c r="A19" s="1110">
        <v>4372</v>
      </c>
      <c r="B19" s="1111">
        <v>5169</v>
      </c>
      <c r="C19" s="1216">
        <v>33513233</v>
      </c>
      <c r="D19" s="1130" t="s">
        <v>430</v>
      </c>
      <c r="E19" s="1135"/>
      <c r="F19" s="1135"/>
      <c r="G19" s="1135"/>
      <c r="H19" s="3050" t="e">
        <f t="shared" si="0"/>
        <v>#DIV/0!</v>
      </c>
    </row>
    <row r="20" spans="1:8" ht="15.75" hidden="1" customHeight="1" x14ac:dyDescent="0.2">
      <c r="A20" s="1110">
        <v>4373</v>
      </c>
      <c r="B20" s="1111">
        <v>5169</v>
      </c>
      <c r="C20" s="1216">
        <v>33113233</v>
      </c>
      <c r="D20" s="1130" t="s">
        <v>430</v>
      </c>
      <c r="E20" s="1135"/>
      <c r="F20" s="1135"/>
      <c r="G20" s="1135"/>
      <c r="H20" s="3050" t="e">
        <f t="shared" si="0"/>
        <v>#DIV/0!</v>
      </c>
    </row>
    <row r="21" spans="1:8" ht="15.75" hidden="1" customHeight="1" x14ac:dyDescent="0.2">
      <c r="A21" s="1110">
        <v>4373</v>
      </c>
      <c r="B21" s="1111">
        <v>5169</v>
      </c>
      <c r="C21" s="1216">
        <v>33513233</v>
      </c>
      <c r="D21" s="1130" t="s">
        <v>430</v>
      </c>
      <c r="E21" s="1135"/>
      <c r="F21" s="1135"/>
      <c r="G21" s="1135"/>
      <c r="H21" s="3050" t="e">
        <f t="shared" si="0"/>
        <v>#DIV/0!</v>
      </c>
    </row>
    <row r="22" spans="1:8" ht="15.75" customHeight="1" x14ac:dyDescent="0.2">
      <c r="A22" s="1110">
        <v>4344</v>
      </c>
      <c r="B22" s="1111">
        <v>5169</v>
      </c>
      <c r="C22" s="1216" t="s">
        <v>1265</v>
      </c>
      <c r="D22" s="1130" t="s">
        <v>430</v>
      </c>
      <c r="E22" s="1135">
        <v>0</v>
      </c>
      <c r="F22" s="1135">
        <v>12410</v>
      </c>
      <c r="G22" s="1135">
        <v>11941</v>
      </c>
      <c r="H22" s="3050">
        <f t="shared" si="0"/>
        <v>96.220789685737302</v>
      </c>
    </row>
    <row r="23" spans="1:8" ht="15.75" customHeight="1" x14ac:dyDescent="0.2">
      <c r="A23" s="1110">
        <v>4351</v>
      </c>
      <c r="B23" s="1111">
        <v>5169</v>
      </c>
      <c r="C23" s="1216" t="s">
        <v>1038</v>
      </c>
      <c r="D23" s="1130" t="s">
        <v>430</v>
      </c>
      <c r="E23" s="1135">
        <v>130</v>
      </c>
      <c r="F23" s="1135">
        <v>130</v>
      </c>
      <c r="G23" s="1135">
        <v>121</v>
      </c>
      <c r="H23" s="3050">
        <f t="shared" si="0"/>
        <v>93.07692307692308</v>
      </c>
    </row>
    <row r="24" spans="1:8" ht="15" x14ac:dyDescent="0.2">
      <c r="A24" s="1110">
        <v>4351</v>
      </c>
      <c r="B24" s="1111">
        <v>5169</v>
      </c>
      <c r="C24" s="1216" t="s">
        <v>1264</v>
      </c>
      <c r="D24" s="1130" t="s">
        <v>430</v>
      </c>
      <c r="E24" s="1135">
        <v>0</v>
      </c>
      <c r="F24" s="1135">
        <v>260</v>
      </c>
      <c r="G24" s="1135">
        <v>243</v>
      </c>
      <c r="H24" s="3050">
        <f t="shared" si="0"/>
        <v>93.461538461538467</v>
      </c>
    </row>
    <row r="25" spans="1:8" ht="15" x14ac:dyDescent="0.2">
      <c r="A25" s="1110">
        <v>4351</v>
      </c>
      <c r="B25" s="1111">
        <v>5169</v>
      </c>
      <c r="C25" s="1216" t="s">
        <v>1265</v>
      </c>
      <c r="D25" s="1130" t="s">
        <v>430</v>
      </c>
      <c r="E25" s="1135">
        <v>0</v>
      </c>
      <c r="F25" s="1135">
        <v>2210</v>
      </c>
      <c r="G25" s="1135">
        <v>2063</v>
      </c>
      <c r="H25" s="3050">
        <f t="shared" si="0"/>
        <v>93.348416289592762</v>
      </c>
    </row>
    <row r="26" spans="1:8" ht="15" x14ac:dyDescent="0.2">
      <c r="A26" s="1110">
        <v>4371</v>
      </c>
      <c r="B26" s="1111">
        <v>5169</v>
      </c>
      <c r="C26" s="1216" t="s">
        <v>1038</v>
      </c>
      <c r="D26" s="1130" t="s">
        <v>430</v>
      </c>
      <c r="E26" s="1135">
        <v>1730</v>
      </c>
      <c r="F26" s="1135">
        <v>1635</v>
      </c>
      <c r="G26" s="1135">
        <v>1622</v>
      </c>
      <c r="H26" s="3050">
        <f t="shared" si="0"/>
        <v>99.204892966360859</v>
      </c>
    </row>
    <row r="27" spans="1:8" ht="15" x14ac:dyDescent="0.2">
      <c r="A27" s="1110">
        <v>4371</v>
      </c>
      <c r="B27" s="1111">
        <v>5169</v>
      </c>
      <c r="C27" s="1216" t="s">
        <v>1475</v>
      </c>
      <c r="D27" s="1130" t="s">
        <v>430</v>
      </c>
      <c r="E27" s="1135">
        <v>0</v>
      </c>
      <c r="F27" s="1135">
        <v>95</v>
      </c>
      <c r="G27" s="1135">
        <v>95</v>
      </c>
      <c r="H27" s="3050">
        <f t="shared" si="0"/>
        <v>100</v>
      </c>
    </row>
    <row r="28" spans="1:8" ht="15.75" customHeight="1" x14ac:dyDescent="0.2">
      <c r="A28" s="1110">
        <v>4371</v>
      </c>
      <c r="B28" s="1111">
        <v>5169</v>
      </c>
      <c r="C28" s="1216" t="s">
        <v>1264</v>
      </c>
      <c r="D28" s="1130" t="s">
        <v>430</v>
      </c>
      <c r="E28" s="1135">
        <v>0</v>
      </c>
      <c r="F28" s="1135">
        <v>3270</v>
      </c>
      <c r="G28" s="1135">
        <v>3244</v>
      </c>
      <c r="H28" s="3050">
        <f t="shared" si="0"/>
        <v>99.204892966360859</v>
      </c>
    </row>
    <row r="29" spans="1:8" ht="15.75" customHeight="1" x14ac:dyDescent="0.2">
      <c r="A29" s="1110">
        <v>4371</v>
      </c>
      <c r="B29" s="1111">
        <v>5169</v>
      </c>
      <c r="C29" s="1216" t="s">
        <v>1265</v>
      </c>
      <c r="D29" s="1130" t="s">
        <v>430</v>
      </c>
      <c r="E29" s="1135">
        <v>0</v>
      </c>
      <c r="F29" s="1135">
        <v>27795</v>
      </c>
      <c r="G29" s="1135">
        <v>27577</v>
      </c>
      <c r="H29" s="3050">
        <f t="shared" si="0"/>
        <v>99.215686274509807</v>
      </c>
    </row>
    <row r="30" spans="1:8" ht="15.75" hidden="1" customHeight="1" x14ac:dyDescent="0.2">
      <c r="A30" s="1110">
        <v>4371</v>
      </c>
      <c r="B30" s="1111">
        <v>5169</v>
      </c>
      <c r="C30" s="1216">
        <v>33513233</v>
      </c>
      <c r="D30" s="1130" t="s">
        <v>430</v>
      </c>
      <c r="E30" s="1135"/>
      <c r="F30" s="1135"/>
      <c r="G30" s="1135"/>
      <c r="H30" s="3050">
        <v>0</v>
      </c>
    </row>
    <row r="31" spans="1:8" ht="15.75" hidden="1" customHeight="1" x14ac:dyDescent="0.2">
      <c r="A31" s="1110">
        <v>4371</v>
      </c>
      <c r="B31" s="1111">
        <v>5169</v>
      </c>
      <c r="C31" s="1216">
        <v>33113233</v>
      </c>
      <c r="D31" s="1130" t="s">
        <v>430</v>
      </c>
      <c r="E31" s="1135"/>
      <c r="F31" s="1135"/>
      <c r="G31" s="1135"/>
      <c r="H31" s="3050">
        <v>0</v>
      </c>
    </row>
    <row r="32" spans="1:8" ht="15.75" hidden="1" customHeight="1" x14ac:dyDescent="0.2">
      <c r="A32" s="1110">
        <v>4371</v>
      </c>
      <c r="B32" s="1111">
        <v>5169</v>
      </c>
      <c r="C32" s="1216">
        <v>33513233</v>
      </c>
      <c r="D32" s="1130" t="s">
        <v>430</v>
      </c>
      <c r="E32" s="1135"/>
      <c r="F32" s="1135"/>
      <c r="G32" s="1135"/>
      <c r="H32" s="3050">
        <v>0</v>
      </c>
    </row>
    <row r="33" spans="1:8" ht="15.75" hidden="1" customHeight="1" x14ac:dyDescent="0.2">
      <c r="A33" s="1110">
        <v>4371</v>
      </c>
      <c r="B33" s="1111">
        <v>5169</v>
      </c>
      <c r="C33" s="1216" t="s">
        <v>1265</v>
      </c>
      <c r="D33" s="1130" t="s">
        <v>430</v>
      </c>
      <c r="E33" s="1135"/>
      <c r="F33" s="1135"/>
      <c r="G33" s="1135"/>
      <c r="H33" s="3050" t="e">
        <f>G33/F33*100</f>
        <v>#DIV/0!</v>
      </c>
    </row>
    <row r="34" spans="1:8" ht="15.75" hidden="1" customHeight="1" x14ac:dyDescent="0.2">
      <c r="A34" s="1110">
        <v>4371</v>
      </c>
      <c r="B34" s="1111">
        <v>5169</v>
      </c>
      <c r="C34" s="1216">
        <v>33113233</v>
      </c>
      <c r="D34" s="1130" t="s">
        <v>430</v>
      </c>
      <c r="E34" s="1135"/>
      <c r="F34" s="1135"/>
      <c r="G34" s="1135"/>
      <c r="H34" s="3050">
        <v>0</v>
      </c>
    </row>
    <row r="35" spans="1:8" ht="15.75" hidden="1" customHeight="1" x14ac:dyDescent="0.2">
      <c r="A35" s="1110">
        <v>4371</v>
      </c>
      <c r="B35" s="1111">
        <v>5169</v>
      </c>
      <c r="C35" s="1216">
        <v>33513233</v>
      </c>
      <c r="D35" s="1130" t="s">
        <v>430</v>
      </c>
      <c r="E35" s="1135"/>
      <c r="F35" s="1135"/>
      <c r="G35" s="1135"/>
      <c r="H35" s="3050" t="e">
        <f t="shared" ref="H35:H60" si="1">G35/F35*100</f>
        <v>#DIV/0!</v>
      </c>
    </row>
    <row r="36" spans="1:8" ht="15.75" hidden="1" customHeight="1" x14ac:dyDescent="0.2">
      <c r="A36" s="1110">
        <v>4371</v>
      </c>
      <c r="B36" s="1111">
        <v>5169</v>
      </c>
      <c r="C36" s="1216">
        <v>33113233</v>
      </c>
      <c r="D36" s="1130" t="s">
        <v>430</v>
      </c>
      <c r="E36" s="1135"/>
      <c r="F36" s="1135"/>
      <c r="G36" s="1135"/>
      <c r="H36" s="3050" t="e">
        <f t="shared" si="1"/>
        <v>#DIV/0!</v>
      </c>
    </row>
    <row r="37" spans="1:8" ht="15.75" hidden="1" customHeight="1" x14ac:dyDescent="0.2">
      <c r="A37" s="1110">
        <v>4371</v>
      </c>
      <c r="B37" s="1111">
        <v>5169</v>
      </c>
      <c r="C37" s="1216">
        <v>33513233</v>
      </c>
      <c r="D37" s="1130" t="s">
        <v>430</v>
      </c>
      <c r="E37" s="1135"/>
      <c r="F37" s="1135"/>
      <c r="G37" s="1135"/>
      <c r="H37" s="3050" t="e">
        <f t="shared" si="1"/>
        <v>#DIV/0!</v>
      </c>
    </row>
    <row r="38" spans="1:8" s="1136" customFormat="1" ht="15.75" customHeight="1" x14ac:dyDescent="0.2">
      <c r="A38" s="1181">
        <v>4372</v>
      </c>
      <c r="B38" s="1111">
        <v>5169</v>
      </c>
      <c r="C38" s="1214" t="s">
        <v>1038</v>
      </c>
      <c r="D38" s="1130" t="s">
        <v>430</v>
      </c>
      <c r="E38" s="1135">
        <v>91</v>
      </c>
      <c r="F38" s="1135">
        <v>91</v>
      </c>
      <c r="G38" s="1135">
        <v>90</v>
      </c>
      <c r="H38" s="3050">
        <f t="shared" si="1"/>
        <v>98.901098901098905</v>
      </c>
    </row>
    <row r="39" spans="1:8" s="1136" customFormat="1" ht="15.75" customHeight="1" x14ac:dyDescent="0.2">
      <c r="A39" s="1181">
        <v>4372</v>
      </c>
      <c r="B39" s="1111">
        <v>5169</v>
      </c>
      <c r="C39" s="1214" t="s">
        <v>1264</v>
      </c>
      <c r="D39" s="1130" t="s">
        <v>430</v>
      </c>
      <c r="E39" s="1135">
        <v>0</v>
      </c>
      <c r="F39" s="1135">
        <v>182</v>
      </c>
      <c r="G39" s="1135">
        <v>179</v>
      </c>
      <c r="H39" s="3050">
        <f t="shared" si="1"/>
        <v>98.35164835164835</v>
      </c>
    </row>
    <row r="40" spans="1:8" ht="15.75" customHeight="1" x14ac:dyDescent="0.2">
      <c r="A40" s="1181">
        <v>4372</v>
      </c>
      <c r="B40" s="1111">
        <v>5169</v>
      </c>
      <c r="C40" s="1216" t="s">
        <v>1265</v>
      </c>
      <c r="D40" s="1130" t="s">
        <v>430</v>
      </c>
      <c r="E40" s="1135">
        <v>0</v>
      </c>
      <c r="F40" s="1135">
        <v>1547</v>
      </c>
      <c r="G40" s="1135">
        <v>1524</v>
      </c>
      <c r="H40" s="3050">
        <f t="shared" si="1"/>
        <v>98.51325145442793</v>
      </c>
    </row>
    <row r="41" spans="1:8" ht="15.75" customHeight="1" x14ac:dyDescent="0.2">
      <c r="A41" s="1110">
        <v>4373</v>
      </c>
      <c r="B41" s="1111">
        <v>5169</v>
      </c>
      <c r="C41" s="1214" t="s">
        <v>1038</v>
      </c>
      <c r="D41" s="1130" t="s">
        <v>430</v>
      </c>
      <c r="E41" s="1135">
        <v>112</v>
      </c>
      <c r="F41" s="1135">
        <v>112</v>
      </c>
      <c r="G41" s="1135">
        <v>110</v>
      </c>
      <c r="H41" s="3050">
        <f t="shared" si="1"/>
        <v>98.214285714285708</v>
      </c>
    </row>
    <row r="42" spans="1:8" ht="15.75" customHeight="1" x14ac:dyDescent="0.2">
      <c r="A42" s="1110">
        <v>4373</v>
      </c>
      <c r="B42" s="1111">
        <v>5169</v>
      </c>
      <c r="C42" s="1214" t="s">
        <v>1264</v>
      </c>
      <c r="D42" s="1130" t="s">
        <v>430</v>
      </c>
      <c r="E42" s="1135">
        <v>0</v>
      </c>
      <c r="F42" s="1135">
        <v>224</v>
      </c>
      <c r="G42" s="1135">
        <v>221</v>
      </c>
      <c r="H42" s="3050">
        <f t="shared" si="1"/>
        <v>98.660714285714292</v>
      </c>
    </row>
    <row r="43" spans="1:8" ht="15.75" customHeight="1" x14ac:dyDescent="0.2">
      <c r="A43" s="1110">
        <v>4373</v>
      </c>
      <c r="B43" s="1111">
        <v>5169</v>
      </c>
      <c r="C43" s="1216" t="s">
        <v>1265</v>
      </c>
      <c r="D43" s="1130" t="s">
        <v>430</v>
      </c>
      <c r="E43" s="1135">
        <v>0</v>
      </c>
      <c r="F43" s="1135">
        <v>1904</v>
      </c>
      <c r="G43" s="1135">
        <v>1876</v>
      </c>
      <c r="H43" s="3050">
        <f t="shared" si="1"/>
        <v>98.529411764705884</v>
      </c>
    </row>
    <row r="44" spans="1:8" ht="15.75" hidden="1" customHeight="1" x14ac:dyDescent="0.2">
      <c r="A44" s="1110">
        <v>4379</v>
      </c>
      <c r="B44" s="1111">
        <v>5169</v>
      </c>
      <c r="C44" s="1216" t="s">
        <v>876</v>
      </c>
      <c r="D44" s="1130" t="s">
        <v>430</v>
      </c>
      <c r="E44" s="1135"/>
      <c r="F44" s="1135"/>
      <c r="G44" s="1135"/>
      <c r="H44" s="3050" t="e">
        <f t="shared" si="1"/>
        <v>#DIV/0!</v>
      </c>
    </row>
    <row r="45" spans="1:8" ht="15" hidden="1" x14ac:dyDescent="0.2">
      <c r="A45" s="1110">
        <v>4379</v>
      </c>
      <c r="B45" s="1111">
        <v>5169</v>
      </c>
      <c r="C45" s="1216" t="s">
        <v>877</v>
      </c>
      <c r="D45" s="1130" t="s">
        <v>430</v>
      </c>
      <c r="E45" s="1135"/>
      <c r="F45" s="1135"/>
      <c r="G45" s="1135"/>
      <c r="H45" s="3050" t="e">
        <f t="shared" si="1"/>
        <v>#DIV/0!</v>
      </c>
    </row>
    <row r="46" spans="1:8" ht="15.75" customHeight="1" x14ac:dyDescent="0.2">
      <c r="A46" s="1181">
        <v>4374</v>
      </c>
      <c r="B46" s="1111">
        <v>5169</v>
      </c>
      <c r="C46" s="1214" t="s">
        <v>1038</v>
      </c>
      <c r="D46" s="1130" t="s">
        <v>430</v>
      </c>
      <c r="E46" s="1135">
        <v>2730</v>
      </c>
      <c r="F46" s="1135">
        <v>2730</v>
      </c>
      <c r="G46" s="1135">
        <v>2668</v>
      </c>
      <c r="H46" s="3050">
        <f t="shared" si="1"/>
        <v>97.728937728937723</v>
      </c>
    </row>
    <row r="47" spans="1:8" ht="15.75" customHeight="1" x14ac:dyDescent="0.2">
      <c r="A47" s="1181">
        <v>4374</v>
      </c>
      <c r="B47" s="1111">
        <v>5169</v>
      </c>
      <c r="C47" s="1214" t="s">
        <v>1264</v>
      </c>
      <c r="D47" s="1130" t="s">
        <v>430</v>
      </c>
      <c r="E47" s="1135">
        <v>0</v>
      </c>
      <c r="F47" s="1135">
        <v>13173</v>
      </c>
      <c r="G47" s="1135">
        <v>5335</v>
      </c>
      <c r="H47" s="3050">
        <f t="shared" si="1"/>
        <v>40.499506566461704</v>
      </c>
    </row>
    <row r="48" spans="1:8" ht="15.75" customHeight="1" x14ac:dyDescent="0.2">
      <c r="A48" s="1110">
        <v>4374</v>
      </c>
      <c r="B48" s="1111">
        <v>5169</v>
      </c>
      <c r="C48" s="1216" t="s">
        <v>1265</v>
      </c>
      <c r="D48" s="1130" t="s">
        <v>430</v>
      </c>
      <c r="E48" s="1135">
        <v>0</v>
      </c>
      <c r="F48" s="1135">
        <v>111975</v>
      </c>
      <c r="G48" s="1135">
        <v>45349</v>
      </c>
      <c r="H48" s="3050">
        <f t="shared" si="1"/>
        <v>40.499218575574901</v>
      </c>
    </row>
    <row r="49" spans="1:8" ht="15.75" customHeight="1" x14ac:dyDescent="0.2">
      <c r="A49" s="1110">
        <v>4377</v>
      </c>
      <c r="B49" s="1111">
        <v>5169</v>
      </c>
      <c r="C49" s="1214" t="s">
        <v>1038</v>
      </c>
      <c r="D49" s="1130" t="s">
        <v>430</v>
      </c>
      <c r="E49" s="1135">
        <v>280</v>
      </c>
      <c r="F49" s="1135">
        <v>280</v>
      </c>
      <c r="G49" s="1135">
        <v>272</v>
      </c>
      <c r="H49" s="3050">
        <f t="shared" si="1"/>
        <v>97.142857142857139</v>
      </c>
    </row>
    <row r="50" spans="1:8" s="1136" customFormat="1" ht="15" x14ac:dyDescent="0.2">
      <c r="A50" s="1181">
        <v>4377</v>
      </c>
      <c r="B50" s="1111">
        <v>5169</v>
      </c>
      <c r="C50" s="1214" t="s">
        <v>1264</v>
      </c>
      <c r="D50" s="1130" t="s">
        <v>430</v>
      </c>
      <c r="E50" s="1135">
        <v>0</v>
      </c>
      <c r="F50" s="1135">
        <v>560</v>
      </c>
      <c r="G50" s="1135">
        <v>544</v>
      </c>
      <c r="H50" s="3050">
        <f t="shared" si="1"/>
        <v>97.142857142857139</v>
      </c>
    </row>
    <row r="51" spans="1:8" s="1136" customFormat="1" ht="15" x14ac:dyDescent="0.2">
      <c r="A51" s="1181">
        <v>4377</v>
      </c>
      <c r="B51" s="1111">
        <v>5169</v>
      </c>
      <c r="C51" s="1216" t="s">
        <v>1265</v>
      </c>
      <c r="D51" s="1130" t="s">
        <v>430</v>
      </c>
      <c r="E51" s="1135">
        <v>0</v>
      </c>
      <c r="F51" s="1135">
        <v>4760</v>
      </c>
      <c r="G51" s="1135">
        <v>4622</v>
      </c>
      <c r="H51" s="3050">
        <f t="shared" si="1"/>
        <v>97.100840336134453</v>
      </c>
    </row>
    <row r="52" spans="1:8" ht="15.75" customHeight="1" x14ac:dyDescent="0.2">
      <c r="A52" s="1181">
        <v>4379</v>
      </c>
      <c r="B52" s="1187">
        <v>5166</v>
      </c>
      <c r="C52" s="1214" t="s">
        <v>1038</v>
      </c>
      <c r="D52" s="1130" t="s">
        <v>317</v>
      </c>
      <c r="E52" s="1371">
        <v>0</v>
      </c>
      <c r="F52" s="1135">
        <v>50</v>
      </c>
      <c r="G52" s="1371">
        <v>24</v>
      </c>
      <c r="H52" s="3057">
        <f t="shared" si="1"/>
        <v>48</v>
      </c>
    </row>
    <row r="53" spans="1:8" ht="15.75" customHeight="1" x14ac:dyDescent="0.2">
      <c r="A53" s="1181">
        <v>4379</v>
      </c>
      <c r="B53" s="1187">
        <v>5166</v>
      </c>
      <c r="C53" s="1214" t="s">
        <v>1264</v>
      </c>
      <c r="D53" s="1130" t="s">
        <v>317</v>
      </c>
      <c r="E53" s="1371">
        <v>0</v>
      </c>
      <c r="F53" s="1135">
        <v>100</v>
      </c>
      <c r="G53" s="1371">
        <v>48</v>
      </c>
      <c r="H53" s="3057">
        <f t="shared" si="1"/>
        <v>48</v>
      </c>
    </row>
    <row r="54" spans="1:8" s="1191" customFormat="1" ht="30" hidden="1" x14ac:dyDescent="0.2">
      <c r="A54" s="1181">
        <v>4379</v>
      </c>
      <c r="B54" s="1187">
        <v>5137</v>
      </c>
      <c r="C54" s="1216" t="s">
        <v>1265</v>
      </c>
      <c r="D54" s="1130" t="s">
        <v>317</v>
      </c>
      <c r="E54" s="1135"/>
      <c r="F54" s="1192"/>
      <c r="G54" s="1371"/>
      <c r="H54" s="3057" t="e">
        <f t="shared" si="1"/>
        <v>#DIV/0!</v>
      </c>
    </row>
    <row r="55" spans="1:8" s="1191" customFormat="1" ht="30" hidden="1" x14ac:dyDescent="0.2">
      <c r="A55" s="1181">
        <v>4379</v>
      </c>
      <c r="B55" s="1187">
        <v>5137</v>
      </c>
      <c r="C55" s="1214">
        <v>33513233</v>
      </c>
      <c r="D55" s="1130" t="s">
        <v>317</v>
      </c>
      <c r="E55" s="1135"/>
      <c r="F55" s="1192"/>
      <c r="G55" s="1371"/>
      <c r="H55" s="3057" t="e">
        <f t="shared" si="1"/>
        <v>#DIV/0!</v>
      </c>
    </row>
    <row r="56" spans="1:8" s="1136" customFormat="1" ht="30" hidden="1" x14ac:dyDescent="0.2">
      <c r="A56" s="1181">
        <v>4379</v>
      </c>
      <c r="B56" s="1189">
        <v>5139</v>
      </c>
      <c r="C56" s="1214" t="s">
        <v>876</v>
      </c>
      <c r="D56" s="1130" t="s">
        <v>317</v>
      </c>
      <c r="E56" s="1135"/>
      <c r="F56" s="1135"/>
      <c r="G56" s="1371"/>
      <c r="H56" s="3057" t="e">
        <f t="shared" si="1"/>
        <v>#DIV/0!</v>
      </c>
    </row>
    <row r="57" spans="1:8" s="1136" customFormat="1" ht="30" hidden="1" x14ac:dyDescent="0.2">
      <c r="A57" s="1181">
        <v>4379</v>
      </c>
      <c r="B57" s="1189">
        <v>5139</v>
      </c>
      <c r="C57" s="1216" t="s">
        <v>877</v>
      </c>
      <c r="D57" s="1130" t="s">
        <v>317</v>
      </c>
      <c r="E57" s="1135"/>
      <c r="F57" s="1135"/>
      <c r="G57" s="1371"/>
      <c r="H57" s="3057" t="e">
        <f t="shared" si="1"/>
        <v>#DIV/0!</v>
      </c>
    </row>
    <row r="58" spans="1:8" ht="30" hidden="1" x14ac:dyDescent="0.2">
      <c r="A58" s="1181">
        <v>4379</v>
      </c>
      <c r="B58" s="1189">
        <v>5156</v>
      </c>
      <c r="C58" s="1214">
        <v>33113233</v>
      </c>
      <c r="D58" s="1130" t="s">
        <v>317</v>
      </c>
      <c r="E58" s="1135"/>
      <c r="F58" s="1135"/>
      <c r="G58" s="1371"/>
      <c r="H58" s="3057" t="e">
        <f t="shared" si="1"/>
        <v>#DIV/0!</v>
      </c>
    </row>
    <row r="59" spans="1:8" ht="30" hidden="1" x14ac:dyDescent="0.2">
      <c r="A59" s="1181">
        <v>4379</v>
      </c>
      <c r="B59" s="1189">
        <v>5156</v>
      </c>
      <c r="C59" s="1214">
        <v>33513233</v>
      </c>
      <c r="D59" s="1130" t="s">
        <v>317</v>
      </c>
      <c r="E59" s="1135"/>
      <c r="F59" s="1135"/>
      <c r="G59" s="1371"/>
      <c r="H59" s="3057" t="e">
        <f t="shared" si="1"/>
        <v>#DIV/0!</v>
      </c>
    </row>
    <row r="60" spans="1:8" ht="15.75" customHeight="1" x14ac:dyDescent="0.2">
      <c r="A60" s="1181">
        <v>4379</v>
      </c>
      <c r="B60" s="1187">
        <v>5166</v>
      </c>
      <c r="C60" s="1214" t="s">
        <v>1265</v>
      </c>
      <c r="D60" s="1130" t="s">
        <v>317</v>
      </c>
      <c r="E60" s="1371">
        <v>0</v>
      </c>
      <c r="F60" s="1135">
        <v>850</v>
      </c>
      <c r="G60" s="1371">
        <v>411</v>
      </c>
      <c r="H60" s="3057">
        <f t="shared" si="1"/>
        <v>48.352941176470587</v>
      </c>
    </row>
    <row r="61" spans="1:8" ht="15" x14ac:dyDescent="0.2">
      <c r="A61" s="1181">
        <v>4379</v>
      </c>
      <c r="B61" s="1187">
        <v>5169</v>
      </c>
      <c r="C61" s="1214" t="s">
        <v>1038</v>
      </c>
      <c r="D61" s="1130" t="s">
        <v>430</v>
      </c>
      <c r="E61" s="1135">
        <v>50</v>
      </c>
      <c r="F61" s="1135">
        <v>0</v>
      </c>
      <c r="G61" s="1135">
        <v>0</v>
      </c>
      <c r="H61" s="3050">
        <v>0</v>
      </c>
    </row>
    <row r="62" spans="1:8" ht="15" hidden="1" x14ac:dyDescent="0.2">
      <c r="A62" s="1110">
        <v>6172</v>
      </c>
      <c r="B62" s="1111">
        <v>5173</v>
      </c>
      <c r="C62" s="1216" t="s">
        <v>876</v>
      </c>
      <c r="D62" s="1130" t="s">
        <v>541</v>
      </c>
      <c r="E62" s="1135">
        <v>0</v>
      </c>
      <c r="F62" s="1135"/>
      <c r="G62" s="1135"/>
      <c r="H62" s="3050" t="e">
        <f>G62/F62*100</f>
        <v>#DIV/0!</v>
      </c>
    </row>
    <row r="63" spans="1:8" ht="15" hidden="1" x14ac:dyDescent="0.2">
      <c r="A63" s="1110">
        <v>6172</v>
      </c>
      <c r="B63" s="1111">
        <v>5173</v>
      </c>
      <c r="C63" s="1216" t="s">
        <v>877</v>
      </c>
      <c r="D63" s="1130" t="s">
        <v>541</v>
      </c>
      <c r="E63" s="1135">
        <v>0</v>
      </c>
      <c r="F63" s="1135"/>
      <c r="G63" s="1135"/>
      <c r="H63" s="3050" t="e">
        <f>G63/F63*100</f>
        <v>#DIV/0!</v>
      </c>
    </row>
    <row r="64" spans="1:8" s="1136" customFormat="1" ht="15" hidden="1" x14ac:dyDescent="0.2">
      <c r="A64" s="1181">
        <v>6172</v>
      </c>
      <c r="B64" s="1187">
        <v>5424</v>
      </c>
      <c r="C64" s="1214" t="s">
        <v>876</v>
      </c>
      <c r="D64" s="1130" t="s">
        <v>343</v>
      </c>
      <c r="E64" s="1135">
        <v>0</v>
      </c>
      <c r="F64" s="1135"/>
      <c r="G64" s="1135"/>
      <c r="H64" s="3050" t="e">
        <f>G64/F64*100</f>
        <v>#DIV/0!</v>
      </c>
    </row>
    <row r="65" spans="1:12" s="1136" customFormat="1" ht="15" hidden="1" x14ac:dyDescent="0.2">
      <c r="A65" s="1181">
        <v>6172</v>
      </c>
      <c r="B65" s="1187">
        <v>5424</v>
      </c>
      <c r="C65" s="1214" t="s">
        <v>877</v>
      </c>
      <c r="D65" s="1130" t="s">
        <v>343</v>
      </c>
      <c r="E65" s="1135">
        <v>0</v>
      </c>
      <c r="F65" s="1135"/>
      <c r="G65" s="1135"/>
      <c r="H65" s="3050" t="e">
        <f>G65/F65*100</f>
        <v>#DIV/0!</v>
      </c>
    </row>
    <row r="66" spans="1:12" s="1136" customFormat="1" ht="15.75" thickBot="1" x14ac:dyDescent="0.25">
      <c r="A66" s="1181">
        <v>6330</v>
      </c>
      <c r="B66" s="1187">
        <v>5345</v>
      </c>
      <c r="C66" s="1188"/>
      <c r="D66" s="1130" t="s">
        <v>397</v>
      </c>
      <c r="E66" s="1135">
        <v>0</v>
      </c>
      <c r="F66" s="1135">
        <v>0</v>
      </c>
      <c r="G66" s="1135">
        <v>108185</v>
      </c>
      <c r="H66" s="1384">
        <v>0</v>
      </c>
    </row>
    <row r="67" spans="1:12" s="1122" customFormat="1" ht="16.5" thickTop="1" thickBot="1" x14ac:dyDescent="0.3">
      <c r="A67" s="3317" t="s">
        <v>394</v>
      </c>
      <c r="B67" s="3318"/>
      <c r="C67" s="3318"/>
      <c r="D67" s="3318"/>
      <c r="E67" s="1113">
        <f>SUM(E54:E66,E12:E53)</f>
        <v>5853</v>
      </c>
      <c r="F67" s="1113">
        <f t="shared" ref="F67:G67" si="2">SUM(F54:F66,F12:F53)</f>
        <v>188533</v>
      </c>
      <c r="G67" s="1113">
        <f t="shared" si="2"/>
        <v>220472</v>
      </c>
      <c r="H67" s="1381">
        <f>G67/F67*100</f>
        <v>116.94080081471148</v>
      </c>
      <c r="I67" s="1194"/>
    </row>
    <row r="68" spans="1:12" ht="13.5" thickTop="1" x14ac:dyDescent="0.2">
      <c r="I68" s="1123"/>
      <c r="L68" s="1139"/>
    </row>
    <row r="69" spans="1:12" x14ac:dyDescent="0.2">
      <c r="I69" s="1123"/>
    </row>
    <row r="70" spans="1:12" ht="15" x14ac:dyDescent="0.25">
      <c r="A70" s="1103" t="s">
        <v>1040</v>
      </c>
      <c r="I70" s="1123"/>
    </row>
    <row r="71" spans="1:12" ht="15.75" thickBot="1" x14ac:dyDescent="0.3">
      <c r="A71" s="1103" t="s">
        <v>1039</v>
      </c>
      <c r="H71" s="1177" t="s">
        <v>92</v>
      </c>
      <c r="I71" s="1123"/>
    </row>
    <row r="72" spans="1:12" s="1037" customFormat="1" ht="25.5" thickTop="1" thickBot="1" x14ac:dyDescent="0.25">
      <c r="A72" s="1104" t="s">
        <v>93</v>
      </c>
      <c r="B72" s="1105" t="s">
        <v>392</v>
      </c>
      <c r="C72" s="1105" t="s">
        <v>209</v>
      </c>
      <c r="D72" s="1106" t="s">
        <v>95</v>
      </c>
      <c r="E72" s="1127" t="s">
        <v>328</v>
      </c>
      <c r="F72" s="1127" t="s">
        <v>329</v>
      </c>
      <c r="G72" s="1128" t="s">
        <v>448</v>
      </c>
      <c r="H72" s="1129" t="s">
        <v>449</v>
      </c>
    </row>
    <row r="73" spans="1:12" s="1037" customFormat="1" ht="13.5" thickTop="1" thickBot="1" x14ac:dyDescent="0.25">
      <c r="A73" s="1042">
        <v>1</v>
      </c>
      <c r="B73" s="1041">
        <v>2</v>
      </c>
      <c r="C73" s="1041">
        <v>3</v>
      </c>
      <c r="D73" s="1041">
        <v>4</v>
      </c>
      <c r="E73" s="1040">
        <v>5</v>
      </c>
      <c r="F73" s="1040">
        <v>6</v>
      </c>
      <c r="G73" s="1164">
        <v>7</v>
      </c>
      <c r="H73" s="1186" t="s">
        <v>33</v>
      </c>
    </row>
    <row r="74" spans="1:12" ht="15.75" thickTop="1" x14ac:dyDescent="0.2">
      <c r="A74" s="1110">
        <v>6172</v>
      </c>
      <c r="B74" s="1111">
        <v>5011</v>
      </c>
      <c r="C74" s="1216" t="s">
        <v>1038</v>
      </c>
      <c r="D74" s="1130" t="s">
        <v>117</v>
      </c>
      <c r="E74" s="1135">
        <v>90</v>
      </c>
      <c r="F74" s="1135">
        <v>58</v>
      </c>
      <c r="G74" s="1135">
        <v>51</v>
      </c>
      <c r="H74" s="3050">
        <f t="shared" ref="H74:H102" si="3">G74/F74*100</f>
        <v>87.931034482758619</v>
      </c>
    </row>
    <row r="75" spans="1:12" ht="15" x14ac:dyDescent="0.2">
      <c r="A75" s="1110">
        <v>6172</v>
      </c>
      <c r="B75" s="1111">
        <v>5011</v>
      </c>
      <c r="C75" s="1216" t="s">
        <v>1264</v>
      </c>
      <c r="D75" s="1130" t="s">
        <v>117</v>
      </c>
      <c r="E75" s="1135">
        <v>0</v>
      </c>
      <c r="F75" s="1135">
        <v>115</v>
      </c>
      <c r="G75" s="1135">
        <v>102</v>
      </c>
      <c r="H75" s="3050">
        <f t="shared" si="3"/>
        <v>88.695652173913047</v>
      </c>
    </row>
    <row r="76" spans="1:12" ht="15" x14ac:dyDescent="0.2">
      <c r="A76" s="1110">
        <v>6172</v>
      </c>
      <c r="B76" s="1111">
        <v>5011</v>
      </c>
      <c r="C76" s="1216" t="s">
        <v>1265</v>
      </c>
      <c r="D76" s="1130" t="s">
        <v>117</v>
      </c>
      <c r="E76" s="1135">
        <v>0</v>
      </c>
      <c r="F76" s="1135">
        <v>980</v>
      </c>
      <c r="G76" s="1135">
        <v>868</v>
      </c>
      <c r="H76" s="3050">
        <f t="shared" si="3"/>
        <v>88.571428571428569</v>
      </c>
    </row>
    <row r="77" spans="1:12" ht="15" hidden="1" x14ac:dyDescent="0.2">
      <c r="A77" s="1110">
        <v>4374</v>
      </c>
      <c r="B77" s="1111">
        <v>5169</v>
      </c>
      <c r="C77" s="1216" t="s">
        <v>877</v>
      </c>
      <c r="D77" s="1130" t="s">
        <v>88</v>
      </c>
      <c r="E77" s="1135"/>
      <c r="F77" s="1135"/>
      <c r="G77" s="1135"/>
      <c r="H77" s="3050" t="e">
        <f t="shared" si="3"/>
        <v>#DIV/0!</v>
      </c>
    </row>
    <row r="78" spans="1:12" ht="15" hidden="1" x14ac:dyDescent="0.2">
      <c r="A78" s="1110">
        <v>4379</v>
      </c>
      <c r="B78" s="1111">
        <v>5139</v>
      </c>
      <c r="C78" s="1216" t="s">
        <v>876</v>
      </c>
      <c r="D78" s="1130" t="s">
        <v>100</v>
      </c>
      <c r="E78" s="1135"/>
      <c r="F78" s="1135"/>
      <c r="G78" s="1135"/>
      <c r="H78" s="3050" t="e">
        <f t="shared" si="3"/>
        <v>#DIV/0!</v>
      </c>
    </row>
    <row r="79" spans="1:12" ht="15" hidden="1" x14ac:dyDescent="0.2">
      <c r="A79" s="1110">
        <v>4379</v>
      </c>
      <c r="B79" s="1111">
        <v>5139</v>
      </c>
      <c r="C79" s="1216" t="s">
        <v>877</v>
      </c>
      <c r="D79" s="1130" t="s">
        <v>100</v>
      </c>
      <c r="E79" s="1135"/>
      <c r="F79" s="1135"/>
      <c r="G79" s="1135"/>
      <c r="H79" s="3050" t="e">
        <f t="shared" si="3"/>
        <v>#DIV/0!</v>
      </c>
    </row>
    <row r="80" spans="1:12" ht="30" hidden="1" x14ac:dyDescent="0.2">
      <c r="A80" s="1110">
        <v>4379</v>
      </c>
      <c r="B80" s="1111">
        <v>5166</v>
      </c>
      <c r="C80" s="1216" t="s">
        <v>876</v>
      </c>
      <c r="D80" s="1130" t="s">
        <v>317</v>
      </c>
      <c r="E80" s="1135"/>
      <c r="F80" s="1135"/>
      <c r="G80" s="1135"/>
      <c r="H80" s="3050" t="e">
        <f t="shared" si="3"/>
        <v>#DIV/0!</v>
      </c>
    </row>
    <row r="81" spans="1:8" ht="30" hidden="1" x14ac:dyDescent="0.2">
      <c r="A81" s="1110">
        <v>4379</v>
      </c>
      <c r="B81" s="1111">
        <v>5166</v>
      </c>
      <c r="C81" s="1216" t="s">
        <v>877</v>
      </c>
      <c r="D81" s="1130" t="s">
        <v>317</v>
      </c>
      <c r="E81" s="1135"/>
      <c r="F81" s="1135"/>
      <c r="G81" s="1135"/>
      <c r="H81" s="3050" t="e">
        <f t="shared" si="3"/>
        <v>#DIV/0!</v>
      </c>
    </row>
    <row r="82" spans="1:8" ht="15" hidden="1" x14ac:dyDescent="0.2">
      <c r="A82" s="1110">
        <v>4379</v>
      </c>
      <c r="B82" s="1111">
        <v>5169</v>
      </c>
      <c r="C82" s="1216" t="s">
        <v>876</v>
      </c>
      <c r="D82" s="1130" t="s">
        <v>430</v>
      </c>
      <c r="E82" s="1135"/>
      <c r="F82" s="1135"/>
      <c r="G82" s="1135"/>
      <c r="H82" s="3050" t="e">
        <f t="shared" si="3"/>
        <v>#DIV/0!</v>
      </c>
    </row>
    <row r="83" spans="1:8" ht="15" hidden="1" x14ac:dyDescent="0.2">
      <c r="A83" s="1110">
        <v>4379</v>
      </c>
      <c r="B83" s="1111">
        <v>5169</v>
      </c>
      <c r="C83" s="1216" t="s">
        <v>877</v>
      </c>
      <c r="D83" s="1130" t="s">
        <v>430</v>
      </c>
      <c r="E83" s="1135"/>
      <c r="F83" s="1135"/>
      <c r="G83" s="1135"/>
      <c r="H83" s="3050" t="e">
        <f t="shared" si="3"/>
        <v>#DIV/0!</v>
      </c>
    </row>
    <row r="84" spans="1:8" ht="15" hidden="1" x14ac:dyDescent="0.2">
      <c r="A84" s="1110">
        <v>4379</v>
      </c>
      <c r="B84" s="1111">
        <v>5175</v>
      </c>
      <c r="C84" s="1216" t="s">
        <v>876</v>
      </c>
      <c r="D84" s="1130" t="s">
        <v>352</v>
      </c>
      <c r="E84" s="1135"/>
      <c r="F84" s="1135"/>
      <c r="G84" s="1135"/>
      <c r="H84" s="3050" t="e">
        <f t="shared" si="3"/>
        <v>#DIV/0!</v>
      </c>
    </row>
    <row r="85" spans="1:8" ht="15" hidden="1" x14ac:dyDescent="0.2">
      <c r="A85" s="1110">
        <v>4379</v>
      </c>
      <c r="B85" s="1111">
        <v>5175</v>
      </c>
      <c r="C85" s="1216" t="s">
        <v>877</v>
      </c>
      <c r="D85" s="1130" t="s">
        <v>352</v>
      </c>
      <c r="E85" s="1135"/>
      <c r="F85" s="1135"/>
      <c r="G85" s="1135"/>
      <c r="H85" s="3050" t="e">
        <f t="shared" si="3"/>
        <v>#DIV/0!</v>
      </c>
    </row>
    <row r="86" spans="1:8" ht="15" hidden="1" x14ac:dyDescent="0.2">
      <c r="A86" s="1110">
        <v>4379</v>
      </c>
      <c r="B86" s="1111">
        <v>5901</v>
      </c>
      <c r="C86" s="1216" t="s">
        <v>876</v>
      </c>
      <c r="D86" s="1130" t="s">
        <v>311</v>
      </c>
      <c r="E86" s="1135"/>
      <c r="F86" s="1135"/>
      <c r="G86" s="1135"/>
      <c r="H86" s="3050" t="e">
        <f t="shared" si="3"/>
        <v>#DIV/0!</v>
      </c>
    </row>
    <row r="87" spans="1:8" ht="15" hidden="1" x14ac:dyDescent="0.2">
      <c r="A87" s="1110">
        <v>4379</v>
      </c>
      <c r="B87" s="1111">
        <v>5901</v>
      </c>
      <c r="C87" s="1216" t="s">
        <v>877</v>
      </c>
      <c r="D87" s="1130" t="s">
        <v>311</v>
      </c>
      <c r="E87" s="1135"/>
      <c r="F87" s="1135"/>
      <c r="G87" s="1135"/>
      <c r="H87" s="3050" t="e">
        <f t="shared" si="3"/>
        <v>#DIV/0!</v>
      </c>
    </row>
    <row r="88" spans="1:8" ht="15" hidden="1" x14ac:dyDescent="0.2">
      <c r="A88" s="1110">
        <v>4379</v>
      </c>
      <c r="B88" s="1111">
        <v>5901</v>
      </c>
      <c r="C88" s="1216" t="s">
        <v>877</v>
      </c>
      <c r="D88" s="1130" t="s">
        <v>664</v>
      </c>
      <c r="E88" s="1135"/>
      <c r="F88" s="1135"/>
      <c r="G88" s="1135"/>
      <c r="H88" s="3050" t="e">
        <f t="shared" si="3"/>
        <v>#DIV/0!</v>
      </c>
    </row>
    <row r="89" spans="1:8" ht="15" hidden="1" x14ac:dyDescent="0.2">
      <c r="A89" s="1181">
        <v>6172</v>
      </c>
      <c r="B89" s="1187">
        <v>5011</v>
      </c>
      <c r="C89" s="1214" t="s">
        <v>876</v>
      </c>
      <c r="D89" s="1130" t="s">
        <v>117</v>
      </c>
      <c r="E89" s="1135"/>
      <c r="F89" s="1135"/>
      <c r="G89" s="1135"/>
      <c r="H89" s="3050" t="e">
        <f t="shared" si="3"/>
        <v>#DIV/0!</v>
      </c>
    </row>
    <row r="90" spans="1:8" ht="15" hidden="1" x14ac:dyDescent="0.2">
      <c r="A90" s="1181">
        <v>6172</v>
      </c>
      <c r="B90" s="1187">
        <v>5011</v>
      </c>
      <c r="C90" s="1214" t="s">
        <v>877</v>
      </c>
      <c r="D90" s="1130" t="s">
        <v>117</v>
      </c>
      <c r="E90" s="1135"/>
      <c r="F90" s="1135"/>
      <c r="G90" s="1135"/>
      <c r="H90" s="3050" t="e">
        <f t="shared" si="3"/>
        <v>#DIV/0!</v>
      </c>
    </row>
    <row r="91" spans="1:8" ht="15" x14ac:dyDescent="0.2">
      <c r="A91" s="1110">
        <v>6172</v>
      </c>
      <c r="B91" s="1111">
        <v>5021</v>
      </c>
      <c r="C91" s="1216" t="s">
        <v>1038</v>
      </c>
      <c r="D91" s="1130" t="s">
        <v>217</v>
      </c>
      <c r="E91" s="1135">
        <v>0</v>
      </c>
      <c r="F91" s="1135">
        <v>10</v>
      </c>
      <c r="G91" s="1135">
        <v>8</v>
      </c>
      <c r="H91" s="3050">
        <f t="shared" si="3"/>
        <v>80</v>
      </c>
    </row>
    <row r="92" spans="1:8" ht="15" x14ac:dyDescent="0.2">
      <c r="A92" s="1110">
        <v>6172</v>
      </c>
      <c r="B92" s="1111">
        <v>5021</v>
      </c>
      <c r="C92" s="1216" t="s">
        <v>1264</v>
      </c>
      <c r="D92" s="1130" t="s">
        <v>217</v>
      </c>
      <c r="E92" s="1135">
        <v>0</v>
      </c>
      <c r="F92" s="1135">
        <v>19</v>
      </c>
      <c r="G92" s="1135">
        <v>15</v>
      </c>
      <c r="H92" s="3050">
        <f t="shared" si="3"/>
        <v>78.94736842105263</v>
      </c>
    </row>
    <row r="93" spans="1:8" s="1136" customFormat="1" ht="15" x14ac:dyDescent="0.2">
      <c r="A93" s="1181">
        <v>6172</v>
      </c>
      <c r="B93" s="1111">
        <v>5021</v>
      </c>
      <c r="C93" s="1216" t="s">
        <v>1265</v>
      </c>
      <c r="D93" s="1130" t="s">
        <v>217</v>
      </c>
      <c r="E93" s="1135">
        <v>0</v>
      </c>
      <c r="F93" s="1135">
        <v>162</v>
      </c>
      <c r="G93" s="1135">
        <v>126</v>
      </c>
      <c r="H93" s="3050">
        <f t="shared" si="3"/>
        <v>77.777777777777786</v>
      </c>
    </row>
    <row r="94" spans="1:8" s="1136" customFormat="1" ht="45" x14ac:dyDescent="0.2">
      <c r="A94" s="3077">
        <v>6172</v>
      </c>
      <c r="B94" s="3078">
        <v>5031</v>
      </c>
      <c r="C94" s="3061" t="s">
        <v>1038</v>
      </c>
      <c r="D94" s="1130" t="s">
        <v>621</v>
      </c>
      <c r="E94" s="2547">
        <v>0</v>
      </c>
      <c r="F94" s="2547">
        <v>17</v>
      </c>
      <c r="G94" s="2547">
        <v>15</v>
      </c>
      <c r="H94" s="3059">
        <f t="shared" si="3"/>
        <v>88.235294117647058</v>
      </c>
    </row>
    <row r="95" spans="1:8" s="1136" customFormat="1" ht="45" x14ac:dyDescent="0.2">
      <c r="A95" s="3077">
        <v>6172</v>
      </c>
      <c r="B95" s="3078">
        <v>5031</v>
      </c>
      <c r="C95" s="3061" t="s">
        <v>1264</v>
      </c>
      <c r="D95" s="1130" t="s">
        <v>621</v>
      </c>
      <c r="E95" s="2547">
        <v>0</v>
      </c>
      <c r="F95" s="2547">
        <v>34</v>
      </c>
      <c r="G95" s="2547">
        <v>29</v>
      </c>
      <c r="H95" s="3059">
        <f t="shared" si="3"/>
        <v>85.294117647058826</v>
      </c>
    </row>
    <row r="96" spans="1:8" s="1136" customFormat="1" ht="45" x14ac:dyDescent="0.2">
      <c r="A96" s="3077">
        <v>6172</v>
      </c>
      <c r="B96" s="3078">
        <v>5031</v>
      </c>
      <c r="C96" s="3061" t="s">
        <v>1265</v>
      </c>
      <c r="D96" s="1130" t="s">
        <v>621</v>
      </c>
      <c r="E96" s="2547">
        <v>0</v>
      </c>
      <c r="F96" s="2547">
        <v>285</v>
      </c>
      <c r="G96" s="2547">
        <v>248</v>
      </c>
      <c r="H96" s="3059">
        <f t="shared" si="3"/>
        <v>87.017543859649123</v>
      </c>
    </row>
    <row r="97" spans="1:8" s="1136" customFormat="1" ht="30" x14ac:dyDescent="0.2">
      <c r="A97" s="3077">
        <v>6172</v>
      </c>
      <c r="B97" s="3078">
        <v>5032</v>
      </c>
      <c r="C97" s="3061" t="s">
        <v>1038</v>
      </c>
      <c r="D97" s="1130" t="s">
        <v>622</v>
      </c>
      <c r="E97" s="2547">
        <v>0</v>
      </c>
      <c r="F97" s="2547">
        <v>6</v>
      </c>
      <c r="G97" s="2547">
        <v>5</v>
      </c>
      <c r="H97" s="3059">
        <f t="shared" si="3"/>
        <v>83.333333333333343</v>
      </c>
    </row>
    <row r="98" spans="1:8" s="1136" customFormat="1" ht="30" x14ac:dyDescent="0.2">
      <c r="A98" s="3077">
        <v>6172</v>
      </c>
      <c r="B98" s="3078">
        <v>5032</v>
      </c>
      <c r="C98" s="3061" t="s">
        <v>1264</v>
      </c>
      <c r="D98" s="1130" t="s">
        <v>622</v>
      </c>
      <c r="E98" s="2547">
        <v>0</v>
      </c>
      <c r="F98" s="2547">
        <v>12</v>
      </c>
      <c r="G98" s="2547">
        <v>11</v>
      </c>
      <c r="H98" s="3059">
        <f t="shared" si="3"/>
        <v>91.666666666666657</v>
      </c>
    </row>
    <row r="99" spans="1:8" s="1136" customFormat="1" ht="30.75" thickBot="1" x14ac:dyDescent="0.25">
      <c r="A99" s="3079">
        <v>6172</v>
      </c>
      <c r="B99" s="3080">
        <v>5032</v>
      </c>
      <c r="C99" s="3063" t="s">
        <v>1265</v>
      </c>
      <c r="D99" s="1132" t="s">
        <v>622</v>
      </c>
      <c r="E99" s="3058">
        <v>0</v>
      </c>
      <c r="F99" s="3058">
        <v>103</v>
      </c>
      <c r="G99" s="3058">
        <v>89</v>
      </c>
      <c r="H99" s="3060">
        <f t="shared" si="3"/>
        <v>86.40776699029125</v>
      </c>
    </row>
    <row r="100" spans="1:8" s="1136" customFormat="1" ht="15.75" thickTop="1" x14ac:dyDescent="0.2">
      <c r="A100" s="1134">
        <v>6172</v>
      </c>
      <c r="B100" s="1187">
        <v>5137</v>
      </c>
      <c r="C100" s="2591" t="s">
        <v>1038</v>
      </c>
      <c r="D100" s="1130" t="s">
        <v>88</v>
      </c>
      <c r="E100" s="1126">
        <v>0</v>
      </c>
      <c r="F100" s="1126">
        <v>1</v>
      </c>
      <c r="G100" s="1135">
        <v>1</v>
      </c>
      <c r="H100" s="3050">
        <f t="shared" si="3"/>
        <v>100</v>
      </c>
    </row>
    <row r="101" spans="1:8" s="1136" customFormat="1" ht="15" x14ac:dyDescent="0.2">
      <c r="A101" s="1181">
        <v>6172</v>
      </c>
      <c r="B101" s="1187">
        <v>5137</v>
      </c>
      <c r="C101" s="1214" t="s">
        <v>1264</v>
      </c>
      <c r="D101" s="1130" t="s">
        <v>88</v>
      </c>
      <c r="E101" s="1135">
        <v>0</v>
      </c>
      <c r="F101" s="1135">
        <v>3</v>
      </c>
      <c r="G101" s="1135">
        <v>2</v>
      </c>
      <c r="H101" s="3050">
        <f t="shared" si="3"/>
        <v>66.666666666666657</v>
      </c>
    </row>
    <row r="102" spans="1:8" s="1136" customFormat="1" ht="15" x14ac:dyDescent="0.2">
      <c r="A102" s="1181">
        <v>6172</v>
      </c>
      <c r="B102" s="1187">
        <v>5137</v>
      </c>
      <c r="C102" s="1214" t="s">
        <v>1265</v>
      </c>
      <c r="D102" s="1130" t="s">
        <v>88</v>
      </c>
      <c r="E102" s="1135">
        <v>0</v>
      </c>
      <c r="F102" s="1135">
        <v>21</v>
      </c>
      <c r="G102" s="1135">
        <v>14</v>
      </c>
      <c r="H102" s="3050">
        <f t="shared" si="3"/>
        <v>66.666666666666657</v>
      </c>
    </row>
    <row r="103" spans="1:8" s="1136" customFormat="1" ht="15" x14ac:dyDescent="0.2">
      <c r="A103" s="1181">
        <v>6172</v>
      </c>
      <c r="B103" s="1187">
        <v>5139</v>
      </c>
      <c r="C103" s="1214" t="s">
        <v>1038</v>
      </c>
      <c r="D103" s="1130" t="s">
        <v>396</v>
      </c>
      <c r="E103" s="1135">
        <v>0</v>
      </c>
      <c r="F103" s="1135">
        <v>0</v>
      </c>
      <c r="G103" s="1135">
        <v>0</v>
      </c>
      <c r="H103" s="3050">
        <v>0</v>
      </c>
    </row>
    <row r="104" spans="1:8" s="1136" customFormat="1" ht="15" x14ac:dyDescent="0.2">
      <c r="A104" s="1181">
        <v>6172</v>
      </c>
      <c r="B104" s="1187">
        <v>5139</v>
      </c>
      <c r="C104" s="1214" t="s">
        <v>1264</v>
      </c>
      <c r="D104" s="1130" t="s">
        <v>396</v>
      </c>
      <c r="E104" s="1135">
        <v>0</v>
      </c>
      <c r="F104" s="1135">
        <v>1</v>
      </c>
      <c r="G104" s="1135">
        <v>0</v>
      </c>
      <c r="H104" s="3050">
        <v>0</v>
      </c>
    </row>
    <row r="105" spans="1:8" s="1136" customFormat="1" ht="15" x14ac:dyDescent="0.2">
      <c r="A105" s="1181">
        <v>6172</v>
      </c>
      <c r="B105" s="1187">
        <v>5139</v>
      </c>
      <c r="C105" s="1214" t="s">
        <v>1265</v>
      </c>
      <c r="D105" s="1130" t="s">
        <v>396</v>
      </c>
      <c r="E105" s="1135">
        <v>0</v>
      </c>
      <c r="F105" s="1135">
        <v>4</v>
      </c>
      <c r="G105" s="1135">
        <v>0</v>
      </c>
      <c r="H105" s="3050">
        <v>0</v>
      </c>
    </row>
    <row r="106" spans="1:8" ht="15.75" customHeight="1" x14ac:dyDescent="0.2">
      <c r="A106" s="1181">
        <v>6172</v>
      </c>
      <c r="B106" s="1187">
        <v>5166</v>
      </c>
      <c r="C106" s="1214" t="s">
        <v>1038</v>
      </c>
      <c r="D106" s="1130" t="s">
        <v>317</v>
      </c>
      <c r="E106" s="1371">
        <v>0</v>
      </c>
      <c r="F106" s="1135">
        <v>24</v>
      </c>
      <c r="G106" s="1371">
        <v>11</v>
      </c>
      <c r="H106" s="3057">
        <f>G106/F106*100</f>
        <v>45.833333333333329</v>
      </c>
    </row>
    <row r="107" spans="1:8" ht="15.75" customHeight="1" x14ac:dyDescent="0.2">
      <c r="A107" s="1181">
        <v>6172</v>
      </c>
      <c r="B107" s="1187">
        <v>5166</v>
      </c>
      <c r="C107" s="1214" t="s">
        <v>1264</v>
      </c>
      <c r="D107" s="1130" t="s">
        <v>317</v>
      </c>
      <c r="E107" s="1371">
        <v>0</v>
      </c>
      <c r="F107" s="1135">
        <v>47</v>
      </c>
      <c r="G107" s="1371">
        <v>21</v>
      </c>
      <c r="H107" s="3057">
        <f>G107/F107*100</f>
        <v>44.680851063829785</v>
      </c>
    </row>
    <row r="108" spans="1:8" ht="15.75" customHeight="1" x14ac:dyDescent="0.2">
      <c r="A108" s="1181">
        <v>6172</v>
      </c>
      <c r="B108" s="1187">
        <v>5166</v>
      </c>
      <c r="C108" s="1214" t="s">
        <v>1265</v>
      </c>
      <c r="D108" s="1130" t="s">
        <v>317</v>
      </c>
      <c r="E108" s="1371">
        <v>0</v>
      </c>
      <c r="F108" s="1135">
        <v>401</v>
      </c>
      <c r="G108" s="1371">
        <v>181</v>
      </c>
      <c r="H108" s="3057">
        <f>G108/F108*100</f>
        <v>45.137157107231914</v>
      </c>
    </row>
    <row r="109" spans="1:8" ht="15.75" hidden="1" customHeight="1" x14ac:dyDescent="0.2">
      <c r="A109" s="1181">
        <v>6172</v>
      </c>
      <c r="B109" s="1187">
        <v>5166</v>
      </c>
      <c r="C109" s="1214" t="s">
        <v>1036</v>
      </c>
      <c r="D109" s="1130" t="s">
        <v>317</v>
      </c>
      <c r="E109" s="1371"/>
      <c r="F109" s="1135"/>
      <c r="G109" s="1371"/>
      <c r="H109" s="3057" t="e">
        <f>G109/F109*100</f>
        <v>#DIV/0!</v>
      </c>
    </row>
    <row r="110" spans="1:8" ht="15.75" hidden="1" customHeight="1" x14ac:dyDescent="0.2">
      <c r="A110" s="1181">
        <v>6172</v>
      </c>
      <c r="B110" s="1187">
        <v>5166</v>
      </c>
      <c r="C110" s="1214" t="s">
        <v>1265</v>
      </c>
      <c r="D110" s="1130" t="s">
        <v>317</v>
      </c>
      <c r="E110" s="1371"/>
      <c r="F110" s="1135"/>
      <c r="G110" s="1371"/>
      <c r="H110" s="3057" t="e">
        <f>G110/F110*100</f>
        <v>#DIV/0!</v>
      </c>
    </row>
    <row r="111" spans="1:8" ht="15.75" customHeight="1" x14ac:dyDescent="0.2">
      <c r="A111" s="1181">
        <v>6172</v>
      </c>
      <c r="B111" s="1187">
        <v>5169</v>
      </c>
      <c r="C111" s="1214" t="s">
        <v>1038</v>
      </c>
      <c r="D111" s="1130" t="s">
        <v>430</v>
      </c>
      <c r="E111" s="1371">
        <v>27</v>
      </c>
      <c r="F111" s="1135">
        <v>0</v>
      </c>
      <c r="G111" s="1371">
        <v>0</v>
      </c>
      <c r="H111" s="3057">
        <v>0</v>
      </c>
    </row>
    <row r="112" spans="1:8" ht="15.75" hidden="1" customHeight="1" x14ac:dyDescent="0.2">
      <c r="A112" s="1181">
        <v>6172</v>
      </c>
      <c r="B112" s="1187">
        <v>5169</v>
      </c>
      <c r="C112" s="1214" t="s">
        <v>1264</v>
      </c>
      <c r="D112" s="1130" t="s">
        <v>430</v>
      </c>
      <c r="E112" s="1371"/>
      <c r="F112" s="1135"/>
      <c r="G112" s="1371"/>
      <c r="H112" s="3057">
        <v>0</v>
      </c>
    </row>
    <row r="113" spans="1:12" ht="15.75" hidden="1" customHeight="1" x14ac:dyDescent="0.2">
      <c r="A113" s="1181">
        <v>6172</v>
      </c>
      <c r="B113" s="1187">
        <v>5169</v>
      </c>
      <c r="C113" s="1214" t="s">
        <v>1265</v>
      </c>
      <c r="D113" s="1130" t="s">
        <v>430</v>
      </c>
      <c r="E113" s="1371"/>
      <c r="F113" s="1135"/>
      <c r="G113" s="1371"/>
      <c r="H113" s="3057" t="e">
        <f>G113/F113*100</f>
        <v>#DIV/0!</v>
      </c>
    </row>
    <row r="114" spans="1:12" s="1136" customFormat="1" ht="15" x14ac:dyDescent="0.2">
      <c r="A114" s="1181">
        <v>6172</v>
      </c>
      <c r="B114" s="1187">
        <v>5173</v>
      </c>
      <c r="C114" s="1214" t="s">
        <v>1038</v>
      </c>
      <c r="D114" s="1130" t="s">
        <v>541</v>
      </c>
      <c r="E114" s="1135">
        <v>0</v>
      </c>
      <c r="F114" s="1135">
        <v>0</v>
      </c>
      <c r="G114" s="1135">
        <v>0</v>
      </c>
      <c r="H114" s="3050">
        <v>0</v>
      </c>
    </row>
    <row r="115" spans="1:12" s="1136" customFormat="1" ht="15" x14ac:dyDescent="0.2">
      <c r="A115" s="1181">
        <v>6172</v>
      </c>
      <c r="B115" s="1187">
        <v>5173</v>
      </c>
      <c r="C115" s="1214" t="s">
        <v>1264</v>
      </c>
      <c r="D115" s="1130" t="s">
        <v>541</v>
      </c>
      <c r="E115" s="1135">
        <v>0</v>
      </c>
      <c r="F115" s="1135">
        <v>1</v>
      </c>
      <c r="G115" s="1135">
        <v>0</v>
      </c>
      <c r="H115" s="3050">
        <v>0</v>
      </c>
    </row>
    <row r="116" spans="1:12" s="1136" customFormat="1" ht="15" x14ac:dyDescent="0.2">
      <c r="A116" s="1181">
        <v>6172</v>
      </c>
      <c r="B116" s="1187">
        <v>5173</v>
      </c>
      <c r="C116" s="1214" t="s">
        <v>1265</v>
      </c>
      <c r="D116" s="1130" t="s">
        <v>541</v>
      </c>
      <c r="E116" s="1135">
        <v>0</v>
      </c>
      <c r="F116" s="1135">
        <v>4</v>
      </c>
      <c r="G116" s="1135">
        <v>3</v>
      </c>
      <c r="H116" s="3050">
        <f t="shared" ref="H116:H124" si="4">G116/F116*100</f>
        <v>75</v>
      </c>
    </row>
    <row r="117" spans="1:12" s="1136" customFormat="1" ht="15" x14ac:dyDescent="0.2">
      <c r="A117" s="1181">
        <v>6172</v>
      </c>
      <c r="B117" s="1187">
        <v>5176</v>
      </c>
      <c r="C117" s="1214" t="s">
        <v>1038</v>
      </c>
      <c r="D117" s="1130" t="s">
        <v>593</v>
      </c>
      <c r="E117" s="1135">
        <v>0</v>
      </c>
      <c r="F117" s="1135">
        <v>0</v>
      </c>
      <c r="G117" s="1135">
        <v>0</v>
      </c>
      <c r="H117" s="3050">
        <v>0</v>
      </c>
    </row>
    <row r="118" spans="1:12" s="1136" customFormat="1" ht="15" x14ac:dyDescent="0.2">
      <c r="A118" s="1181">
        <v>6172</v>
      </c>
      <c r="B118" s="1187">
        <v>5176</v>
      </c>
      <c r="C118" s="1214" t="s">
        <v>1264</v>
      </c>
      <c r="D118" s="1130" t="s">
        <v>593</v>
      </c>
      <c r="E118" s="1135">
        <v>0</v>
      </c>
      <c r="F118" s="1135">
        <v>0</v>
      </c>
      <c r="G118" s="1135">
        <v>0</v>
      </c>
      <c r="H118" s="3050">
        <v>0</v>
      </c>
    </row>
    <row r="119" spans="1:12" s="1136" customFormat="1" ht="15" x14ac:dyDescent="0.2">
      <c r="A119" s="1181">
        <v>6172</v>
      </c>
      <c r="B119" s="1187">
        <v>5176</v>
      </c>
      <c r="C119" s="1214" t="s">
        <v>1265</v>
      </c>
      <c r="D119" s="1130" t="s">
        <v>593</v>
      </c>
      <c r="E119" s="1135">
        <v>0</v>
      </c>
      <c r="F119" s="1135">
        <v>3</v>
      </c>
      <c r="G119" s="1135">
        <v>3</v>
      </c>
      <c r="H119" s="3050">
        <f t="shared" si="4"/>
        <v>100</v>
      </c>
    </row>
    <row r="120" spans="1:12" s="1136" customFormat="1" ht="15" x14ac:dyDescent="0.2">
      <c r="A120" s="1181">
        <v>6172</v>
      </c>
      <c r="B120" s="1187">
        <v>5424</v>
      </c>
      <c r="C120" s="1214" t="s">
        <v>1038</v>
      </c>
      <c r="D120" s="1130" t="s">
        <v>343</v>
      </c>
      <c r="E120" s="1135">
        <v>0</v>
      </c>
      <c r="F120" s="1135">
        <v>1</v>
      </c>
      <c r="G120" s="1135">
        <v>0</v>
      </c>
      <c r="H120" s="3050">
        <f t="shared" si="4"/>
        <v>0</v>
      </c>
    </row>
    <row r="121" spans="1:12" s="1136" customFormat="1" ht="15" x14ac:dyDescent="0.2">
      <c r="A121" s="1181">
        <v>6172</v>
      </c>
      <c r="B121" s="1187">
        <v>5424</v>
      </c>
      <c r="C121" s="1214" t="s">
        <v>1264</v>
      </c>
      <c r="D121" s="1130" t="s">
        <v>343</v>
      </c>
      <c r="E121" s="1135">
        <v>0</v>
      </c>
      <c r="F121" s="1135">
        <v>3</v>
      </c>
      <c r="G121" s="1135">
        <v>1</v>
      </c>
      <c r="H121" s="3050">
        <f t="shared" si="4"/>
        <v>33.333333333333329</v>
      </c>
    </row>
    <row r="122" spans="1:12" s="1136" customFormat="1" ht="15" x14ac:dyDescent="0.2">
      <c r="A122" s="1181">
        <v>6172</v>
      </c>
      <c r="B122" s="1187">
        <v>5424</v>
      </c>
      <c r="C122" s="1214" t="s">
        <v>1265</v>
      </c>
      <c r="D122" s="1130" t="s">
        <v>343</v>
      </c>
      <c r="E122" s="1135">
        <v>0</v>
      </c>
      <c r="F122" s="1135">
        <v>25</v>
      </c>
      <c r="G122" s="1135">
        <v>7</v>
      </c>
      <c r="H122" s="3050">
        <f t="shared" si="4"/>
        <v>28.000000000000004</v>
      </c>
    </row>
    <row r="123" spans="1:12" s="1136" customFormat="1" ht="15.75" thickBot="1" x14ac:dyDescent="0.25">
      <c r="A123" s="1181">
        <v>6330</v>
      </c>
      <c r="B123" s="1200">
        <v>5345</v>
      </c>
      <c r="C123" s="1214"/>
      <c r="D123" s="1130" t="s">
        <v>397</v>
      </c>
      <c r="E123" s="1133">
        <v>0</v>
      </c>
      <c r="F123" s="1133">
        <v>0</v>
      </c>
      <c r="G123" s="1133">
        <v>355</v>
      </c>
      <c r="H123" s="1384">
        <v>0</v>
      </c>
    </row>
    <row r="124" spans="1:12" ht="16.5" thickTop="1" thickBot="1" x14ac:dyDescent="0.3">
      <c r="A124" s="3317" t="s">
        <v>394</v>
      </c>
      <c r="B124" s="3318"/>
      <c r="C124" s="3318"/>
      <c r="D124" s="3318"/>
      <c r="E124" s="1113">
        <f>SUM(E74:E123)</f>
        <v>117</v>
      </c>
      <c r="F124" s="1113">
        <f t="shared" ref="F124:G124" si="5">SUM(F74:F123)</f>
        <v>2340</v>
      </c>
      <c r="G124" s="1113">
        <f t="shared" si="5"/>
        <v>2166</v>
      </c>
      <c r="H124" s="1381">
        <f t="shared" si="4"/>
        <v>92.564102564102569</v>
      </c>
      <c r="I124" s="1123"/>
    </row>
    <row r="125" spans="1:12" ht="21" customHeight="1" thickTop="1" x14ac:dyDescent="0.25">
      <c r="A125" s="1118"/>
      <c r="B125" s="1118"/>
      <c r="C125" s="1118"/>
      <c r="D125" s="1118"/>
      <c r="E125" s="1119"/>
      <c r="F125" s="1119"/>
      <c r="G125" s="1119"/>
      <c r="H125" s="1138"/>
      <c r="I125" s="1123"/>
    </row>
    <row r="126" spans="1:12" ht="15" hidden="1" x14ac:dyDescent="0.25">
      <c r="A126" s="1103" t="s">
        <v>849</v>
      </c>
      <c r="L126" s="1099"/>
    </row>
    <row r="127" spans="1:12" ht="15.75" hidden="1" thickBot="1" x14ac:dyDescent="0.3">
      <c r="A127" s="1103" t="s">
        <v>850</v>
      </c>
      <c r="D127" s="1097"/>
      <c r="E127" s="1098"/>
      <c r="H127" s="1177" t="s">
        <v>92</v>
      </c>
      <c r="I127" s="1176"/>
    </row>
    <row r="128" spans="1:12" ht="25.5" hidden="1" thickTop="1" thickBot="1" x14ac:dyDescent="0.25">
      <c r="A128" s="1104" t="s">
        <v>93</v>
      </c>
      <c r="B128" s="1105" t="s">
        <v>392</v>
      </c>
      <c r="C128" s="1105" t="s">
        <v>209</v>
      </c>
      <c r="D128" s="1106" t="s">
        <v>95</v>
      </c>
      <c r="E128" s="1127" t="s">
        <v>328</v>
      </c>
      <c r="F128" s="1127" t="s">
        <v>329</v>
      </c>
      <c r="G128" s="1128" t="s">
        <v>448</v>
      </c>
      <c r="H128" s="1129" t="s">
        <v>449</v>
      </c>
    </row>
    <row r="129" spans="1:12" ht="14.25" hidden="1" thickTop="1" thickBot="1" x14ac:dyDescent="0.25">
      <c r="A129" s="1042">
        <v>1</v>
      </c>
      <c r="B129" s="1041">
        <v>2</v>
      </c>
      <c r="C129" s="1041">
        <v>3</v>
      </c>
      <c r="D129" s="1041">
        <v>5</v>
      </c>
      <c r="E129" s="1040">
        <v>6</v>
      </c>
      <c r="F129" s="1040">
        <v>7</v>
      </c>
      <c r="G129" s="1164">
        <v>8</v>
      </c>
      <c r="H129" s="1109" t="s">
        <v>393</v>
      </c>
    </row>
    <row r="130" spans="1:12" s="1125" customFormat="1" ht="31.5" hidden="1" thickTop="1" thickBot="1" x14ac:dyDescent="0.3">
      <c r="A130" s="1210">
        <v>6402</v>
      </c>
      <c r="B130" s="1187">
        <v>5364</v>
      </c>
      <c r="C130" s="2590" t="s">
        <v>882</v>
      </c>
      <c r="D130" s="1201" t="s">
        <v>1022</v>
      </c>
      <c r="E130" s="1126"/>
      <c r="F130" s="1126"/>
      <c r="G130" s="1174"/>
      <c r="H130" s="1114" t="e">
        <f>G130/F130*100</f>
        <v>#DIV/0!</v>
      </c>
    </row>
    <row r="131" spans="1:12" s="1125" customFormat="1" ht="15.75" hidden="1" thickBot="1" x14ac:dyDescent="0.3">
      <c r="A131" s="1175">
        <v>6172</v>
      </c>
      <c r="B131" s="1111">
        <v>5166</v>
      </c>
      <c r="C131" s="2188" t="s">
        <v>1037</v>
      </c>
      <c r="D131" s="1172" t="s">
        <v>317</v>
      </c>
      <c r="E131" s="1135">
        <v>0</v>
      </c>
      <c r="F131" s="1135"/>
      <c r="G131" s="1171"/>
      <c r="H131" s="1116" t="e">
        <f>G131/F131*100</f>
        <v>#DIV/0!</v>
      </c>
    </row>
    <row r="132" spans="1:12" s="2567" customFormat="1" ht="15.75" hidden="1" thickBot="1" x14ac:dyDescent="0.3">
      <c r="A132" s="2199">
        <v>6172</v>
      </c>
      <c r="B132" s="1189">
        <v>5166</v>
      </c>
      <c r="C132" s="1214" t="s">
        <v>1036</v>
      </c>
      <c r="D132" s="1172" t="s">
        <v>317</v>
      </c>
      <c r="E132" s="2198">
        <v>0</v>
      </c>
      <c r="F132" s="2198"/>
      <c r="G132" s="2197"/>
      <c r="H132" s="1121" t="e">
        <f>G132/F132*100</f>
        <v>#DIV/0!</v>
      </c>
    </row>
    <row r="133" spans="1:12" ht="16.5" hidden="1" thickTop="1" thickBot="1" x14ac:dyDescent="0.3">
      <c r="A133" s="2568" t="s">
        <v>394</v>
      </c>
      <c r="B133" s="2569"/>
      <c r="C133" s="2569"/>
      <c r="D133" s="2570"/>
      <c r="E133" s="1113">
        <f>SUM(E130:E132)</f>
        <v>0</v>
      </c>
      <c r="F133" s="1113">
        <f>SUM(F130:F132)</f>
        <v>0</v>
      </c>
      <c r="G133" s="1113">
        <f>SUM(G130:G132)</f>
        <v>0</v>
      </c>
      <c r="H133" s="1117" t="e">
        <f>G133/F133*100</f>
        <v>#DIV/0!</v>
      </c>
    </row>
    <row r="134" spans="1:12" x14ac:dyDescent="0.2">
      <c r="L134" s="1099"/>
    </row>
    <row r="135" spans="1:12" ht="15.75" hidden="1" thickBot="1" x14ac:dyDescent="0.3">
      <c r="A135" s="1103" t="s">
        <v>137</v>
      </c>
      <c r="D135" s="1097"/>
      <c r="E135" s="1098"/>
      <c r="H135" s="1177" t="s">
        <v>92</v>
      </c>
      <c r="I135" s="1176"/>
    </row>
    <row r="136" spans="1:12" ht="25.5" hidden="1" thickTop="1" thickBot="1" x14ac:dyDescent="0.25">
      <c r="A136" s="1104" t="s">
        <v>93</v>
      </c>
      <c r="B136" s="1105" t="s">
        <v>392</v>
      </c>
      <c r="C136" s="1105" t="s">
        <v>209</v>
      </c>
      <c r="D136" s="1106" t="s">
        <v>95</v>
      </c>
      <c r="E136" s="1127" t="s">
        <v>328</v>
      </c>
      <c r="F136" s="1127" t="s">
        <v>329</v>
      </c>
      <c r="G136" s="1128" t="s">
        <v>448</v>
      </c>
      <c r="H136" s="1129" t="s">
        <v>449</v>
      </c>
    </row>
    <row r="137" spans="1:12" ht="14.25" hidden="1" thickTop="1" thickBot="1" x14ac:dyDescent="0.25">
      <c r="A137" s="1042">
        <v>1</v>
      </c>
      <c r="B137" s="1041">
        <v>2</v>
      </c>
      <c r="C137" s="1041">
        <v>3</v>
      </c>
      <c r="D137" s="1041">
        <v>5</v>
      </c>
      <c r="E137" s="1040">
        <v>6</v>
      </c>
      <c r="F137" s="1040">
        <v>7</v>
      </c>
      <c r="G137" s="1164">
        <v>8</v>
      </c>
      <c r="H137" s="1109" t="s">
        <v>393</v>
      </c>
    </row>
    <row r="138" spans="1:12" s="1125" customFormat="1" ht="15.75" hidden="1" thickTop="1" x14ac:dyDescent="0.25">
      <c r="A138" s="1175">
        <v>6330</v>
      </c>
      <c r="B138" s="1111">
        <v>5345</v>
      </c>
      <c r="C138" s="2188" t="s">
        <v>871</v>
      </c>
      <c r="D138" s="1172" t="s">
        <v>397</v>
      </c>
      <c r="E138" s="1126"/>
      <c r="F138" s="1126"/>
      <c r="G138" s="1174"/>
      <c r="H138" s="1114">
        <v>0</v>
      </c>
    </row>
    <row r="139" spans="1:12" s="2567" customFormat="1" ht="30.75" hidden="1" thickBot="1" x14ac:dyDescent="0.3">
      <c r="A139" s="2199">
        <v>6409</v>
      </c>
      <c r="B139" s="1189">
        <v>5909</v>
      </c>
      <c r="C139" s="1214" t="s">
        <v>871</v>
      </c>
      <c r="D139" s="1201" t="s">
        <v>406</v>
      </c>
      <c r="E139" s="2198"/>
      <c r="F139" s="2198"/>
      <c r="G139" s="2197"/>
      <c r="H139" s="2196">
        <v>0</v>
      </c>
    </row>
    <row r="140" spans="1:12" ht="16.5" hidden="1" thickTop="1" thickBot="1" x14ac:dyDescent="0.3">
      <c r="A140" s="2568" t="s">
        <v>394</v>
      </c>
      <c r="B140" s="2569"/>
      <c r="C140" s="2569"/>
      <c r="D140" s="2570"/>
      <c r="E140" s="1113">
        <f>SUM(E138:E139)</f>
        <v>0</v>
      </c>
      <c r="F140" s="1113">
        <f>SUM(F138:F139)</f>
        <v>0</v>
      </c>
      <c r="G140" s="1113">
        <f>SUM(G138:G139)</f>
        <v>0</v>
      </c>
      <c r="H140" s="1117">
        <v>0</v>
      </c>
    </row>
    <row r="143" spans="1:12" ht="16.5" x14ac:dyDescent="0.25">
      <c r="A143" s="1147" t="s">
        <v>251</v>
      </c>
      <c r="B143" s="1148"/>
      <c r="C143" s="1149"/>
      <c r="D143" s="1150"/>
      <c r="E143" s="1151">
        <f>SUM(E144:E146)</f>
        <v>5970</v>
      </c>
      <c r="F143" s="1151">
        <f>F144+F145+F146+F147</f>
        <v>190873</v>
      </c>
      <c r="G143" s="1151">
        <f>G144+G145+G146+G147</f>
        <v>222638</v>
      </c>
      <c r="H143" s="1170">
        <f>G143/F143*100</f>
        <v>116.64195564590068</v>
      </c>
      <c r="J143" s="1153">
        <f>J144+J145+J146</f>
        <v>5970000</v>
      </c>
      <c r="K143" s="1153">
        <f>K144+K145+K146</f>
        <v>190873058.56</v>
      </c>
      <c r="L143" s="1153">
        <f>L144+L145+L146</f>
        <v>222637599.62</v>
      </c>
    </row>
    <row r="144" spans="1:12" ht="15" x14ac:dyDescent="0.2">
      <c r="A144" s="1011" t="s">
        <v>147</v>
      </c>
      <c r="B144" s="1013"/>
      <c r="C144" s="1009"/>
      <c r="D144" s="1154"/>
      <c r="E144" s="1012">
        <f>E12+E13+E22+E23+E24+E25+E26+E27+E28+E29+E38+E39+E40+E41+E42+E43+E46+E47+E48+E49+E50+E51+E52+E53+E60+E61+E62+E63+E64+E65+E74+E75+E76+E77+E78+E79+E89+E90+E91+E92+E93+E94+E97+E98+E106+E107+E114+E115+E121+E122+E130+E131+E132+E139+E95+E96+E99+E100+E103+E104+E105+E108+E109+E110+E111+E112+E113+E116+E117+E118+E119+E120+E101+E102</f>
        <v>5970</v>
      </c>
      <c r="F144" s="1012">
        <f t="shared" ref="F144:G144" si="6">F12+F13+F22+F23+F24+F25+F26+F27+F28+F29+F38+F39+F40+F41+F42+F43+F46+F47+F48+F49+F50+F51+F52+F53+F60+F61+F62+F63+F64+F65+F74+F75+F76+F77+F78+F79+F89+F90+F91+F92+F93+F94+F97+F98+F106+F107+F114+F115+F121+F122+F130+F131+F132+F139+F95+F96+F99+F100+F103+F104+F105+F108+F109+F110+F111+F112+F113+F116+F117+F118+F119+F120+F101+F102</f>
        <v>190873</v>
      </c>
      <c r="G144" s="1012">
        <f t="shared" si="6"/>
        <v>114098</v>
      </c>
      <c r="H144" s="1169">
        <f>G144/F144*100</f>
        <v>59.776919731968384</v>
      </c>
      <c r="J144" s="1155">
        <v>5970000</v>
      </c>
      <c r="K144" s="1155">
        <v>190873058.56</v>
      </c>
      <c r="L144" s="1155">
        <f>222637599.62-108539663.98</f>
        <v>114097935.64</v>
      </c>
    </row>
    <row r="145" spans="1:12" ht="15" x14ac:dyDescent="0.2">
      <c r="A145" s="1011" t="s">
        <v>148</v>
      </c>
      <c r="B145" s="1010"/>
      <c r="C145" s="1009"/>
      <c r="D145" s="1156"/>
      <c r="E145" s="1012">
        <v>0</v>
      </c>
      <c r="F145" s="1012">
        <v>0</v>
      </c>
      <c r="G145" s="1012">
        <v>0</v>
      </c>
      <c r="H145" s="1169">
        <v>0</v>
      </c>
      <c r="J145" s="1155">
        <v>0</v>
      </c>
      <c r="K145" s="1155">
        <v>0</v>
      </c>
      <c r="L145" s="1155">
        <v>0</v>
      </c>
    </row>
    <row r="146" spans="1:12" ht="15" x14ac:dyDescent="0.2">
      <c r="A146" s="1011" t="s">
        <v>252</v>
      </c>
      <c r="B146" s="1010"/>
      <c r="C146" s="1009"/>
      <c r="D146" s="1156"/>
      <c r="E146" s="1012">
        <v>0</v>
      </c>
      <c r="F146" s="1012">
        <v>0</v>
      </c>
      <c r="G146" s="1012">
        <f>G138+G123+G66</f>
        <v>108540</v>
      </c>
      <c r="H146" s="1169">
        <v>0</v>
      </c>
      <c r="J146" s="1155">
        <v>0</v>
      </c>
      <c r="K146" s="1155">
        <v>0</v>
      </c>
      <c r="L146" s="1155">
        <f>108184468.48+355195.5</f>
        <v>108539663.98</v>
      </c>
    </row>
    <row r="147" spans="1:12" ht="15" x14ac:dyDescent="0.2">
      <c r="A147" s="1011"/>
      <c r="B147" s="1010"/>
      <c r="C147" s="1009"/>
      <c r="D147" s="1156"/>
      <c r="E147" s="1012"/>
      <c r="F147" s="1012"/>
      <c r="G147" s="1012"/>
      <c r="H147" s="1008"/>
    </row>
    <row r="148" spans="1:12" ht="75" customHeight="1" thickBot="1" x14ac:dyDescent="0.4">
      <c r="A148" s="3264" t="s">
        <v>2018</v>
      </c>
      <c r="B148" s="3341"/>
      <c r="C148" s="3341"/>
      <c r="D148" s="3341"/>
      <c r="E148" s="1006">
        <f>SUM(E143)</f>
        <v>5970</v>
      </c>
      <c r="F148" s="1006">
        <f>SUM(F143)</f>
        <v>190873</v>
      </c>
      <c r="G148" s="1006">
        <f>SUM(G143)</f>
        <v>222638</v>
      </c>
      <c r="H148" s="1005">
        <f>(G148/F148)*100</f>
        <v>116.64195564590068</v>
      </c>
    </row>
    <row r="149" spans="1:12" ht="13.5" thickTop="1" x14ac:dyDescent="0.2"/>
    <row r="261" spans="1:5" ht="13.5" thickBot="1" x14ac:dyDescent="0.25">
      <c r="A261" s="1131"/>
      <c r="B261" s="1131"/>
      <c r="C261" s="1131"/>
    </row>
    <row r="262" spans="1:5" ht="13.5" thickTop="1" x14ac:dyDescent="0.2">
      <c r="A262" s="1145"/>
      <c r="B262" s="1145"/>
      <c r="C262" s="1145"/>
    </row>
    <row r="269" spans="1:5" ht="13.5" thickBot="1" x14ac:dyDescent="0.25">
      <c r="D269" s="1195"/>
      <c r="E269" s="1196"/>
    </row>
    <row r="270" spans="1:5" ht="13.5" thickTop="1" x14ac:dyDescent="0.2">
      <c r="D270" s="1139"/>
      <c r="E270" s="1197"/>
    </row>
    <row r="271" spans="1:5" x14ac:dyDescent="0.2">
      <c r="D271" s="1098" t="e">
        <f>#REF!+#REF!</f>
        <v>#REF!</v>
      </c>
    </row>
  </sheetData>
  <mergeCells count="4">
    <mergeCell ref="A1:H1"/>
    <mergeCell ref="A67:D67"/>
    <mergeCell ref="A124:D124"/>
    <mergeCell ref="A148:D148"/>
  </mergeCells>
  <pageMargins left="0.98425196850393704" right="0.98425196850393704" top="0.98425196850393704" bottom="0.98425196850393704" header="0.51181102362204722" footer="0.51181102362204722"/>
  <pageSetup paperSize="9" scale="66" firstPageNumber="146" orientation="portrait" useFirstPageNumber="1" r:id="rId1"/>
  <headerFooter alignWithMargins="0">
    <oddFooter>&amp;L&amp;"Arial,Kurzíva"Zastupitelstvo Olomouckého kraje 25. 6. 2018
5. - Rozpočet Olomouckého kraje 2017 - závěrečný  účet 
Příloha č. 3: Plnění rozpočtu výdajů Olomouckého kraje k 31. 12. 2017&amp;R&amp;"Arial,Kurzíva"Strana &amp;P (celkem 478)</oddFooter>
  </headerFooter>
  <rowBreaks count="1" manualBreakCount="1">
    <brk id="99" max="7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FF"/>
  </sheetPr>
  <dimension ref="A1:L179"/>
  <sheetViews>
    <sheetView showGridLines="0" view="pageBreakPreview" zoomScaleNormal="100" zoomScaleSheetLayoutView="100" workbookViewId="0">
      <selection activeCell="A58" sqref="A58"/>
    </sheetView>
  </sheetViews>
  <sheetFormatPr defaultRowHeight="12.75" x14ac:dyDescent="0.2"/>
  <cols>
    <col min="1" max="1" width="4.85546875" style="1097" customWidth="1"/>
    <col min="2" max="2" width="6.7109375" style="1097" customWidth="1"/>
    <col min="3" max="3" width="10.140625" style="1097" customWidth="1"/>
    <col min="4" max="4" width="46.42578125" style="1098" customWidth="1"/>
    <col min="5" max="5" width="15.42578125" style="1123" customWidth="1"/>
    <col min="6" max="6" width="15.5703125" style="1123" customWidth="1"/>
    <col min="7" max="7" width="15.85546875" style="1123" customWidth="1"/>
    <col min="8" max="8" width="8.5703125" style="1098" customWidth="1"/>
    <col min="9" max="9" width="14.28515625" style="1098" bestFit="1" customWidth="1"/>
    <col min="10" max="10" width="9.140625" style="1098"/>
    <col min="11" max="12" width="16" style="1098" bestFit="1" customWidth="1"/>
    <col min="13" max="256" width="9.140625" style="1098"/>
    <col min="257" max="257" width="4.7109375" style="1098" customWidth="1"/>
    <col min="258" max="258" width="6.7109375" style="1098" customWidth="1"/>
    <col min="259" max="259" width="8.85546875" style="1098" customWidth="1"/>
    <col min="260" max="260" width="46.42578125" style="1098" customWidth="1"/>
    <col min="261" max="261" width="12.85546875" style="1098" customWidth="1"/>
    <col min="262" max="262" width="15.5703125" style="1098" customWidth="1"/>
    <col min="263" max="263" width="15.85546875" style="1098" customWidth="1"/>
    <col min="264" max="264" width="6.42578125" style="1098" customWidth="1"/>
    <col min="265" max="265" width="14.28515625" style="1098" bestFit="1" customWidth="1"/>
    <col min="266" max="266" width="9.140625" style="1098"/>
    <col min="267" max="268" width="16" style="1098" bestFit="1" customWidth="1"/>
    <col min="269" max="512" width="9.140625" style="1098"/>
    <col min="513" max="513" width="4.7109375" style="1098" customWidth="1"/>
    <col min="514" max="514" width="6.7109375" style="1098" customWidth="1"/>
    <col min="515" max="515" width="8.85546875" style="1098" customWidth="1"/>
    <col min="516" max="516" width="46.42578125" style="1098" customWidth="1"/>
    <col min="517" max="517" width="12.85546875" style="1098" customWidth="1"/>
    <col min="518" max="518" width="15.5703125" style="1098" customWidth="1"/>
    <col min="519" max="519" width="15.85546875" style="1098" customWidth="1"/>
    <col min="520" max="520" width="6.42578125" style="1098" customWidth="1"/>
    <col min="521" max="521" width="14.28515625" style="1098" bestFit="1" customWidth="1"/>
    <col min="522" max="522" width="9.140625" style="1098"/>
    <col min="523" max="524" width="16" style="1098" bestFit="1" customWidth="1"/>
    <col min="525" max="768" width="9.140625" style="1098"/>
    <col min="769" max="769" width="4.7109375" style="1098" customWidth="1"/>
    <col min="770" max="770" width="6.7109375" style="1098" customWidth="1"/>
    <col min="771" max="771" width="8.85546875" style="1098" customWidth="1"/>
    <col min="772" max="772" width="46.42578125" style="1098" customWidth="1"/>
    <col min="773" max="773" width="12.85546875" style="1098" customWidth="1"/>
    <col min="774" max="774" width="15.5703125" style="1098" customWidth="1"/>
    <col min="775" max="775" width="15.85546875" style="1098" customWidth="1"/>
    <col min="776" max="776" width="6.42578125" style="1098" customWidth="1"/>
    <col min="777" max="777" width="14.28515625" style="1098" bestFit="1" customWidth="1"/>
    <col min="778" max="778" width="9.140625" style="1098"/>
    <col min="779" max="780" width="16" style="1098" bestFit="1" customWidth="1"/>
    <col min="781" max="1024" width="9.140625" style="1098"/>
    <col min="1025" max="1025" width="4.7109375" style="1098" customWidth="1"/>
    <col min="1026" max="1026" width="6.7109375" style="1098" customWidth="1"/>
    <col min="1027" max="1027" width="8.85546875" style="1098" customWidth="1"/>
    <col min="1028" max="1028" width="46.42578125" style="1098" customWidth="1"/>
    <col min="1029" max="1029" width="12.85546875" style="1098" customWidth="1"/>
    <col min="1030" max="1030" width="15.5703125" style="1098" customWidth="1"/>
    <col min="1031" max="1031" width="15.85546875" style="1098" customWidth="1"/>
    <col min="1032" max="1032" width="6.42578125" style="1098" customWidth="1"/>
    <col min="1033" max="1033" width="14.28515625" style="1098" bestFit="1" customWidth="1"/>
    <col min="1034" max="1034" width="9.140625" style="1098"/>
    <col min="1035" max="1036" width="16" style="1098" bestFit="1" customWidth="1"/>
    <col min="1037" max="1280" width="9.140625" style="1098"/>
    <col min="1281" max="1281" width="4.7109375" style="1098" customWidth="1"/>
    <col min="1282" max="1282" width="6.7109375" style="1098" customWidth="1"/>
    <col min="1283" max="1283" width="8.85546875" style="1098" customWidth="1"/>
    <col min="1284" max="1284" width="46.42578125" style="1098" customWidth="1"/>
    <col min="1285" max="1285" width="12.85546875" style="1098" customWidth="1"/>
    <col min="1286" max="1286" width="15.5703125" style="1098" customWidth="1"/>
    <col min="1287" max="1287" width="15.85546875" style="1098" customWidth="1"/>
    <col min="1288" max="1288" width="6.42578125" style="1098" customWidth="1"/>
    <col min="1289" max="1289" width="14.28515625" style="1098" bestFit="1" customWidth="1"/>
    <col min="1290" max="1290" width="9.140625" style="1098"/>
    <col min="1291" max="1292" width="16" style="1098" bestFit="1" customWidth="1"/>
    <col min="1293" max="1536" width="9.140625" style="1098"/>
    <col min="1537" max="1537" width="4.7109375" style="1098" customWidth="1"/>
    <col min="1538" max="1538" width="6.7109375" style="1098" customWidth="1"/>
    <col min="1539" max="1539" width="8.85546875" style="1098" customWidth="1"/>
    <col min="1540" max="1540" width="46.42578125" style="1098" customWidth="1"/>
    <col min="1541" max="1541" width="12.85546875" style="1098" customWidth="1"/>
    <col min="1542" max="1542" width="15.5703125" style="1098" customWidth="1"/>
    <col min="1543" max="1543" width="15.85546875" style="1098" customWidth="1"/>
    <col min="1544" max="1544" width="6.42578125" style="1098" customWidth="1"/>
    <col min="1545" max="1545" width="14.28515625" style="1098" bestFit="1" customWidth="1"/>
    <col min="1546" max="1546" width="9.140625" style="1098"/>
    <col min="1547" max="1548" width="16" style="1098" bestFit="1" customWidth="1"/>
    <col min="1549" max="1792" width="9.140625" style="1098"/>
    <col min="1793" max="1793" width="4.7109375" style="1098" customWidth="1"/>
    <col min="1794" max="1794" width="6.7109375" style="1098" customWidth="1"/>
    <col min="1795" max="1795" width="8.85546875" style="1098" customWidth="1"/>
    <col min="1796" max="1796" width="46.42578125" style="1098" customWidth="1"/>
    <col min="1797" max="1797" width="12.85546875" style="1098" customWidth="1"/>
    <col min="1798" max="1798" width="15.5703125" style="1098" customWidth="1"/>
    <col min="1799" max="1799" width="15.85546875" style="1098" customWidth="1"/>
    <col min="1800" max="1800" width="6.42578125" style="1098" customWidth="1"/>
    <col min="1801" max="1801" width="14.28515625" style="1098" bestFit="1" customWidth="1"/>
    <col min="1802" max="1802" width="9.140625" style="1098"/>
    <col min="1803" max="1804" width="16" style="1098" bestFit="1" customWidth="1"/>
    <col min="1805" max="2048" width="9.140625" style="1098"/>
    <col min="2049" max="2049" width="4.7109375" style="1098" customWidth="1"/>
    <col min="2050" max="2050" width="6.7109375" style="1098" customWidth="1"/>
    <col min="2051" max="2051" width="8.85546875" style="1098" customWidth="1"/>
    <col min="2052" max="2052" width="46.42578125" style="1098" customWidth="1"/>
    <col min="2053" max="2053" width="12.85546875" style="1098" customWidth="1"/>
    <col min="2054" max="2054" width="15.5703125" style="1098" customWidth="1"/>
    <col min="2055" max="2055" width="15.85546875" style="1098" customWidth="1"/>
    <col min="2056" max="2056" width="6.42578125" style="1098" customWidth="1"/>
    <col min="2057" max="2057" width="14.28515625" style="1098" bestFit="1" customWidth="1"/>
    <col min="2058" max="2058" width="9.140625" style="1098"/>
    <col min="2059" max="2060" width="16" style="1098" bestFit="1" customWidth="1"/>
    <col min="2061" max="2304" width="9.140625" style="1098"/>
    <col min="2305" max="2305" width="4.7109375" style="1098" customWidth="1"/>
    <col min="2306" max="2306" width="6.7109375" style="1098" customWidth="1"/>
    <col min="2307" max="2307" width="8.85546875" style="1098" customWidth="1"/>
    <col min="2308" max="2308" width="46.42578125" style="1098" customWidth="1"/>
    <col min="2309" max="2309" width="12.85546875" style="1098" customWidth="1"/>
    <col min="2310" max="2310" width="15.5703125" style="1098" customWidth="1"/>
    <col min="2311" max="2311" width="15.85546875" style="1098" customWidth="1"/>
    <col min="2312" max="2312" width="6.42578125" style="1098" customWidth="1"/>
    <col min="2313" max="2313" width="14.28515625" style="1098" bestFit="1" customWidth="1"/>
    <col min="2314" max="2314" width="9.140625" style="1098"/>
    <col min="2315" max="2316" width="16" style="1098" bestFit="1" customWidth="1"/>
    <col min="2317" max="2560" width="9.140625" style="1098"/>
    <col min="2561" max="2561" width="4.7109375" style="1098" customWidth="1"/>
    <col min="2562" max="2562" width="6.7109375" style="1098" customWidth="1"/>
    <col min="2563" max="2563" width="8.85546875" style="1098" customWidth="1"/>
    <col min="2564" max="2564" width="46.42578125" style="1098" customWidth="1"/>
    <col min="2565" max="2565" width="12.85546875" style="1098" customWidth="1"/>
    <col min="2566" max="2566" width="15.5703125" style="1098" customWidth="1"/>
    <col min="2567" max="2567" width="15.85546875" style="1098" customWidth="1"/>
    <col min="2568" max="2568" width="6.42578125" style="1098" customWidth="1"/>
    <col min="2569" max="2569" width="14.28515625" style="1098" bestFit="1" customWidth="1"/>
    <col min="2570" max="2570" width="9.140625" style="1098"/>
    <col min="2571" max="2572" width="16" style="1098" bestFit="1" customWidth="1"/>
    <col min="2573" max="2816" width="9.140625" style="1098"/>
    <col min="2817" max="2817" width="4.7109375" style="1098" customWidth="1"/>
    <col min="2818" max="2818" width="6.7109375" style="1098" customWidth="1"/>
    <col min="2819" max="2819" width="8.85546875" style="1098" customWidth="1"/>
    <col min="2820" max="2820" width="46.42578125" style="1098" customWidth="1"/>
    <col min="2821" max="2821" width="12.85546875" style="1098" customWidth="1"/>
    <col min="2822" max="2822" width="15.5703125" style="1098" customWidth="1"/>
    <col min="2823" max="2823" width="15.85546875" style="1098" customWidth="1"/>
    <col min="2824" max="2824" width="6.42578125" style="1098" customWidth="1"/>
    <col min="2825" max="2825" width="14.28515625" style="1098" bestFit="1" customWidth="1"/>
    <col min="2826" max="2826" width="9.140625" style="1098"/>
    <col min="2827" max="2828" width="16" style="1098" bestFit="1" customWidth="1"/>
    <col min="2829" max="3072" width="9.140625" style="1098"/>
    <col min="3073" max="3073" width="4.7109375" style="1098" customWidth="1"/>
    <col min="3074" max="3074" width="6.7109375" style="1098" customWidth="1"/>
    <col min="3075" max="3075" width="8.85546875" style="1098" customWidth="1"/>
    <col min="3076" max="3076" width="46.42578125" style="1098" customWidth="1"/>
    <col min="3077" max="3077" width="12.85546875" style="1098" customWidth="1"/>
    <col min="3078" max="3078" width="15.5703125" style="1098" customWidth="1"/>
    <col min="3079" max="3079" width="15.85546875" style="1098" customWidth="1"/>
    <col min="3080" max="3080" width="6.42578125" style="1098" customWidth="1"/>
    <col min="3081" max="3081" width="14.28515625" style="1098" bestFit="1" customWidth="1"/>
    <col min="3082" max="3082" width="9.140625" style="1098"/>
    <col min="3083" max="3084" width="16" style="1098" bestFit="1" customWidth="1"/>
    <col min="3085" max="3328" width="9.140625" style="1098"/>
    <col min="3329" max="3329" width="4.7109375" style="1098" customWidth="1"/>
    <col min="3330" max="3330" width="6.7109375" style="1098" customWidth="1"/>
    <col min="3331" max="3331" width="8.85546875" style="1098" customWidth="1"/>
    <col min="3332" max="3332" width="46.42578125" style="1098" customWidth="1"/>
    <col min="3333" max="3333" width="12.85546875" style="1098" customWidth="1"/>
    <col min="3334" max="3334" width="15.5703125" style="1098" customWidth="1"/>
    <col min="3335" max="3335" width="15.85546875" style="1098" customWidth="1"/>
    <col min="3336" max="3336" width="6.42578125" style="1098" customWidth="1"/>
    <col min="3337" max="3337" width="14.28515625" style="1098" bestFit="1" customWidth="1"/>
    <col min="3338" max="3338" width="9.140625" style="1098"/>
    <col min="3339" max="3340" width="16" style="1098" bestFit="1" customWidth="1"/>
    <col min="3341" max="3584" width="9.140625" style="1098"/>
    <col min="3585" max="3585" width="4.7109375" style="1098" customWidth="1"/>
    <col min="3586" max="3586" width="6.7109375" style="1098" customWidth="1"/>
    <col min="3587" max="3587" width="8.85546875" style="1098" customWidth="1"/>
    <col min="3588" max="3588" width="46.42578125" style="1098" customWidth="1"/>
    <col min="3589" max="3589" width="12.85546875" style="1098" customWidth="1"/>
    <col min="3590" max="3590" width="15.5703125" style="1098" customWidth="1"/>
    <col min="3591" max="3591" width="15.85546875" style="1098" customWidth="1"/>
    <col min="3592" max="3592" width="6.42578125" style="1098" customWidth="1"/>
    <col min="3593" max="3593" width="14.28515625" style="1098" bestFit="1" customWidth="1"/>
    <col min="3594" max="3594" width="9.140625" style="1098"/>
    <col min="3595" max="3596" width="16" style="1098" bestFit="1" customWidth="1"/>
    <col min="3597" max="3840" width="9.140625" style="1098"/>
    <col min="3841" max="3841" width="4.7109375" style="1098" customWidth="1"/>
    <col min="3842" max="3842" width="6.7109375" style="1098" customWidth="1"/>
    <col min="3843" max="3843" width="8.85546875" style="1098" customWidth="1"/>
    <col min="3844" max="3844" width="46.42578125" style="1098" customWidth="1"/>
    <col min="3845" max="3845" width="12.85546875" style="1098" customWidth="1"/>
    <col min="3846" max="3846" width="15.5703125" style="1098" customWidth="1"/>
    <col min="3847" max="3847" width="15.85546875" style="1098" customWidth="1"/>
    <col min="3848" max="3848" width="6.42578125" style="1098" customWidth="1"/>
    <col min="3849" max="3849" width="14.28515625" style="1098" bestFit="1" customWidth="1"/>
    <col min="3850" max="3850" width="9.140625" style="1098"/>
    <col min="3851" max="3852" width="16" style="1098" bestFit="1" customWidth="1"/>
    <col min="3853" max="4096" width="9.140625" style="1098"/>
    <col min="4097" max="4097" width="4.7109375" style="1098" customWidth="1"/>
    <col min="4098" max="4098" width="6.7109375" style="1098" customWidth="1"/>
    <col min="4099" max="4099" width="8.85546875" style="1098" customWidth="1"/>
    <col min="4100" max="4100" width="46.42578125" style="1098" customWidth="1"/>
    <col min="4101" max="4101" width="12.85546875" style="1098" customWidth="1"/>
    <col min="4102" max="4102" width="15.5703125" style="1098" customWidth="1"/>
    <col min="4103" max="4103" width="15.85546875" style="1098" customWidth="1"/>
    <col min="4104" max="4104" width="6.42578125" style="1098" customWidth="1"/>
    <col min="4105" max="4105" width="14.28515625" style="1098" bestFit="1" customWidth="1"/>
    <col min="4106" max="4106" width="9.140625" style="1098"/>
    <col min="4107" max="4108" width="16" style="1098" bestFit="1" customWidth="1"/>
    <col min="4109" max="4352" width="9.140625" style="1098"/>
    <col min="4353" max="4353" width="4.7109375" style="1098" customWidth="1"/>
    <col min="4354" max="4354" width="6.7109375" style="1098" customWidth="1"/>
    <col min="4355" max="4355" width="8.85546875" style="1098" customWidth="1"/>
    <col min="4356" max="4356" width="46.42578125" style="1098" customWidth="1"/>
    <col min="4357" max="4357" width="12.85546875" style="1098" customWidth="1"/>
    <col min="4358" max="4358" width="15.5703125" style="1098" customWidth="1"/>
    <col min="4359" max="4359" width="15.85546875" style="1098" customWidth="1"/>
    <col min="4360" max="4360" width="6.42578125" style="1098" customWidth="1"/>
    <col min="4361" max="4361" width="14.28515625" style="1098" bestFit="1" customWidth="1"/>
    <col min="4362" max="4362" width="9.140625" style="1098"/>
    <col min="4363" max="4364" width="16" style="1098" bestFit="1" customWidth="1"/>
    <col min="4365" max="4608" width="9.140625" style="1098"/>
    <col min="4609" max="4609" width="4.7109375" style="1098" customWidth="1"/>
    <col min="4610" max="4610" width="6.7109375" style="1098" customWidth="1"/>
    <col min="4611" max="4611" width="8.85546875" style="1098" customWidth="1"/>
    <col min="4612" max="4612" width="46.42578125" style="1098" customWidth="1"/>
    <col min="4613" max="4613" width="12.85546875" style="1098" customWidth="1"/>
    <col min="4614" max="4614" width="15.5703125" style="1098" customWidth="1"/>
    <col min="4615" max="4615" width="15.85546875" style="1098" customWidth="1"/>
    <col min="4616" max="4616" width="6.42578125" style="1098" customWidth="1"/>
    <col min="4617" max="4617" width="14.28515625" style="1098" bestFit="1" customWidth="1"/>
    <col min="4618" max="4618" width="9.140625" style="1098"/>
    <col min="4619" max="4620" width="16" style="1098" bestFit="1" customWidth="1"/>
    <col min="4621" max="4864" width="9.140625" style="1098"/>
    <col min="4865" max="4865" width="4.7109375" style="1098" customWidth="1"/>
    <col min="4866" max="4866" width="6.7109375" style="1098" customWidth="1"/>
    <col min="4867" max="4867" width="8.85546875" style="1098" customWidth="1"/>
    <col min="4868" max="4868" width="46.42578125" style="1098" customWidth="1"/>
    <col min="4869" max="4869" width="12.85546875" style="1098" customWidth="1"/>
    <col min="4870" max="4870" width="15.5703125" style="1098" customWidth="1"/>
    <col min="4871" max="4871" width="15.85546875" style="1098" customWidth="1"/>
    <col min="4872" max="4872" width="6.42578125" style="1098" customWidth="1"/>
    <col min="4873" max="4873" width="14.28515625" style="1098" bestFit="1" customWidth="1"/>
    <col min="4874" max="4874" width="9.140625" style="1098"/>
    <col min="4875" max="4876" width="16" style="1098" bestFit="1" customWidth="1"/>
    <col min="4877" max="5120" width="9.140625" style="1098"/>
    <col min="5121" max="5121" width="4.7109375" style="1098" customWidth="1"/>
    <col min="5122" max="5122" width="6.7109375" style="1098" customWidth="1"/>
    <col min="5123" max="5123" width="8.85546875" style="1098" customWidth="1"/>
    <col min="5124" max="5124" width="46.42578125" style="1098" customWidth="1"/>
    <col min="5125" max="5125" width="12.85546875" style="1098" customWidth="1"/>
    <col min="5126" max="5126" width="15.5703125" style="1098" customWidth="1"/>
    <col min="5127" max="5127" width="15.85546875" style="1098" customWidth="1"/>
    <col min="5128" max="5128" width="6.42578125" style="1098" customWidth="1"/>
    <col min="5129" max="5129" width="14.28515625" style="1098" bestFit="1" customWidth="1"/>
    <col min="5130" max="5130" width="9.140625" style="1098"/>
    <col min="5131" max="5132" width="16" style="1098" bestFit="1" customWidth="1"/>
    <col min="5133" max="5376" width="9.140625" style="1098"/>
    <col min="5377" max="5377" width="4.7109375" style="1098" customWidth="1"/>
    <col min="5378" max="5378" width="6.7109375" style="1098" customWidth="1"/>
    <col min="5379" max="5379" width="8.85546875" style="1098" customWidth="1"/>
    <col min="5380" max="5380" width="46.42578125" style="1098" customWidth="1"/>
    <col min="5381" max="5381" width="12.85546875" style="1098" customWidth="1"/>
    <col min="5382" max="5382" width="15.5703125" style="1098" customWidth="1"/>
    <col min="5383" max="5383" width="15.85546875" style="1098" customWidth="1"/>
    <col min="5384" max="5384" width="6.42578125" style="1098" customWidth="1"/>
    <col min="5385" max="5385" width="14.28515625" style="1098" bestFit="1" customWidth="1"/>
    <col min="5386" max="5386" width="9.140625" style="1098"/>
    <col min="5387" max="5388" width="16" style="1098" bestFit="1" customWidth="1"/>
    <col min="5389" max="5632" width="9.140625" style="1098"/>
    <col min="5633" max="5633" width="4.7109375" style="1098" customWidth="1"/>
    <col min="5634" max="5634" width="6.7109375" style="1098" customWidth="1"/>
    <col min="5635" max="5635" width="8.85546875" style="1098" customWidth="1"/>
    <col min="5636" max="5636" width="46.42578125" style="1098" customWidth="1"/>
    <col min="5637" max="5637" width="12.85546875" style="1098" customWidth="1"/>
    <col min="5638" max="5638" width="15.5703125" style="1098" customWidth="1"/>
    <col min="5639" max="5639" width="15.85546875" style="1098" customWidth="1"/>
    <col min="5640" max="5640" width="6.42578125" style="1098" customWidth="1"/>
    <col min="5641" max="5641" width="14.28515625" style="1098" bestFit="1" customWidth="1"/>
    <col min="5642" max="5642" width="9.140625" style="1098"/>
    <col min="5643" max="5644" width="16" style="1098" bestFit="1" customWidth="1"/>
    <col min="5645" max="5888" width="9.140625" style="1098"/>
    <col min="5889" max="5889" width="4.7109375" style="1098" customWidth="1"/>
    <col min="5890" max="5890" width="6.7109375" style="1098" customWidth="1"/>
    <col min="5891" max="5891" width="8.85546875" style="1098" customWidth="1"/>
    <col min="5892" max="5892" width="46.42578125" style="1098" customWidth="1"/>
    <col min="5893" max="5893" width="12.85546875" style="1098" customWidth="1"/>
    <col min="5894" max="5894" width="15.5703125" style="1098" customWidth="1"/>
    <col min="5895" max="5895" width="15.85546875" style="1098" customWidth="1"/>
    <col min="5896" max="5896" width="6.42578125" style="1098" customWidth="1"/>
    <col min="5897" max="5897" width="14.28515625" style="1098" bestFit="1" customWidth="1"/>
    <col min="5898" max="5898" width="9.140625" style="1098"/>
    <col min="5899" max="5900" width="16" style="1098" bestFit="1" customWidth="1"/>
    <col min="5901" max="6144" width="9.140625" style="1098"/>
    <col min="6145" max="6145" width="4.7109375" style="1098" customWidth="1"/>
    <col min="6146" max="6146" width="6.7109375" style="1098" customWidth="1"/>
    <col min="6147" max="6147" width="8.85546875" style="1098" customWidth="1"/>
    <col min="6148" max="6148" width="46.42578125" style="1098" customWidth="1"/>
    <col min="6149" max="6149" width="12.85546875" style="1098" customWidth="1"/>
    <col min="6150" max="6150" width="15.5703125" style="1098" customWidth="1"/>
    <col min="6151" max="6151" width="15.85546875" style="1098" customWidth="1"/>
    <col min="6152" max="6152" width="6.42578125" style="1098" customWidth="1"/>
    <col min="6153" max="6153" width="14.28515625" style="1098" bestFit="1" customWidth="1"/>
    <col min="6154" max="6154" width="9.140625" style="1098"/>
    <col min="6155" max="6156" width="16" style="1098" bestFit="1" customWidth="1"/>
    <col min="6157" max="6400" width="9.140625" style="1098"/>
    <col min="6401" max="6401" width="4.7109375" style="1098" customWidth="1"/>
    <col min="6402" max="6402" width="6.7109375" style="1098" customWidth="1"/>
    <col min="6403" max="6403" width="8.85546875" style="1098" customWidth="1"/>
    <col min="6404" max="6404" width="46.42578125" style="1098" customWidth="1"/>
    <col min="6405" max="6405" width="12.85546875" style="1098" customWidth="1"/>
    <col min="6406" max="6406" width="15.5703125" style="1098" customWidth="1"/>
    <col min="6407" max="6407" width="15.85546875" style="1098" customWidth="1"/>
    <col min="6408" max="6408" width="6.42578125" style="1098" customWidth="1"/>
    <col min="6409" max="6409" width="14.28515625" style="1098" bestFit="1" customWidth="1"/>
    <col min="6410" max="6410" width="9.140625" style="1098"/>
    <col min="6411" max="6412" width="16" style="1098" bestFit="1" customWidth="1"/>
    <col min="6413" max="6656" width="9.140625" style="1098"/>
    <col min="6657" max="6657" width="4.7109375" style="1098" customWidth="1"/>
    <col min="6658" max="6658" width="6.7109375" style="1098" customWidth="1"/>
    <col min="6659" max="6659" width="8.85546875" style="1098" customWidth="1"/>
    <col min="6660" max="6660" width="46.42578125" style="1098" customWidth="1"/>
    <col min="6661" max="6661" width="12.85546875" style="1098" customWidth="1"/>
    <col min="6662" max="6662" width="15.5703125" style="1098" customWidth="1"/>
    <col min="6663" max="6663" width="15.85546875" style="1098" customWidth="1"/>
    <col min="6664" max="6664" width="6.42578125" style="1098" customWidth="1"/>
    <col min="6665" max="6665" width="14.28515625" style="1098" bestFit="1" customWidth="1"/>
    <col min="6666" max="6666" width="9.140625" style="1098"/>
    <col min="6667" max="6668" width="16" style="1098" bestFit="1" customWidth="1"/>
    <col min="6669" max="6912" width="9.140625" style="1098"/>
    <col min="6913" max="6913" width="4.7109375" style="1098" customWidth="1"/>
    <col min="6914" max="6914" width="6.7109375" style="1098" customWidth="1"/>
    <col min="6915" max="6915" width="8.85546875" style="1098" customWidth="1"/>
    <col min="6916" max="6916" width="46.42578125" style="1098" customWidth="1"/>
    <col min="6917" max="6917" width="12.85546875" style="1098" customWidth="1"/>
    <col min="6918" max="6918" width="15.5703125" style="1098" customWidth="1"/>
    <col min="6919" max="6919" width="15.85546875" style="1098" customWidth="1"/>
    <col min="6920" max="6920" width="6.42578125" style="1098" customWidth="1"/>
    <col min="6921" max="6921" width="14.28515625" style="1098" bestFit="1" customWidth="1"/>
    <col min="6922" max="6922" width="9.140625" style="1098"/>
    <col min="6923" max="6924" width="16" style="1098" bestFit="1" customWidth="1"/>
    <col min="6925" max="7168" width="9.140625" style="1098"/>
    <col min="7169" max="7169" width="4.7109375" style="1098" customWidth="1"/>
    <col min="7170" max="7170" width="6.7109375" style="1098" customWidth="1"/>
    <col min="7171" max="7171" width="8.85546875" style="1098" customWidth="1"/>
    <col min="7172" max="7172" width="46.42578125" style="1098" customWidth="1"/>
    <col min="7173" max="7173" width="12.85546875" style="1098" customWidth="1"/>
    <col min="7174" max="7174" width="15.5703125" style="1098" customWidth="1"/>
    <col min="7175" max="7175" width="15.85546875" style="1098" customWidth="1"/>
    <col min="7176" max="7176" width="6.42578125" style="1098" customWidth="1"/>
    <col min="7177" max="7177" width="14.28515625" style="1098" bestFit="1" customWidth="1"/>
    <col min="7178" max="7178" width="9.140625" style="1098"/>
    <col min="7179" max="7180" width="16" style="1098" bestFit="1" customWidth="1"/>
    <col min="7181" max="7424" width="9.140625" style="1098"/>
    <col min="7425" max="7425" width="4.7109375" style="1098" customWidth="1"/>
    <col min="7426" max="7426" width="6.7109375" style="1098" customWidth="1"/>
    <col min="7427" max="7427" width="8.85546875" style="1098" customWidth="1"/>
    <col min="7428" max="7428" width="46.42578125" style="1098" customWidth="1"/>
    <col min="7429" max="7429" width="12.85546875" style="1098" customWidth="1"/>
    <col min="7430" max="7430" width="15.5703125" style="1098" customWidth="1"/>
    <col min="7431" max="7431" width="15.85546875" style="1098" customWidth="1"/>
    <col min="7432" max="7432" width="6.42578125" style="1098" customWidth="1"/>
    <col min="7433" max="7433" width="14.28515625" style="1098" bestFit="1" customWidth="1"/>
    <col min="7434" max="7434" width="9.140625" style="1098"/>
    <col min="7435" max="7436" width="16" style="1098" bestFit="1" customWidth="1"/>
    <col min="7437" max="7680" width="9.140625" style="1098"/>
    <col min="7681" max="7681" width="4.7109375" style="1098" customWidth="1"/>
    <col min="7682" max="7682" width="6.7109375" style="1098" customWidth="1"/>
    <col min="7683" max="7683" width="8.85546875" style="1098" customWidth="1"/>
    <col min="7684" max="7684" width="46.42578125" style="1098" customWidth="1"/>
    <col min="7685" max="7685" width="12.85546875" style="1098" customWidth="1"/>
    <col min="7686" max="7686" width="15.5703125" style="1098" customWidth="1"/>
    <col min="7687" max="7687" width="15.85546875" style="1098" customWidth="1"/>
    <col min="7688" max="7688" width="6.42578125" style="1098" customWidth="1"/>
    <col min="7689" max="7689" width="14.28515625" style="1098" bestFit="1" customWidth="1"/>
    <col min="7690" max="7690" width="9.140625" style="1098"/>
    <col min="7691" max="7692" width="16" style="1098" bestFit="1" customWidth="1"/>
    <col min="7693" max="7936" width="9.140625" style="1098"/>
    <col min="7937" max="7937" width="4.7109375" style="1098" customWidth="1"/>
    <col min="7938" max="7938" width="6.7109375" style="1098" customWidth="1"/>
    <col min="7939" max="7939" width="8.85546875" style="1098" customWidth="1"/>
    <col min="7940" max="7940" width="46.42578125" style="1098" customWidth="1"/>
    <col min="7941" max="7941" width="12.85546875" style="1098" customWidth="1"/>
    <col min="7942" max="7942" width="15.5703125" style="1098" customWidth="1"/>
    <col min="7943" max="7943" width="15.85546875" style="1098" customWidth="1"/>
    <col min="7944" max="7944" width="6.42578125" style="1098" customWidth="1"/>
    <col min="7945" max="7945" width="14.28515625" style="1098" bestFit="1" customWidth="1"/>
    <col min="7946" max="7946" width="9.140625" style="1098"/>
    <col min="7947" max="7948" width="16" style="1098" bestFit="1" customWidth="1"/>
    <col min="7949" max="8192" width="9.140625" style="1098"/>
    <col min="8193" max="8193" width="4.7109375" style="1098" customWidth="1"/>
    <col min="8194" max="8194" width="6.7109375" style="1098" customWidth="1"/>
    <col min="8195" max="8195" width="8.85546875" style="1098" customWidth="1"/>
    <col min="8196" max="8196" width="46.42578125" style="1098" customWidth="1"/>
    <col min="8197" max="8197" width="12.85546875" style="1098" customWidth="1"/>
    <col min="8198" max="8198" width="15.5703125" style="1098" customWidth="1"/>
    <col min="8199" max="8199" width="15.85546875" style="1098" customWidth="1"/>
    <col min="8200" max="8200" width="6.42578125" style="1098" customWidth="1"/>
    <col min="8201" max="8201" width="14.28515625" style="1098" bestFit="1" customWidth="1"/>
    <col min="8202" max="8202" width="9.140625" style="1098"/>
    <col min="8203" max="8204" width="16" style="1098" bestFit="1" customWidth="1"/>
    <col min="8205" max="8448" width="9.140625" style="1098"/>
    <col min="8449" max="8449" width="4.7109375" style="1098" customWidth="1"/>
    <col min="8450" max="8450" width="6.7109375" style="1098" customWidth="1"/>
    <col min="8451" max="8451" width="8.85546875" style="1098" customWidth="1"/>
    <col min="8452" max="8452" width="46.42578125" style="1098" customWidth="1"/>
    <col min="8453" max="8453" width="12.85546875" style="1098" customWidth="1"/>
    <col min="8454" max="8454" width="15.5703125" style="1098" customWidth="1"/>
    <col min="8455" max="8455" width="15.85546875" style="1098" customWidth="1"/>
    <col min="8456" max="8456" width="6.42578125" style="1098" customWidth="1"/>
    <col min="8457" max="8457" width="14.28515625" style="1098" bestFit="1" customWidth="1"/>
    <col min="8458" max="8458" width="9.140625" style="1098"/>
    <col min="8459" max="8460" width="16" style="1098" bestFit="1" customWidth="1"/>
    <col min="8461" max="8704" width="9.140625" style="1098"/>
    <col min="8705" max="8705" width="4.7109375" style="1098" customWidth="1"/>
    <col min="8706" max="8706" width="6.7109375" style="1098" customWidth="1"/>
    <col min="8707" max="8707" width="8.85546875" style="1098" customWidth="1"/>
    <col min="8708" max="8708" width="46.42578125" style="1098" customWidth="1"/>
    <col min="8709" max="8709" width="12.85546875" style="1098" customWidth="1"/>
    <col min="8710" max="8710" width="15.5703125" style="1098" customWidth="1"/>
    <col min="8711" max="8711" width="15.85546875" style="1098" customWidth="1"/>
    <col min="8712" max="8712" width="6.42578125" style="1098" customWidth="1"/>
    <col min="8713" max="8713" width="14.28515625" style="1098" bestFit="1" customWidth="1"/>
    <col min="8714" max="8714" width="9.140625" style="1098"/>
    <col min="8715" max="8716" width="16" style="1098" bestFit="1" customWidth="1"/>
    <col min="8717" max="8960" width="9.140625" style="1098"/>
    <col min="8961" max="8961" width="4.7109375" style="1098" customWidth="1"/>
    <col min="8962" max="8962" width="6.7109375" style="1098" customWidth="1"/>
    <col min="8963" max="8963" width="8.85546875" style="1098" customWidth="1"/>
    <col min="8964" max="8964" width="46.42578125" style="1098" customWidth="1"/>
    <col min="8965" max="8965" width="12.85546875" style="1098" customWidth="1"/>
    <col min="8966" max="8966" width="15.5703125" style="1098" customWidth="1"/>
    <col min="8967" max="8967" width="15.85546875" style="1098" customWidth="1"/>
    <col min="8968" max="8968" width="6.42578125" style="1098" customWidth="1"/>
    <col min="8969" max="8969" width="14.28515625" style="1098" bestFit="1" customWidth="1"/>
    <col min="8970" max="8970" width="9.140625" style="1098"/>
    <col min="8971" max="8972" width="16" style="1098" bestFit="1" customWidth="1"/>
    <col min="8973" max="9216" width="9.140625" style="1098"/>
    <col min="9217" max="9217" width="4.7109375" style="1098" customWidth="1"/>
    <col min="9218" max="9218" width="6.7109375" style="1098" customWidth="1"/>
    <col min="9219" max="9219" width="8.85546875" style="1098" customWidth="1"/>
    <col min="9220" max="9220" width="46.42578125" style="1098" customWidth="1"/>
    <col min="9221" max="9221" width="12.85546875" style="1098" customWidth="1"/>
    <col min="9222" max="9222" width="15.5703125" style="1098" customWidth="1"/>
    <col min="9223" max="9223" width="15.85546875" style="1098" customWidth="1"/>
    <col min="9224" max="9224" width="6.42578125" style="1098" customWidth="1"/>
    <col min="9225" max="9225" width="14.28515625" style="1098" bestFit="1" customWidth="1"/>
    <col min="9226" max="9226" width="9.140625" style="1098"/>
    <col min="9227" max="9228" width="16" style="1098" bestFit="1" customWidth="1"/>
    <col min="9229" max="9472" width="9.140625" style="1098"/>
    <col min="9473" max="9473" width="4.7109375" style="1098" customWidth="1"/>
    <col min="9474" max="9474" width="6.7109375" style="1098" customWidth="1"/>
    <col min="9475" max="9475" width="8.85546875" style="1098" customWidth="1"/>
    <col min="9476" max="9476" width="46.42578125" style="1098" customWidth="1"/>
    <col min="9477" max="9477" width="12.85546875" style="1098" customWidth="1"/>
    <col min="9478" max="9478" width="15.5703125" style="1098" customWidth="1"/>
    <col min="9479" max="9479" width="15.85546875" style="1098" customWidth="1"/>
    <col min="9480" max="9480" width="6.42578125" style="1098" customWidth="1"/>
    <col min="9481" max="9481" width="14.28515625" style="1098" bestFit="1" customWidth="1"/>
    <col min="9482" max="9482" width="9.140625" style="1098"/>
    <col min="9483" max="9484" width="16" style="1098" bestFit="1" customWidth="1"/>
    <col min="9485" max="9728" width="9.140625" style="1098"/>
    <col min="9729" max="9729" width="4.7109375" style="1098" customWidth="1"/>
    <col min="9730" max="9730" width="6.7109375" style="1098" customWidth="1"/>
    <col min="9731" max="9731" width="8.85546875" style="1098" customWidth="1"/>
    <col min="9732" max="9732" width="46.42578125" style="1098" customWidth="1"/>
    <col min="9733" max="9733" width="12.85546875" style="1098" customWidth="1"/>
    <col min="9734" max="9734" width="15.5703125" style="1098" customWidth="1"/>
    <col min="9735" max="9735" width="15.85546875" style="1098" customWidth="1"/>
    <col min="9736" max="9736" width="6.42578125" style="1098" customWidth="1"/>
    <col min="9737" max="9737" width="14.28515625" style="1098" bestFit="1" customWidth="1"/>
    <col min="9738" max="9738" width="9.140625" style="1098"/>
    <col min="9739" max="9740" width="16" style="1098" bestFit="1" customWidth="1"/>
    <col min="9741" max="9984" width="9.140625" style="1098"/>
    <col min="9985" max="9985" width="4.7109375" style="1098" customWidth="1"/>
    <col min="9986" max="9986" width="6.7109375" style="1098" customWidth="1"/>
    <col min="9987" max="9987" width="8.85546875" style="1098" customWidth="1"/>
    <col min="9988" max="9988" width="46.42578125" style="1098" customWidth="1"/>
    <col min="9989" max="9989" width="12.85546875" style="1098" customWidth="1"/>
    <col min="9990" max="9990" width="15.5703125" style="1098" customWidth="1"/>
    <col min="9991" max="9991" width="15.85546875" style="1098" customWidth="1"/>
    <col min="9992" max="9992" width="6.42578125" style="1098" customWidth="1"/>
    <col min="9993" max="9993" width="14.28515625" style="1098" bestFit="1" customWidth="1"/>
    <col min="9994" max="9994" width="9.140625" style="1098"/>
    <col min="9995" max="9996" width="16" style="1098" bestFit="1" customWidth="1"/>
    <col min="9997" max="10240" width="9.140625" style="1098"/>
    <col min="10241" max="10241" width="4.7109375" style="1098" customWidth="1"/>
    <col min="10242" max="10242" width="6.7109375" style="1098" customWidth="1"/>
    <col min="10243" max="10243" width="8.85546875" style="1098" customWidth="1"/>
    <col min="10244" max="10244" width="46.42578125" style="1098" customWidth="1"/>
    <col min="10245" max="10245" width="12.85546875" style="1098" customWidth="1"/>
    <col min="10246" max="10246" width="15.5703125" style="1098" customWidth="1"/>
    <col min="10247" max="10247" width="15.85546875" style="1098" customWidth="1"/>
    <col min="10248" max="10248" width="6.42578125" style="1098" customWidth="1"/>
    <col min="10249" max="10249" width="14.28515625" style="1098" bestFit="1" customWidth="1"/>
    <col min="10250" max="10250" width="9.140625" style="1098"/>
    <col min="10251" max="10252" width="16" style="1098" bestFit="1" customWidth="1"/>
    <col min="10253" max="10496" width="9.140625" style="1098"/>
    <col min="10497" max="10497" width="4.7109375" style="1098" customWidth="1"/>
    <col min="10498" max="10498" width="6.7109375" style="1098" customWidth="1"/>
    <col min="10499" max="10499" width="8.85546875" style="1098" customWidth="1"/>
    <col min="10500" max="10500" width="46.42578125" style="1098" customWidth="1"/>
    <col min="10501" max="10501" width="12.85546875" style="1098" customWidth="1"/>
    <col min="10502" max="10502" width="15.5703125" style="1098" customWidth="1"/>
    <col min="10503" max="10503" width="15.85546875" style="1098" customWidth="1"/>
    <col min="10504" max="10504" width="6.42578125" style="1098" customWidth="1"/>
    <col min="10505" max="10505" width="14.28515625" style="1098" bestFit="1" customWidth="1"/>
    <col min="10506" max="10506" width="9.140625" style="1098"/>
    <col min="10507" max="10508" width="16" style="1098" bestFit="1" customWidth="1"/>
    <col min="10509" max="10752" width="9.140625" style="1098"/>
    <col min="10753" max="10753" width="4.7109375" style="1098" customWidth="1"/>
    <col min="10754" max="10754" width="6.7109375" style="1098" customWidth="1"/>
    <col min="10755" max="10755" width="8.85546875" style="1098" customWidth="1"/>
    <col min="10756" max="10756" width="46.42578125" style="1098" customWidth="1"/>
    <col min="10757" max="10757" width="12.85546875" style="1098" customWidth="1"/>
    <col min="10758" max="10758" width="15.5703125" style="1098" customWidth="1"/>
    <col min="10759" max="10759" width="15.85546875" style="1098" customWidth="1"/>
    <col min="10760" max="10760" width="6.42578125" style="1098" customWidth="1"/>
    <col min="10761" max="10761" width="14.28515625" style="1098" bestFit="1" customWidth="1"/>
    <col min="10762" max="10762" width="9.140625" style="1098"/>
    <col min="10763" max="10764" width="16" style="1098" bestFit="1" customWidth="1"/>
    <col min="10765" max="11008" width="9.140625" style="1098"/>
    <col min="11009" max="11009" width="4.7109375" style="1098" customWidth="1"/>
    <col min="11010" max="11010" width="6.7109375" style="1098" customWidth="1"/>
    <col min="11011" max="11011" width="8.85546875" style="1098" customWidth="1"/>
    <col min="11012" max="11012" width="46.42578125" style="1098" customWidth="1"/>
    <col min="11013" max="11013" width="12.85546875" style="1098" customWidth="1"/>
    <col min="11014" max="11014" width="15.5703125" style="1098" customWidth="1"/>
    <col min="11015" max="11015" width="15.85546875" style="1098" customWidth="1"/>
    <col min="11016" max="11016" width="6.42578125" style="1098" customWidth="1"/>
    <col min="11017" max="11017" width="14.28515625" style="1098" bestFit="1" customWidth="1"/>
    <col min="11018" max="11018" width="9.140625" style="1098"/>
    <col min="11019" max="11020" width="16" style="1098" bestFit="1" customWidth="1"/>
    <col min="11021" max="11264" width="9.140625" style="1098"/>
    <col min="11265" max="11265" width="4.7109375" style="1098" customWidth="1"/>
    <col min="11266" max="11266" width="6.7109375" style="1098" customWidth="1"/>
    <col min="11267" max="11267" width="8.85546875" style="1098" customWidth="1"/>
    <col min="11268" max="11268" width="46.42578125" style="1098" customWidth="1"/>
    <col min="11269" max="11269" width="12.85546875" style="1098" customWidth="1"/>
    <col min="11270" max="11270" width="15.5703125" style="1098" customWidth="1"/>
    <col min="11271" max="11271" width="15.85546875" style="1098" customWidth="1"/>
    <col min="11272" max="11272" width="6.42578125" style="1098" customWidth="1"/>
    <col min="11273" max="11273" width="14.28515625" style="1098" bestFit="1" customWidth="1"/>
    <col min="11274" max="11274" width="9.140625" style="1098"/>
    <col min="11275" max="11276" width="16" style="1098" bestFit="1" customWidth="1"/>
    <col min="11277" max="11520" width="9.140625" style="1098"/>
    <col min="11521" max="11521" width="4.7109375" style="1098" customWidth="1"/>
    <col min="11522" max="11522" width="6.7109375" style="1098" customWidth="1"/>
    <col min="11523" max="11523" width="8.85546875" style="1098" customWidth="1"/>
    <col min="11524" max="11524" width="46.42578125" style="1098" customWidth="1"/>
    <col min="11525" max="11525" width="12.85546875" style="1098" customWidth="1"/>
    <col min="11526" max="11526" width="15.5703125" style="1098" customWidth="1"/>
    <col min="11527" max="11527" width="15.85546875" style="1098" customWidth="1"/>
    <col min="11528" max="11528" width="6.42578125" style="1098" customWidth="1"/>
    <col min="11529" max="11529" width="14.28515625" style="1098" bestFit="1" customWidth="1"/>
    <col min="11530" max="11530" width="9.140625" style="1098"/>
    <col min="11531" max="11532" width="16" style="1098" bestFit="1" customWidth="1"/>
    <col min="11533" max="11776" width="9.140625" style="1098"/>
    <col min="11777" max="11777" width="4.7109375" style="1098" customWidth="1"/>
    <col min="11778" max="11778" width="6.7109375" style="1098" customWidth="1"/>
    <col min="11779" max="11779" width="8.85546875" style="1098" customWidth="1"/>
    <col min="11780" max="11780" width="46.42578125" style="1098" customWidth="1"/>
    <col min="11781" max="11781" width="12.85546875" style="1098" customWidth="1"/>
    <col min="11782" max="11782" width="15.5703125" style="1098" customWidth="1"/>
    <col min="11783" max="11783" width="15.85546875" style="1098" customWidth="1"/>
    <col min="11784" max="11784" width="6.42578125" style="1098" customWidth="1"/>
    <col min="11785" max="11785" width="14.28515625" style="1098" bestFit="1" customWidth="1"/>
    <col min="11786" max="11786" width="9.140625" style="1098"/>
    <col min="11787" max="11788" width="16" style="1098" bestFit="1" customWidth="1"/>
    <col min="11789" max="12032" width="9.140625" style="1098"/>
    <col min="12033" max="12033" width="4.7109375" style="1098" customWidth="1"/>
    <col min="12034" max="12034" width="6.7109375" style="1098" customWidth="1"/>
    <col min="12035" max="12035" width="8.85546875" style="1098" customWidth="1"/>
    <col min="12036" max="12036" width="46.42578125" style="1098" customWidth="1"/>
    <col min="12037" max="12037" width="12.85546875" style="1098" customWidth="1"/>
    <col min="12038" max="12038" width="15.5703125" style="1098" customWidth="1"/>
    <col min="12039" max="12039" width="15.85546875" style="1098" customWidth="1"/>
    <col min="12040" max="12040" width="6.42578125" style="1098" customWidth="1"/>
    <col min="12041" max="12041" width="14.28515625" style="1098" bestFit="1" customWidth="1"/>
    <col min="12042" max="12042" width="9.140625" style="1098"/>
    <col min="12043" max="12044" width="16" style="1098" bestFit="1" customWidth="1"/>
    <col min="12045" max="12288" width="9.140625" style="1098"/>
    <col min="12289" max="12289" width="4.7109375" style="1098" customWidth="1"/>
    <col min="12290" max="12290" width="6.7109375" style="1098" customWidth="1"/>
    <col min="12291" max="12291" width="8.85546875" style="1098" customWidth="1"/>
    <col min="12292" max="12292" width="46.42578125" style="1098" customWidth="1"/>
    <col min="12293" max="12293" width="12.85546875" style="1098" customWidth="1"/>
    <col min="12294" max="12294" width="15.5703125" style="1098" customWidth="1"/>
    <col min="12295" max="12295" width="15.85546875" style="1098" customWidth="1"/>
    <col min="12296" max="12296" width="6.42578125" style="1098" customWidth="1"/>
    <col min="12297" max="12297" width="14.28515625" style="1098" bestFit="1" customWidth="1"/>
    <col min="12298" max="12298" width="9.140625" style="1098"/>
    <col min="12299" max="12300" width="16" style="1098" bestFit="1" customWidth="1"/>
    <col min="12301" max="12544" width="9.140625" style="1098"/>
    <col min="12545" max="12545" width="4.7109375" style="1098" customWidth="1"/>
    <col min="12546" max="12546" width="6.7109375" style="1098" customWidth="1"/>
    <col min="12547" max="12547" width="8.85546875" style="1098" customWidth="1"/>
    <col min="12548" max="12548" width="46.42578125" style="1098" customWidth="1"/>
    <col min="12549" max="12549" width="12.85546875" style="1098" customWidth="1"/>
    <col min="12550" max="12550" width="15.5703125" style="1098" customWidth="1"/>
    <col min="12551" max="12551" width="15.85546875" style="1098" customWidth="1"/>
    <col min="12552" max="12552" width="6.42578125" style="1098" customWidth="1"/>
    <col min="12553" max="12553" width="14.28515625" style="1098" bestFit="1" customWidth="1"/>
    <col min="12554" max="12554" width="9.140625" style="1098"/>
    <col min="12555" max="12556" width="16" style="1098" bestFit="1" customWidth="1"/>
    <col min="12557" max="12800" width="9.140625" style="1098"/>
    <col min="12801" max="12801" width="4.7109375" style="1098" customWidth="1"/>
    <col min="12802" max="12802" width="6.7109375" style="1098" customWidth="1"/>
    <col min="12803" max="12803" width="8.85546875" style="1098" customWidth="1"/>
    <col min="12804" max="12804" width="46.42578125" style="1098" customWidth="1"/>
    <col min="12805" max="12805" width="12.85546875" style="1098" customWidth="1"/>
    <col min="12806" max="12806" width="15.5703125" style="1098" customWidth="1"/>
    <col min="12807" max="12807" width="15.85546875" style="1098" customWidth="1"/>
    <col min="12808" max="12808" width="6.42578125" style="1098" customWidth="1"/>
    <col min="12809" max="12809" width="14.28515625" style="1098" bestFit="1" customWidth="1"/>
    <col min="12810" max="12810" width="9.140625" style="1098"/>
    <col min="12811" max="12812" width="16" style="1098" bestFit="1" customWidth="1"/>
    <col min="12813" max="13056" width="9.140625" style="1098"/>
    <col min="13057" max="13057" width="4.7109375" style="1098" customWidth="1"/>
    <col min="13058" max="13058" width="6.7109375" style="1098" customWidth="1"/>
    <col min="13059" max="13059" width="8.85546875" style="1098" customWidth="1"/>
    <col min="13060" max="13060" width="46.42578125" style="1098" customWidth="1"/>
    <col min="13061" max="13061" width="12.85546875" style="1098" customWidth="1"/>
    <col min="13062" max="13062" width="15.5703125" style="1098" customWidth="1"/>
    <col min="13063" max="13063" width="15.85546875" style="1098" customWidth="1"/>
    <col min="13064" max="13064" width="6.42578125" style="1098" customWidth="1"/>
    <col min="13065" max="13065" width="14.28515625" style="1098" bestFit="1" customWidth="1"/>
    <col min="13066" max="13066" width="9.140625" style="1098"/>
    <col min="13067" max="13068" width="16" style="1098" bestFit="1" customWidth="1"/>
    <col min="13069" max="13312" width="9.140625" style="1098"/>
    <col min="13313" max="13313" width="4.7109375" style="1098" customWidth="1"/>
    <col min="13314" max="13314" width="6.7109375" style="1098" customWidth="1"/>
    <col min="13315" max="13315" width="8.85546875" style="1098" customWidth="1"/>
    <col min="13316" max="13316" width="46.42578125" style="1098" customWidth="1"/>
    <col min="13317" max="13317" width="12.85546875" style="1098" customWidth="1"/>
    <col min="13318" max="13318" width="15.5703125" style="1098" customWidth="1"/>
    <col min="13319" max="13319" width="15.85546875" style="1098" customWidth="1"/>
    <col min="13320" max="13320" width="6.42578125" style="1098" customWidth="1"/>
    <col min="13321" max="13321" width="14.28515625" style="1098" bestFit="1" customWidth="1"/>
    <col min="13322" max="13322" width="9.140625" style="1098"/>
    <col min="13323" max="13324" width="16" style="1098" bestFit="1" customWidth="1"/>
    <col min="13325" max="13568" width="9.140625" style="1098"/>
    <col min="13569" max="13569" width="4.7109375" style="1098" customWidth="1"/>
    <col min="13570" max="13570" width="6.7109375" style="1098" customWidth="1"/>
    <col min="13571" max="13571" width="8.85546875" style="1098" customWidth="1"/>
    <col min="13572" max="13572" width="46.42578125" style="1098" customWidth="1"/>
    <col min="13573" max="13573" width="12.85546875" style="1098" customWidth="1"/>
    <col min="13574" max="13574" width="15.5703125" style="1098" customWidth="1"/>
    <col min="13575" max="13575" width="15.85546875" style="1098" customWidth="1"/>
    <col min="13576" max="13576" width="6.42578125" style="1098" customWidth="1"/>
    <col min="13577" max="13577" width="14.28515625" style="1098" bestFit="1" customWidth="1"/>
    <col min="13578" max="13578" width="9.140625" style="1098"/>
    <col min="13579" max="13580" width="16" style="1098" bestFit="1" customWidth="1"/>
    <col min="13581" max="13824" width="9.140625" style="1098"/>
    <col min="13825" max="13825" width="4.7109375" style="1098" customWidth="1"/>
    <col min="13826" max="13826" width="6.7109375" style="1098" customWidth="1"/>
    <col min="13827" max="13827" width="8.85546875" style="1098" customWidth="1"/>
    <col min="13828" max="13828" width="46.42578125" style="1098" customWidth="1"/>
    <col min="13829" max="13829" width="12.85546875" style="1098" customWidth="1"/>
    <col min="13830" max="13830" width="15.5703125" style="1098" customWidth="1"/>
    <col min="13831" max="13831" width="15.85546875" style="1098" customWidth="1"/>
    <col min="13832" max="13832" width="6.42578125" style="1098" customWidth="1"/>
    <col min="13833" max="13833" width="14.28515625" style="1098" bestFit="1" customWidth="1"/>
    <col min="13834" max="13834" width="9.140625" style="1098"/>
    <col min="13835" max="13836" width="16" style="1098" bestFit="1" customWidth="1"/>
    <col min="13837" max="14080" width="9.140625" style="1098"/>
    <col min="14081" max="14081" width="4.7109375" style="1098" customWidth="1"/>
    <col min="14082" max="14082" width="6.7109375" style="1098" customWidth="1"/>
    <col min="14083" max="14083" width="8.85546875" style="1098" customWidth="1"/>
    <col min="14084" max="14084" width="46.42578125" style="1098" customWidth="1"/>
    <col min="14085" max="14085" width="12.85546875" style="1098" customWidth="1"/>
    <col min="14086" max="14086" width="15.5703125" style="1098" customWidth="1"/>
    <col min="14087" max="14087" width="15.85546875" style="1098" customWidth="1"/>
    <col min="14088" max="14088" width="6.42578125" style="1098" customWidth="1"/>
    <col min="14089" max="14089" width="14.28515625" style="1098" bestFit="1" customWidth="1"/>
    <col min="14090" max="14090" width="9.140625" style="1098"/>
    <col min="14091" max="14092" width="16" style="1098" bestFit="1" customWidth="1"/>
    <col min="14093" max="14336" width="9.140625" style="1098"/>
    <col min="14337" max="14337" width="4.7109375" style="1098" customWidth="1"/>
    <col min="14338" max="14338" width="6.7109375" style="1098" customWidth="1"/>
    <col min="14339" max="14339" width="8.85546875" style="1098" customWidth="1"/>
    <col min="14340" max="14340" width="46.42578125" style="1098" customWidth="1"/>
    <col min="14341" max="14341" width="12.85546875" style="1098" customWidth="1"/>
    <col min="14342" max="14342" width="15.5703125" style="1098" customWidth="1"/>
    <col min="14343" max="14343" width="15.85546875" style="1098" customWidth="1"/>
    <col min="14344" max="14344" width="6.42578125" style="1098" customWidth="1"/>
    <col min="14345" max="14345" width="14.28515625" style="1098" bestFit="1" customWidth="1"/>
    <col min="14346" max="14346" width="9.140625" style="1098"/>
    <col min="14347" max="14348" width="16" style="1098" bestFit="1" customWidth="1"/>
    <col min="14349" max="14592" width="9.140625" style="1098"/>
    <col min="14593" max="14593" width="4.7109375" style="1098" customWidth="1"/>
    <col min="14594" max="14594" width="6.7109375" style="1098" customWidth="1"/>
    <col min="14595" max="14595" width="8.85546875" style="1098" customWidth="1"/>
    <col min="14596" max="14596" width="46.42578125" style="1098" customWidth="1"/>
    <col min="14597" max="14597" width="12.85546875" style="1098" customWidth="1"/>
    <col min="14598" max="14598" width="15.5703125" style="1098" customWidth="1"/>
    <col min="14599" max="14599" width="15.85546875" style="1098" customWidth="1"/>
    <col min="14600" max="14600" width="6.42578125" style="1098" customWidth="1"/>
    <col min="14601" max="14601" width="14.28515625" style="1098" bestFit="1" customWidth="1"/>
    <col min="14602" max="14602" width="9.140625" style="1098"/>
    <col min="14603" max="14604" width="16" style="1098" bestFit="1" customWidth="1"/>
    <col min="14605" max="14848" width="9.140625" style="1098"/>
    <col min="14849" max="14849" width="4.7109375" style="1098" customWidth="1"/>
    <col min="14850" max="14850" width="6.7109375" style="1098" customWidth="1"/>
    <col min="14851" max="14851" width="8.85546875" style="1098" customWidth="1"/>
    <col min="14852" max="14852" width="46.42578125" style="1098" customWidth="1"/>
    <col min="14853" max="14853" width="12.85546875" style="1098" customWidth="1"/>
    <col min="14854" max="14854" width="15.5703125" style="1098" customWidth="1"/>
    <col min="14855" max="14855" width="15.85546875" style="1098" customWidth="1"/>
    <col min="14856" max="14856" width="6.42578125" style="1098" customWidth="1"/>
    <col min="14857" max="14857" width="14.28515625" style="1098" bestFit="1" customWidth="1"/>
    <col min="14858" max="14858" width="9.140625" style="1098"/>
    <col min="14859" max="14860" width="16" style="1098" bestFit="1" customWidth="1"/>
    <col min="14861" max="15104" width="9.140625" style="1098"/>
    <col min="15105" max="15105" width="4.7109375" style="1098" customWidth="1"/>
    <col min="15106" max="15106" width="6.7109375" style="1098" customWidth="1"/>
    <col min="15107" max="15107" width="8.85546875" style="1098" customWidth="1"/>
    <col min="15108" max="15108" width="46.42578125" style="1098" customWidth="1"/>
    <col min="15109" max="15109" width="12.85546875" style="1098" customWidth="1"/>
    <col min="15110" max="15110" width="15.5703125" style="1098" customWidth="1"/>
    <col min="15111" max="15111" width="15.85546875" style="1098" customWidth="1"/>
    <col min="15112" max="15112" width="6.42578125" style="1098" customWidth="1"/>
    <col min="15113" max="15113" width="14.28515625" style="1098" bestFit="1" customWidth="1"/>
    <col min="15114" max="15114" width="9.140625" style="1098"/>
    <col min="15115" max="15116" width="16" style="1098" bestFit="1" customWidth="1"/>
    <col min="15117" max="15360" width="9.140625" style="1098"/>
    <col min="15361" max="15361" width="4.7109375" style="1098" customWidth="1"/>
    <col min="15362" max="15362" width="6.7109375" style="1098" customWidth="1"/>
    <col min="15363" max="15363" width="8.85546875" style="1098" customWidth="1"/>
    <col min="15364" max="15364" width="46.42578125" style="1098" customWidth="1"/>
    <col min="15365" max="15365" width="12.85546875" style="1098" customWidth="1"/>
    <col min="15366" max="15366" width="15.5703125" style="1098" customWidth="1"/>
    <col min="15367" max="15367" width="15.85546875" style="1098" customWidth="1"/>
    <col min="15368" max="15368" width="6.42578125" style="1098" customWidth="1"/>
    <col min="15369" max="15369" width="14.28515625" style="1098" bestFit="1" customWidth="1"/>
    <col min="15370" max="15370" width="9.140625" style="1098"/>
    <col min="15371" max="15372" width="16" style="1098" bestFit="1" customWidth="1"/>
    <col min="15373" max="15616" width="9.140625" style="1098"/>
    <col min="15617" max="15617" width="4.7109375" style="1098" customWidth="1"/>
    <col min="15618" max="15618" width="6.7109375" style="1098" customWidth="1"/>
    <col min="15619" max="15619" width="8.85546875" style="1098" customWidth="1"/>
    <col min="15620" max="15620" width="46.42578125" style="1098" customWidth="1"/>
    <col min="15621" max="15621" width="12.85546875" style="1098" customWidth="1"/>
    <col min="15622" max="15622" width="15.5703125" style="1098" customWidth="1"/>
    <col min="15623" max="15623" width="15.85546875" style="1098" customWidth="1"/>
    <col min="15624" max="15624" width="6.42578125" style="1098" customWidth="1"/>
    <col min="15625" max="15625" width="14.28515625" style="1098" bestFit="1" customWidth="1"/>
    <col min="15626" max="15626" width="9.140625" style="1098"/>
    <col min="15627" max="15628" width="16" style="1098" bestFit="1" customWidth="1"/>
    <col min="15629" max="15872" width="9.140625" style="1098"/>
    <col min="15873" max="15873" width="4.7109375" style="1098" customWidth="1"/>
    <col min="15874" max="15874" width="6.7109375" style="1098" customWidth="1"/>
    <col min="15875" max="15875" width="8.85546875" style="1098" customWidth="1"/>
    <col min="15876" max="15876" width="46.42578125" style="1098" customWidth="1"/>
    <col min="15877" max="15877" width="12.85546875" style="1098" customWidth="1"/>
    <col min="15878" max="15878" width="15.5703125" style="1098" customWidth="1"/>
    <col min="15879" max="15879" width="15.85546875" style="1098" customWidth="1"/>
    <col min="15880" max="15880" width="6.42578125" style="1098" customWidth="1"/>
    <col min="15881" max="15881" width="14.28515625" style="1098" bestFit="1" customWidth="1"/>
    <col min="15882" max="15882" width="9.140625" style="1098"/>
    <col min="15883" max="15884" width="16" style="1098" bestFit="1" customWidth="1"/>
    <col min="15885" max="16128" width="9.140625" style="1098"/>
    <col min="16129" max="16129" width="4.7109375" style="1098" customWidth="1"/>
    <col min="16130" max="16130" width="6.7109375" style="1098" customWidth="1"/>
    <col min="16131" max="16131" width="8.85546875" style="1098" customWidth="1"/>
    <col min="16132" max="16132" width="46.42578125" style="1098" customWidth="1"/>
    <col min="16133" max="16133" width="12.85546875" style="1098" customWidth="1"/>
    <col min="16134" max="16134" width="15.5703125" style="1098" customWidth="1"/>
    <col min="16135" max="16135" width="15.85546875" style="1098" customWidth="1"/>
    <col min="16136" max="16136" width="6.42578125" style="1098" customWidth="1"/>
    <col min="16137" max="16137" width="14.28515625" style="1098" bestFit="1" customWidth="1"/>
    <col min="16138" max="16138" width="9.140625" style="1098"/>
    <col min="16139" max="16140" width="16" style="1098" bestFit="1" customWidth="1"/>
    <col min="16141" max="16384" width="9.140625" style="1098"/>
  </cols>
  <sheetData>
    <row r="1" spans="1:8" ht="19.5" customHeight="1" thickBot="1" x14ac:dyDescent="0.3">
      <c r="A1" s="1082" t="s">
        <v>2006</v>
      </c>
      <c r="B1" s="1081"/>
      <c r="C1" s="1093"/>
      <c r="D1" s="1079"/>
      <c r="E1" s="1078"/>
      <c r="F1" s="1079"/>
      <c r="G1" s="1185"/>
      <c r="H1" s="1082"/>
    </row>
    <row r="2" spans="1:8" ht="18" x14ac:dyDescent="0.25">
      <c r="A2" s="1102"/>
      <c r="B2" s="1125"/>
      <c r="C2" s="1125"/>
      <c r="D2" s="1125"/>
      <c r="E2" s="1125"/>
      <c r="F2" s="1125"/>
      <c r="G2" s="1125"/>
      <c r="H2" s="1163" t="s">
        <v>130</v>
      </c>
    </row>
    <row r="3" spans="1:8" ht="18" x14ac:dyDescent="0.25">
      <c r="A3" s="1077" t="s">
        <v>201</v>
      </c>
      <c r="B3" s="1125"/>
      <c r="C3" s="1096" t="s">
        <v>121</v>
      </c>
      <c r="D3" s="1125"/>
      <c r="E3" s="1125"/>
      <c r="F3" s="1125"/>
      <c r="G3" s="1125"/>
      <c r="H3" s="1163"/>
    </row>
    <row r="4" spans="1:8" ht="18" x14ac:dyDescent="0.25">
      <c r="A4" s="1102"/>
      <c r="B4" s="1125"/>
      <c r="C4" s="1096" t="s">
        <v>781</v>
      </c>
      <c r="D4" s="1125"/>
      <c r="E4" s="1125"/>
      <c r="F4" s="1125"/>
      <c r="G4" s="1125"/>
      <c r="H4" s="1163"/>
    </row>
    <row r="5" spans="1:8" ht="18" x14ac:dyDescent="0.25">
      <c r="A5" s="1101" t="s">
        <v>131</v>
      </c>
      <c r="B5" s="1125"/>
      <c r="C5" s="1125"/>
      <c r="D5" s="1125"/>
      <c r="E5" s="1125"/>
      <c r="F5" s="1125"/>
      <c r="G5" s="1125"/>
      <c r="H5" s="1163"/>
    </row>
    <row r="6" spans="1:8" ht="18" x14ac:dyDescent="0.25">
      <c r="A6" s="1101"/>
      <c r="B6" s="1125"/>
      <c r="C6" s="1125"/>
      <c r="D6" s="1125"/>
      <c r="E6" s="1125"/>
      <c r="F6" s="1125"/>
      <c r="G6" s="1125"/>
      <c r="H6" s="1163"/>
    </row>
    <row r="7" spans="1:8" ht="15.75" thickBot="1" x14ac:dyDescent="0.3">
      <c r="A7" s="1229" t="s">
        <v>137</v>
      </c>
      <c r="H7" s="1177" t="s">
        <v>92</v>
      </c>
    </row>
    <row r="8" spans="1:8" s="1037" customFormat="1" ht="25.5" thickTop="1" thickBot="1" x14ac:dyDescent="0.25">
      <c r="A8" s="1104" t="s">
        <v>93</v>
      </c>
      <c r="B8" s="1105" t="s">
        <v>392</v>
      </c>
      <c r="C8" s="1105" t="s">
        <v>209</v>
      </c>
      <c r="D8" s="1106" t="s">
        <v>95</v>
      </c>
      <c r="E8" s="1127" t="s">
        <v>328</v>
      </c>
      <c r="F8" s="1127" t="s">
        <v>329</v>
      </c>
      <c r="G8" s="1128" t="s">
        <v>448</v>
      </c>
      <c r="H8" s="1129" t="s">
        <v>449</v>
      </c>
    </row>
    <row r="9" spans="1:8" s="1037" customFormat="1" ht="13.5" thickTop="1" thickBot="1" x14ac:dyDescent="0.25">
      <c r="A9" s="1042">
        <v>1</v>
      </c>
      <c r="B9" s="1041">
        <v>2</v>
      </c>
      <c r="C9" s="1041">
        <v>3</v>
      </c>
      <c r="D9" s="1041">
        <v>4</v>
      </c>
      <c r="E9" s="1040">
        <v>5</v>
      </c>
      <c r="F9" s="1040">
        <v>6</v>
      </c>
      <c r="G9" s="1164">
        <v>7</v>
      </c>
      <c r="H9" s="1186" t="s">
        <v>33</v>
      </c>
    </row>
    <row r="10" spans="1:8" s="1191" customFormat="1" ht="16.5" thickTop="1" thickBot="1" x14ac:dyDescent="0.25">
      <c r="A10" s="1181">
        <v>3299</v>
      </c>
      <c r="B10" s="1187">
        <v>5909</v>
      </c>
      <c r="C10" s="1214" t="s">
        <v>871</v>
      </c>
      <c r="D10" s="1130" t="s">
        <v>344</v>
      </c>
      <c r="E10" s="1135">
        <v>0</v>
      </c>
      <c r="F10" s="1135">
        <v>3</v>
      </c>
      <c r="G10" s="1135">
        <v>3</v>
      </c>
      <c r="H10" s="3050">
        <f>G10/F10*100</f>
        <v>100</v>
      </c>
    </row>
    <row r="11" spans="1:8" s="1191" customFormat="1" ht="15.75" hidden="1" thickBot="1" x14ac:dyDescent="0.25">
      <c r="A11" s="1181">
        <v>6330</v>
      </c>
      <c r="B11" s="1187">
        <v>5345</v>
      </c>
      <c r="C11" s="1214" t="s">
        <v>871</v>
      </c>
      <c r="D11" s="1130" t="s">
        <v>397</v>
      </c>
      <c r="E11" s="1135"/>
      <c r="F11" s="1135"/>
      <c r="G11" s="1135"/>
      <c r="H11" s="3050">
        <v>0</v>
      </c>
    </row>
    <row r="12" spans="1:8" s="1191" customFormat="1" ht="15.75" hidden="1" thickBot="1" x14ac:dyDescent="0.25">
      <c r="A12" s="1181">
        <v>6402</v>
      </c>
      <c r="B12" s="1187">
        <v>5363</v>
      </c>
      <c r="C12" s="1214" t="s">
        <v>882</v>
      </c>
      <c r="D12" s="1130" t="s">
        <v>739</v>
      </c>
      <c r="E12" s="1135"/>
      <c r="F12" s="1135"/>
      <c r="G12" s="1135"/>
      <c r="H12" s="3050" t="e">
        <f t="shared" ref="H12:H29" si="0">G12/F12*100</f>
        <v>#DIV/0!</v>
      </c>
    </row>
    <row r="13" spans="1:8" s="1191" customFormat="1" ht="30.75" hidden="1" thickBot="1" x14ac:dyDescent="0.25">
      <c r="A13" s="1181">
        <v>6402</v>
      </c>
      <c r="B13" s="1187">
        <v>5364</v>
      </c>
      <c r="C13" s="1214" t="s">
        <v>882</v>
      </c>
      <c r="D13" s="1130" t="s">
        <v>1022</v>
      </c>
      <c r="E13" s="1135"/>
      <c r="F13" s="1135"/>
      <c r="G13" s="1135"/>
      <c r="H13" s="3050" t="e">
        <f t="shared" si="0"/>
        <v>#DIV/0!</v>
      </c>
    </row>
    <row r="14" spans="1:8" s="1191" customFormat="1" ht="15" hidden="1" customHeight="1" x14ac:dyDescent="0.2">
      <c r="A14" s="1181">
        <v>3299</v>
      </c>
      <c r="B14" s="1187">
        <v>5222</v>
      </c>
      <c r="C14" s="1214" t="s">
        <v>1042</v>
      </c>
      <c r="D14" s="1130" t="s">
        <v>800</v>
      </c>
      <c r="E14" s="1135">
        <v>0</v>
      </c>
      <c r="F14" s="1135"/>
      <c r="G14" s="1135"/>
      <c r="H14" s="3050" t="e">
        <f t="shared" si="0"/>
        <v>#DIV/0!</v>
      </c>
    </row>
    <row r="15" spans="1:8" s="1191" customFormat="1" ht="15" hidden="1" customHeight="1" x14ac:dyDescent="0.2">
      <c r="A15" s="1181">
        <v>3299</v>
      </c>
      <c r="B15" s="1187">
        <v>5222</v>
      </c>
      <c r="C15" s="1214" t="s">
        <v>1041</v>
      </c>
      <c r="D15" s="1130" t="s">
        <v>800</v>
      </c>
      <c r="E15" s="1135">
        <v>0</v>
      </c>
      <c r="F15" s="1135"/>
      <c r="G15" s="1135"/>
      <c r="H15" s="3050" t="e">
        <f t="shared" si="0"/>
        <v>#DIV/0!</v>
      </c>
    </row>
    <row r="16" spans="1:8" s="1191" customFormat="1" ht="30" hidden="1" customHeight="1" x14ac:dyDescent="0.2">
      <c r="A16" s="1181">
        <v>3299</v>
      </c>
      <c r="B16" s="1187">
        <v>5229</v>
      </c>
      <c r="C16" s="1214" t="s">
        <v>1042</v>
      </c>
      <c r="D16" s="1130" t="s">
        <v>484</v>
      </c>
      <c r="E16" s="1135">
        <v>0</v>
      </c>
      <c r="F16" s="1135"/>
      <c r="G16" s="1135"/>
      <c r="H16" s="3050" t="e">
        <f t="shared" si="0"/>
        <v>#DIV/0!</v>
      </c>
    </row>
    <row r="17" spans="1:8" s="1191" customFormat="1" ht="30" hidden="1" customHeight="1" x14ac:dyDescent="0.2">
      <c r="A17" s="1181">
        <v>3299</v>
      </c>
      <c r="B17" s="1187">
        <v>5229</v>
      </c>
      <c r="C17" s="1214" t="s">
        <v>1041</v>
      </c>
      <c r="D17" s="1130" t="s">
        <v>484</v>
      </c>
      <c r="E17" s="1135">
        <v>0</v>
      </c>
      <c r="F17" s="1135"/>
      <c r="G17" s="1135"/>
      <c r="H17" s="3050" t="e">
        <f t="shared" si="0"/>
        <v>#DIV/0!</v>
      </c>
    </row>
    <row r="18" spans="1:8" s="1191" customFormat="1" ht="15.75" hidden="1" thickBot="1" x14ac:dyDescent="0.25">
      <c r="A18" s="1181">
        <v>3299</v>
      </c>
      <c r="B18" s="1187">
        <v>5901</v>
      </c>
      <c r="C18" s="1214" t="s">
        <v>1042</v>
      </c>
      <c r="D18" s="1130" t="s">
        <v>311</v>
      </c>
      <c r="E18" s="1135">
        <v>0</v>
      </c>
      <c r="F18" s="1135"/>
      <c r="G18" s="1135"/>
      <c r="H18" s="3050" t="e">
        <f t="shared" si="0"/>
        <v>#DIV/0!</v>
      </c>
    </row>
    <row r="19" spans="1:8" s="1191" customFormat="1" ht="15.75" hidden="1" thickBot="1" x14ac:dyDescent="0.25">
      <c r="A19" s="1181">
        <v>3299</v>
      </c>
      <c r="B19" s="1187">
        <v>5901</v>
      </c>
      <c r="C19" s="1214" t="s">
        <v>1046</v>
      </c>
      <c r="D19" s="1130" t="s">
        <v>311</v>
      </c>
      <c r="E19" s="1135">
        <v>0</v>
      </c>
      <c r="F19" s="1135"/>
      <c r="G19" s="1135"/>
      <c r="H19" s="3050" t="e">
        <f t="shared" si="0"/>
        <v>#DIV/0!</v>
      </c>
    </row>
    <row r="20" spans="1:8" s="1191" customFormat="1" ht="15.75" hidden="1" thickBot="1" x14ac:dyDescent="0.25">
      <c r="A20" s="1181">
        <v>3299</v>
      </c>
      <c r="B20" s="1187">
        <v>5909</v>
      </c>
      <c r="C20" s="1214">
        <v>0</v>
      </c>
      <c r="D20" s="1130" t="s">
        <v>311</v>
      </c>
      <c r="E20" s="1135"/>
      <c r="F20" s="1135"/>
      <c r="G20" s="1135"/>
      <c r="H20" s="3050" t="e">
        <f t="shared" si="0"/>
        <v>#DIV/0!</v>
      </c>
    </row>
    <row r="21" spans="1:8" s="1191" customFormat="1" ht="15.75" hidden="1" thickBot="1" x14ac:dyDescent="0.25">
      <c r="A21" s="1181">
        <v>3299</v>
      </c>
      <c r="B21" s="1187">
        <v>5901</v>
      </c>
      <c r="C21" s="1214" t="s">
        <v>1041</v>
      </c>
      <c r="D21" s="1130" t="s">
        <v>311</v>
      </c>
      <c r="E21" s="1135">
        <v>0</v>
      </c>
      <c r="F21" s="1135"/>
      <c r="G21" s="1135"/>
      <c r="H21" s="3050" t="e">
        <f t="shared" si="0"/>
        <v>#DIV/0!</v>
      </c>
    </row>
    <row r="22" spans="1:8" s="1191" customFormat="1" ht="15.75" hidden="1" thickBot="1" x14ac:dyDescent="0.25">
      <c r="A22" s="1181">
        <v>3299</v>
      </c>
      <c r="B22" s="1187">
        <v>5901</v>
      </c>
      <c r="C22" s="1214" t="s">
        <v>1045</v>
      </c>
      <c r="D22" s="1130" t="s">
        <v>311</v>
      </c>
      <c r="E22" s="1135">
        <v>0</v>
      </c>
      <c r="F22" s="1135"/>
      <c r="G22" s="1135"/>
      <c r="H22" s="3050" t="e">
        <f t="shared" si="0"/>
        <v>#DIV/0!</v>
      </c>
    </row>
    <row r="23" spans="1:8" s="1191" customFormat="1" ht="15.75" hidden="1" thickBot="1" x14ac:dyDescent="0.25">
      <c r="A23" s="1181">
        <v>3299</v>
      </c>
      <c r="B23" s="1187">
        <v>5909</v>
      </c>
      <c r="C23" s="1214" t="s">
        <v>871</v>
      </c>
      <c r="D23" s="1130" t="s">
        <v>344</v>
      </c>
      <c r="E23" s="1135">
        <v>0</v>
      </c>
      <c r="F23" s="1135"/>
      <c r="G23" s="1135"/>
      <c r="H23" s="3050" t="e">
        <f t="shared" si="0"/>
        <v>#DIV/0!</v>
      </c>
    </row>
    <row r="24" spans="1:8" s="1136" customFormat="1" ht="15.75" hidden="1" thickBot="1" x14ac:dyDescent="0.25">
      <c r="A24" s="1181">
        <v>3299</v>
      </c>
      <c r="B24" s="1189">
        <v>6322</v>
      </c>
      <c r="C24" s="1214" t="s">
        <v>1044</v>
      </c>
      <c r="D24" s="1130" t="s">
        <v>536</v>
      </c>
      <c r="E24" s="1135">
        <v>0</v>
      </c>
      <c r="F24" s="1135"/>
      <c r="G24" s="1135"/>
      <c r="H24" s="3050" t="e">
        <f t="shared" si="0"/>
        <v>#DIV/0!</v>
      </c>
    </row>
    <row r="25" spans="1:8" s="1136" customFormat="1" ht="15.75" hidden="1" thickBot="1" x14ac:dyDescent="0.25">
      <c r="A25" s="1181">
        <v>3299</v>
      </c>
      <c r="B25" s="1189">
        <v>6322</v>
      </c>
      <c r="C25" s="1214" t="s">
        <v>1043</v>
      </c>
      <c r="D25" s="1130" t="s">
        <v>536</v>
      </c>
      <c r="E25" s="1135">
        <v>0</v>
      </c>
      <c r="F25" s="1135"/>
      <c r="G25" s="1135"/>
      <c r="H25" s="3050" t="e">
        <f t="shared" si="0"/>
        <v>#DIV/0!</v>
      </c>
    </row>
    <row r="26" spans="1:8" ht="30.75" hidden="1" thickBot="1" x14ac:dyDescent="0.25">
      <c r="A26" s="1181">
        <v>3299</v>
      </c>
      <c r="B26" s="1189">
        <v>6351</v>
      </c>
      <c r="C26" s="1214">
        <v>32133887</v>
      </c>
      <c r="D26" s="1130" t="s">
        <v>603</v>
      </c>
      <c r="E26" s="1135"/>
      <c r="F26" s="1135"/>
      <c r="G26" s="1135"/>
      <c r="H26" s="3050" t="e">
        <f t="shared" si="0"/>
        <v>#DIV/0!</v>
      </c>
    </row>
    <row r="27" spans="1:8" ht="30.75" hidden="1" thickBot="1" x14ac:dyDescent="0.25">
      <c r="A27" s="1181">
        <v>3299</v>
      </c>
      <c r="B27" s="1189">
        <v>6351</v>
      </c>
      <c r="C27" s="1214">
        <v>32533887</v>
      </c>
      <c r="D27" s="1130" t="s">
        <v>603</v>
      </c>
      <c r="E27" s="1135"/>
      <c r="F27" s="1135"/>
      <c r="G27" s="1135"/>
      <c r="H27" s="3050" t="e">
        <f t="shared" si="0"/>
        <v>#DIV/0!</v>
      </c>
    </row>
    <row r="28" spans="1:8" ht="15.75" hidden="1" thickBot="1" x14ac:dyDescent="0.25">
      <c r="A28" s="1181">
        <v>3299</v>
      </c>
      <c r="B28" s="1187">
        <v>6901</v>
      </c>
      <c r="C28" s="1214" t="s">
        <v>1044</v>
      </c>
      <c r="D28" s="1130" t="s">
        <v>239</v>
      </c>
      <c r="E28" s="1135">
        <v>0</v>
      </c>
      <c r="F28" s="1135"/>
      <c r="G28" s="1135"/>
      <c r="H28" s="3050" t="e">
        <f t="shared" si="0"/>
        <v>#DIV/0!</v>
      </c>
    </row>
    <row r="29" spans="1:8" ht="15.75" hidden="1" thickBot="1" x14ac:dyDescent="0.25">
      <c r="A29" s="1181">
        <v>3299</v>
      </c>
      <c r="B29" s="1187">
        <v>6901</v>
      </c>
      <c r="C29" s="1214" t="s">
        <v>1043</v>
      </c>
      <c r="D29" s="1130" t="s">
        <v>239</v>
      </c>
      <c r="E29" s="1135">
        <v>0</v>
      </c>
      <c r="F29" s="1135"/>
      <c r="G29" s="1135"/>
      <c r="H29" s="3050" t="e">
        <f t="shared" si="0"/>
        <v>#DIV/0!</v>
      </c>
    </row>
    <row r="30" spans="1:8" ht="15.75" hidden="1" thickBot="1" x14ac:dyDescent="0.25">
      <c r="A30" s="1181">
        <v>6330</v>
      </c>
      <c r="B30" s="1187">
        <v>5345</v>
      </c>
      <c r="C30" s="1214" t="s">
        <v>871</v>
      </c>
      <c r="D30" s="1130" t="s">
        <v>397</v>
      </c>
      <c r="E30" s="1135">
        <v>0</v>
      </c>
      <c r="F30" s="1135"/>
      <c r="G30" s="1135"/>
      <c r="H30" s="3050">
        <v>0</v>
      </c>
    </row>
    <row r="31" spans="1:8" s="1136" customFormat="1" ht="15.75" hidden="1" thickBot="1" x14ac:dyDescent="0.25">
      <c r="A31" s="1181">
        <v>6402</v>
      </c>
      <c r="B31" s="1187">
        <v>5363</v>
      </c>
      <c r="C31" s="1214" t="s">
        <v>890</v>
      </c>
      <c r="D31" s="1130" t="s">
        <v>739</v>
      </c>
      <c r="E31" s="1135"/>
      <c r="F31" s="1135"/>
      <c r="G31" s="1135"/>
      <c r="H31" s="3050">
        <v>0</v>
      </c>
    </row>
    <row r="32" spans="1:8" s="1136" customFormat="1" ht="15.75" hidden="1" thickBot="1" x14ac:dyDescent="0.25">
      <c r="A32" s="1181">
        <v>6402</v>
      </c>
      <c r="B32" s="1187">
        <v>5363</v>
      </c>
      <c r="C32" s="1214" t="s">
        <v>890</v>
      </c>
      <c r="D32" s="1130" t="s">
        <v>739</v>
      </c>
      <c r="E32" s="1135">
        <v>0</v>
      </c>
      <c r="F32" s="1135"/>
      <c r="G32" s="1135"/>
      <c r="H32" s="3050">
        <v>0</v>
      </c>
    </row>
    <row r="33" spans="1:10" s="1122" customFormat="1" ht="16.5" thickTop="1" thickBot="1" x14ac:dyDescent="0.3">
      <c r="A33" s="3317" t="s">
        <v>394</v>
      </c>
      <c r="B33" s="3318"/>
      <c r="C33" s="3318"/>
      <c r="D33" s="3318"/>
      <c r="E33" s="1113">
        <f>SUM(E10:E32)</f>
        <v>0</v>
      </c>
      <c r="F33" s="1113">
        <f>SUM(F10:F32)</f>
        <v>3</v>
      </c>
      <c r="G33" s="1113">
        <f>SUM(G10:G32)</f>
        <v>3</v>
      </c>
      <c r="H33" s="1381">
        <f>G33/F33*100</f>
        <v>100</v>
      </c>
      <c r="I33" s="1194"/>
    </row>
    <row r="34" spans="1:10" ht="13.5" thickTop="1" x14ac:dyDescent="0.2">
      <c r="I34" s="1123"/>
    </row>
    <row r="35" spans="1:10" x14ac:dyDescent="0.2">
      <c r="I35" s="1123"/>
    </row>
    <row r="36" spans="1:10" ht="15" hidden="1" x14ac:dyDescent="0.25">
      <c r="A36" s="1226" t="s">
        <v>499</v>
      </c>
      <c r="B36" s="2573"/>
      <c r="C36" s="2573"/>
      <c r="D36" s="2573"/>
    </row>
    <row r="37" spans="1:10" ht="15" hidden="1" x14ac:dyDescent="0.25">
      <c r="A37" s="1227" t="s">
        <v>500</v>
      </c>
      <c r="B37" s="1228"/>
      <c r="C37" s="1228"/>
      <c r="H37" s="1177" t="s">
        <v>92</v>
      </c>
    </row>
    <row r="38" spans="1:10" s="1037" customFormat="1" ht="25.5" hidden="1" thickTop="1" thickBot="1" x14ac:dyDescent="0.25">
      <c r="A38" s="1104" t="s">
        <v>93</v>
      </c>
      <c r="B38" s="1105" t="s">
        <v>392</v>
      </c>
      <c r="C38" s="1105" t="s">
        <v>209</v>
      </c>
      <c r="D38" s="1106" t="s">
        <v>95</v>
      </c>
      <c r="E38" s="1127" t="s">
        <v>328</v>
      </c>
      <c r="F38" s="1127" t="s">
        <v>329</v>
      </c>
      <c r="G38" s="1128" t="s">
        <v>448</v>
      </c>
      <c r="H38" s="1129" t="s">
        <v>449</v>
      </c>
    </row>
    <row r="39" spans="1:10" s="1037" customFormat="1" ht="13.5" hidden="1" thickTop="1" thickBot="1" x14ac:dyDescent="0.25">
      <c r="A39" s="1042">
        <v>1</v>
      </c>
      <c r="B39" s="1041">
        <v>2</v>
      </c>
      <c r="C39" s="1041">
        <v>3</v>
      </c>
      <c r="D39" s="1041">
        <v>4</v>
      </c>
      <c r="E39" s="1040">
        <v>5</v>
      </c>
      <c r="F39" s="1040">
        <v>6</v>
      </c>
      <c r="G39" s="1164">
        <v>7</v>
      </c>
      <c r="H39" s="1186" t="s">
        <v>33</v>
      </c>
    </row>
    <row r="40" spans="1:10" ht="30" hidden="1" x14ac:dyDescent="0.2">
      <c r="A40" s="1181">
        <v>3299</v>
      </c>
      <c r="B40" s="1187">
        <v>5229</v>
      </c>
      <c r="C40" s="2190">
        <v>32133012</v>
      </c>
      <c r="D40" s="1130" t="s">
        <v>484</v>
      </c>
      <c r="E40" s="1135"/>
      <c r="F40" s="1135"/>
      <c r="G40" s="1135"/>
      <c r="H40" s="1116" t="e">
        <f>G40/F40*100</f>
        <v>#DIV/0!</v>
      </c>
      <c r="J40" s="1192"/>
    </row>
    <row r="41" spans="1:10" ht="30" hidden="1" x14ac:dyDescent="0.2">
      <c r="A41" s="1181">
        <v>3299</v>
      </c>
      <c r="B41" s="1187">
        <v>5229</v>
      </c>
      <c r="C41" s="2190">
        <v>32533012</v>
      </c>
      <c r="D41" s="1130" t="s">
        <v>484</v>
      </c>
      <c r="E41" s="1135"/>
      <c r="F41" s="1135"/>
      <c r="G41" s="1135"/>
      <c r="H41" s="1116" t="e">
        <f>G41/F41*100</f>
        <v>#DIV/0!</v>
      </c>
      <c r="J41" s="1192"/>
    </row>
    <row r="42" spans="1:10" ht="30" hidden="1" x14ac:dyDescent="0.2">
      <c r="A42" s="1181">
        <v>3299</v>
      </c>
      <c r="B42" s="1187">
        <v>6351</v>
      </c>
      <c r="C42" s="1190">
        <v>32133887</v>
      </c>
      <c r="D42" s="1130" t="s">
        <v>603</v>
      </c>
      <c r="E42" s="1135">
        <v>0</v>
      </c>
      <c r="F42" s="1135">
        <v>0</v>
      </c>
      <c r="G42" s="1135">
        <v>0</v>
      </c>
      <c r="H42" s="1116" t="e">
        <f>G42/F42*100</f>
        <v>#DIV/0!</v>
      </c>
      <c r="J42" s="1192"/>
    </row>
    <row r="43" spans="1:10" ht="30.75" hidden="1" thickBot="1" x14ac:dyDescent="0.25">
      <c r="A43" s="1181">
        <v>3299</v>
      </c>
      <c r="B43" s="1187">
        <v>6351</v>
      </c>
      <c r="C43" s="1190">
        <v>32533887</v>
      </c>
      <c r="D43" s="1130" t="s">
        <v>603</v>
      </c>
      <c r="E43" s="1135">
        <v>0</v>
      </c>
      <c r="F43" s="1135">
        <v>0</v>
      </c>
      <c r="G43" s="1135">
        <v>0</v>
      </c>
      <c r="H43" s="1121" t="e">
        <f>G43/F43*100</f>
        <v>#DIV/0!</v>
      </c>
      <c r="J43" s="1192"/>
    </row>
    <row r="44" spans="1:10" s="1122" customFormat="1" ht="16.5" hidden="1" thickTop="1" thickBot="1" x14ac:dyDescent="0.3">
      <c r="A44" s="3317" t="s">
        <v>394</v>
      </c>
      <c r="B44" s="3318"/>
      <c r="C44" s="3318"/>
      <c r="D44" s="3318"/>
      <c r="E44" s="1113">
        <f>SUM(E40:E43)</f>
        <v>0</v>
      </c>
      <c r="F44" s="1113">
        <f>SUM(F40:F43)</f>
        <v>0</v>
      </c>
      <c r="G44" s="1113">
        <f>SUM(G40:G43)</f>
        <v>0</v>
      </c>
      <c r="H44" s="1117" t="e">
        <f>G44/F44*100</f>
        <v>#DIV/0!</v>
      </c>
      <c r="I44" s="1194"/>
    </row>
    <row r="45" spans="1:10" hidden="1" x14ac:dyDescent="0.2">
      <c r="I45" s="1123"/>
    </row>
    <row r="46" spans="1:10" ht="15" hidden="1" x14ac:dyDescent="0.25">
      <c r="A46" s="1226"/>
      <c r="B46" s="2573"/>
      <c r="C46" s="2573"/>
      <c r="D46" s="2573"/>
    </row>
    <row r="47" spans="1:10" x14ac:dyDescent="0.2">
      <c r="I47" s="1123"/>
    </row>
    <row r="48" spans="1:10" x14ac:dyDescent="0.2">
      <c r="I48" s="1123"/>
    </row>
    <row r="49" spans="1:12" x14ac:dyDescent="0.2">
      <c r="I49" s="1123"/>
    </row>
    <row r="50" spans="1:12" x14ac:dyDescent="0.2">
      <c r="I50" s="1123"/>
    </row>
    <row r="52" spans="1:12" ht="16.5" x14ac:dyDescent="0.25">
      <c r="A52" s="1147" t="s">
        <v>251</v>
      </c>
      <c r="B52" s="1148"/>
      <c r="C52" s="1149"/>
      <c r="D52" s="1150"/>
      <c r="E52" s="1151">
        <f>SUM(E53:E55)</f>
        <v>0</v>
      </c>
      <c r="F52" s="1151">
        <f>F53+F54+F55+F56</f>
        <v>3</v>
      </c>
      <c r="G52" s="1151">
        <f>G53+G54+G55+G56</f>
        <v>3</v>
      </c>
      <c r="H52" s="1170">
        <f>G52/F52*100</f>
        <v>100</v>
      </c>
      <c r="J52" s="1153">
        <f>J53+J54+J55</f>
        <v>0</v>
      </c>
      <c r="K52" s="1153">
        <f>K53+K54+K55</f>
        <v>2852</v>
      </c>
      <c r="L52" s="1153">
        <f>L53+L54+L55</f>
        <v>2852</v>
      </c>
    </row>
    <row r="53" spans="1:12" ht="15" x14ac:dyDescent="0.2">
      <c r="A53" s="1011" t="s">
        <v>147</v>
      </c>
      <c r="B53" s="1013"/>
      <c r="C53" s="1009"/>
      <c r="D53" s="1154"/>
      <c r="E53" s="1012">
        <f>E10+E12+E13</f>
        <v>0</v>
      </c>
      <c r="F53" s="1012">
        <f>F10+F12+F13</f>
        <v>3</v>
      </c>
      <c r="G53" s="1012">
        <f>G10+G12+G13</f>
        <v>3</v>
      </c>
      <c r="H53" s="1169">
        <f>G53/F53*100</f>
        <v>100</v>
      </c>
      <c r="J53" s="1155">
        <v>0</v>
      </c>
      <c r="K53" s="1155">
        <v>2852</v>
      </c>
      <c r="L53" s="1155">
        <v>2852</v>
      </c>
    </row>
    <row r="54" spans="1:12" ht="15" x14ac:dyDescent="0.2">
      <c r="A54" s="1011" t="s">
        <v>148</v>
      </c>
      <c r="B54" s="1010"/>
      <c r="C54" s="1009"/>
      <c r="D54" s="1156"/>
      <c r="E54" s="1012">
        <v>0</v>
      </c>
      <c r="F54" s="1012">
        <v>0</v>
      </c>
      <c r="G54" s="1012">
        <v>0</v>
      </c>
      <c r="H54" s="1169">
        <v>0</v>
      </c>
      <c r="J54" s="1155">
        <v>0</v>
      </c>
      <c r="K54" s="1155">
        <v>0</v>
      </c>
      <c r="L54" s="1155">
        <v>0</v>
      </c>
    </row>
    <row r="55" spans="1:12" ht="15" x14ac:dyDescent="0.2">
      <c r="A55" s="1011" t="s">
        <v>252</v>
      </c>
      <c r="B55" s="1010"/>
      <c r="C55" s="1009"/>
      <c r="D55" s="1156"/>
      <c r="E55" s="1012">
        <f>E30</f>
        <v>0</v>
      </c>
      <c r="F55" s="1012">
        <f>F30</f>
        <v>0</v>
      </c>
      <c r="G55" s="1012">
        <f>G11</f>
        <v>0</v>
      </c>
      <c r="H55" s="1169">
        <v>0</v>
      </c>
      <c r="J55" s="1155">
        <v>0</v>
      </c>
      <c r="K55" s="1155">
        <v>0</v>
      </c>
      <c r="L55" s="1155">
        <v>0</v>
      </c>
    </row>
    <row r="56" spans="1:12" ht="15" x14ac:dyDescent="0.2">
      <c r="A56" s="1011"/>
      <c r="B56" s="1010"/>
      <c r="C56" s="1009"/>
      <c r="D56" s="1156"/>
      <c r="E56" s="1012"/>
      <c r="F56" s="1012"/>
      <c r="G56" s="1012"/>
      <c r="H56" s="1008"/>
    </row>
    <row r="57" spans="1:12" ht="46.5" customHeight="1" thickBot="1" x14ac:dyDescent="0.4">
      <c r="A57" s="3264" t="s">
        <v>2019</v>
      </c>
      <c r="B57" s="3319"/>
      <c r="C57" s="3319"/>
      <c r="D57" s="3319"/>
      <c r="E57" s="1006">
        <f>SUM(E52)</f>
        <v>0</v>
      </c>
      <c r="F57" s="1006">
        <f>SUM(F52)</f>
        <v>3</v>
      </c>
      <c r="G57" s="1006">
        <f>SUM(G52)</f>
        <v>3</v>
      </c>
      <c r="H57" s="1005">
        <f>(G57/F57)*100</f>
        <v>100</v>
      </c>
    </row>
    <row r="58" spans="1:12" ht="13.5" thickTop="1" x14ac:dyDescent="0.2"/>
    <row r="177" spans="1:5" ht="13.5" thickBot="1" x14ac:dyDescent="0.25">
      <c r="A177" s="1131"/>
      <c r="B177" s="1131"/>
      <c r="C177" s="1131"/>
      <c r="D177" s="1195"/>
      <c r="E177" s="1196"/>
    </row>
    <row r="178" spans="1:5" ht="13.5" thickTop="1" x14ac:dyDescent="0.2">
      <c r="A178" s="1145"/>
      <c r="B178" s="1145"/>
      <c r="C178" s="1145"/>
      <c r="D178" s="1139"/>
      <c r="E178" s="1197"/>
    </row>
    <row r="179" spans="1:5" x14ac:dyDescent="0.2">
      <c r="D179" s="1098" t="e">
        <f>#REF!+#REF!</f>
        <v>#REF!</v>
      </c>
    </row>
  </sheetData>
  <mergeCells count="3">
    <mergeCell ref="A44:D44"/>
    <mergeCell ref="A57:D57"/>
    <mergeCell ref="A33:D33"/>
  </mergeCells>
  <pageMargins left="0.98425196850393704" right="0.78740157480314965" top="0.98425196850393704" bottom="0.98425196850393704" header="0.51181102362204722" footer="0.51181102362204722"/>
  <pageSetup paperSize="9" scale="65" firstPageNumber="148" orientation="portrait" useFirstPageNumber="1" r:id="rId1"/>
  <headerFooter alignWithMargins="0">
    <oddFooter xml:space="preserve">&amp;L&amp;"Arial,Kurzíva"Zastupitelstvo Olomouckého kraje 25. 6. 2018
5. - Rozpočet Olomouckého kraje 2017 - závěrečný  účet 
Příloha č. 3: Plnění rozpočtu výdajů Olomouckého kraje k 31. 12. 2017&amp;R&amp;"Arial,Kurzíva"Strana &amp;P (celkem 478)
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FF"/>
  </sheetPr>
  <dimension ref="A1:L247"/>
  <sheetViews>
    <sheetView showGridLines="0" view="pageBreakPreview" topLeftCell="A100" zoomScaleNormal="100" zoomScaleSheetLayoutView="100" workbookViewId="0">
      <selection activeCell="A126" sqref="A126"/>
    </sheetView>
  </sheetViews>
  <sheetFormatPr defaultRowHeight="12.75" x14ac:dyDescent="0.2"/>
  <cols>
    <col min="1" max="1" width="5.7109375" style="1097" customWidth="1"/>
    <col min="2" max="2" width="6.7109375" style="1097" customWidth="1"/>
    <col min="3" max="3" width="10.28515625" style="1097" customWidth="1"/>
    <col min="4" max="4" width="46.85546875" style="1098" customWidth="1"/>
    <col min="5" max="5" width="15.42578125" style="1123" customWidth="1"/>
    <col min="6" max="6" width="15.5703125" style="1123" customWidth="1"/>
    <col min="7" max="7" width="15.85546875" style="1123" customWidth="1"/>
    <col min="8" max="8" width="8.140625" style="1098" customWidth="1"/>
    <col min="9" max="9" width="14.28515625" style="1098" bestFit="1" customWidth="1"/>
    <col min="10" max="10" width="14.7109375" style="1098" bestFit="1" customWidth="1"/>
    <col min="11" max="11" width="16" style="1098" bestFit="1" customWidth="1"/>
    <col min="12" max="12" width="15.5703125" style="1098" customWidth="1"/>
    <col min="13" max="256" width="9.140625" style="1098"/>
    <col min="257" max="257" width="5.7109375" style="1098" customWidth="1"/>
    <col min="258" max="258" width="6.7109375" style="1098" customWidth="1"/>
    <col min="259" max="259" width="8.85546875" style="1098" customWidth="1"/>
    <col min="260" max="260" width="46.42578125" style="1098" customWidth="1"/>
    <col min="261" max="261" width="12.85546875" style="1098" customWidth="1"/>
    <col min="262" max="262" width="15.5703125" style="1098" customWidth="1"/>
    <col min="263" max="263" width="15.85546875" style="1098" customWidth="1"/>
    <col min="264" max="264" width="6.42578125" style="1098" customWidth="1"/>
    <col min="265" max="265" width="14.28515625" style="1098" bestFit="1" customWidth="1"/>
    <col min="266" max="266" width="14.7109375" style="1098" bestFit="1" customWidth="1"/>
    <col min="267" max="267" width="16" style="1098" bestFit="1" customWidth="1"/>
    <col min="268" max="268" width="15.5703125" style="1098" customWidth="1"/>
    <col min="269" max="512" width="9.140625" style="1098"/>
    <col min="513" max="513" width="5.7109375" style="1098" customWidth="1"/>
    <col min="514" max="514" width="6.7109375" style="1098" customWidth="1"/>
    <col min="515" max="515" width="8.85546875" style="1098" customWidth="1"/>
    <col min="516" max="516" width="46.42578125" style="1098" customWidth="1"/>
    <col min="517" max="517" width="12.85546875" style="1098" customWidth="1"/>
    <col min="518" max="518" width="15.5703125" style="1098" customWidth="1"/>
    <col min="519" max="519" width="15.85546875" style="1098" customWidth="1"/>
    <col min="520" max="520" width="6.42578125" style="1098" customWidth="1"/>
    <col min="521" max="521" width="14.28515625" style="1098" bestFit="1" customWidth="1"/>
    <col min="522" max="522" width="14.7109375" style="1098" bestFit="1" customWidth="1"/>
    <col min="523" max="523" width="16" style="1098" bestFit="1" customWidth="1"/>
    <col min="524" max="524" width="15.5703125" style="1098" customWidth="1"/>
    <col min="525" max="768" width="9.140625" style="1098"/>
    <col min="769" max="769" width="5.7109375" style="1098" customWidth="1"/>
    <col min="770" max="770" width="6.7109375" style="1098" customWidth="1"/>
    <col min="771" max="771" width="8.85546875" style="1098" customWidth="1"/>
    <col min="772" max="772" width="46.42578125" style="1098" customWidth="1"/>
    <col min="773" max="773" width="12.85546875" style="1098" customWidth="1"/>
    <col min="774" max="774" width="15.5703125" style="1098" customWidth="1"/>
    <col min="775" max="775" width="15.85546875" style="1098" customWidth="1"/>
    <col min="776" max="776" width="6.42578125" style="1098" customWidth="1"/>
    <col min="777" max="777" width="14.28515625" style="1098" bestFit="1" customWidth="1"/>
    <col min="778" max="778" width="14.7109375" style="1098" bestFit="1" customWidth="1"/>
    <col min="779" max="779" width="16" style="1098" bestFit="1" customWidth="1"/>
    <col min="780" max="780" width="15.5703125" style="1098" customWidth="1"/>
    <col min="781" max="1024" width="9.140625" style="1098"/>
    <col min="1025" max="1025" width="5.7109375" style="1098" customWidth="1"/>
    <col min="1026" max="1026" width="6.7109375" style="1098" customWidth="1"/>
    <col min="1027" max="1027" width="8.85546875" style="1098" customWidth="1"/>
    <col min="1028" max="1028" width="46.42578125" style="1098" customWidth="1"/>
    <col min="1029" max="1029" width="12.85546875" style="1098" customWidth="1"/>
    <col min="1030" max="1030" width="15.5703125" style="1098" customWidth="1"/>
    <col min="1031" max="1031" width="15.85546875" style="1098" customWidth="1"/>
    <col min="1032" max="1032" width="6.42578125" style="1098" customWidth="1"/>
    <col min="1033" max="1033" width="14.28515625" style="1098" bestFit="1" customWidth="1"/>
    <col min="1034" max="1034" width="14.7109375" style="1098" bestFit="1" customWidth="1"/>
    <col min="1035" max="1035" width="16" style="1098" bestFit="1" customWidth="1"/>
    <col min="1036" max="1036" width="15.5703125" style="1098" customWidth="1"/>
    <col min="1037" max="1280" width="9.140625" style="1098"/>
    <col min="1281" max="1281" width="5.7109375" style="1098" customWidth="1"/>
    <col min="1282" max="1282" width="6.7109375" style="1098" customWidth="1"/>
    <col min="1283" max="1283" width="8.85546875" style="1098" customWidth="1"/>
    <col min="1284" max="1284" width="46.42578125" style="1098" customWidth="1"/>
    <col min="1285" max="1285" width="12.85546875" style="1098" customWidth="1"/>
    <col min="1286" max="1286" width="15.5703125" style="1098" customWidth="1"/>
    <col min="1287" max="1287" width="15.85546875" style="1098" customWidth="1"/>
    <col min="1288" max="1288" width="6.42578125" style="1098" customWidth="1"/>
    <col min="1289" max="1289" width="14.28515625" style="1098" bestFit="1" customWidth="1"/>
    <col min="1290" max="1290" width="14.7109375" style="1098" bestFit="1" customWidth="1"/>
    <col min="1291" max="1291" width="16" style="1098" bestFit="1" customWidth="1"/>
    <col min="1292" max="1292" width="15.5703125" style="1098" customWidth="1"/>
    <col min="1293" max="1536" width="9.140625" style="1098"/>
    <col min="1537" max="1537" width="5.7109375" style="1098" customWidth="1"/>
    <col min="1538" max="1538" width="6.7109375" style="1098" customWidth="1"/>
    <col min="1539" max="1539" width="8.85546875" style="1098" customWidth="1"/>
    <col min="1540" max="1540" width="46.42578125" style="1098" customWidth="1"/>
    <col min="1541" max="1541" width="12.85546875" style="1098" customWidth="1"/>
    <col min="1542" max="1542" width="15.5703125" style="1098" customWidth="1"/>
    <col min="1543" max="1543" width="15.85546875" style="1098" customWidth="1"/>
    <col min="1544" max="1544" width="6.42578125" style="1098" customWidth="1"/>
    <col min="1545" max="1545" width="14.28515625" style="1098" bestFit="1" customWidth="1"/>
    <col min="1546" max="1546" width="14.7109375" style="1098" bestFit="1" customWidth="1"/>
    <col min="1547" max="1547" width="16" style="1098" bestFit="1" customWidth="1"/>
    <col min="1548" max="1548" width="15.5703125" style="1098" customWidth="1"/>
    <col min="1549" max="1792" width="9.140625" style="1098"/>
    <col min="1793" max="1793" width="5.7109375" style="1098" customWidth="1"/>
    <col min="1794" max="1794" width="6.7109375" style="1098" customWidth="1"/>
    <col min="1795" max="1795" width="8.85546875" style="1098" customWidth="1"/>
    <col min="1796" max="1796" width="46.42578125" style="1098" customWidth="1"/>
    <col min="1797" max="1797" width="12.85546875" style="1098" customWidth="1"/>
    <col min="1798" max="1798" width="15.5703125" style="1098" customWidth="1"/>
    <col min="1799" max="1799" width="15.85546875" style="1098" customWidth="1"/>
    <col min="1800" max="1800" width="6.42578125" style="1098" customWidth="1"/>
    <col min="1801" max="1801" width="14.28515625" style="1098" bestFit="1" customWidth="1"/>
    <col min="1802" max="1802" width="14.7109375" style="1098" bestFit="1" customWidth="1"/>
    <col min="1803" max="1803" width="16" style="1098" bestFit="1" customWidth="1"/>
    <col min="1804" max="1804" width="15.5703125" style="1098" customWidth="1"/>
    <col min="1805" max="2048" width="9.140625" style="1098"/>
    <col min="2049" max="2049" width="5.7109375" style="1098" customWidth="1"/>
    <col min="2050" max="2050" width="6.7109375" style="1098" customWidth="1"/>
    <col min="2051" max="2051" width="8.85546875" style="1098" customWidth="1"/>
    <col min="2052" max="2052" width="46.42578125" style="1098" customWidth="1"/>
    <col min="2053" max="2053" width="12.85546875" style="1098" customWidth="1"/>
    <col min="2054" max="2054" width="15.5703125" style="1098" customWidth="1"/>
    <col min="2055" max="2055" width="15.85546875" style="1098" customWidth="1"/>
    <col min="2056" max="2056" width="6.42578125" style="1098" customWidth="1"/>
    <col min="2057" max="2057" width="14.28515625" style="1098" bestFit="1" customWidth="1"/>
    <col min="2058" max="2058" width="14.7109375" style="1098" bestFit="1" customWidth="1"/>
    <col min="2059" max="2059" width="16" style="1098" bestFit="1" customWidth="1"/>
    <col min="2060" max="2060" width="15.5703125" style="1098" customWidth="1"/>
    <col min="2061" max="2304" width="9.140625" style="1098"/>
    <col min="2305" max="2305" width="5.7109375" style="1098" customWidth="1"/>
    <col min="2306" max="2306" width="6.7109375" style="1098" customWidth="1"/>
    <col min="2307" max="2307" width="8.85546875" style="1098" customWidth="1"/>
    <col min="2308" max="2308" width="46.42578125" style="1098" customWidth="1"/>
    <col min="2309" max="2309" width="12.85546875" style="1098" customWidth="1"/>
    <col min="2310" max="2310" width="15.5703125" style="1098" customWidth="1"/>
    <col min="2311" max="2311" width="15.85546875" style="1098" customWidth="1"/>
    <col min="2312" max="2312" width="6.42578125" style="1098" customWidth="1"/>
    <col min="2313" max="2313" width="14.28515625" style="1098" bestFit="1" customWidth="1"/>
    <col min="2314" max="2314" width="14.7109375" style="1098" bestFit="1" customWidth="1"/>
    <col min="2315" max="2315" width="16" style="1098" bestFit="1" customWidth="1"/>
    <col min="2316" max="2316" width="15.5703125" style="1098" customWidth="1"/>
    <col min="2317" max="2560" width="9.140625" style="1098"/>
    <col min="2561" max="2561" width="5.7109375" style="1098" customWidth="1"/>
    <col min="2562" max="2562" width="6.7109375" style="1098" customWidth="1"/>
    <col min="2563" max="2563" width="8.85546875" style="1098" customWidth="1"/>
    <col min="2564" max="2564" width="46.42578125" style="1098" customWidth="1"/>
    <col min="2565" max="2565" width="12.85546875" style="1098" customWidth="1"/>
    <col min="2566" max="2566" width="15.5703125" style="1098" customWidth="1"/>
    <col min="2567" max="2567" width="15.85546875" style="1098" customWidth="1"/>
    <col min="2568" max="2568" width="6.42578125" style="1098" customWidth="1"/>
    <col min="2569" max="2569" width="14.28515625" style="1098" bestFit="1" customWidth="1"/>
    <col min="2570" max="2570" width="14.7109375" style="1098" bestFit="1" customWidth="1"/>
    <col min="2571" max="2571" width="16" style="1098" bestFit="1" customWidth="1"/>
    <col min="2572" max="2572" width="15.5703125" style="1098" customWidth="1"/>
    <col min="2573" max="2816" width="9.140625" style="1098"/>
    <col min="2817" max="2817" width="5.7109375" style="1098" customWidth="1"/>
    <col min="2818" max="2818" width="6.7109375" style="1098" customWidth="1"/>
    <col min="2819" max="2819" width="8.85546875" style="1098" customWidth="1"/>
    <col min="2820" max="2820" width="46.42578125" style="1098" customWidth="1"/>
    <col min="2821" max="2821" width="12.85546875" style="1098" customWidth="1"/>
    <col min="2822" max="2822" width="15.5703125" style="1098" customWidth="1"/>
    <col min="2823" max="2823" width="15.85546875" style="1098" customWidth="1"/>
    <col min="2824" max="2824" width="6.42578125" style="1098" customWidth="1"/>
    <col min="2825" max="2825" width="14.28515625" style="1098" bestFit="1" customWidth="1"/>
    <col min="2826" max="2826" width="14.7109375" style="1098" bestFit="1" customWidth="1"/>
    <col min="2827" max="2827" width="16" style="1098" bestFit="1" customWidth="1"/>
    <col min="2828" max="2828" width="15.5703125" style="1098" customWidth="1"/>
    <col min="2829" max="3072" width="9.140625" style="1098"/>
    <col min="3073" max="3073" width="5.7109375" style="1098" customWidth="1"/>
    <col min="3074" max="3074" width="6.7109375" style="1098" customWidth="1"/>
    <col min="3075" max="3075" width="8.85546875" style="1098" customWidth="1"/>
    <col min="3076" max="3076" width="46.42578125" style="1098" customWidth="1"/>
    <col min="3077" max="3077" width="12.85546875" style="1098" customWidth="1"/>
    <col min="3078" max="3078" width="15.5703125" style="1098" customWidth="1"/>
    <col min="3079" max="3079" width="15.85546875" style="1098" customWidth="1"/>
    <col min="3080" max="3080" width="6.42578125" style="1098" customWidth="1"/>
    <col min="3081" max="3081" width="14.28515625" style="1098" bestFit="1" customWidth="1"/>
    <col min="3082" max="3082" width="14.7109375" style="1098" bestFit="1" customWidth="1"/>
    <col min="3083" max="3083" width="16" style="1098" bestFit="1" customWidth="1"/>
    <col min="3084" max="3084" width="15.5703125" style="1098" customWidth="1"/>
    <col min="3085" max="3328" width="9.140625" style="1098"/>
    <col min="3329" max="3329" width="5.7109375" style="1098" customWidth="1"/>
    <col min="3330" max="3330" width="6.7109375" style="1098" customWidth="1"/>
    <col min="3331" max="3331" width="8.85546875" style="1098" customWidth="1"/>
    <col min="3332" max="3332" width="46.42578125" style="1098" customWidth="1"/>
    <col min="3333" max="3333" width="12.85546875" style="1098" customWidth="1"/>
    <col min="3334" max="3334" width="15.5703125" style="1098" customWidth="1"/>
    <col min="3335" max="3335" width="15.85546875" style="1098" customWidth="1"/>
    <col min="3336" max="3336" width="6.42578125" style="1098" customWidth="1"/>
    <col min="3337" max="3337" width="14.28515625" style="1098" bestFit="1" customWidth="1"/>
    <col min="3338" max="3338" width="14.7109375" style="1098" bestFit="1" customWidth="1"/>
    <col min="3339" max="3339" width="16" style="1098" bestFit="1" customWidth="1"/>
    <col min="3340" max="3340" width="15.5703125" style="1098" customWidth="1"/>
    <col min="3341" max="3584" width="9.140625" style="1098"/>
    <col min="3585" max="3585" width="5.7109375" style="1098" customWidth="1"/>
    <col min="3586" max="3586" width="6.7109375" style="1098" customWidth="1"/>
    <col min="3587" max="3587" width="8.85546875" style="1098" customWidth="1"/>
    <col min="3588" max="3588" width="46.42578125" style="1098" customWidth="1"/>
    <col min="3589" max="3589" width="12.85546875" style="1098" customWidth="1"/>
    <col min="3590" max="3590" width="15.5703125" style="1098" customWidth="1"/>
    <col min="3591" max="3591" width="15.85546875" style="1098" customWidth="1"/>
    <col min="3592" max="3592" width="6.42578125" style="1098" customWidth="1"/>
    <col min="3593" max="3593" width="14.28515625" style="1098" bestFit="1" customWidth="1"/>
    <col min="3594" max="3594" width="14.7109375" style="1098" bestFit="1" customWidth="1"/>
    <col min="3595" max="3595" width="16" style="1098" bestFit="1" customWidth="1"/>
    <col min="3596" max="3596" width="15.5703125" style="1098" customWidth="1"/>
    <col min="3597" max="3840" width="9.140625" style="1098"/>
    <col min="3841" max="3841" width="5.7109375" style="1098" customWidth="1"/>
    <col min="3842" max="3842" width="6.7109375" style="1098" customWidth="1"/>
    <col min="3843" max="3843" width="8.85546875" style="1098" customWidth="1"/>
    <col min="3844" max="3844" width="46.42578125" style="1098" customWidth="1"/>
    <col min="3845" max="3845" width="12.85546875" style="1098" customWidth="1"/>
    <col min="3846" max="3846" width="15.5703125" style="1098" customWidth="1"/>
    <col min="3847" max="3847" width="15.85546875" style="1098" customWidth="1"/>
    <col min="3848" max="3848" width="6.42578125" style="1098" customWidth="1"/>
    <col min="3849" max="3849" width="14.28515625" style="1098" bestFit="1" customWidth="1"/>
    <col min="3850" max="3850" width="14.7109375" style="1098" bestFit="1" customWidth="1"/>
    <col min="3851" max="3851" width="16" style="1098" bestFit="1" customWidth="1"/>
    <col min="3852" max="3852" width="15.5703125" style="1098" customWidth="1"/>
    <col min="3853" max="4096" width="9.140625" style="1098"/>
    <col min="4097" max="4097" width="5.7109375" style="1098" customWidth="1"/>
    <col min="4098" max="4098" width="6.7109375" style="1098" customWidth="1"/>
    <col min="4099" max="4099" width="8.85546875" style="1098" customWidth="1"/>
    <col min="4100" max="4100" width="46.42578125" style="1098" customWidth="1"/>
    <col min="4101" max="4101" width="12.85546875" style="1098" customWidth="1"/>
    <col min="4102" max="4102" width="15.5703125" style="1098" customWidth="1"/>
    <col min="4103" max="4103" width="15.85546875" style="1098" customWidth="1"/>
    <col min="4104" max="4104" width="6.42578125" style="1098" customWidth="1"/>
    <col min="4105" max="4105" width="14.28515625" style="1098" bestFit="1" customWidth="1"/>
    <col min="4106" max="4106" width="14.7109375" style="1098" bestFit="1" customWidth="1"/>
    <col min="4107" max="4107" width="16" style="1098" bestFit="1" customWidth="1"/>
    <col min="4108" max="4108" width="15.5703125" style="1098" customWidth="1"/>
    <col min="4109" max="4352" width="9.140625" style="1098"/>
    <col min="4353" max="4353" width="5.7109375" style="1098" customWidth="1"/>
    <col min="4354" max="4354" width="6.7109375" style="1098" customWidth="1"/>
    <col min="4355" max="4355" width="8.85546875" style="1098" customWidth="1"/>
    <col min="4356" max="4356" width="46.42578125" style="1098" customWidth="1"/>
    <col min="4357" max="4357" width="12.85546875" style="1098" customWidth="1"/>
    <col min="4358" max="4358" width="15.5703125" style="1098" customWidth="1"/>
    <col min="4359" max="4359" width="15.85546875" style="1098" customWidth="1"/>
    <col min="4360" max="4360" width="6.42578125" style="1098" customWidth="1"/>
    <col min="4361" max="4361" width="14.28515625" style="1098" bestFit="1" customWidth="1"/>
    <col min="4362" max="4362" width="14.7109375" style="1098" bestFit="1" customWidth="1"/>
    <col min="4363" max="4363" width="16" style="1098" bestFit="1" customWidth="1"/>
    <col min="4364" max="4364" width="15.5703125" style="1098" customWidth="1"/>
    <col min="4365" max="4608" width="9.140625" style="1098"/>
    <col min="4609" max="4609" width="5.7109375" style="1098" customWidth="1"/>
    <col min="4610" max="4610" width="6.7109375" style="1098" customWidth="1"/>
    <col min="4611" max="4611" width="8.85546875" style="1098" customWidth="1"/>
    <col min="4612" max="4612" width="46.42578125" style="1098" customWidth="1"/>
    <col min="4613" max="4613" width="12.85546875" style="1098" customWidth="1"/>
    <col min="4614" max="4614" width="15.5703125" style="1098" customWidth="1"/>
    <col min="4615" max="4615" width="15.85546875" style="1098" customWidth="1"/>
    <col min="4616" max="4616" width="6.42578125" style="1098" customWidth="1"/>
    <col min="4617" max="4617" width="14.28515625" style="1098" bestFit="1" customWidth="1"/>
    <col min="4618" max="4618" width="14.7109375" style="1098" bestFit="1" customWidth="1"/>
    <col min="4619" max="4619" width="16" style="1098" bestFit="1" customWidth="1"/>
    <col min="4620" max="4620" width="15.5703125" style="1098" customWidth="1"/>
    <col min="4621" max="4864" width="9.140625" style="1098"/>
    <col min="4865" max="4865" width="5.7109375" style="1098" customWidth="1"/>
    <col min="4866" max="4866" width="6.7109375" style="1098" customWidth="1"/>
    <col min="4867" max="4867" width="8.85546875" style="1098" customWidth="1"/>
    <col min="4868" max="4868" width="46.42578125" style="1098" customWidth="1"/>
    <col min="4869" max="4869" width="12.85546875" style="1098" customWidth="1"/>
    <col min="4870" max="4870" width="15.5703125" style="1098" customWidth="1"/>
    <col min="4871" max="4871" width="15.85546875" style="1098" customWidth="1"/>
    <col min="4872" max="4872" width="6.42578125" style="1098" customWidth="1"/>
    <col min="4873" max="4873" width="14.28515625" style="1098" bestFit="1" customWidth="1"/>
    <col min="4874" max="4874" width="14.7109375" style="1098" bestFit="1" customWidth="1"/>
    <col min="4875" max="4875" width="16" style="1098" bestFit="1" customWidth="1"/>
    <col min="4876" max="4876" width="15.5703125" style="1098" customWidth="1"/>
    <col min="4877" max="5120" width="9.140625" style="1098"/>
    <col min="5121" max="5121" width="5.7109375" style="1098" customWidth="1"/>
    <col min="5122" max="5122" width="6.7109375" style="1098" customWidth="1"/>
    <col min="5123" max="5123" width="8.85546875" style="1098" customWidth="1"/>
    <col min="5124" max="5124" width="46.42578125" style="1098" customWidth="1"/>
    <col min="5125" max="5125" width="12.85546875" style="1098" customWidth="1"/>
    <col min="5126" max="5126" width="15.5703125" style="1098" customWidth="1"/>
    <col min="5127" max="5127" width="15.85546875" style="1098" customWidth="1"/>
    <col min="5128" max="5128" width="6.42578125" style="1098" customWidth="1"/>
    <col min="5129" max="5129" width="14.28515625" style="1098" bestFit="1" customWidth="1"/>
    <col min="5130" max="5130" width="14.7109375" style="1098" bestFit="1" customWidth="1"/>
    <col min="5131" max="5131" width="16" style="1098" bestFit="1" customWidth="1"/>
    <col min="5132" max="5132" width="15.5703125" style="1098" customWidth="1"/>
    <col min="5133" max="5376" width="9.140625" style="1098"/>
    <col min="5377" max="5377" width="5.7109375" style="1098" customWidth="1"/>
    <col min="5378" max="5378" width="6.7109375" style="1098" customWidth="1"/>
    <col min="5379" max="5379" width="8.85546875" style="1098" customWidth="1"/>
    <col min="5380" max="5380" width="46.42578125" style="1098" customWidth="1"/>
    <col min="5381" max="5381" width="12.85546875" style="1098" customWidth="1"/>
    <col min="5382" max="5382" width="15.5703125" style="1098" customWidth="1"/>
    <col min="5383" max="5383" width="15.85546875" style="1098" customWidth="1"/>
    <col min="5384" max="5384" width="6.42578125" style="1098" customWidth="1"/>
    <col min="5385" max="5385" width="14.28515625" style="1098" bestFit="1" customWidth="1"/>
    <col min="5386" max="5386" width="14.7109375" style="1098" bestFit="1" customWidth="1"/>
    <col min="5387" max="5387" width="16" style="1098" bestFit="1" customWidth="1"/>
    <col min="5388" max="5388" width="15.5703125" style="1098" customWidth="1"/>
    <col min="5389" max="5632" width="9.140625" style="1098"/>
    <col min="5633" max="5633" width="5.7109375" style="1098" customWidth="1"/>
    <col min="5634" max="5634" width="6.7109375" style="1098" customWidth="1"/>
    <col min="5635" max="5635" width="8.85546875" style="1098" customWidth="1"/>
    <col min="5636" max="5636" width="46.42578125" style="1098" customWidth="1"/>
    <col min="5637" max="5637" width="12.85546875" style="1098" customWidth="1"/>
    <col min="5638" max="5638" width="15.5703125" style="1098" customWidth="1"/>
    <col min="5639" max="5639" width="15.85546875" style="1098" customWidth="1"/>
    <col min="5640" max="5640" width="6.42578125" style="1098" customWidth="1"/>
    <col min="5641" max="5641" width="14.28515625" style="1098" bestFit="1" customWidth="1"/>
    <col min="5642" max="5642" width="14.7109375" style="1098" bestFit="1" customWidth="1"/>
    <col min="5643" max="5643" width="16" style="1098" bestFit="1" customWidth="1"/>
    <col min="5644" max="5644" width="15.5703125" style="1098" customWidth="1"/>
    <col min="5645" max="5888" width="9.140625" style="1098"/>
    <col min="5889" max="5889" width="5.7109375" style="1098" customWidth="1"/>
    <col min="5890" max="5890" width="6.7109375" style="1098" customWidth="1"/>
    <col min="5891" max="5891" width="8.85546875" style="1098" customWidth="1"/>
    <col min="5892" max="5892" width="46.42578125" style="1098" customWidth="1"/>
    <col min="5893" max="5893" width="12.85546875" style="1098" customWidth="1"/>
    <col min="5894" max="5894" width="15.5703125" style="1098" customWidth="1"/>
    <col min="5895" max="5895" width="15.85546875" style="1098" customWidth="1"/>
    <col min="5896" max="5896" width="6.42578125" style="1098" customWidth="1"/>
    <col min="5897" max="5897" width="14.28515625" style="1098" bestFit="1" customWidth="1"/>
    <col min="5898" max="5898" width="14.7109375" style="1098" bestFit="1" customWidth="1"/>
    <col min="5899" max="5899" width="16" style="1098" bestFit="1" customWidth="1"/>
    <col min="5900" max="5900" width="15.5703125" style="1098" customWidth="1"/>
    <col min="5901" max="6144" width="9.140625" style="1098"/>
    <col min="6145" max="6145" width="5.7109375" style="1098" customWidth="1"/>
    <col min="6146" max="6146" width="6.7109375" style="1098" customWidth="1"/>
    <col min="6147" max="6147" width="8.85546875" style="1098" customWidth="1"/>
    <col min="6148" max="6148" width="46.42578125" style="1098" customWidth="1"/>
    <col min="6149" max="6149" width="12.85546875" style="1098" customWidth="1"/>
    <col min="6150" max="6150" width="15.5703125" style="1098" customWidth="1"/>
    <col min="6151" max="6151" width="15.85546875" style="1098" customWidth="1"/>
    <col min="6152" max="6152" width="6.42578125" style="1098" customWidth="1"/>
    <col min="6153" max="6153" width="14.28515625" style="1098" bestFit="1" customWidth="1"/>
    <col min="6154" max="6154" width="14.7109375" style="1098" bestFit="1" customWidth="1"/>
    <col min="6155" max="6155" width="16" style="1098" bestFit="1" customWidth="1"/>
    <col min="6156" max="6156" width="15.5703125" style="1098" customWidth="1"/>
    <col min="6157" max="6400" width="9.140625" style="1098"/>
    <col min="6401" max="6401" width="5.7109375" style="1098" customWidth="1"/>
    <col min="6402" max="6402" width="6.7109375" style="1098" customWidth="1"/>
    <col min="6403" max="6403" width="8.85546875" style="1098" customWidth="1"/>
    <col min="6404" max="6404" width="46.42578125" style="1098" customWidth="1"/>
    <col min="6405" max="6405" width="12.85546875" style="1098" customWidth="1"/>
    <col min="6406" max="6406" width="15.5703125" style="1098" customWidth="1"/>
    <col min="6407" max="6407" width="15.85546875" style="1098" customWidth="1"/>
    <col min="6408" max="6408" width="6.42578125" style="1098" customWidth="1"/>
    <col min="6409" max="6409" width="14.28515625" style="1098" bestFit="1" customWidth="1"/>
    <col min="6410" max="6410" width="14.7109375" style="1098" bestFit="1" customWidth="1"/>
    <col min="6411" max="6411" width="16" style="1098" bestFit="1" customWidth="1"/>
    <col min="6412" max="6412" width="15.5703125" style="1098" customWidth="1"/>
    <col min="6413" max="6656" width="9.140625" style="1098"/>
    <col min="6657" max="6657" width="5.7109375" style="1098" customWidth="1"/>
    <col min="6658" max="6658" width="6.7109375" style="1098" customWidth="1"/>
    <col min="6659" max="6659" width="8.85546875" style="1098" customWidth="1"/>
    <col min="6660" max="6660" width="46.42578125" style="1098" customWidth="1"/>
    <col min="6661" max="6661" width="12.85546875" style="1098" customWidth="1"/>
    <col min="6662" max="6662" width="15.5703125" style="1098" customWidth="1"/>
    <col min="6663" max="6663" width="15.85546875" style="1098" customWidth="1"/>
    <col min="6664" max="6664" width="6.42578125" style="1098" customWidth="1"/>
    <col min="6665" max="6665" width="14.28515625" style="1098" bestFit="1" customWidth="1"/>
    <col min="6666" max="6666" width="14.7109375" style="1098" bestFit="1" customWidth="1"/>
    <col min="6667" max="6667" width="16" style="1098" bestFit="1" customWidth="1"/>
    <col min="6668" max="6668" width="15.5703125" style="1098" customWidth="1"/>
    <col min="6669" max="6912" width="9.140625" style="1098"/>
    <col min="6913" max="6913" width="5.7109375" style="1098" customWidth="1"/>
    <col min="6914" max="6914" width="6.7109375" style="1098" customWidth="1"/>
    <col min="6915" max="6915" width="8.85546875" style="1098" customWidth="1"/>
    <col min="6916" max="6916" width="46.42578125" style="1098" customWidth="1"/>
    <col min="6917" max="6917" width="12.85546875" style="1098" customWidth="1"/>
    <col min="6918" max="6918" width="15.5703125" style="1098" customWidth="1"/>
    <col min="6919" max="6919" width="15.85546875" style="1098" customWidth="1"/>
    <col min="6920" max="6920" width="6.42578125" style="1098" customWidth="1"/>
    <col min="6921" max="6921" width="14.28515625" style="1098" bestFit="1" customWidth="1"/>
    <col min="6922" max="6922" width="14.7109375" style="1098" bestFit="1" customWidth="1"/>
    <col min="6923" max="6923" width="16" style="1098" bestFit="1" customWidth="1"/>
    <col min="6924" max="6924" width="15.5703125" style="1098" customWidth="1"/>
    <col min="6925" max="7168" width="9.140625" style="1098"/>
    <col min="7169" max="7169" width="5.7109375" style="1098" customWidth="1"/>
    <col min="7170" max="7170" width="6.7109375" style="1098" customWidth="1"/>
    <col min="7171" max="7171" width="8.85546875" style="1098" customWidth="1"/>
    <col min="7172" max="7172" width="46.42578125" style="1098" customWidth="1"/>
    <col min="7173" max="7173" width="12.85546875" style="1098" customWidth="1"/>
    <col min="7174" max="7174" width="15.5703125" style="1098" customWidth="1"/>
    <col min="7175" max="7175" width="15.85546875" style="1098" customWidth="1"/>
    <col min="7176" max="7176" width="6.42578125" style="1098" customWidth="1"/>
    <col min="7177" max="7177" width="14.28515625" style="1098" bestFit="1" customWidth="1"/>
    <col min="7178" max="7178" width="14.7109375" style="1098" bestFit="1" customWidth="1"/>
    <col min="7179" max="7179" width="16" style="1098" bestFit="1" customWidth="1"/>
    <col min="7180" max="7180" width="15.5703125" style="1098" customWidth="1"/>
    <col min="7181" max="7424" width="9.140625" style="1098"/>
    <col min="7425" max="7425" width="5.7109375" style="1098" customWidth="1"/>
    <col min="7426" max="7426" width="6.7109375" style="1098" customWidth="1"/>
    <col min="7427" max="7427" width="8.85546875" style="1098" customWidth="1"/>
    <col min="7428" max="7428" width="46.42578125" style="1098" customWidth="1"/>
    <col min="7429" max="7429" width="12.85546875" style="1098" customWidth="1"/>
    <col min="7430" max="7430" width="15.5703125" style="1098" customWidth="1"/>
    <col min="7431" max="7431" width="15.85546875" style="1098" customWidth="1"/>
    <col min="7432" max="7432" width="6.42578125" style="1098" customWidth="1"/>
    <col min="7433" max="7433" width="14.28515625" style="1098" bestFit="1" customWidth="1"/>
    <col min="7434" max="7434" width="14.7109375" style="1098" bestFit="1" customWidth="1"/>
    <col min="7435" max="7435" width="16" style="1098" bestFit="1" customWidth="1"/>
    <col min="7436" max="7436" width="15.5703125" style="1098" customWidth="1"/>
    <col min="7437" max="7680" width="9.140625" style="1098"/>
    <col min="7681" max="7681" width="5.7109375" style="1098" customWidth="1"/>
    <col min="7682" max="7682" width="6.7109375" style="1098" customWidth="1"/>
    <col min="7683" max="7683" width="8.85546875" style="1098" customWidth="1"/>
    <col min="7684" max="7684" width="46.42578125" style="1098" customWidth="1"/>
    <col min="7685" max="7685" width="12.85546875" style="1098" customWidth="1"/>
    <col min="7686" max="7686" width="15.5703125" style="1098" customWidth="1"/>
    <col min="7687" max="7687" width="15.85546875" style="1098" customWidth="1"/>
    <col min="7688" max="7688" width="6.42578125" style="1098" customWidth="1"/>
    <col min="7689" max="7689" width="14.28515625" style="1098" bestFit="1" customWidth="1"/>
    <col min="7690" max="7690" width="14.7109375" style="1098" bestFit="1" customWidth="1"/>
    <col min="7691" max="7691" width="16" style="1098" bestFit="1" customWidth="1"/>
    <col min="7692" max="7692" width="15.5703125" style="1098" customWidth="1"/>
    <col min="7693" max="7936" width="9.140625" style="1098"/>
    <col min="7937" max="7937" width="5.7109375" style="1098" customWidth="1"/>
    <col min="7938" max="7938" width="6.7109375" style="1098" customWidth="1"/>
    <col min="7939" max="7939" width="8.85546875" style="1098" customWidth="1"/>
    <col min="7940" max="7940" width="46.42578125" style="1098" customWidth="1"/>
    <col min="7941" max="7941" width="12.85546875" style="1098" customWidth="1"/>
    <col min="7942" max="7942" width="15.5703125" style="1098" customWidth="1"/>
    <col min="7943" max="7943" width="15.85546875" style="1098" customWidth="1"/>
    <col min="7944" max="7944" width="6.42578125" style="1098" customWidth="1"/>
    <col min="7945" max="7945" width="14.28515625" style="1098" bestFit="1" customWidth="1"/>
    <col min="7946" max="7946" width="14.7109375" style="1098" bestFit="1" customWidth="1"/>
    <col min="7947" max="7947" width="16" style="1098" bestFit="1" customWidth="1"/>
    <col min="7948" max="7948" width="15.5703125" style="1098" customWidth="1"/>
    <col min="7949" max="8192" width="9.140625" style="1098"/>
    <col min="8193" max="8193" width="5.7109375" style="1098" customWidth="1"/>
    <col min="8194" max="8194" width="6.7109375" style="1098" customWidth="1"/>
    <col min="8195" max="8195" width="8.85546875" style="1098" customWidth="1"/>
    <col min="8196" max="8196" width="46.42578125" style="1098" customWidth="1"/>
    <col min="8197" max="8197" width="12.85546875" style="1098" customWidth="1"/>
    <col min="8198" max="8198" width="15.5703125" style="1098" customWidth="1"/>
    <col min="8199" max="8199" width="15.85546875" style="1098" customWidth="1"/>
    <col min="8200" max="8200" width="6.42578125" style="1098" customWidth="1"/>
    <col min="8201" max="8201" width="14.28515625" style="1098" bestFit="1" customWidth="1"/>
    <col min="8202" max="8202" width="14.7109375" style="1098" bestFit="1" customWidth="1"/>
    <col min="8203" max="8203" width="16" style="1098" bestFit="1" customWidth="1"/>
    <col min="8204" max="8204" width="15.5703125" style="1098" customWidth="1"/>
    <col min="8205" max="8448" width="9.140625" style="1098"/>
    <col min="8449" max="8449" width="5.7109375" style="1098" customWidth="1"/>
    <col min="8450" max="8450" width="6.7109375" style="1098" customWidth="1"/>
    <col min="8451" max="8451" width="8.85546875" style="1098" customWidth="1"/>
    <col min="8452" max="8452" width="46.42578125" style="1098" customWidth="1"/>
    <col min="8453" max="8453" width="12.85546875" style="1098" customWidth="1"/>
    <col min="8454" max="8454" width="15.5703125" style="1098" customWidth="1"/>
    <col min="8455" max="8455" width="15.85546875" style="1098" customWidth="1"/>
    <col min="8456" max="8456" width="6.42578125" style="1098" customWidth="1"/>
    <col min="8457" max="8457" width="14.28515625" style="1098" bestFit="1" customWidth="1"/>
    <col min="8458" max="8458" width="14.7109375" style="1098" bestFit="1" customWidth="1"/>
    <col min="8459" max="8459" width="16" style="1098" bestFit="1" customWidth="1"/>
    <col min="8460" max="8460" width="15.5703125" style="1098" customWidth="1"/>
    <col min="8461" max="8704" width="9.140625" style="1098"/>
    <col min="8705" max="8705" width="5.7109375" style="1098" customWidth="1"/>
    <col min="8706" max="8706" width="6.7109375" style="1098" customWidth="1"/>
    <col min="8707" max="8707" width="8.85546875" style="1098" customWidth="1"/>
    <col min="8708" max="8708" width="46.42578125" style="1098" customWidth="1"/>
    <col min="8709" max="8709" width="12.85546875" style="1098" customWidth="1"/>
    <col min="8710" max="8710" width="15.5703125" style="1098" customWidth="1"/>
    <col min="8711" max="8711" width="15.85546875" style="1098" customWidth="1"/>
    <col min="8712" max="8712" width="6.42578125" style="1098" customWidth="1"/>
    <col min="8713" max="8713" width="14.28515625" style="1098" bestFit="1" customWidth="1"/>
    <col min="8714" max="8714" width="14.7109375" style="1098" bestFit="1" customWidth="1"/>
    <col min="8715" max="8715" width="16" style="1098" bestFit="1" customWidth="1"/>
    <col min="8716" max="8716" width="15.5703125" style="1098" customWidth="1"/>
    <col min="8717" max="8960" width="9.140625" style="1098"/>
    <col min="8961" max="8961" width="5.7109375" style="1098" customWidth="1"/>
    <col min="8962" max="8962" width="6.7109375" style="1098" customWidth="1"/>
    <col min="8963" max="8963" width="8.85546875" style="1098" customWidth="1"/>
    <col min="8964" max="8964" width="46.42578125" style="1098" customWidth="1"/>
    <col min="8965" max="8965" width="12.85546875" style="1098" customWidth="1"/>
    <col min="8966" max="8966" width="15.5703125" style="1098" customWidth="1"/>
    <col min="8967" max="8967" width="15.85546875" style="1098" customWidth="1"/>
    <col min="8968" max="8968" width="6.42578125" style="1098" customWidth="1"/>
    <col min="8969" max="8969" width="14.28515625" style="1098" bestFit="1" customWidth="1"/>
    <col min="8970" max="8970" width="14.7109375" style="1098" bestFit="1" customWidth="1"/>
    <col min="8971" max="8971" width="16" style="1098" bestFit="1" customWidth="1"/>
    <col min="8972" max="8972" width="15.5703125" style="1098" customWidth="1"/>
    <col min="8973" max="9216" width="9.140625" style="1098"/>
    <col min="9217" max="9217" width="5.7109375" style="1098" customWidth="1"/>
    <col min="9218" max="9218" width="6.7109375" style="1098" customWidth="1"/>
    <col min="9219" max="9219" width="8.85546875" style="1098" customWidth="1"/>
    <col min="9220" max="9220" width="46.42578125" style="1098" customWidth="1"/>
    <col min="9221" max="9221" width="12.85546875" style="1098" customWidth="1"/>
    <col min="9222" max="9222" width="15.5703125" style="1098" customWidth="1"/>
    <col min="9223" max="9223" width="15.85546875" style="1098" customWidth="1"/>
    <col min="9224" max="9224" width="6.42578125" style="1098" customWidth="1"/>
    <col min="9225" max="9225" width="14.28515625" style="1098" bestFit="1" customWidth="1"/>
    <col min="9226" max="9226" width="14.7109375" style="1098" bestFit="1" customWidth="1"/>
    <col min="9227" max="9227" width="16" style="1098" bestFit="1" customWidth="1"/>
    <col min="9228" max="9228" width="15.5703125" style="1098" customWidth="1"/>
    <col min="9229" max="9472" width="9.140625" style="1098"/>
    <col min="9473" max="9473" width="5.7109375" style="1098" customWidth="1"/>
    <col min="9474" max="9474" width="6.7109375" style="1098" customWidth="1"/>
    <col min="9475" max="9475" width="8.85546875" style="1098" customWidth="1"/>
    <col min="9476" max="9476" width="46.42578125" style="1098" customWidth="1"/>
    <col min="9477" max="9477" width="12.85546875" style="1098" customWidth="1"/>
    <col min="9478" max="9478" width="15.5703125" style="1098" customWidth="1"/>
    <col min="9479" max="9479" width="15.85546875" style="1098" customWidth="1"/>
    <col min="9480" max="9480" width="6.42578125" style="1098" customWidth="1"/>
    <col min="9481" max="9481" width="14.28515625" style="1098" bestFit="1" customWidth="1"/>
    <col min="9482" max="9482" width="14.7109375" style="1098" bestFit="1" customWidth="1"/>
    <col min="9483" max="9483" width="16" style="1098" bestFit="1" customWidth="1"/>
    <col min="9484" max="9484" width="15.5703125" style="1098" customWidth="1"/>
    <col min="9485" max="9728" width="9.140625" style="1098"/>
    <col min="9729" max="9729" width="5.7109375" style="1098" customWidth="1"/>
    <col min="9730" max="9730" width="6.7109375" style="1098" customWidth="1"/>
    <col min="9731" max="9731" width="8.85546875" style="1098" customWidth="1"/>
    <col min="9732" max="9732" width="46.42578125" style="1098" customWidth="1"/>
    <col min="9733" max="9733" width="12.85546875" style="1098" customWidth="1"/>
    <col min="9734" max="9734" width="15.5703125" style="1098" customWidth="1"/>
    <col min="9735" max="9735" width="15.85546875" style="1098" customWidth="1"/>
    <col min="9736" max="9736" width="6.42578125" style="1098" customWidth="1"/>
    <col min="9737" max="9737" width="14.28515625" style="1098" bestFit="1" customWidth="1"/>
    <col min="9738" max="9738" width="14.7109375" style="1098" bestFit="1" customWidth="1"/>
    <col min="9739" max="9739" width="16" style="1098" bestFit="1" customWidth="1"/>
    <col min="9740" max="9740" width="15.5703125" style="1098" customWidth="1"/>
    <col min="9741" max="9984" width="9.140625" style="1098"/>
    <col min="9985" max="9985" width="5.7109375" style="1098" customWidth="1"/>
    <col min="9986" max="9986" width="6.7109375" style="1098" customWidth="1"/>
    <col min="9987" max="9987" width="8.85546875" style="1098" customWidth="1"/>
    <col min="9988" max="9988" width="46.42578125" style="1098" customWidth="1"/>
    <col min="9989" max="9989" width="12.85546875" style="1098" customWidth="1"/>
    <col min="9990" max="9990" width="15.5703125" style="1098" customWidth="1"/>
    <col min="9991" max="9991" width="15.85546875" style="1098" customWidth="1"/>
    <col min="9992" max="9992" width="6.42578125" style="1098" customWidth="1"/>
    <col min="9993" max="9993" width="14.28515625" style="1098" bestFit="1" customWidth="1"/>
    <col min="9994" max="9994" width="14.7109375" style="1098" bestFit="1" customWidth="1"/>
    <col min="9995" max="9995" width="16" style="1098" bestFit="1" customWidth="1"/>
    <col min="9996" max="9996" width="15.5703125" style="1098" customWidth="1"/>
    <col min="9997" max="10240" width="9.140625" style="1098"/>
    <col min="10241" max="10241" width="5.7109375" style="1098" customWidth="1"/>
    <col min="10242" max="10242" width="6.7109375" style="1098" customWidth="1"/>
    <col min="10243" max="10243" width="8.85546875" style="1098" customWidth="1"/>
    <col min="10244" max="10244" width="46.42578125" style="1098" customWidth="1"/>
    <col min="10245" max="10245" width="12.85546875" style="1098" customWidth="1"/>
    <col min="10246" max="10246" width="15.5703125" style="1098" customWidth="1"/>
    <col min="10247" max="10247" width="15.85546875" style="1098" customWidth="1"/>
    <col min="10248" max="10248" width="6.42578125" style="1098" customWidth="1"/>
    <col min="10249" max="10249" width="14.28515625" style="1098" bestFit="1" customWidth="1"/>
    <col min="10250" max="10250" width="14.7109375" style="1098" bestFit="1" customWidth="1"/>
    <col min="10251" max="10251" width="16" style="1098" bestFit="1" customWidth="1"/>
    <col min="10252" max="10252" width="15.5703125" style="1098" customWidth="1"/>
    <col min="10253" max="10496" width="9.140625" style="1098"/>
    <col min="10497" max="10497" width="5.7109375" style="1098" customWidth="1"/>
    <col min="10498" max="10498" width="6.7109375" style="1098" customWidth="1"/>
    <col min="10499" max="10499" width="8.85546875" style="1098" customWidth="1"/>
    <col min="10500" max="10500" width="46.42578125" style="1098" customWidth="1"/>
    <col min="10501" max="10501" width="12.85546875" style="1098" customWidth="1"/>
    <col min="10502" max="10502" width="15.5703125" style="1098" customWidth="1"/>
    <col min="10503" max="10503" width="15.85546875" style="1098" customWidth="1"/>
    <col min="10504" max="10504" width="6.42578125" style="1098" customWidth="1"/>
    <col min="10505" max="10505" width="14.28515625" style="1098" bestFit="1" customWidth="1"/>
    <col min="10506" max="10506" width="14.7109375" style="1098" bestFit="1" customWidth="1"/>
    <col min="10507" max="10507" width="16" style="1098" bestFit="1" customWidth="1"/>
    <col min="10508" max="10508" width="15.5703125" style="1098" customWidth="1"/>
    <col min="10509" max="10752" width="9.140625" style="1098"/>
    <col min="10753" max="10753" width="5.7109375" style="1098" customWidth="1"/>
    <col min="10754" max="10754" width="6.7109375" style="1098" customWidth="1"/>
    <col min="10755" max="10755" width="8.85546875" style="1098" customWidth="1"/>
    <col min="10756" max="10756" width="46.42578125" style="1098" customWidth="1"/>
    <col min="10757" max="10757" width="12.85546875" style="1098" customWidth="1"/>
    <col min="10758" max="10758" width="15.5703125" style="1098" customWidth="1"/>
    <col min="10759" max="10759" width="15.85546875" style="1098" customWidth="1"/>
    <col min="10760" max="10760" width="6.42578125" style="1098" customWidth="1"/>
    <col min="10761" max="10761" width="14.28515625" style="1098" bestFit="1" customWidth="1"/>
    <col min="10762" max="10762" width="14.7109375" style="1098" bestFit="1" customWidth="1"/>
    <col min="10763" max="10763" width="16" style="1098" bestFit="1" customWidth="1"/>
    <col min="10764" max="10764" width="15.5703125" style="1098" customWidth="1"/>
    <col min="10765" max="11008" width="9.140625" style="1098"/>
    <col min="11009" max="11009" width="5.7109375" style="1098" customWidth="1"/>
    <col min="11010" max="11010" width="6.7109375" style="1098" customWidth="1"/>
    <col min="11011" max="11011" width="8.85546875" style="1098" customWidth="1"/>
    <col min="11012" max="11012" width="46.42578125" style="1098" customWidth="1"/>
    <col min="11013" max="11013" width="12.85546875" style="1098" customWidth="1"/>
    <col min="11014" max="11014" width="15.5703125" style="1098" customWidth="1"/>
    <col min="11015" max="11015" width="15.85546875" style="1098" customWidth="1"/>
    <col min="11016" max="11016" width="6.42578125" style="1098" customWidth="1"/>
    <col min="11017" max="11017" width="14.28515625" style="1098" bestFit="1" customWidth="1"/>
    <col min="11018" max="11018" width="14.7109375" style="1098" bestFit="1" customWidth="1"/>
    <col min="11019" max="11019" width="16" style="1098" bestFit="1" customWidth="1"/>
    <col min="11020" max="11020" width="15.5703125" style="1098" customWidth="1"/>
    <col min="11021" max="11264" width="9.140625" style="1098"/>
    <col min="11265" max="11265" width="5.7109375" style="1098" customWidth="1"/>
    <col min="11266" max="11266" width="6.7109375" style="1098" customWidth="1"/>
    <col min="11267" max="11267" width="8.85546875" style="1098" customWidth="1"/>
    <col min="11268" max="11268" width="46.42578125" style="1098" customWidth="1"/>
    <col min="11269" max="11269" width="12.85546875" style="1098" customWidth="1"/>
    <col min="11270" max="11270" width="15.5703125" style="1098" customWidth="1"/>
    <col min="11271" max="11271" width="15.85546875" style="1098" customWidth="1"/>
    <col min="11272" max="11272" width="6.42578125" style="1098" customWidth="1"/>
    <col min="11273" max="11273" width="14.28515625" style="1098" bestFit="1" customWidth="1"/>
    <col min="11274" max="11274" width="14.7109375" style="1098" bestFit="1" customWidth="1"/>
    <col min="11275" max="11275" width="16" style="1098" bestFit="1" customWidth="1"/>
    <col min="11276" max="11276" width="15.5703125" style="1098" customWidth="1"/>
    <col min="11277" max="11520" width="9.140625" style="1098"/>
    <col min="11521" max="11521" width="5.7109375" style="1098" customWidth="1"/>
    <col min="11522" max="11522" width="6.7109375" style="1098" customWidth="1"/>
    <col min="11523" max="11523" width="8.85546875" style="1098" customWidth="1"/>
    <col min="11524" max="11524" width="46.42578125" style="1098" customWidth="1"/>
    <col min="11525" max="11525" width="12.85546875" style="1098" customWidth="1"/>
    <col min="11526" max="11526" width="15.5703125" style="1098" customWidth="1"/>
    <col min="11527" max="11527" width="15.85546875" style="1098" customWidth="1"/>
    <col min="11528" max="11528" width="6.42578125" style="1098" customWidth="1"/>
    <col min="11529" max="11529" width="14.28515625" style="1098" bestFit="1" customWidth="1"/>
    <col min="11530" max="11530" width="14.7109375" style="1098" bestFit="1" customWidth="1"/>
    <col min="11531" max="11531" width="16" style="1098" bestFit="1" customWidth="1"/>
    <col min="11532" max="11532" width="15.5703125" style="1098" customWidth="1"/>
    <col min="11533" max="11776" width="9.140625" style="1098"/>
    <col min="11777" max="11777" width="5.7109375" style="1098" customWidth="1"/>
    <col min="11778" max="11778" width="6.7109375" style="1098" customWidth="1"/>
    <col min="11779" max="11779" width="8.85546875" style="1098" customWidth="1"/>
    <col min="11780" max="11780" width="46.42578125" style="1098" customWidth="1"/>
    <col min="11781" max="11781" width="12.85546875" style="1098" customWidth="1"/>
    <col min="11782" max="11782" width="15.5703125" style="1098" customWidth="1"/>
    <col min="11783" max="11783" width="15.85546875" style="1098" customWidth="1"/>
    <col min="11784" max="11784" width="6.42578125" style="1098" customWidth="1"/>
    <col min="11785" max="11785" width="14.28515625" style="1098" bestFit="1" customWidth="1"/>
    <col min="11786" max="11786" width="14.7109375" style="1098" bestFit="1" customWidth="1"/>
    <col min="11787" max="11787" width="16" style="1098" bestFit="1" customWidth="1"/>
    <col min="11788" max="11788" width="15.5703125" style="1098" customWidth="1"/>
    <col min="11789" max="12032" width="9.140625" style="1098"/>
    <col min="12033" max="12033" width="5.7109375" style="1098" customWidth="1"/>
    <col min="12034" max="12034" width="6.7109375" style="1098" customWidth="1"/>
    <col min="12035" max="12035" width="8.85546875" style="1098" customWidth="1"/>
    <col min="12036" max="12036" width="46.42578125" style="1098" customWidth="1"/>
    <col min="12037" max="12037" width="12.85546875" style="1098" customWidth="1"/>
    <col min="12038" max="12038" width="15.5703125" style="1098" customWidth="1"/>
    <col min="12039" max="12039" width="15.85546875" style="1098" customWidth="1"/>
    <col min="12040" max="12040" width="6.42578125" style="1098" customWidth="1"/>
    <col min="12041" max="12041" width="14.28515625" style="1098" bestFit="1" customWidth="1"/>
    <col min="12042" max="12042" width="14.7109375" style="1098" bestFit="1" customWidth="1"/>
    <col min="12043" max="12043" width="16" style="1098" bestFit="1" customWidth="1"/>
    <col min="12044" max="12044" width="15.5703125" style="1098" customWidth="1"/>
    <col min="12045" max="12288" width="9.140625" style="1098"/>
    <col min="12289" max="12289" width="5.7109375" style="1098" customWidth="1"/>
    <col min="12290" max="12290" width="6.7109375" style="1098" customWidth="1"/>
    <col min="12291" max="12291" width="8.85546875" style="1098" customWidth="1"/>
    <col min="12292" max="12292" width="46.42578125" style="1098" customWidth="1"/>
    <col min="12293" max="12293" width="12.85546875" style="1098" customWidth="1"/>
    <col min="12294" max="12294" width="15.5703125" style="1098" customWidth="1"/>
    <col min="12295" max="12295" width="15.85546875" style="1098" customWidth="1"/>
    <col min="12296" max="12296" width="6.42578125" style="1098" customWidth="1"/>
    <col min="12297" max="12297" width="14.28515625" style="1098" bestFit="1" customWidth="1"/>
    <col min="12298" max="12298" width="14.7109375" style="1098" bestFit="1" customWidth="1"/>
    <col min="12299" max="12299" width="16" style="1098" bestFit="1" customWidth="1"/>
    <col min="12300" max="12300" width="15.5703125" style="1098" customWidth="1"/>
    <col min="12301" max="12544" width="9.140625" style="1098"/>
    <col min="12545" max="12545" width="5.7109375" style="1098" customWidth="1"/>
    <col min="12546" max="12546" width="6.7109375" style="1098" customWidth="1"/>
    <col min="12547" max="12547" width="8.85546875" style="1098" customWidth="1"/>
    <col min="12548" max="12548" width="46.42578125" style="1098" customWidth="1"/>
    <col min="12549" max="12549" width="12.85546875" style="1098" customWidth="1"/>
    <col min="12550" max="12550" width="15.5703125" style="1098" customWidth="1"/>
    <col min="12551" max="12551" width="15.85546875" style="1098" customWidth="1"/>
    <col min="12552" max="12552" width="6.42578125" style="1098" customWidth="1"/>
    <col min="12553" max="12553" width="14.28515625" style="1098" bestFit="1" customWidth="1"/>
    <col min="12554" max="12554" width="14.7109375" style="1098" bestFit="1" customWidth="1"/>
    <col min="12555" max="12555" width="16" style="1098" bestFit="1" customWidth="1"/>
    <col min="12556" max="12556" width="15.5703125" style="1098" customWidth="1"/>
    <col min="12557" max="12800" width="9.140625" style="1098"/>
    <col min="12801" max="12801" width="5.7109375" style="1098" customWidth="1"/>
    <col min="12802" max="12802" width="6.7109375" style="1098" customWidth="1"/>
    <col min="12803" max="12803" width="8.85546875" style="1098" customWidth="1"/>
    <col min="12804" max="12804" width="46.42578125" style="1098" customWidth="1"/>
    <col min="12805" max="12805" width="12.85546875" style="1098" customWidth="1"/>
    <col min="12806" max="12806" width="15.5703125" style="1098" customWidth="1"/>
    <col min="12807" max="12807" width="15.85546875" style="1098" customWidth="1"/>
    <col min="12808" max="12808" width="6.42578125" style="1098" customWidth="1"/>
    <col min="12809" max="12809" width="14.28515625" style="1098" bestFit="1" customWidth="1"/>
    <col min="12810" max="12810" width="14.7109375" style="1098" bestFit="1" customWidth="1"/>
    <col min="12811" max="12811" width="16" style="1098" bestFit="1" customWidth="1"/>
    <col min="12812" max="12812" width="15.5703125" style="1098" customWidth="1"/>
    <col min="12813" max="13056" width="9.140625" style="1098"/>
    <col min="13057" max="13057" width="5.7109375" style="1098" customWidth="1"/>
    <col min="13058" max="13058" width="6.7109375" style="1098" customWidth="1"/>
    <col min="13059" max="13059" width="8.85546875" style="1098" customWidth="1"/>
    <col min="13060" max="13060" width="46.42578125" style="1098" customWidth="1"/>
    <col min="13061" max="13061" width="12.85546875" style="1098" customWidth="1"/>
    <col min="13062" max="13062" width="15.5703125" style="1098" customWidth="1"/>
    <col min="13063" max="13063" width="15.85546875" style="1098" customWidth="1"/>
    <col min="13064" max="13064" width="6.42578125" style="1098" customWidth="1"/>
    <col min="13065" max="13065" width="14.28515625" style="1098" bestFit="1" customWidth="1"/>
    <col min="13066" max="13066" width="14.7109375" style="1098" bestFit="1" customWidth="1"/>
    <col min="13067" max="13067" width="16" style="1098" bestFit="1" customWidth="1"/>
    <col min="13068" max="13068" width="15.5703125" style="1098" customWidth="1"/>
    <col min="13069" max="13312" width="9.140625" style="1098"/>
    <col min="13313" max="13313" width="5.7109375" style="1098" customWidth="1"/>
    <col min="13314" max="13314" width="6.7109375" style="1098" customWidth="1"/>
    <col min="13315" max="13315" width="8.85546875" style="1098" customWidth="1"/>
    <col min="13316" max="13316" width="46.42578125" style="1098" customWidth="1"/>
    <col min="13317" max="13317" width="12.85546875" style="1098" customWidth="1"/>
    <col min="13318" max="13318" width="15.5703125" style="1098" customWidth="1"/>
    <col min="13319" max="13319" width="15.85546875" style="1098" customWidth="1"/>
    <col min="13320" max="13320" width="6.42578125" style="1098" customWidth="1"/>
    <col min="13321" max="13321" width="14.28515625" style="1098" bestFit="1" customWidth="1"/>
    <col min="13322" max="13322" width="14.7109375" style="1098" bestFit="1" customWidth="1"/>
    <col min="13323" max="13323" width="16" style="1098" bestFit="1" customWidth="1"/>
    <col min="13324" max="13324" width="15.5703125" style="1098" customWidth="1"/>
    <col min="13325" max="13568" width="9.140625" style="1098"/>
    <col min="13569" max="13569" width="5.7109375" style="1098" customWidth="1"/>
    <col min="13570" max="13570" width="6.7109375" style="1098" customWidth="1"/>
    <col min="13571" max="13571" width="8.85546875" style="1098" customWidth="1"/>
    <col min="13572" max="13572" width="46.42578125" style="1098" customWidth="1"/>
    <col min="13573" max="13573" width="12.85546875" style="1098" customWidth="1"/>
    <col min="13574" max="13574" width="15.5703125" style="1098" customWidth="1"/>
    <col min="13575" max="13575" width="15.85546875" style="1098" customWidth="1"/>
    <col min="13576" max="13576" width="6.42578125" style="1098" customWidth="1"/>
    <col min="13577" max="13577" width="14.28515625" style="1098" bestFit="1" customWidth="1"/>
    <col min="13578" max="13578" width="14.7109375" style="1098" bestFit="1" customWidth="1"/>
    <col min="13579" max="13579" width="16" style="1098" bestFit="1" customWidth="1"/>
    <col min="13580" max="13580" width="15.5703125" style="1098" customWidth="1"/>
    <col min="13581" max="13824" width="9.140625" style="1098"/>
    <col min="13825" max="13825" width="5.7109375" style="1098" customWidth="1"/>
    <col min="13826" max="13826" width="6.7109375" style="1098" customWidth="1"/>
    <col min="13827" max="13827" width="8.85546875" style="1098" customWidth="1"/>
    <col min="13828" max="13828" width="46.42578125" style="1098" customWidth="1"/>
    <col min="13829" max="13829" width="12.85546875" style="1098" customWidth="1"/>
    <col min="13830" max="13830" width="15.5703125" style="1098" customWidth="1"/>
    <col min="13831" max="13831" width="15.85546875" style="1098" customWidth="1"/>
    <col min="13832" max="13832" width="6.42578125" style="1098" customWidth="1"/>
    <col min="13833" max="13833" width="14.28515625" style="1098" bestFit="1" customWidth="1"/>
    <col min="13834" max="13834" width="14.7109375" style="1098" bestFit="1" customWidth="1"/>
    <col min="13835" max="13835" width="16" style="1098" bestFit="1" customWidth="1"/>
    <col min="13836" max="13836" width="15.5703125" style="1098" customWidth="1"/>
    <col min="13837" max="14080" width="9.140625" style="1098"/>
    <col min="14081" max="14081" width="5.7109375" style="1098" customWidth="1"/>
    <col min="14082" max="14082" width="6.7109375" style="1098" customWidth="1"/>
    <col min="14083" max="14083" width="8.85546875" style="1098" customWidth="1"/>
    <col min="14084" max="14084" width="46.42578125" style="1098" customWidth="1"/>
    <col min="14085" max="14085" width="12.85546875" style="1098" customWidth="1"/>
    <col min="14086" max="14086" width="15.5703125" style="1098" customWidth="1"/>
    <col min="14087" max="14087" width="15.85546875" style="1098" customWidth="1"/>
    <col min="14088" max="14088" width="6.42578125" style="1098" customWidth="1"/>
    <col min="14089" max="14089" width="14.28515625" style="1098" bestFit="1" customWidth="1"/>
    <col min="14090" max="14090" width="14.7109375" style="1098" bestFit="1" customWidth="1"/>
    <col min="14091" max="14091" width="16" style="1098" bestFit="1" customWidth="1"/>
    <col min="14092" max="14092" width="15.5703125" style="1098" customWidth="1"/>
    <col min="14093" max="14336" width="9.140625" style="1098"/>
    <col min="14337" max="14337" width="5.7109375" style="1098" customWidth="1"/>
    <col min="14338" max="14338" width="6.7109375" style="1098" customWidth="1"/>
    <col min="14339" max="14339" width="8.85546875" style="1098" customWidth="1"/>
    <col min="14340" max="14340" width="46.42578125" style="1098" customWidth="1"/>
    <col min="14341" max="14341" width="12.85546875" style="1098" customWidth="1"/>
    <col min="14342" max="14342" width="15.5703125" style="1098" customWidth="1"/>
    <col min="14343" max="14343" width="15.85546875" style="1098" customWidth="1"/>
    <col min="14344" max="14344" width="6.42578125" style="1098" customWidth="1"/>
    <col min="14345" max="14345" width="14.28515625" style="1098" bestFit="1" customWidth="1"/>
    <col min="14346" max="14346" width="14.7109375" style="1098" bestFit="1" customWidth="1"/>
    <col min="14347" max="14347" width="16" style="1098" bestFit="1" customWidth="1"/>
    <col min="14348" max="14348" width="15.5703125" style="1098" customWidth="1"/>
    <col min="14349" max="14592" width="9.140625" style="1098"/>
    <col min="14593" max="14593" width="5.7109375" style="1098" customWidth="1"/>
    <col min="14594" max="14594" width="6.7109375" style="1098" customWidth="1"/>
    <col min="14595" max="14595" width="8.85546875" style="1098" customWidth="1"/>
    <col min="14596" max="14596" width="46.42578125" style="1098" customWidth="1"/>
    <col min="14597" max="14597" width="12.85546875" style="1098" customWidth="1"/>
    <col min="14598" max="14598" width="15.5703125" style="1098" customWidth="1"/>
    <col min="14599" max="14599" width="15.85546875" style="1098" customWidth="1"/>
    <col min="14600" max="14600" width="6.42578125" style="1098" customWidth="1"/>
    <col min="14601" max="14601" width="14.28515625" style="1098" bestFit="1" customWidth="1"/>
    <col min="14602" max="14602" width="14.7109375" style="1098" bestFit="1" customWidth="1"/>
    <col min="14603" max="14603" width="16" style="1098" bestFit="1" customWidth="1"/>
    <col min="14604" max="14604" width="15.5703125" style="1098" customWidth="1"/>
    <col min="14605" max="14848" width="9.140625" style="1098"/>
    <col min="14849" max="14849" width="5.7109375" style="1098" customWidth="1"/>
    <col min="14850" max="14850" width="6.7109375" style="1098" customWidth="1"/>
    <col min="14851" max="14851" width="8.85546875" style="1098" customWidth="1"/>
    <col min="14852" max="14852" width="46.42578125" style="1098" customWidth="1"/>
    <col min="14853" max="14853" width="12.85546875" style="1098" customWidth="1"/>
    <col min="14854" max="14854" width="15.5703125" style="1098" customWidth="1"/>
    <col min="14855" max="14855" width="15.85546875" style="1098" customWidth="1"/>
    <col min="14856" max="14856" width="6.42578125" style="1098" customWidth="1"/>
    <col min="14857" max="14857" width="14.28515625" style="1098" bestFit="1" customWidth="1"/>
    <col min="14858" max="14858" width="14.7109375" style="1098" bestFit="1" customWidth="1"/>
    <col min="14859" max="14859" width="16" style="1098" bestFit="1" customWidth="1"/>
    <col min="14860" max="14860" width="15.5703125" style="1098" customWidth="1"/>
    <col min="14861" max="15104" width="9.140625" style="1098"/>
    <col min="15105" max="15105" width="5.7109375" style="1098" customWidth="1"/>
    <col min="15106" max="15106" width="6.7109375" style="1098" customWidth="1"/>
    <col min="15107" max="15107" width="8.85546875" style="1098" customWidth="1"/>
    <col min="15108" max="15108" width="46.42578125" style="1098" customWidth="1"/>
    <col min="15109" max="15109" width="12.85546875" style="1098" customWidth="1"/>
    <col min="15110" max="15110" width="15.5703125" style="1098" customWidth="1"/>
    <col min="15111" max="15111" width="15.85546875" style="1098" customWidth="1"/>
    <col min="15112" max="15112" width="6.42578125" style="1098" customWidth="1"/>
    <col min="15113" max="15113" width="14.28515625" style="1098" bestFit="1" customWidth="1"/>
    <col min="15114" max="15114" width="14.7109375" style="1098" bestFit="1" customWidth="1"/>
    <col min="15115" max="15115" width="16" style="1098" bestFit="1" customWidth="1"/>
    <col min="15116" max="15116" width="15.5703125" style="1098" customWidth="1"/>
    <col min="15117" max="15360" width="9.140625" style="1098"/>
    <col min="15361" max="15361" width="5.7109375" style="1098" customWidth="1"/>
    <col min="15362" max="15362" width="6.7109375" style="1098" customWidth="1"/>
    <col min="15363" max="15363" width="8.85546875" style="1098" customWidth="1"/>
    <col min="15364" max="15364" width="46.42578125" style="1098" customWidth="1"/>
    <col min="15365" max="15365" width="12.85546875" style="1098" customWidth="1"/>
    <col min="15366" max="15366" width="15.5703125" style="1098" customWidth="1"/>
    <col min="15367" max="15367" width="15.85546875" style="1098" customWidth="1"/>
    <col min="15368" max="15368" width="6.42578125" style="1098" customWidth="1"/>
    <col min="15369" max="15369" width="14.28515625" style="1098" bestFit="1" customWidth="1"/>
    <col min="15370" max="15370" width="14.7109375" style="1098" bestFit="1" customWidth="1"/>
    <col min="15371" max="15371" width="16" style="1098" bestFit="1" customWidth="1"/>
    <col min="15372" max="15372" width="15.5703125" style="1098" customWidth="1"/>
    <col min="15373" max="15616" width="9.140625" style="1098"/>
    <col min="15617" max="15617" width="5.7109375" style="1098" customWidth="1"/>
    <col min="15618" max="15618" width="6.7109375" style="1098" customWidth="1"/>
    <col min="15619" max="15619" width="8.85546875" style="1098" customWidth="1"/>
    <col min="15620" max="15620" width="46.42578125" style="1098" customWidth="1"/>
    <col min="15621" max="15621" width="12.85546875" style="1098" customWidth="1"/>
    <col min="15622" max="15622" width="15.5703125" style="1098" customWidth="1"/>
    <col min="15623" max="15623" width="15.85546875" style="1098" customWidth="1"/>
    <col min="15624" max="15624" width="6.42578125" style="1098" customWidth="1"/>
    <col min="15625" max="15625" width="14.28515625" style="1098" bestFit="1" customWidth="1"/>
    <col min="15626" max="15626" width="14.7109375" style="1098" bestFit="1" customWidth="1"/>
    <col min="15627" max="15627" width="16" style="1098" bestFit="1" customWidth="1"/>
    <col min="15628" max="15628" width="15.5703125" style="1098" customWidth="1"/>
    <col min="15629" max="15872" width="9.140625" style="1098"/>
    <col min="15873" max="15873" width="5.7109375" style="1098" customWidth="1"/>
    <col min="15874" max="15874" width="6.7109375" style="1098" customWidth="1"/>
    <col min="15875" max="15875" width="8.85546875" style="1098" customWidth="1"/>
    <col min="15876" max="15876" width="46.42578125" style="1098" customWidth="1"/>
    <col min="15877" max="15877" width="12.85546875" style="1098" customWidth="1"/>
    <col min="15878" max="15878" width="15.5703125" style="1098" customWidth="1"/>
    <col min="15879" max="15879" width="15.85546875" style="1098" customWidth="1"/>
    <col min="15880" max="15880" width="6.42578125" style="1098" customWidth="1"/>
    <col min="15881" max="15881" width="14.28515625" style="1098" bestFit="1" customWidth="1"/>
    <col min="15882" max="15882" width="14.7109375" style="1098" bestFit="1" customWidth="1"/>
    <col min="15883" max="15883" width="16" style="1098" bestFit="1" customWidth="1"/>
    <col min="15884" max="15884" width="15.5703125" style="1098" customWidth="1"/>
    <col min="15885" max="16128" width="9.140625" style="1098"/>
    <col min="16129" max="16129" width="5.7109375" style="1098" customWidth="1"/>
    <col min="16130" max="16130" width="6.7109375" style="1098" customWidth="1"/>
    <col min="16131" max="16131" width="8.85546875" style="1098" customWidth="1"/>
    <col min="16132" max="16132" width="46.42578125" style="1098" customWidth="1"/>
    <col min="16133" max="16133" width="12.85546875" style="1098" customWidth="1"/>
    <col min="16134" max="16134" width="15.5703125" style="1098" customWidth="1"/>
    <col min="16135" max="16135" width="15.85546875" style="1098" customWidth="1"/>
    <col min="16136" max="16136" width="6.42578125" style="1098" customWidth="1"/>
    <col min="16137" max="16137" width="14.28515625" style="1098" bestFit="1" customWidth="1"/>
    <col min="16138" max="16138" width="14.7109375" style="1098" bestFit="1" customWidth="1"/>
    <col min="16139" max="16139" width="16" style="1098" bestFit="1" customWidth="1"/>
    <col min="16140" max="16140" width="15.5703125" style="1098" customWidth="1"/>
    <col min="16141" max="16384" width="9.140625" style="1098"/>
  </cols>
  <sheetData>
    <row r="1" spans="1:9" ht="19.5" customHeight="1" thickBot="1" x14ac:dyDescent="0.3">
      <c r="A1" s="1082" t="s">
        <v>501</v>
      </c>
      <c r="B1" s="1081"/>
      <c r="C1" s="1093"/>
      <c r="D1" s="1079"/>
      <c r="E1" s="1078"/>
      <c r="F1" s="1079"/>
      <c r="G1" s="1185"/>
      <c r="H1" s="1082"/>
    </row>
    <row r="2" spans="1:9" ht="18" x14ac:dyDescent="0.25">
      <c r="A2" s="1102"/>
      <c r="B2" s="1125"/>
      <c r="C2" s="1125"/>
      <c r="D2" s="1125"/>
      <c r="E2" s="1125"/>
      <c r="F2" s="1125"/>
      <c r="G2" s="1125"/>
      <c r="H2" s="1163" t="s">
        <v>502</v>
      </c>
    </row>
    <row r="3" spans="1:9" ht="18" x14ac:dyDescent="0.25">
      <c r="A3" s="1077" t="s">
        <v>201</v>
      </c>
      <c r="B3" s="1125"/>
      <c r="C3" s="1096" t="s">
        <v>121</v>
      </c>
      <c r="D3" s="1125"/>
      <c r="E3" s="1125"/>
      <c r="F3" s="1125"/>
      <c r="G3" s="1125"/>
      <c r="H3" s="1163"/>
    </row>
    <row r="4" spans="1:9" ht="18" x14ac:dyDescent="0.25">
      <c r="A4" s="1102"/>
      <c r="B4" s="1125"/>
      <c r="C4" s="1096" t="s">
        <v>781</v>
      </c>
      <c r="D4" s="1125"/>
      <c r="E4" s="1125"/>
      <c r="F4" s="1125"/>
      <c r="G4" s="1125"/>
      <c r="H4" s="1163"/>
    </row>
    <row r="5" spans="1:9" ht="18" x14ac:dyDescent="0.25">
      <c r="A5" s="1101" t="s">
        <v>503</v>
      </c>
      <c r="B5" s="1125"/>
      <c r="C5" s="1125"/>
      <c r="D5" s="1125"/>
      <c r="E5" s="1125"/>
      <c r="F5" s="1125"/>
      <c r="G5" s="1125"/>
      <c r="H5" s="1163"/>
    </row>
    <row r="6" spans="1:9" ht="18" x14ac:dyDescent="0.25">
      <c r="A6" s="1101"/>
      <c r="B6" s="1125"/>
      <c r="C6" s="1125"/>
      <c r="D6" s="1125"/>
      <c r="E6" s="1125"/>
      <c r="F6" s="1125"/>
      <c r="G6" s="1125"/>
      <c r="H6" s="1163"/>
    </row>
    <row r="7" spans="1:9" x14ac:dyDescent="0.2">
      <c r="I7" s="1123"/>
    </row>
    <row r="8" spans="1:9" ht="30" customHeight="1" x14ac:dyDescent="0.25">
      <c r="A8" s="3333" t="s">
        <v>1806</v>
      </c>
      <c r="B8" s="3210"/>
      <c r="C8" s="3210"/>
      <c r="D8" s="3210"/>
      <c r="E8" s="3210"/>
      <c r="F8" s="3210"/>
      <c r="G8" s="3210"/>
      <c r="H8" s="3210"/>
    </row>
    <row r="9" spans="1:9" ht="15.75" thickBot="1" x14ac:dyDescent="0.3">
      <c r="A9" s="1227" t="s">
        <v>1803</v>
      </c>
      <c r="B9" s="1228"/>
      <c r="C9" s="1228"/>
      <c r="H9" s="1177" t="s">
        <v>92</v>
      </c>
    </row>
    <row r="10" spans="1:9" s="1037" customFormat="1" ht="25.5" thickTop="1" thickBot="1" x14ac:dyDescent="0.25">
      <c r="A10" s="1104" t="s">
        <v>93</v>
      </c>
      <c r="B10" s="1105" t="s">
        <v>392</v>
      </c>
      <c r="C10" s="1105" t="s">
        <v>209</v>
      </c>
      <c r="D10" s="1106" t="s">
        <v>95</v>
      </c>
      <c r="E10" s="1127" t="s">
        <v>328</v>
      </c>
      <c r="F10" s="1127" t="s">
        <v>329</v>
      </c>
      <c r="G10" s="1128" t="s">
        <v>448</v>
      </c>
      <c r="H10" s="1129" t="s">
        <v>449</v>
      </c>
    </row>
    <row r="11" spans="1:9" s="1037" customFormat="1" ht="13.5" thickTop="1" thickBot="1" x14ac:dyDescent="0.25">
      <c r="A11" s="1042">
        <v>1</v>
      </c>
      <c r="B11" s="1041">
        <v>2</v>
      </c>
      <c r="C11" s="1041">
        <v>3</v>
      </c>
      <c r="D11" s="1041">
        <v>4</v>
      </c>
      <c r="E11" s="1040">
        <v>5</v>
      </c>
      <c r="F11" s="1040">
        <v>6</v>
      </c>
      <c r="G11" s="1164">
        <v>7</v>
      </c>
      <c r="H11" s="1186" t="s">
        <v>33</v>
      </c>
    </row>
    <row r="12" spans="1:9" s="1191" customFormat="1" ht="15.75" hidden="1" thickTop="1" x14ac:dyDescent="0.2">
      <c r="A12" s="1181">
        <v>6172</v>
      </c>
      <c r="B12" s="1187">
        <v>5011</v>
      </c>
      <c r="C12" s="1188">
        <v>33100880</v>
      </c>
      <c r="D12" s="1130" t="s">
        <v>117</v>
      </c>
      <c r="E12" s="1135"/>
      <c r="F12" s="1135"/>
      <c r="G12" s="1135"/>
      <c r="H12" s="1116" t="e">
        <f t="shared" ref="H12:H28" si="0">G12/F12*100</f>
        <v>#DIV/0!</v>
      </c>
    </row>
    <row r="13" spans="1:9" s="1191" customFormat="1" ht="15" hidden="1" x14ac:dyDescent="0.2">
      <c r="A13" s="1181">
        <v>6172</v>
      </c>
      <c r="B13" s="1187">
        <v>5011</v>
      </c>
      <c r="C13" s="1188">
        <v>33514013</v>
      </c>
      <c r="D13" s="1130" t="s">
        <v>117</v>
      </c>
      <c r="E13" s="1135"/>
      <c r="F13" s="1135"/>
      <c r="G13" s="1135"/>
      <c r="H13" s="1116" t="e">
        <f t="shared" si="0"/>
        <v>#DIV/0!</v>
      </c>
    </row>
    <row r="14" spans="1:9" s="1191" customFormat="1" ht="15" hidden="1" x14ac:dyDescent="0.2">
      <c r="A14" s="1181">
        <v>6172</v>
      </c>
      <c r="B14" s="1187">
        <v>5021</v>
      </c>
      <c r="C14" s="1188">
        <v>33100880</v>
      </c>
      <c r="D14" s="1130" t="s">
        <v>217</v>
      </c>
      <c r="E14" s="1135"/>
      <c r="F14" s="1135"/>
      <c r="G14" s="1135"/>
      <c r="H14" s="1116" t="e">
        <f t="shared" si="0"/>
        <v>#DIV/0!</v>
      </c>
    </row>
    <row r="15" spans="1:9" s="1191" customFormat="1" ht="15" hidden="1" x14ac:dyDescent="0.2">
      <c r="A15" s="1181">
        <v>6172</v>
      </c>
      <c r="B15" s="1187">
        <v>5021</v>
      </c>
      <c r="C15" s="1188">
        <v>33514013</v>
      </c>
      <c r="D15" s="1130" t="s">
        <v>217</v>
      </c>
      <c r="E15" s="1135"/>
      <c r="F15" s="1135"/>
      <c r="G15" s="1135"/>
      <c r="H15" s="1116" t="e">
        <f t="shared" si="0"/>
        <v>#DIV/0!</v>
      </c>
    </row>
    <row r="16" spans="1:9" s="1191" customFormat="1" ht="30" hidden="1" x14ac:dyDescent="0.2">
      <c r="A16" s="1181">
        <v>6172</v>
      </c>
      <c r="B16" s="1187">
        <v>5031</v>
      </c>
      <c r="C16" s="1188">
        <v>33100880</v>
      </c>
      <c r="D16" s="1130" t="s">
        <v>621</v>
      </c>
      <c r="E16" s="1135"/>
      <c r="F16" s="1135"/>
      <c r="G16" s="1135"/>
      <c r="H16" s="1116" t="e">
        <f t="shared" si="0"/>
        <v>#DIV/0!</v>
      </c>
    </row>
    <row r="17" spans="1:8" s="1136" customFormat="1" ht="15" hidden="1" x14ac:dyDescent="0.2">
      <c r="A17" s="1181">
        <v>6172</v>
      </c>
      <c r="B17" s="1187">
        <v>5363</v>
      </c>
      <c r="C17" s="1214" t="s">
        <v>871</v>
      </c>
      <c r="D17" s="1130" t="s">
        <v>739</v>
      </c>
      <c r="E17" s="1135"/>
      <c r="F17" s="1135"/>
      <c r="G17" s="1135"/>
      <c r="H17" s="1116" t="e">
        <f t="shared" si="0"/>
        <v>#DIV/0!</v>
      </c>
    </row>
    <row r="18" spans="1:8" s="1191" customFormat="1" ht="30" hidden="1" x14ac:dyDescent="0.2">
      <c r="A18" s="1181">
        <v>6172</v>
      </c>
      <c r="B18" s="1187">
        <v>5032</v>
      </c>
      <c r="C18" s="1188">
        <v>33100880</v>
      </c>
      <c r="D18" s="1130" t="s">
        <v>553</v>
      </c>
      <c r="E18" s="1135"/>
      <c r="F18" s="1135"/>
      <c r="G18" s="1135"/>
      <c r="H18" s="1116" t="e">
        <f t="shared" si="0"/>
        <v>#DIV/0!</v>
      </c>
    </row>
    <row r="19" spans="1:8" s="1191" customFormat="1" ht="30" hidden="1" x14ac:dyDescent="0.2">
      <c r="A19" s="1181">
        <v>6172</v>
      </c>
      <c r="B19" s="1187">
        <v>5032</v>
      </c>
      <c r="C19" s="1188">
        <v>33514013</v>
      </c>
      <c r="D19" s="1130" t="s">
        <v>553</v>
      </c>
      <c r="E19" s="1135"/>
      <c r="F19" s="1135"/>
      <c r="G19" s="1135"/>
      <c r="H19" s="1116" t="e">
        <f t="shared" si="0"/>
        <v>#DIV/0!</v>
      </c>
    </row>
    <row r="20" spans="1:8" s="1191" customFormat="1" ht="15" hidden="1" x14ac:dyDescent="0.2">
      <c r="A20" s="1181">
        <v>6172</v>
      </c>
      <c r="B20" s="1187">
        <v>5137</v>
      </c>
      <c r="C20" s="1188">
        <v>33100880</v>
      </c>
      <c r="D20" s="1130" t="s">
        <v>88</v>
      </c>
      <c r="E20" s="1135"/>
      <c r="F20" s="1135"/>
      <c r="G20" s="1135"/>
      <c r="H20" s="1116" t="e">
        <f t="shared" si="0"/>
        <v>#DIV/0!</v>
      </c>
    </row>
    <row r="21" spans="1:8" s="1191" customFormat="1" ht="15" hidden="1" x14ac:dyDescent="0.2">
      <c r="A21" s="1181">
        <v>6172</v>
      </c>
      <c r="B21" s="1187">
        <v>5137</v>
      </c>
      <c r="C21" s="1188">
        <v>33514013</v>
      </c>
      <c r="D21" s="1130" t="s">
        <v>88</v>
      </c>
      <c r="E21" s="1135"/>
      <c r="F21" s="1135"/>
      <c r="G21" s="1135"/>
      <c r="H21" s="1116" t="e">
        <f t="shared" si="0"/>
        <v>#DIV/0!</v>
      </c>
    </row>
    <row r="22" spans="1:8" s="1136" customFormat="1" ht="15" hidden="1" x14ac:dyDescent="0.2">
      <c r="A22" s="1181">
        <v>6172</v>
      </c>
      <c r="B22" s="1189">
        <v>5139</v>
      </c>
      <c r="C22" s="1188">
        <v>33100880</v>
      </c>
      <c r="D22" s="1130" t="s">
        <v>152</v>
      </c>
      <c r="E22" s="1135"/>
      <c r="F22" s="1135"/>
      <c r="G22" s="1135"/>
      <c r="H22" s="1116" t="e">
        <f t="shared" si="0"/>
        <v>#DIV/0!</v>
      </c>
    </row>
    <row r="23" spans="1:8" s="1136" customFormat="1" ht="15" hidden="1" x14ac:dyDescent="0.2">
      <c r="A23" s="1181">
        <v>6172</v>
      </c>
      <c r="B23" s="1189">
        <v>5139</v>
      </c>
      <c r="C23" s="1188">
        <v>33514013</v>
      </c>
      <c r="D23" s="1130" t="s">
        <v>152</v>
      </c>
      <c r="E23" s="1135"/>
      <c r="F23" s="1135"/>
      <c r="G23" s="1135"/>
      <c r="H23" s="1116" t="e">
        <f t="shared" si="0"/>
        <v>#DIV/0!</v>
      </c>
    </row>
    <row r="24" spans="1:8" ht="15" hidden="1" x14ac:dyDescent="0.2">
      <c r="A24" s="1181">
        <v>6172</v>
      </c>
      <c r="B24" s="1189">
        <v>5164</v>
      </c>
      <c r="C24" s="1188">
        <v>33100880</v>
      </c>
      <c r="D24" s="1130" t="s">
        <v>101</v>
      </c>
      <c r="E24" s="1135"/>
      <c r="F24" s="1135"/>
      <c r="G24" s="1135"/>
      <c r="H24" s="1116" t="e">
        <f t="shared" si="0"/>
        <v>#DIV/0!</v>
      </c>
    </row>
    <row r="25" spans="1:8" ht="15" hidden="1" x14ac:dyDescent="0.2">
      <c r="A25" s="1181">
        <v>6172</v>
      </c>
      <c r="B25" s="1189">
        <v>5164</v>
      </c>
      <c r="C25" s="1188">
        <v>33514013</v>
      </c>
      <c r="D25" s="1130" t="s">
        <v>101</v>
      </c>
      <c r="E25" s="1135"/>
      <c r="F25" s="1135"/>
      <c r="G25" s="1135"/>
      <c r="H25" s="1116" t="e">
        <f t="shared" si="0"/>
        <v>#DIV/0!</v>
      </c>
    </row>
    <row r="26" spans="1:8" ht="15" hidden="1" x14ac:dyDescent="0.2">
      <c r="A26" s="1181">
        <v>6172</v>
      </c>
      <c r="B26" s="1189">
        <v>5166</v>
      </c>
      <c r="C26" s="1188">
        <v>33100880</v>
      </c>
      <c r="D26" s="1130" t="s">
        <v>317</v>
      </c>
      <c r="E26" s="1135"/>
      <c r="F26" s="1135"/>
      <c r="G26" s="1135"/>
      <c r="H26" s="1116" t="e">
        <f t="shared" si="0"/>
        <v>#DIV/0!</v>
      </c>
    </row>
    <row r="27" spans="1:8" ht="15" hidden="1" x14ac:dyDescent="0.2">
      <c r="A27" s="1181">
        <v>6172</v>
      </c>
      <c r="B27" s="1189">
        <v>5166</v>
      </c>
      <c r="C27" s="1188">
        <v>33500881</v>
      </c>
      <c r="D27" s="1130" t="s">
        <v>317</v>
      </c>
      <c r="E27" s="1135"/>
      <c r="F27" s="1135"/>
      <c r="G27" s="1135"/>
      <c r="H27" s="1116" t="e">
        <f t="shared" si="0"/>
        <v>#DIV/0!</v>
      </c>
    </row>
    <row r="28" spans="1:8" ht="15" hidden="1" x14ac:dyDescent="0.2">
      <c r="A28" s="1181">
        <v>6172</v>
      </c>
      <c r="B28" s="1189">
        <v>5166</v>
      </c>
      <c r="C28" s="1188">
        <v>33514013</v>
      </c>
      <c r="D28" s="1130" t="s">
        <v>317</v>
      </c>
      <c r="E28" s="1135"/>
      <c r="F28" s="1135"/>
      <c r="G28" s="1135"/>
      <c r="H28" s="1116" t="e">
        <f t="shared" si="0"/>
        <v>#DIV/0!</v>
      </c>
    </row>
    <row r="29" spans="1:8" ht="15" hidden="1" x14ac:dyDescent="0.2">
      <c r="A29" s="1181">
        <v>6172</v>
      </c>
      <c r="B29" s="1189">
        <v>5166</v>
      </c>
      <c r="C29" s="1188">
        <v>38100880</v>
      </c>
      <c r="D29" s="1130" t="s">
        <v>317</v>
      </c>
      <c r="E29" s="1135"/>
      <c r="F29" s="1135"/>
      <c r="G29" s="1135"/>
      <c r="H29" s="1116">
        <v>0</v>
      </c>
    </row>
    <row r="30" spans="1:8" ht="16.5" thickTop="1" thickBot="1" x14ac:dyDescent="0.25">
      <c r="A30" s="1181">
        <v>4349</v>
      </c>
      <c r="B30" s="1189">
        <v>5169</v>
      </c>
      <c r="C30" s="1188">
        <v>104100880</v>
      </c>
      <c r="D30" s="1130" t="s">
        <v>430</v>
      </c>
      <c r="E30" s="1135">
        <v>104</v>
      </c>
      <c r="F30" s="1135">
        <v>104</v>
      </c>
      <c r="G30" s="1135">
        <v>0</v>
      </c>
      <c r="H30" s="3050">
        <f t="shared" ref="H30:H37" si="1">G30/F30*100</f>
        <v>0</v>
      </c>
    </row>
    <row r="31" spans="1:8" ht="15.75" hidden="1" thickBot="1" x14ac:dyDescent="0.25">
      <c r="A31" s="1181">
        <v>6172</v>
      </c>
      <c r="B31" s="1187">
        <v>5169</v>
      </c>
      <c r="C31" s="1188">
        <v>33514013</v>
      </c>
      <c r="D31" s="1130" t="s">
        <v>430</v>
      </c>
      <c r="E31" s="1135"/>
      <c r="F31" s="1135"/>
      <c r="G31" s="1135"/>
      <c r="H31" s="3050" t="e">
        <f t="shared" si="1"/>
        <v>#DIV/0!</v>
      </c>
    </row>
    <row r="32" spans="1:8" ht="15.75" hidden="1" thickBot="1" x14ac:dyDescent="0.25">
      <c r="A32" s="1181">
        <v>6172</v>
      </c>
      <c r="B32" s="1187">
        <v>5172</v>
      </c>
      <c r="C32" s="1188">
        <v>33100880</v>
      </c>
      <c r="D32" s="1130" t="s">
        <v>457</v>
      </c>
      <c r="E32" s="1135"/>
      <c r="F32" s="1135"/>
      <c r="G32" s="1135"/>
      <c r="H32" s="3050" t="e">
        <f t="shared" si="1"/>
        <v>#DIV/0!</v>
      </c>
    </row>
    <row r="33" spans="1:9" ht="15.75" hidden="1" thickBot="1" x14ac:dyDescent="0.25">
      <c r="A33" s="1181">
        <v>6172</v>
      </c>
      <c r="B33" s="1187">
        <v>5172</v>
      </c>
      <c r="C33" s="1188">
        <v>33500881</v>
      </c>
      <c r="D33" s="1130" t="s">
        <v>457</v>
      </c>
      <c r="E33" s="1135"/>
      <c r="F33" s="1135"/>
      <c r="G33" s="1135"/>
      <c r="H33" s="3050" t="e">
        <f t="shared" si="1"/>
        <v>#DIV/0!</v>
      </c>
    </row>
    <row r="34" spans="1:9" ht="15.75" hidden="1" thickBot="1" x14ac:dyDescent="0.25">
      <c r="A34" s="1181">
        <v>6172</v>
      </c>
      <c r="B34" s="1187">
        <v>5175</v>
      </c>
      <c r="C34" s="1188">
        <v>33100880</v>
      </c>
      <c r="D34" s="1130" t="s">
        <v>504</v>
      </c>
      <c r="E34" s="1135"/>
      <c r="F34" s="1135"/>
      <c r="G34" s="1135"/>
      <c r="H34" s="3050" t="e">
        <f t="shared" si="1"/>
        <v>#DIV/0!</v>
      </c>
    </row>
    <row r="35" spans="1:9" s="1136" customFormat="1" ht="15.75" hidden="1" thickBot="1" x14ac:dyDescent="0.25">
      <c r="A35" s="1181">
        <v>6172</v>
      </c>
      <c r="B35" s="1187">
        <v>5175</v>
      </c>
      <c r="C35" s="1188">
        <v>33514013</v>
      </c>
      <c r="D35" s="1130" t="s">
        <v>504</v>
      </c>
      <c r="E35" s="1135"/>
      <c r="F35" s="1135"/>
      <c r="G35" s="1135"/>
      <c r="H35" s="3050" t="e">
        <f t="shared" si="1"/>
        <v>#DIV/0!</v>
      </c>
    </row>
    <row r="36" spans="1:9" s="1136" customFormat="1" ht="15.75" hidden="1" thickBot="1" x14ac:dyDescent="0.25">
      <c r="A36" s="1181">
        <v>6172</v>
      </c>
      <c r="B36" s="1187">
        <v>6111</v>
      </c>
      <c r="C36" s="1188">
        <v>33100880</v>
      </c>
      <c r="D36" s="1130" t="s">
        <v>457</v>
      </c>
      <c r="E36" s="1135"/>
      <c r="F36" s="1135"/>
      <c r="G36" s="1135"/>
      <c r="H36" s="3050" t="e">
        <f t="shared" si="1"/>
        <v>#DIV/0!</v>
      </c>
    </row>
    <row r="37" spans="1:9" s="1136" customFormat="1" ht="15.75" hidden="1" thickBot="1" x14ac:dyDescent="0.25">
      <c r="A37" s="1199">
        <v>6172</v>
      </c>
      <c r="B37" s="1200">
        <v>6111</v>
      </c>
      <c r="C37" s="1225">
        <v>33500881</v>
      </c>
      <c r="D37" s="1132" t="s">
        <v>457</v>
      </c>
      <c r="E37" s="1133"/>
      <c r="F37" s="1133"/>
      <c r="G37" s="1133"/>
      <c r="H37" s="1384" t="e">
        <f t="shared" si="1"/>
        <v>#DIV/0!</v>
      </c>
    </row>
    <row r="38" spans="1:9" s="1136" customFormat="1" ht="15.75" hidden="1" thickBot="1" x14ac:dyDescent="0.25">
      <c r="A38" s="1181">
        <v>6330</v>
      </c>
      <c r="B38" s="1187">
        <v>5345</v>
      </c>
      <c r="C38" s="1188">
        <v>0</v>
      </c>
      <c r="D38" s="1130" t="s">
        <v>397</v>
      </c>
      <c r="E38" s="1135"/>
      <c r="F38" s="1135"/>
      <c r="G38" s="1135"/>
      <c r="H38" s="1384">
        <v>0</v>
      </c>
    </row>
    <row r="39" spans="1:9" s="1122" customFormat="1" ht="16.5" thickTop="1" thickBot="1" x14ac:dyDescent="0.3">
      <c r="A39" s="3317" t="s">
        <v>394</v>
      </c>
      <c r="B39" s="3318"/>
      <c r="C39" s="3318"/>
      <c r="D39" s="3318"/>
      <c r="E39" s="1113">
        <f>SUM(E12:E38)</f>
        <v>104</v>
      </c>
      <c r="F39" s="1113">
        <f>SUM(F12:F38)</f>
        <v>104</v>
      </c>
      <c r="G39" s="1113">
        <f>SUM(G12:G38)</f>
        <v>0</v>
      </c>
      <c r="H39" s="1381">
        <f>G39/F39*100</f>
        <v>0</v>
      </c>
      <c r="I39" s="1194"/>
    </row>
    <row r="40" spans="1:9" ht="13.5" thickTop="1" x14ac:dyDescent="0.2">
      <c r="I40" s="1123"/>
    </row>
    <row r="41" spans="1:9" x14ac:dyDescent="0.2">
      <c r="I41" s="1123"/>
    </row>
    <row r="42" spans="1:9" ht="28.5" customHeight="1" x14ac:dyDescent="0.25">
      <c r="A42" s="3333" t="s">
        <v>1804</v>
      </c>
      <c r="B42" s="3210"/>
      <c r="C42" s="3210"/>
      <c r="D42" s="3210"/>
      <c r="E42" s="3210"/>
      <c r="F42" s="3210"/>
      <c r="G42" s="3210"/>
      <c r="H42" s="3210"/>
    </row>
    <row r="43" spans="1:9" ht="15.75" thickBot="1" x14ac:dyDescent="0.3">
      <c r="A43" s="1227" t="s">
        <v>1805</v>
      </c>
      <c r="B43" s="1228"/>
      <c r="C43" s="1228"/>
      <c r="H43" s="1177" t="s">
        <v>92</v>
      </c>
    </row>
    <row r="44" spans="1:9" s="1037" customFormat="1" ht="25.5" thickTop="1" thickBot="1" x14ac:dyDescent="0.25">
      <c r="A44" s="1104" t="s">
        <v>93</v>
      </c>
      <c r="B44" s="1105" t="s">
        <v>392</v>
      </c>
      <c r="C44" s="1105" t="s">
        <v>209</v>
      </c>
      <c r="D44" s="1106" t="s">
        <v>95</v>
      </c>
      <c r="E44" s="1127" t="s">
        <v>328</v>
      </c>
      <c r="F44" s="1127" t="s">
        <v>329</v>
      </c>
      <c r="G44" s="1128" t="s">
        <v>448</v>
      </c>
      <c r="H44" s="1129" t="s">
        <v>449</v>
      </c>
    </row>
    <row r="45" spans="1:9" s="1037" customFormat="1" ht="13.5" thickTop="1" thickBot="1" x14ac:dyDescent="0.25">
      <c r="A45" s="1042">
        <v>1</v>
      </c>
      <c r="B45" s="1041">
        <v>2</v>
      </c>
      <c r="C45" s="1041">
        <v>3</v>
      </c>
      <c r="D45" s="1041">
        <v>4</v>
      </c>
      <c r="E45" s="1040">
        <v>5</v>
      </c>
      <c r="F45" s="1040">
        <v>6</v>
      </c>
      <c r="G45" s="1164">
        <v>7</v>
      </c>
      <c r="H45" s="1186" t="s">
        <v>33</v>
      </c>
    </row>
    <row r="46" spans="1:9" s="1191" customFormat="1" ht="15.75" thickTop="1" x14ac:dyDescent="0.2">
      <c r="A46" s="1181">
        <v>4349</v>
      </c>
      <c r="B46" s="1187">
        <v>5011</v>
      </c>
      <c r="C46" s="1214" t="s">
        <v>1038</v>
      </c>
      <c r="D46" s="1130" t="s">
        <v>117</v>
      </c>
      <c r="E46" s="1135">
        <v>0</v>
      </c>
      <c r="F46" s="1135">
        <v>26</v>
      </c>
      <c r="G46" s="1135">
        <v>21</v>
      </c>
      <c r="H46" s="3050">
        <f t="shared" ref="H46:H72" si="2">G46/F46*100</f>
        <v>80.769230769230774</v>
      </c>
    </row>
    <row r="47" spans="1:9" s="1191" customFormat="1" ht="15" x14ac:dyDescent="0.2">
      <c r="A47" s="1181">
        <v>4349</v>
      </c>
      <c r="B47" s="1187">
        <v>5011</v>
      </c>
      <c r="C47" s="1214" t="s">
        <v>1264</v>
      </c>
      <c r="D47" s="1130" t="s">
        <v>117</v>
      </c>
      <c r="E47" s="1135">
        <v>0</v>
      </c>
      <c r="F47" s="1135">
        <v>53</v>
      </c>
      <c r="G47" s="1135">
        <v>41</v>
      </c>
      <c r="H47" s="3050">
        <f t="shared" si="2"/>
        <v>77.358490566037744</v>
      </c>
    </row>
    <row r="48" spans="1:9" s="1191" customFormat="1" ht="15" x14ac:dyDescent="0.2">
      <c r="A48" s="1181">
        <v>4349</v>
      </c>
      <c r="B48" s="1187">
        <v>5011</v>
      </c>
      <c r="C48" s="1214" t="s">
        <v>1265</v>
      </c>
      <c r="D48" s="1130" t="s">
        <v>117</v>
      </c>
      <c r="E48" s="1135">
        <v>0</v>
      </c>
      <c r="F48" s="1135">
        <v>451</v>
      </c>
      <c r="G48" s="1135">
        <v>350</v>
      </c>
      <c r="H48" s="3050">
        <f t="shared" si="2"/>
        <v>77.605321507760522</v>
      </c>
    </row>
    <row r="49" spans="1:8" s="1191" customFormat="1" ht="15" x14ac:dyDescent="0.2">
      <c r="A49" s="1181">
        <v>4349</v>
      </c>
      <c r="B49" s="1187">
        <v>5021</v>
      </c>
      <c r="C49" s="1214" t="s">
        <v>1038</v>
      </c>
      <c r="D49" s="1130" t="s">
        <v>217</v>
      </c>
      <c r="E49" s="1135">
        <v>0</v>
      </c>
      <c r="F49" s="1135">
        <v>21</v>
      </c>
      <c r="G49" s="1135">
        <v>8</v>
      </c>
      <c r="H49" s="3050">
        <f t="shared" si="2"/>
        <v>38.095238095238095</v>
      </c>
    </row>
    <row r="50" spans="1:8" s="1191" customFormat="1" ht="15" x14ac:dyDescent="0.2">
      <c r="A50" s="1181">
        <v>4349</v>
      </c>
      <c r="B50" s="1187">
        <v>5021</v>
      </c>
      <c r="C50" s="1214" t="s">
        <v>1264</v>
      </c>
      <c r="D50" s="1130" t="s">
        <v>217</v>
      </c>
      <c r="E50" s="1135">
        <v>0</v>
      </c>
      <c r="F50" s="1135">
        <v>42</v>
      </c>
      <c r="G50" s="1135">
        <v>16</v>
      </c>
      <c r="H50" s="3050">
        <f t="shared" si="2"/>
        <v>38.095238095238095</v>
      </c>
    </row>
    <row r="51" spans="1:8" s="1191" customFormat="1" ht="15" x14ac:dyDescent="0.2">
      <c r="A51" s="1181">
        <v>4349</v>
      </c>
      <c r="B51" s="1187">
        <v>5021</v>
      </c>
      <c r="C51" s="1214" t="s">
        <v>1265</v>
      </c>
      <c r="D51" s="1130" t="s">
        <v>217</v>
      </c>
      <c r="E51" s="1135">
        <v>0</v>
      </c>
      <c r="F51" s="1135">
        <v>354</v>
      </c>
      <c r="G51" s="1135">
        <v>130</v>
      </c>
      <c r="H51" s="3050">
        <f t="shared" si="2"/>
        <v>36.72316384180791</v>
      </c>
    </row>
    <row r="52" spans="1:8" s="1191" customFormat="1" ht="30" x14ac:dyDescent="0.2">
      <c r="A52" s="3077">
        <v>4349</v>
      </c>
      <c r="B52" s="3078">
        <v>5031</v>
      </c>
      <c r="C52" s="3061" t="s">
        <v>1038</v>
      </c>
      <c r="D52" s="1130" t="s">
        <v>621</v>
      </c>
      <c r="E52" s="2547">
        <v>0</v>
      </c>
      <c r="F52" s="2547">
        <v>7</v>
      </c>
      <c r="G52" s="2547">
        <v>5</v>
      </c>
      <c r="H52" s="3059">
        <f t="shared" si="2"/>
        <v>71.428571428571431</v>
      </c>
    </row>
    <row r="53" spans="1:8" s="1191" customFormat="1" ht="30" x14ac:dyDescent="0.2">
      <c r="A53" s="3077">
        <v>4349</v>
      </c>
      <c r="B53" s="3078">
        <v>5031</v>
      </c>
      <c r="C53" s="3061" t="s">
        <v>1264</v>
      </c>
      <c r="D53" s="1130" t="s">
        <v>621</v>
      </c>
      <c r="E53" s="2547">
        <v>0</v>
      </c>
      <c r="F53" s="2547">
        <v>13</v>
      </c>
      <c r="G53" s="2547">
        <v>10</v>
      </c>
      <c r="H53" s="3059">
        <f t="shared" si="2"/>
        <v>76.923076923076934</v>
      </c>
    </row>
    <row r="54" spans="1:8" s="1191" customFormat="1" ht="30" x14ac:dyDescent="0.2">
      <c r="A54" s="3077">
        <v>4349</v>
      </c>
      <c r="B54" s="3078">
        <v>5031</v>
      </c>
      <c r="C54" s="3061" t="s">
        <v>1265</v>
      </c>
      <c r="D54" s="1130" t="s">
        <v>621</v>
      </c>
      <c r="E54" s="2547">
        <v>0</v>
      </c>
      <c r="F54" s="2547">
        <v>112</v>
      </c>
      <c r="G54" s="2547">
        <v>88</v>
      </c>
      <c r="H54" s="3059">
        <f t="shared" si="2"/>
        <v>78.571428571428569</v>
      </c>
    </row>
    <row r="55" spans="1:8" s="1191" customFormat="1" ht="30" x14ac:dyDescent="0.2">
      <c r="A55" s="3077">
        <v>4349</v>
      </c>
      <c r="B55" s="3078">
        <v>5032</v>
      </c>
      <c r="C55" s="3061" t="s">
        <v>1038</v>
      </c>
      <c r="D55" s="1130" t="s">
        <v>622</v>
      </c>
      <c r="E55" s="2547">
        <v>0</v>
      </c>
      <c r="F55" s="2547">
        <v>2</v>
      </c>
      <c r="G55" s="2547">
        <v>2</v>
      </c>
      <c r="H55" s="3059">
        <f t="shared" si="2"/>
        <v>100</v>
      </c>
    </row>
    <row r="56" spans="1:8" s="1191" customFormat="1" ht="30" x14ac:dyDescent="0.2">
      <c r="A56" s="3077">
        <v>4349</v>
      </c>
      <c r="B56" s="3078">
        <v>5032</v>
      </c>
      <c r="C56" s="3061" t="s">
        <v>1264</v>
      </c>
      <c r="D56" s="1130" t="s">
        <v>622</v>
      </c>
      <c r="E56" s="2547">
        <v>0</v>
      </c>
      <c r="F56" s="2547">
        <v>5</v>
      </c>
      <c r="G56" s="2547">
        <v>4</v>
      </c>
      <c r="H56" s="3059">
        <f t="shared" si="2"/>
        <v>80</v>
      </c>
    </row>
    <row r="57" spans="1:8" s="1136" customFormat="1" ht="30" x14ac:dyDescent="0.2">
      <c r="A57" s="3077">
        <v>4349</v>
      </c>
      <c r="B57" s="3078">
        <v>5032</v>
      </c>
      <c r="C57" s="3061" t="s">
        <v>1265</v>
      </c>
      <c r="D57" s="1130" t="s">
        <v>622</v>
      </c>
      <c r="E57" s="2547">
        <v>0</v>
      </c>
      <c r="F57" s="2547">
        <v>40</v>
      </c>
      <c r="G57" s="2547">
        <v>31</v>
      </c>
      <c r="H57" s="3059">
        <f t="shared" si="2"/>
        <v>77.5</v>
      </c>
    </row>
    <row r="58" spans="1:8" s="1136" customFormat="1" ht="15" x14ac:dyDescent="0.2">
      <c r="A58" s="1181">
        <v>4349</v>
      </c>
      <c r="B58" s="1189">
        <v>5139</v>
      </c>
      <c r="C58" s="1214" t="s">
        <v>1038</v>
      </c>
      <c r="D58" s="1130" t="s">
        <v>152</v>
      </c>
      <c r="E58" s="1135">
        <v>0</v>
      </c>
      <c r="F58" s="1135">
        <v>6</v>
      </c>
      <c r="G58" s="1135">
        <v>0</v>
      </c>
      <c r="H58" s="3050">
        <f t="shared" si="2"/>
        <v>0</v>
      </c>
    </row>
    <row r="59" spans="1:8" ht="15" x14ac:dyDescent="0.2">
      <c r="A59" s="1181">
        <v>4349</v>
      </c>
      <c r="B59" s="1189">
        <v>5139</v>
      </c>
      <c r="C59" s="1214" t="s">
        <v>1264</v>
      </c>
      <c r="D59" s="1130" t="s">
        <v>152</v>
      </c>
      <c r="E59" s="1135">
        <v>0</v>
      </c>
      <c r="F59" s="1135">
        <v>11</v>
      </c>
      <c r="G59" s="1135">
        <v>1</v>
      </c>
      <c r="H59" s="3050">
        <f t="shared" si="2"/>
        <v>9.0909090909090917</v>
      </c>
    </row>
    <row r="60" spans="1:8" ht="15" x14ac:dyDescent="0.2">
      <c r="A60" s="1181">
        <v>4349</v>
      </c>
      <c r="B60" s="1189">
        <v>5139</v>
      </c>
      <c r="C60" s="1214" t="s">
        <v>1265</v>
      </c>
      <c r="D60" s="1130" t="s">
        <v>152</v>
      </c>
      <c r="E60" s="1135">
        <v>0</v>
      </c>
      <c r="F60" s="1135">
        <v>98</v>
      </c>
      <c r="G60" s="1135">
        <v>4</v>
      </c>
      <c r="H60" s="3050">
        <f t="shared" si="2"/>
        <v>4.0816326530612246</v>
      </c>
    </row>
    <row r="61" spans="1:8" ht="15" x14ac:dyDescent="0.2">
      <c r="A61" s="1181">
        <v>4349</v>
      </c>
      <c r="B61" s="1189">
        <v>5164</v>
      </c>
      <c r="C61" s="1214" t="s">
        <v>1038</v>
      </c>
      <c r="D61" s="1130" t="s">
        <v>101</v>
      </c>
      <c r="E61" s="1135">
        <v>0</v>
      </c>
      <c r="F61" s="1135">
        <v>1</v>
      </c>
      <c r="G61" s="1135">
        <v>0</v>
      </c>
      <c r="H61" s="3050">
        <f t="shared" si="2"/>
        <v>0</v>
      </c>
    </row>
    <row r="62" spans="1:8" ht="15" x14ac:dyDescent="0.2">
      <c r="A62" s="1181">
        <v>4349</v>
      </c>
      <c r="B62" s="1189">
        <v>5164</v>
      </c>
      <c r="C62" s="1214" t="s">
        <v>1264</v>
      </c>
      <c r="D62" s="1130" t="s">
        <v>101</v>
      </c>
      <c r="E62" s="1135">
        <v>0</v>
      </c>
      <c r="F62" s="1135">
        <v>2</v>
      </c>
      <c r="G62" s="1135">
        <v>1</v>
      </c>
      <c r="H62" s="3050">
        <f t="shared" si="2"/>
        <v>50</v>
      </c>
    </row>
    <row r="63" spans="1:8" ht="15" x14ac:dyDescent="0.2">
      <c r="A63" s="1181">
        <v>4349</v>
      </c>
      <c r="B63" s="1189">
        <v>5164</v>
      </c>
      <c r="C63" s="1214" t="s">
        <v>1265</v>
      </c>
      <c r="D63" s="1130" t="s">
        <v>101</v>
      </c>
      <c r="E63" s="1135">
        <v>0</v>
      </c>
      <c r="F63" s="1135">
        <v>13</v>
      </c>
      <c r="G63" s="1135">
        <v>5</v>
      </c>
      <c r="H63" s="3050">
        <f t="shared" si="2"/>
        <v>38.461538461538467</v>
      </c>
    </row>
    <row r="64" spans="1:8" ht="15" x14ac:dyDescent="0.2">
      <c r="A64" s="1181">
        <v>4349</v>
      </c>
      <c r="B64" s="1189">
        <v>5166</v>
      </c>
      <c r="C64" s="1214" t="s">
        <v>1038</v>
      </c>
      <c r="D64" s="1130" t="s">
        <v>317</v>
      </c>
      <c r="E64" s="1135">
        <v>0</v>
      </c>
      <c r="F64" s="1135">
        <v>40</v>
      </c>
      <c r="G64" s="1135">
        <v>0</v>
      </c>
      <c r="H64" s="3050">
        <f t="shared" si="2"/>
        <v>0</v>
      </c>
    </row>
    <row r="65" spans="1:8" ht="15" x14ac:dyDescent="0.2">
      <c r="A65" s="1181">
        <v>4349</v>
      </c>
      <c r="B65" s="1189">
        <v>5166</v>
      </c>
      <c r="C65" s="1214" t="s">
        <v>1264</v>
      </c>
      <c r="D65" s="1130" t="s">
        <v>317</v>
      </c>
      <c r="E65" s="1135">
        <v>0</v>
      </c>
      <c r="F65" s="1135">
        <v>164</v>
      </c>
      <c r="G65" s="1135">
        <v>0</v>
      </c>
      <c r="H65" s="3050">
        <f t="shared" si="2"/>
        <v>0</v>
      </c>
    </row>
    <row r="66" spans="1:8" ht="15" x14ac:dyDescent="0.2">
      <c r="A66" s="1181">
        <v>4349</v>
      </c>
      <c r="B66" s="1189">
        <v>5166</v>
      </c>
      <c r="C66" s="1214" t="s">
        <v>1265</v>
      </c>
      <c r="D66" s="1130" t="s">
        <v>317</v>
      </c>
      <c r="E66" s="1135">
        <v>0</v>
      </c>
      <c r="F66" s="1135">
        <v>1392</v>
      </c>
      <c r="G66" s="1135">
        <v>0</v>
      </c>
      <c r="H66" s="3050">
        <f t="shared" si="2"/>
        <v>0</v>
      </c>
    </row>
    <row r="67" spans="1:8" ht="15" x14ac:dyDescent="0.2">
      <c r="A67" s="1181">
        <v>4349</v>
      </c>
      <c r="B67" s="1189">
        <v>5167</v>
      </c>
      <c r="C67" s="1214" t="s">
        <v>1038</v>
      </c>
      <c r="D67" s="1130" t="s">
        <v>455</v>
      </c>
      <c r="E67" s="1135">
        <v>0</v>
      </c>
      <c r="F67" s="1135">
        <v>17</v>
      </c>
      <c r="G67" s="1135">
        <v>0</v>
      </c>
      <c r="H67" s="3050">
        <f t="shared" si="2"/>
        <v>0</v>
      </c>
    </row>
    <row r="68" spans="1:8" ht="15" x14ac:dyDescent="0.2">
      <c r="A68" s="1181">
        <v>4349</v>
      </c>
      <c r="B68" s="1189">
        <v>5167</v>
      </c>
      <c r="C68" s="1214" t="s">
        <v>1264</v>
      </c>
      <c r="D68" s="1130" t="s">
        <v>455</v>
      </c>
      <c r="E68" s="1135">
        <v>0</v>
      </c>
      <c r="F68" s="1135">
        <v>60</v>
      </c>
      <c r="G68" s="1135">
        <v>0</v>
      </c>
      <c r="H68" s="3050">
        <f t="shared" si="2"/>
        <v>0</v>
      </c>
    </row>
    <row r="69" spans="1:8" ht="15" x14ac:dyDescent="0.2">
      <c r="A69" s="1181">
        <v>4349</v>
      </c>
      <c r="B69" s="1189">
        <v>5167</v>
      </c>
      <c r="C69" s="1214" t="s">
        <v>1265</v>
      </c>
      <c r="D69" s="1130" t="s">
        <v>455</v>
      </c>
      <c r="E69" s="1135">
        <v>0</v>
      </c>
      <c r="F69" s="1135">
        <v>513</v>
      </c>
      <c r="G69" s="1135">
        <v>0</v>
      </c>
      <c r="H69" s="3050">
        <f t="shared" si="2"/>
        <v>0</v>
      </c>
    </row>
    <row r="70" spans="1:8" ht="15" x14ac:dyDescent="0.2">
      <c r="A70" s="1181">
        <v>4349</v>
      </c>
      <c r="B70" s="1189">
        <v>5169</v>
      </c>
      <c r="C70" s="1214" t="s">
        <v>1038</v>
      </c>
      <c r="D70" s="1130" t="s">
        <v>430</v>
      </c>
      <c r="E70" s="1135">
        <v>265</v>
      </c>
      <c r="F70" s="1135">
        <v>20</v>
      </c>
      <c r="G70" s="1135">
        <v>9</v>
      </c>
      <c r="H70" s="3050">
        <f t="shared" si="2"/>
        <v>45</v>
      </c>
    </row>
    <row r="71" spans="1:8" ht="15" x14ac:dyDescent="0.2">
      <c r="A71" s="1181">
        <v>4349</v>
      </c>
      <c r="B71" s="1189">
        <v>5169</v>
      </c>
      <c r="C71" s="1214" t="s">
        <v>1264</v>
      </c>
      <c r="D71" s="1130" t="s">
        <v>430</v>
      </c>
      <c r="E71" s="1135">
        <v>0</v>
      </c>
      <c r="F71" s="1135">
        <v>93</v>
      </c>
      <c r="G71" s="1135">
        <v>18</v>
      </c>
      <c r="H71" s="3050">
        <f t="shared" si="2"/>
        <v>19.35483870967742</v>
      </c>
    </row>
    <row r="72" spans="1:8" ht="15" x14ac:dyDescent="0.2">
      <c r="A72" s="1181">
        <v>4349</v>
      </c>
      <c r="B72" s="1189">
        <v>5169</v>
      </c>
      <c r="C72" s="1214" t="s">
        <v>1265</v>
      </c>
      <c r="D72" s="1130" t="s">
        <v>430</v>
      </c>
      <c r="E72" s="1135">
        <v>0</v>
      </c>
      <c r="F72" s="1135">
        <v>789</v>
      </c>
      <c r="G72" s="1135">
        <v>155</v>
      </c>
      <c r="H72" s="3050">
        <f t="shared" si="2"/>
        <v>19.64512040557668</v>
      </c>
    </row>
    <row r="73" spans="1:8" ht="15" x14ac:dyDescent="0.2">
      <c r="A73" s="1181">
        <v>4349</v>
      </c>
      <c r="B73" s="1187">
        <v>5173</v>
      </c>
      <c r="C73" s="1214" t="s">
        <v>1038</v>
      </c>
      <c r="D73" s="1130" t="s">
        <v>541</v>
      </c>
      <c r="E73" s="1135">
        <v>0</v>
      </c>
      <c r="F73" s="1135">
        <v>11</v>
      </c>
      <c r="G73" s="1135">
        <v>0</v>
      </c>
      <c r="H73" s="3050">
        <f t="shared" ref="H73:H88" si="3">G73/F73*100</f>
        <v>0</v>
      </c>
    </row>
    <row r="74" spans="1:8" ht="15" x14ac:dyDescent="0.2">
      <c r="A74" s="1181">
        <v>4349</v>
      </c>
      <c r="B74" s="1187">
        <v>5173</v>
      </c>
      <c r="C74" s="1214" t="s">
        <v>1264</v>
      </c>
      <c r="D74" s="1130" t="s">
        <v>541</v>
      </c>
      <c r="E74" s="1135">
        <v>0</v>
      </c>
      <c r="F74" s="1135">
        <v>69</v>
      </c>
      <c r="G74" s="1135">
        <v>0</v>
      </c>
      <c r="H74" s="3050">
        <f t="shared" si="3"/>
        <v>0</v>
      </c>
    </row>
    <row r="75" spans="1:8" ht="15" x14ac:dyDescent="0.2">
      <c r="A75" s="1181">
        <v>4349</v>
      </c>
      <c r="B75" s="1187">
        <v>5173</v>
      </c>
      <c r="C75" s="1214" t="s">
        <v>1265</v>
      </c>
      <c r="D75" s="1130" t="s">
        <v>541</v>
      </c>
      <c r="E75" s="1135">
        <v>0</v>
      </c>
      <c r="F75" s="1135">
        <v>586</v>
      </c>
      <c r="G75" s="1135">
        <v>3</v>
      </c>
      <c r="H75" s="3050">
        <f t="shared" si="3"/>
        <v>0.51194539249146753</v>
      </c>
    </row>
    <row r="76" spans="1:8" ht="15" x14ac:dyDescent="0.2">
      <c r="A76" s="1181">
        <v>4349</v>
      </c>
      <c r="B76" s="1187">
        <v>5175</v>
      </c>
      <c r="C76" s="1214" t="s">
        <v>1038</v>
      </c>
      <c r="D76" s="1130" t="s">
        <v>352</v>
      </c>
      <c r="E76" s="1135">
        <v>0</v>
      </c>
      <c r="F76" s="1135">
        <v>2</v>
      </c>
      <c r="G76" s="1135">
        <v>1</v>
      </c>
      <c r="H76" s="3050">
        <f t="shared" si="3"/>
        <v>50</v>
      </c>
    </row>
    <row r="77" spans="1:8" ht="15" x14ac:dyDescent="0.2">
      <c r="A77" s="1181">
        <v>4349</v>
      </c>
      <c r="B77" s="1187">
        <v>5175</v>
      </c>
      <c r="C77" s="1214" t="s">
        <v>1264</v>
      </c>
      <c r="D77" s="1130" t="s">
        <v>352</v>
      </c>
      <c r="E77" s="1135">
        <v>0</v>
      </c>
      <c r="F77" s="1135">
        <v>4</v>
      </c>
      <c r="G77" s="1135">
        <v>3</v>
      </c>
      <c r="H77" s="3050">
        <f t="shared" si="3"/>
        <v>75</v>
      </c>
    </row>
    <row r="78" spans="1:8" ht="15" x14ac:dyDescent="0.2">
      <c r="A78" s="1181">
        <v>4349</v>
      </c>
      <c r="B78" s="1187">
        <v>5175</v>
      </c>
      <c r="C78" s="1214" t="s">
        <v>1265</v>
      </c>
      <c r="D78" s="1130" t="s">
        <v>352</v>
      </c>
      <c r="E78" s="1135">
        <v>0</v>
      </c>
      <c r="F78" s="1135">
        <v>30</v>
      </c>
      <c r="G78" s="1135">
        <v>24</v>
      </c>
      <c r="H78" s="3050">
        <f t="shared" si="3"/>
        <v>80</v>
      </c>
    </row>
    <row r="79" spans="1:8" ht="15" x14ac:dyDescent="0.2">
      <c r="A79" s="1181">
        <v>4349</v>
      </c>
      <c r="B79" s="1187">
        <v>5176</v>
      </c>
      <c r="C79" s="1214" t="s">
        <v>1038</v>
      </c>
      <c r="D79" s="1130" t="s">
        <v>593</v>
      </c>
      <c r="E79" s="1135">
        <v>0</v>
      </c>
      <c r="F79" s="1135">
        <v>2</v>
      </c>
      <c r="G79" s="1135">
        <v>0</v>
      </c>
      <c r="H79" s="3050">
        <f t="shared" si="3"/>
        <v>0</v>
      </c>
    </row>
    <row r="80" spans="1:8" ht="15" x14ac:dyDescent="0.2">
      <c r="A80" s="1181">
        <v>4349</v>
      </c>
      <c r="B80" s="1187">
        <v>5176</v>
      </c>
      <c r="C80" s="1214" t="s">
        <v>1264</v>
      </c>
      <c r="D80" s="1130" t="s">
        <v>593</v>
      </c>
      <c r="E80" s="1135">
        <v>0</v>
      </c>
      <c r="F80" s="1135">
        <v>5</v>
      </c>
      <c r="G80" s="1135">
        <v>1</v>
      </c>
      <c r="H80" s="3050">
        <f t="shared" si="3"/>
        <v>20</v>
      </c>
    </row>
    <row r="81" spans="1:9" ht="15" x14ac:dyDescent="0.2">
      <c r="A81" s="1181">
        <v>4349</v>
      </c>
      <c r="B81" s="1187">
        <v>5176</v>
      </c>
      <c r="C81" s="1214" t="s">
        <v>1265</v>
      </c>
      <c r="D81" s="1130" t="s">
        <v>593</v>
      </c>
      <c r="E81" s="1135">
        <v>0</v>
      </c>
      <c r="F81" s="1135">
        <v>43</v>
      </c>
      <c r="G81" s="1135">
        <v>5</v>
      </c>
      <c r="H81" s="3050">
        <f t="shared" si="3"/>
        <v>11.627906976744185</v>
      </c>
    </row>
    <row r="82" spans="1:9" ht="15" x14ac:dyDescent="0.2">
      <c r="A82" s="1181">
        <v>4349</v>
      </c>
      <c r="B82" s="1187">
        <v>5424</v>
      </c>
      <c r="C82" s="1214" t="s">
        <v>1038</v>
      </c>
      <c r="D82" s="1130" t="s">
        <v>343</v>
      </c>
      <c r="E82" s="1135">
        <v>0</v>
      </c>
      <c r="F82" s="1135">
        <v>2</v>
      </c>
      <c r="G82" s="1135">
        <v>0</v>
      </c>
      <c r="H82" s="3050">
        <f t="shared" si="3"/>
        <v>0</v>
      </c>
    </row>
    <row r="83" spans="1:9" ht="15" x14ac:dyDescent="0.2">
      <c r="A83" s="1181">
        <v>4349</v>
      </c>
      <c r="B83" s="1187">
        <v>5424</v>
      </c>
      <c r="C83" s="1214" t="s">
        <v>1264</v>
      </c>
      <c r="D83" s="1130" t="s">
        <v>343</v>
      </c>
      <c r="E83" s="1135">
        <v>0</v>
      </c>
      <c r="F83" s="1135">
        <v>4</v>
      </c>
      <c r="G83" s="1135">
        <v>0</v>
      </c>
      <c r="H83" s="3050">
        <f t="shared" si="3"/>
        <v>0</v>
      </c>
    </row>
    <row r="84" spans="1:9" ht="15" x14ac:dyDescent="0.2">
      <c r="A84" s="1181">
        <v>4349</v>
      </c>
      <c r="B84" s="1187">
        <v>5424</v>
      </c>
      <c r="C84" s="1214" t="s">
        <v>1265</v>
      </c>
      <c r="D84" s="1130" t="s">
        <v>343</v>
      </c>
      <c r="E84" s="1135">
        <v>0</v>
      </c>
      <c r="F84" s="1135">
        <v>37</v>
      </c>
      <c r="G84" s="1135">
        <v>4</v>
      </c>
      <c r="H84" s="3050">
        <f t="shared" si="3"/>
        <v>10.810810810810811</v>
      </c>
    </row>
    <row r="85" spans="1:9" ht="15" x14ac:dyDescent="0.2">
      <c r="A85" s="1181">
        <v>4349</v>
      </c>
      <c r="B85" s="1187">
        <v>6111</v>
      </c>
      <c r="C85" s="1214" t="s">
        <v>1038</v>
      </c>
      <c r="D85" s="1130" t="s">
        <v>457</v>
      </c>
      <c r="E85" s="1135">
        <v>0</v>
      </c>
      <c r="F85" s="1135">
        <v>107</v>
      </c>
      <c r="G85" s="1135">
        <v>0</v>
      </c>
      <c r="H85" s="3050">
        <f t="shared" si="3"/>
        <v>0</v>
      </c>
    </row>
    <row r="86" spans="1:9" ht="15" x14ac:dyDescent="0.2">
      <c r="A86" s="1181">
        <v>4349</v>
      </c>
      <c r="B86" s="1187">
        <v>6111</v>
      </c>
      <c r="C86" s="1214" t="s">
        <v>1264</v>
      </c>
      <c r="D86" s="1130" t="s">
        <v>457</v>
      </c>
      <c r="E86" s="1135">
        <v>0</v>
      </c>
      <c r="F86" s="1135">
        <v>215</v>
      </c>
      <c r="G86" s="1135">
        <v>0</v>
      </c>
      <c r="H86" s="3050">
        <f t="shared" si="3"/>
        <v>0</v>
      </c>
    </row>
    <row r="87" spans="1:9" ht="15" x14ac:dyDescent="0.2">
      <c r="A87" s="1181">
        <v>4349</v>
      </c>
      <c r="B87" s="1187">
        <v>6111</v>
      </c>
      <c r="C87" s="1214" t="s">
        <v>1265</v>
      </c>
      <c r="D87" s="1130" t="s">
        <v>457</v>
      </c>
      <c r="E87" s="1135">
        <v>0</v>
      </c>
      <c r="F87" s="1135">
        <v>1826</v>
      </c>
      <c r="G87" s="1135">
        <v>0</v>
      </c>
      <c r="H87" s="3050">
        <f t="shared" si="3"/>
        <v>0</v>
      </c>
    </row>
    <row r="88" spans="1:9" ht="15" hidden="1" x14ac:dyDescent="0.2">
      <c r="A88" s="1181">
        <v>4349</v>
      </c>
      <c r="B88" s="1187">
        <v>5901</v>
      </c>
      <c r="C88" s="1188">
        <v>33100880</v>
      </c>
      <c r="D88" s="1130" t="s">
        <v>311</v>
      </c>
      <c r="E88" s="1135">
        <v>0</v>
      </c>
      <c r="F88" s="1135">
        <v>0</v>
      </c>
      <c r="G88" s="1135">
        <v>0</v>
      </c>
      <c r="H88" s="3050" t="e">
        <f t="shared" si="3"/>
        <v>#DIV/0!</v>
      </c>
    </row>
    <row r="89" spans="1:9" s="1136" customFormat="1" ht="15.75" thickBot="1" x14ac:dyDescent="0.25">
      <c r="A89" s="1181">
        <v>6330</v>
      </c>
      <c r="B89" s="1187">
        <v>5345</v>
      </c>
      <c r="C89" s="1214" t="s">
        <v>871</v>
      </c>
      <c r="D89" s="1130" t="s">
        <v>397</v>
      </c>
      <c r="E89" s="1135">
        <v>0</v>
      </c>
      <c r="F89" s="1135">
        <v>0</v>
      </c>
      <c r="G89" s="1135">
        <v>7023</v>
      </c>
      <c r="H89" s="1384">
        <v>0</v>
      </c>
    </row>
    <row r="90" spans="1:9" s="1122" customFormat="1" ht="16.5" thickTop="1" thickBot="1" x14ac:dyDescent="0.3">
      <c r="A90" s="3317" t="s">
        <v>394</v>
      </c>
      <c r="B90" s="3318"/>
      <c r="C90" s="3318"/>
      <c r="D90" s="3318"/>
      <c r="E90" s="1113">
        <f>SUM(E46:E89)</f>
        <v>265</v>
      </c>
      <c r="F90" s="1113">
        <f>SUM(F46:F89)</f>
        <v>7288</v>
      </c>
      <c r="G90" s="1113">
        <f>SUM(G46:G89)</f>
        <v>7963</v>
      </c>
      <c r="H90" s="1381">
        <f>G90/F90*100</f>
        <v>109.26180021953897</v>
      </c>
      <c r="I90" s="1194"/>
    </row>
    <row r="91" spans="1:9" ht="13.5" thickTop="1" x14ac:dyDescent="0.2">
      <c r="I91" s="1123"/>
    </row>
    <row r="92" spans="1:9" ht="13.5" x14ac:dyDescent="0.25">
      <c r="A92" s="3333" t="s">
        <v>290</v>
      </c>
      <c r="B92" s="3210"/>
      <c r="C92" s="3210"/>
      <c r="D92" s="3210"/>
      <c r="E92" s="3210"/>
      <c r="F92" s="3210"/>
      <c r="G92" s="3210"/>
      <c r="H92" s="3210"/>
      <c r="I92" s="1123"/>
    </row>
    <row r="93" spans="1:9" ht="15.75" thickBot="1" x14ac:dyDescent="0.3">
      <c r="A93" s="1227" t="s">
        <v>31</v>
      </c>
      <c r="D93" s="1097"/>
      <c r="E93" s="1098"/>
      <c r="H93" s="1177" t="s">
        <v>92</v>
      </c>
      <c r="I93" s="1123"/>
    </row>
    <row r="94" spans="1:9" ht="25.5" thickTop="1" thickBot="1" x14ac:dyDescent="0.25">
      <c r="A94" s="1104" t="s">
        <v>93</v>
      </c>
      <c r="B94" s="1105" t="s">
        <v>392</v>
      </c>
      <c r="C94" s="1105" t="s">
        <v>209</v>
      </c>
      <c r="D94" s="1106" t="s">
        <v>95</v>
      </c>
      <c r="E94" s="1127" t="s">
        <v>328</v>
      </c>
      <c r="F94" s="1127" t="s">
        <v>329</v>
      </c>
      <c r="G94" s="1128" t="s">
        <v>448</v>
      </c>
      <c r="H94" s="1129" t="s">
        <v>449</v>
      </c>
      <c r="I94" s="1123"/>
    </row>
    <row r="95" spans="1:9" ht="14.25" thickTop="1" thickBot="1" x14ac:dyDescent="0.25">
      <c r="A95" s="1042">
        <v>1</v>
      </c>
      <c r="B95" s="1041">
        <v>2</v>
      </c>
      <c r="C95" s="1041">
        <v>3</v>
      </c>
      <c r="D95" s="1041">
        <v>5</v>
      </c>
      <c r="E95" s="1040">
        <v>6</v>
      </c>
      <c r="F95" s="1040">
        <v>7</v>
      </c>
      <c r="G95" s="1164">
        <v>8</v>
      </c>
      <c r="H95" s="1109" t="s">
        <v>393</v>
      </c>
      <c r="I95" s="1123"/>
    </row>
    <row r="96" spans="1:9" ht="15.75" thickTop="1" x14ac:dyDescent="0.25">
      <c r="A96" s="1175">
        <v>6172</v>
      </c>
      <c r="B96" s="1111">
        <v>5362</v>
      </c>
      <c r="C96" s="1214" t="s">
        <v>871</v>
      </c>
      <c r="D96" s="1172" t="s">
        <v>712</v>
      </c>
      <c r="E96" s="1135">
        <v>0</v>
      </c>
      <c r="F96" s="1135">
        <v>2</v>
      </c>
      <c r="G96" s="1171">
        <v>0</v>
      </c>
      <c r="H96" s="3050">
        <v>0</v>
      </c>
      <c r="I96" s="1123"/>
    </row>
    <row r="97" spans="1:9" ht="15.75" thickBot="1" x14ac:dyDescent="0.3">
      <c r="A97" s="1175">
        <v>6172</v>
      </c>
      <c r="B97" s="1111">
        <v>5363</v>
      </c>
      <c r="C97" s="1214" t="s">
        <v>871</v>
      </c>
      <c r="D97" s="1172" t="s">
        <v>739</v>
      </c>
      <c r="E97" s="1135">
        <v>0</v>
      </c>
      <c r="F97" s="1135">
        <v>3349</v>
      </c>
      <c r="G97" s="1171">
        <v>3349</v>
      </c>
      <c r="H97" s="3050">
        <f t="shared" ref="H97" si="4">G97/F97*100</f>
        <v>100</v>
      </c>
      <c r="I97" s="1123"/>
    </row>
    <row r="98" spans="1:9" ht="15.75" hidden="1" thickBot="1" x14ac:dyDescent="0.3">
      <c r="A98" s="1175">
        <v>6330</v>
      </c>
      <c r="B98" s="1111">
        <v>5345</v>
      </c>
      <c r="C98" s="2188" t="s">
        <v>871</v>
      </c>
      <c r="D98" s="1172" t="s">
        <v>397</v>
      </c>
      <c r="E98" s="1135"/>
      <c r="F98" s="1135"/>
      <c r="G98" s="1171"/>
      <c r="H98" s="3050">
        <v>0</v>
      </c>
      <c r="I98" s="1123"/>
    </row>
    <row r="99" spans="1:9" ht="30.75" hidden="1" thickBot="1" x14ac:dyDescent="0.3">
      <c r="A99" s="2199">
        <v>6409</v>
      </c>
      <c r="B99" s="1189">
        <v>5909</v>
      </c>
      <c r="C99" s="1214" t="s">
        <v>871</v>
      </c>
      <c r="D99" s="1201" t="s">
        <v>406</v>
      </c>
      <c r="E99" s="2198">
        <v>0</v>
      </c>
      <c r="F99" s="2198">
        <v>0</v>
      </c>
      <c r="G99" s="2197">
        <v>0</v>
      </c>
      <c r="H99" s="3062">
        <v>0</v>
      </c>
      <c r="I99" s="1123"/>
    </row>
    <row r="100" spans="1:9" ht="16.5" thickTop="1" thickBot="1" x14ac:dyDescent="0.3">
      <c r="A100" s="2900" t="s">
        <v>394</v>
      </c>
      <c r="B100" s="2901"/>
      <c r="C100" s="2901"/>
      <c r="D100" s="2902"/>
      <c r="E100" s="1113">
        <f>SUM(E96:E99)</f>
        <v>0</v>
      </c>
      <c r="F100" s="1113">
        <f>SUM(F96:F99)</f>
        <v>3351</v>
      </c>
      <c r="G100" s="1113">
        <f>SUM(G96:G99)</f>
        <v>3349</v>
      </c>
      <c r="H100" s="1381">
        <f>G100/F100*100</f>
        <v>99.940316323485519</v>
      </c>
      <c r="I100" s="1123"/>
    </row>
    <row r="101" spans="1:9" ht="13.5" thickTop="1" x14ac:dyDescent="0.2">
      <c r="I101" s="1123"/>
    </row>
    <row r="102" spans="1:9" x14ac:dyDescent="0.2">
      <c r="I102" s="1123"/>
    </row>
    <row r="103" spans="1:9" ht="13.5" x14ac:dyDescent="0.25">
      <c r="A103" s="3333" t="s">
        <v>736</v>
      </c>
      <c r="B103" s="3210"/>
      <c r="C103" s="3210"/>
      <c r="D103" s="3210"/>
      <c r="E103" s="3210"/>
      <c r="F103" s="3210"/>
      <c r="G103" s="3210"/>
      <c r="H103" s="3210"/>
      <c r="I103" s="1123"/>
    </row>
    <row r="104" spans="1:9" ht="15.75" thickBot="1" x14ac:dyDescent="0.3">
      <c r="A104" s="1227" t="s">
        <v>737</v>
      </c>
      <c r="D104" s="1097"/>
      <c r="E104" s="1098"/>
      <c r="H104" s="1177" t="s">
        <v>92</v>
      </c>
      <c r="I104" s="1176"/>
    </row>
    <row r="105" spans="1:9" ht="25.5" thickTop="1" thickBot="1" x14ac:dyDescent="0.25">
      <c r="A105" s="1104" t="s">
        <v>93</v>
      </c>
      <c r="B105" s="1105" t="s">
        <v>392</v>
      </c>
      <c r="C105" s="1105" t="s">
        <v>209</v>
      </c>
      <c r="D105" s="1106" t="s">
        <v>95</v>
      </c>
      <c r="E105" s="1127" t="s">
        <v>328</v>
      </c>
      <c r="F105" s="1127" t="s">
        <v>329</v>
      </c>
      <c r="G105" s="1128" t="s">
        <v>448</v>
      </c>
      <c r="H105" s="1129" t="s">
        <v>449</v>
      </c>
    </row>
    <row r="106" spans="1:9" ht="14.25" thickTop="1" thickBot="1" x14ac:dyDescent="0.25">
      <c r="A106" s="1042">
        <v>1</v>
      </c>
      <c r="B106" s="1041">
        <v>2</v>
      </c>
      <c r="C106" s="1041">
        <v>3</v>
      </c>
      <c r="D106" s="1041">
        <v>5</v>
      </c>
      <c r="E106" s="1040">
        <v>6</v>
      </c>
      <c r="F106" s="1040">
        <v>7</v>
      </c>
      <c r="G106" s="1164">
        <v>8</v>
      </c>
      <c r="H106" s="1109" t="s">
        <v>393</v>
      </c>
    </row>
    <row r="107" spans="1:9" s="1125" customFormat="1" ht="15.75" thickTop="1" x14ac:dyDescent="0.25">
      <c r="A107" s="1175">
        <v>6172</v>
      </c>
      <c r="B107" s="1111">
        <v>5362</v>
      </c>
      <c r="C107" s="1214" t="s">
        <v>871</v>
      </c>
      <c r="D107" s="1172" t="s">
        <v>712</v>
      </c>
      <c r="E107" s="1135">
        <v>0</v>
      </c>
      <c r="F107" s="1135">
        <v>3</v>
      </c>
      <c r="G107" s="1171">
        <v>2</v>
      </c>
      <c r="H107" s="3050">
        <f>G107/F107*100</f>
        <v>66.666666666666657</v>
      </c>
    </row>
    <row r="108" spans="1:9" s="1125" customFormat="1" ht="15.75" thickBot="1" x14ac:dyDescent="0.3">
      <c r="A108" s="1175">
        <v>6172</v>
      </c>
      <c r="B108" s="1111">
        <v>5363</v>
      </c>
      <c r="C108" s="1214" t="s">
        <v>871</v>
      </c>
      <c r="D108" s="1172" t="s">
        <v>739</v>
      </c>
      <c r="E108" s="1135">
        <v>0</v>
      </c>
      <c r="F108" s="1135">
        <v>11664</v>
      </c>
      <c r="G108" s="1171">
        <v>7326</v>
      </c>
      <c r="H108" s="3050">
        <f>G108/F108*100</f>
        <v>62.808641975308646</v>
      </c>
    </row>
    <row r="109" spans="1:9" s="1125" customFormat="1" ht="15.75" hidden="1" thickBot="1" x14ac:dyDescent="0.3">
      <c r="A109" s="1175">
        <v>6330</v>
      </c>
      <c r="B109" s="1111">
        <v>5345</v>
      </c>
      <c r="C109" s="2188" t="s">
        <v>871</v>
      </c>
      <c r="D109" s="1172" t="s">
        <v>397</v>
      </c>
      <c r="E109" s="1135"/>
      <c r="F109" s="1135"/>
      <c r="G109" s="1171"/>
      <c r="H109" s="3050">
        <v>0</v>
      </c>
    </row>
    <row r="110" spans="1:9" s="2567" customFormat="1" ht="30.75" hidden="1" thickBot="1" x14ac:dyDescent="0.3">
      <c r="A110" s="2199">
        <v>6409</v>
      </c>
      <c r="B110" s="1189">
        <v>5909</v>
      </c>
      <c r="C110" s="1214" t="s">
        <v>871</v>
      </c>
      <c r="D110" s="1201" t="s">
        <v>406</v>
      </c>
      <c r="E110" s="2198">
        <v>0</v>
      </c>
      <c r="F110" s="2198">
        <v>0</v>
      </c>
      <c r="G110" s="2197">
        <v>0</v>
      </c>
      <c r="H110" s="3062">
        <v>0</v>
      </c>
    </row>
    <row r="111" spans="1:9" ht="16.5" thickTop="1" thickBot="1" x14ac:dyDescent="0.3">
      <c r="A111" s="2568" t="s">
        <v>394</v>
      </c>
      <c r="B111" s="2569"/>
      <c r="C111" s="2569"/>
      <c r="D111" s="2570"/>
      <c r="E111" s="1113">
        <f>SUM(E107:E110)</f>
        <v>0</v>
      </c>
      <c r="F111" s="1113">
        <f>SUM(F107:F110)</f>
        <v>11667</v>
      </c>
      <c r="G111" s="1113">
        <f>SUM(G107:G110)</f>
        <v>7328</v>
      </c>
      <c r="H111" s="1381">
        <f>G111/F111*100</f>
        <v>62.809634010456847</v>
      </c>
    </row>
    <row r="112" spans="1:9" ht="13.5" thickTop="1" x14ac:dyDescent="0.2">
      <c r="I112" s="1123"/>
    </row>
    <row r="113" spans="1:12" x14ac:dyDescent="0.2">
      <c r="I113" s="1123"/>
    </row>
    <row r="114" spans="1:12" x14ac:dyDescent="0.2">
      <c r="I114" s="1123"/>
    </row>
    <row r="115" spans="1:12" x14ac:dyDescent="0.2">
      <c r="I115" s="1123"/>
    </row>
    <row r="116" spans="1:12" x14ac:dyDescent="0.2">
      <c r="I116" s="1123"/>
    </row>
    <row r="117" spans="1:12" x14ac:dyDescent="0.2">
      <c r="I117" s="1123"/>
    </row>
    <row r="118" spans="1:12" x14ac:dyDescent="0.2">
      <c r="I118" s="1123"/>
    </row>
    <row r="120" spans="1:12" ht="16.5" x14ac:dyDescent="0.25">
      <c r="A120" s="1147" t="s">
        <v>251</v>
      </c>
      <c r="B120" s="1148"/>
      <c r="C120" s="1149"/>
      <c r="D120" s="1150"/>
      <c r="E120" s="1151">
        <f>SUM(E121:E123)</f>
        <v>369</v>
      </c>
      <c r="F120" s="1151">
        <f>F121+F122+F123+F124</f>
        <v>22410</v>
      </c>
      <c r="G120" s="1151">
        <f>G121+G122+G123+G124</f>
        <v>18640</v>
      </c>
      <c r="H120" s="1170">
        <f>G120/F120*100</f>
        <v>83.177153056671131</v>
      </c>
      <c r="J120" s="1153">
        <f>J121+J122+J123</f>
        <v>369000</v>
      </c>
      <c r="K120" s="1153">
        <f>K121+K122+K123</f>
        <v>22410351.34</v>
      </c>
      <c r="L120" s="1153">
        <f>L121+L122+L123</f>
        <v>18640239.02</v>
      </c>
    </row>
    <row r="121" spans="1:12" ht="15" x14ac:dyDescent="0.2">
      <c r="A121" s="1011" t="s">
        <v>147</v>
      </c>
      <c r="B121" s="1013"/>
      <c r="C121" s="1009"/>
      <c r="D121" s="1154"/>
      <c r="E121" s="1012">
        <f>+E30+E46+E47+E48+E49+E50+E51+E52+E53+E54+E55+E56+E57+E58+E59+E60+E61+E62+E63+E64+E65+E66+E67+E68+E69+E70+E71+E72+E73+E74+E75+E76+E77+E78+E79+E80+E81+E82+E83+E84+E96+E97+E107+E108</f>
        <v>369</v>
      </c>
      <c r="F121" s="1012">
        <f t="shared" ref="F121:G121" si="5">+F30+F46+F47+F48+F49+F50+F51+F52+F53+F54+F55+F56+F57+F58+F59+F60+F61+F62+F63+F64+F65+F66+F67+F68+F69+F70+F71+F72+F73+F74+F75+F76+F77+F78+F79+F80+F81+F82+F83+F84+F96+F97+F107+F108</f>
        <v>20262</v>
      </c>
      <c r="G121" s="1012">
        <f t="shared" si="5"/>
        <v>11617</v>
      </c>
      <c r="H121" s="1169">
        <f>G121/F121*100</f>
        <v>57.333925574967928</v>
      </c>
      <c r="J121" s="1155">
        <v>369000</v>
      </c>
      <c r="K121" s="1155">
        <v>20261967.34</v>
      </c>
      <c r="L121" s="1155">
        <v>11616830.68</v>
      </c>
    </row>
    <row r="122" spans="1:12" ht="15" x14ac:dyDescent="0.2">
      <c r="A122" s="1011" t="s">
        <v>148</v>
      </c>
      <c r="B122" s="1010"/>
      <c r="C122" s="1009"/>
      <c r="D122" s="1156"/>
      <c r="E122" s="1012">
        <f>+E85+E86+E87</f>
        <v>0</v>
      </c>
      <c r="F122" s="1012">
        <f t="shared" ref="F122:G122" si="6">+F85+F86+F87</f>
        <v>2148</v>
      </c>
      <c r="G122" s="1012">
        <f t="shared" si="6"/>
        <v>0</v>
      </c>
      <c r="H122" s="1169">
        <v>0</v>
      </c>
      <c r="J122" s="1155">
        <v>0</v>
      </c>
      <c r="K122" s="1155">
        <v>2148384</v>
      </c>
      <c r="L122" s="1155">
        <v>0</v>
      </c>
    </row>
    <row r="123" spans="1:12" ht="15" x14ac:dyDescent="0.2">
      <c r="A123" s="1011" t="s">
        <v>252</v>
      </c>
      <c r="B123" s="1010"/>
      <c r="C123" s="1009"/>
      <c r="D123" s="1156"/>
      <c r="E123" s="1012">
        <f>+E89</f>
        <v>0</v>
      </c>
      <c r="F123" s="1012">
        <f t="shared" ref="F123:G123" si="7">+F89</f>
        <v>0</v>
      </c>
      <c r="G123" s="1012">
        <f t="shared" si="7"/>
        <v>7023</v>
      </c>
      <c r="H123" s="1169">
        <v>0</v>
      </c>
      <c r="J123" s="1155">
        <v>0</v>
      </c>
      <c r="K123" s="1155">
        <v>0</v>
      </c>
      <c r="L123" s="1155">
        <v>7023408.3399999999</v>
      </c>
    </row>
    <row r="124" spans="1:12" ht="15" x14ac:dyDescent="0.2">
      <c r="A124" s="1011"/>
      <c r="B124" s="1010"/>
      <c r="C124" s="1009"/>
      <c r="D124" s="1156"/>
      <c r="E124" s="1012"/>
      <c r="F124" s="1012"/>
      <c r="G124" s="1012"/>
      <c r="H124" s="1008"/>
    </row>
    <row r="125" spans="1:12" ht="46.5" customHeight="1" thickBot="1" x14ac:dyDescent="0.4">
      <c r="A125" s="3264" t="s">
        <v>2020</v>
      </c>
      <c r="B125" s="3319"/>
      <c r="C125" s="3319"/>
      <c r="D125" s="3319"/>
      <c r="E125" s="1006">
        <f>SUM(E120)</f>
        <v>369</v>
      </c>
      <c r="F125" s="1006">
        <f>SUM(F120)</f>
        <v>22410</v>
      </c>
      <c r="G125" s="1006">
        <f>SUM(G120)</f>
        <v>18640</v>
      </c>
      <c r="H125" s="1005">
        <f>(G125/F125)*100</f>
        <v>83.177153056671131</v>
      </c>
    </row>
    <row r="126" spans="1:12" ht="13.5" thickTop="1" x14ac:dyDescent="0.2"/>
    <row r="245" spans="1:5" ht="13.5" thickBot="1" x14ac:dyDescent="0.25">
      <c r="A245" s="1131"/>
      <c r="B245" s="1131"/>
      <c r="C245" s="1131"/>
      <c r="D245" s="1195"/>
      <c r="E245" s="1196"/>
    </row>
    <row r="246" spans="1:5" ht="13.5" thickTop="1" x14ac:dyDescent="0.2">
      <c r="A246" s="1145"/>
      <c r="B246" s="1145"/>
      <c r="C246" s="1145"/>
      <c r="D246" s="1139"/>
      <c r="E246" s="1197"/>
    </row>
    <row r="247" spans="1:5" x14ac:dyDescent="0.2">
      <c r="D247" s="1098" t="e">
        <f>#REF!+#REF!</f>
        <v>#REF!</v>
      </c>
    </row>
  </sheetData>
  <mergeCells count="7">
    <mergeCell ref="A125:D125"/>
    <mergeCell ref="A39:D39"/>
    <mergeCell ref="A90:D90"/>
    <mergeCell ref="A8:H8"/>
    <mergeCell ref="A42:H42"/>
    <mergeCell ref="A92:H92"/>
    <mergeCell ref="A103:H103"/>
  </mergeCells>
  <pageMargins left="0.98425196850393704" right="0.78740157480314965" top="0.98425196850393704" bottom="0.98425196850393704" header="0.51181102362204722" footer="0.51181102362204722"/>
  <pageSetup paperSize="9" scale="65" firstPageNumber="149" orientation="portrait" useFirstPageNumber="1" r:id="rId1"/>
  <headerFooter alignWithMargins="0">
    <oddFooter>&amp;L&amp;"Arial,Kurzíva"Zastupitelstvo Olomouckého kraje 25. 6. 2018
5. - Rozpočet Olomouckého kraje 2017 - závěrečný  účet 
Příloha č. 3: Plnění rozpočtu výdajů Olomouckého kraje k 31. 12. 2017&amp;R&amp;"Arial,Kurzíva"Strana &amp;P (celkem 478)</oddFooter>
  </headerFooter>
  <rowBreaks count="1" manualBreakCount="1">
    <brk id="90" max="7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FF"/>
  </sheetPr>
  <dimension ref="A1:L65"/>
  <sheetViews>
    <sheetView view="pageBreakPreview" zoomScaleNormal="100" zoomScaleSheetLayoutView="100" workbookViewId="0">
      <selection activeCell="N62" sqref="N62"/>
    </sheetView>
  </sheetViews>
  <sheetFormatPr defaultRowHeight="12.75" x14ac:dyDescent="0.2"/>
  <cols>
    <col min="1" max="1" width="5" style="1236" customWidth="1"/>
    <col min="2" max="2" width="6.7109375" style="1236" customWidth="1"/>
    <col min="3" max="3" width="9.85546875" style="1236" customWidth="1"/>
    <col min="4" max="4" width="47.85546875" style="1236" customWidth="1"/>
    <col min="5" max="5" width="15.42578125" style="1236" customWidth="1"/>
    <col min="6" max="6" width="15.5703125" style="1236" customWidth="1"/>
    <col min="7" max="7" width="15.85546875" style="1236" customWidth="1"/>
    <col min="8" max="8" width="9.140625" style="1236" customWidth="1"/>
    <col min="9" max="10" width="9.140625" style="1236"/>
    <col min="11" max="11" width="18.85546875" style="1236" customWidth="1"/>
    <col min="12" max="12" width="17.7109375" style="1236" customWidth="1"/>
    <col min="13" max="256" width="9.140625" style="1236"/>
    <col min="257" max="257" width="4.7109375" style="1236" customWidth="1"/>
    <col min="258" max="258" width="6.7109375" style="1236" customWidth="1"/>
    <col min="259" max="259" width="8.85546875" style="1236" customWidth="1"/>
    <col min="260" max="260" width="47.85546875" style="1236" customWidth="1"/>
    <col min="261" max="261" width="12.85546875" style="1236" customWidth="1"/>
    <col min="262" max="262" width="15.5703125" style="1236" customWidth="1"/>
    <col min="263" max="263" width="15.85546875" style="1236" customWidth="1"/>
    <col min="264" max="264" width="6.42578125" style="1236" customWidth="1"/>
    <col min="265" max="266" width="9.140625" style="1236"/>
    <col min="267" max="267" width="18.85546875" style="1236" customWidth="1"/>
    <col min="268" max="268" width="17.7109375" style="1236" customWidth="1"/>
    <col min="269" max="512" width="9.140625" style="1236"/>
    <col min="513" max="513" width="4.7109375" style="1236" customWidth="1"/>
    <col min="514" max="514" width="6.7109375" style="1236" customWidth="1"/>
    <col min="515" max="515" width="8.85546875" style="1236" customWidth="1"/>
    <col min="516" max="516" width="47.85546875" style="1236" customWidth="1"/>
    <col min="517" max="517" width="12.85546875" style="1236" customWidth="1"/>
    <col min="518" max="518" width="15.5703125" style="1236" customWidth="1"/>
    <col min="519" max="519" width="15.85546875" style="1236" customWidth="1"/>
    <col min="520" max="520" width="6.42578125" style="1236" customWidth="1"/>
    <col min="521" max="522" width="9.140625" style="1236"/>
    <col min="523" max="523" width="18.85546875" style="1236" customWidth="1"/>
    <col min="524" max="524" width="17.7109375" style="1236" customWidth="1"/>
    <col min="525" max="768" width="9.140625" style="1236"/>
    <col min="769" max="769" width="4.7109375" style="1236" customWidth="1"/>
    <col min="770" max="770" width="6.7109375" style="1236" customWidth="1"/>
    <col min="771" max="771" width="8.85546875" style="1236" customWidth="1"/>
    <col min="772" max="772" width="47.85546875" style="1236" customWidth="1"/>
    <col min="773" max="773" width="12.85546875" style="1236" customWidth="1"/>
    <col min="774" max="774" width="15.5703125" style="1236" customWidth="1"/>
    <col min="775" max="775" width="15.85546875" style="1236" customWidth="1"/>
    <col min="776" max="776" width="6.42578125" style="1236" customWidth="1"/>
    <col min="777" max="778" width="9.140625" style="1236"/>
    <col min="779" max="779" width="18.85546875" style="1236" customWidth="1"/>
    <col min="780" max="780" width="17.7109375" style="1236" customWidth="1"/>
    <col min="781" max="1024" width="9.140625" style="1236"/>
    <col min="1025" max="1025" width="4.7109375" style="1236" customWidth="1"/>
    <col min="1026" max="1026" width="6.7109375" style="1236" customWidth="1"/>
    <col min="1027" max="1027" width="8.85546875" style="1236" customWidth="1"/>
    <col min="1028" max="1028" width="47.85546875" style="1236" customWidth="1"/>
    <col min="1029" max="1029" width="12.85546875" style="1236" customWidth="1"/>
    <col min="1030" max="1030" width="15.5703125" style="1236" customWidth="1"/>
    <col min="1031" max="1031" width="15.85546875" style="1236" customWidth="1"/>
    <col min="1032" max="1032" width="6.42578125" style="1236" customWidth="1"/>
    <col min="1033" max="1034" width="9.140625" style="1236"/>
    <col min="1035" max="1035" width="18.85546875" style="1236" customWidth="1"/>
    <col min="1036" max="1036" width="17.7109375" style="1236" customWidth="1"/>
    <col min="1037" max="1280" width="9.140625" style="1236"/>
    <col min="1281" max="1281" width="4.7109375" style="1236" customWidth="1"/>
    <col min="1282" max="1282" width="6.7109375" style="1236" customWidth="1"/>
    <col min="1283" max="1283" width="8.85546875" style="1236" customWidth="1"/>
    <col min="1284" max="1284" width="47.85546875" style="1236" customWidth="1"/>
    <col min="1285" max="1285" width="12.85546875" style="1236" customWidth="1"/>
    <col min="1286" max="1286" width="15.5703125" style="1236" customWidth="1"/>
    <col min="1287" max="1287" width="15.85546875" style="1236" customWidth="1"/>
    <col min="1288" max="1288" width="6.42578125" style="1236" customWidth="1"/>
    <col min="1289" max="1290" width="9.140625" style="1236"/>
    <col min="1291" max="1291" width="18.85546875" style="1236" customWidth="1"/>
    <col min="1292" max="1292" width="17.7109375" style="1236" customWidth="1"/>
    <col min="1293" max="1536" width="9.140625" style="1236"/>
    <col min="1537" max="1537" width="4.7109375" style="1236" customWidth="1"/>
    <col min="1538" max="1538" width="6.7109375" style="1236" customWidth="1"/>
    <col min="1539" max="1539" width="8.85546875" style="1236" customWidth="1"/>
    <col min="1540" max="1540" width="47.85546875" style="1236" customWidth="1"/>
    <col min="1541" max="1541" width="12.85546875" style="1236" customWidth="1"/>
    <col min="1542" max="1542" width="15.5703125" style="1236" customWidth="1"/>
    <col min="1543" max="1543" width="15.85546875" style="1236" customWidth="1"/>
    <col min="1544" max="1544" width="6.42578125" style="1236" customWidth="1"/>
    <col min="1545" max="1546" width="9.140625" style="1236"/>
    <col min="1547" max="1547" width="18.85546875" style="1236" customWidth="1"/>
    <col min="1548" max="1548" width="17.7109375" style="1236" customWidth="1"/>
    <col min="1549" max="1792" width="9.140625" style="1236"/>
    <col min="1793" max="1793" width="4.7109375" style="1236" customWidth="1"/>
    <col min="1794" max="1794" width="6.7109375" style="1236" customWidth="1"/>
    <col min="1795" max="1795" width="8.85546875" style="1236" customWidth="1"/>
    <col min="1796" max="1796" width="47.85546875" style="1236" customWidth="1"/>
    <col min="1797" max="1797" width="12.85546875" style="1236" customWidth="1"/>
    <col min="1798" max="1798" width="15.5703125" style="1236" customWidth="1"/>
    <col min="1799" max="1799" width="15.85546875" style="1236" customWidth="1"/>
    <col min="1800" max="1800" width="6.42578125" style="1236" customWidth="1"/>
    <col min="1801" max="1802" width="9.140625" style="1236"/>
    <col min="1803" max="1803" width="18.85546875" style="1236" customWidth="1"/>
    <col min="1804" max="1804" width="17.7109375" style="1236" customWidth="1"/>
    <col min="1805" max="2048" width="9.140625" style="1236"/>
    <col min="2049" max="2049" width="4.7109375" style="1236" customWidth="1"/>
    <col min="2050" max="2050" width="6.7109375" style="1236" customWidth="1"/>
    <col min="2051" max="2051" width="8.85546875" style="1236" customWidth="1"/>
    <col min="2052" max="2052" width="47.85546875" style="1236" customWidth="1"/>
    <col min="2053" max="2053" width="12.85546875" style="1236" customWidth="1"/>
    <col min="2054" max="2054" width="15.5703125" style="1236" customWidth="1"/>
    <col min="2055" max="2055" width="15.85546875" style="1236" customWidth="1"/>
    <col min="2056" max="2056" width="6.42578125" style="1236" customWidth="1"/>
    <col min="2057" max="2058" width="9.140625" style="1236"/>
    <col min="2059" max="2059" width="18.85546875" style="1236" customWidth="1"/>
    <col min="2060" max="2060" width="17.7109375" style="1236" customWidth="1"/>
    <col min="2061" max="2304" width="9.140625" style="1236"/>
    <col min="2305" max="2305" width="4.7109375" style="1236" customWidth="1"/>
    <col min="2306" max="2306" width="6.7109375" style="1236" customWidth="1"/>
    <col min="2307" max="2307" width="8.85546875" style="1236" customWidth="1"/>
    <col min="2308" max="2308" width="47.85546875" style="1236" customWidth="1"/>
    <col min="2309" max="2309" width="12.85546875" style="1236" customWidth="1"/>
    <col min="2310" max="2310" width="15.5703125" style="1236" customWidth="1"/>
    <col min="2311" max="2311" width="15.85546875" style="1236" customWidth="1"/>
    <col min="2312" max="2312" width="6.42578125" style="1236" customWidth="1"/>
    <col min="2313" max="2314" width="9.140625" style="1236"/>
    <col min="2315" max="2315" width="18.85546875" style="1236" customWidth="1"/>
    <col min="2316" max="2316" width="17.7109375" style="1236" customWidth="1"/>
    <col min="2317" max="2560" width="9.140625" style="1236"/>
    <col min="2561" max="2561" width="4.7109375" style="1236" customWidth="1"/>
    <col min="2562" max="2562" width="6.7109375" style="1236" customWidth="1"/>
    <col min="2563" max="2563" width="8.85546875" style="1236" customWidth="1"/>
    <col min="2564" max="2564" width="47.85546875" style="1236" customWidth="1"/>
    <col min="2565" max="2565" width="12.85546875" style="1236" customWidth="1"/>
    <col min="2566" max="2566" width="15.5703125" style="1236" customWidth="1"/>
    <col min="2567" max="2567" width="15.85546875" style="1236" customWidth="1"/>
    <col min="2568" max="2568" width="6.42578125" style="1236" customWidth="1"/>
    <col min="2569" max="2570" width="9.140625" style="1236"/>
    <col min="2571" max="2571" width="18.85546875" style="1236" customWidth="1"/>
    <col min="2572" max="2572" width="17.7109375" style="1236" customWidth="1"/>
    <col min="2573" max="2816" width="9.140625" style="1236"/>
    <col min="2817" max="2817" width="4.7109375" style="1236" customWidth="1"/>
    <col min="2818" max="2818" width="6.7109375" style="1236" customWidth="1"/>
    <col min="2819" max="2819" width="8.85546875" style="1236" customWidth="1"/>
    <col min="2820" max="2820" width="47.85546875" style="1236" customWidth="1"/>
    <col min="2821" max="2821" width="12.85546875" style="1236" customWidth="1"/>
    <col min="2822" max="2822" width="15.5703125" style="1236" customWidth="1"/>
    <col min="2823" max="2823" width="15.85546875" style="1236" customWidth="1"/>
    <col min="2824" max="2824" width="6.42578125" style="1236" customWidth="1"/>
    <col min="2825" max="2826" width="9.140625" style="1236"/>
    <col min="2827" max="2827" width="18.85546875" style="1236" customWidth="1"/>
    <col min="2828" max="2828" width="17.7109375" style="1236" customWidth="1"/>
    <col min="2829" max="3072" width="9.140625" style="1236"/>
    <col min="3073" max="3073" width="4.7109375" style="1236" customWidth="1"/>
    <col min="3074" max="3074" width="6.7109375" style="1236" customWidth="1"/>
    <col min="3075" max="3075" width="8.85546875" style="1236" customWidth="1"/>
    <col min="3076" max="3076" width="47.85546875" style="1236" customWidth="1"/>
    <col min="3077" max="3077" width="12.85546875" style="1236" customWidth="1"/>
    <col min="3078" max="3078" width="15.5703125" style="1236" customWidth="1"/>
    <col min="3079" max="3079" width="15.85546875" style="1236" customWidth="1"/>
    <col min="3080" max="3080" width="6.42578125" style="1236" customWidth="1"/>
    <col min="3081" max="3082" width="9.140625" style="1236"/>
    <col min="3083" max="3083" width="18.85546875" style="1236" customWidth="1"/>
    <col min="3084" max="3084" width="17.7109375" style="1236" customWidth="1"/>
    <col min="3085" max="3328" width="9.140625" style="1236"/>
    <col min="3329" max="3329" width="4.7109375" style="1236" customWidth="1"/>
    <col min="3330" max="3330" width="6.7109375" style="1236" customWidth="1"/>
    <col min="3331" max="3331" width="8.85546875" style="1236" customWidth="1"/>
    <col min="3332" max="3332" width="47.85546875" style="1236" customWidth="1"/>
    <col min="3333" max="3333" width="12.85546875" style="1236" customWidth="1"/>
    <col min="3334" max="3334" width="15.5703125" style="1236" customWidth="1"/>
    <col min="3335" max="3335" width="15.85546875" style="1236" customWidth="1"/>
    <col min="3336" max="3336" width="6.42578125" style="1236" customWidth="1"/>
    <col min="3337" max="3338" width="9.140625" style="1236"/>
    <col min="3339" max="3339" width="18.85546875" style="1236" customWidth="1"/>
    <col min="3340" max="3340" width="17.7109375" style="1236" customWidth="1"/>
    <col min="3341" max="3584" width="9.140625" style="1236"/>
    <col min="3585" max="3585" width="4.7109375" style="1236" customWidth="1"/>
    <col min="3586" max="3586" width="6.7109375" style="1236" customWidth="1"/>
    <col min="3587" max="3587" width="8.85546875" style="1236" customWidth="1"/>
    <col min="3588" max="3588" width="47.85546875" style="1236" customWidth="1"/>
    <col min="3589" max="3589" width="12.85546875" style="1236" customWidth="1"/>
    <col min="3590" max="3590" width="15.5703125" style="1236" customWidth="1"/>
    <col min="3591" max="3591" width="15.85546875" style="1236" customWidth="1"/>
    <col min="3592" max="3592" width="6.42578125" style="1236" customWidth="1"/>
    <col min="3593" max="3594" width="9.140625" style="1236"/>
    <col min="3595" max="3595" width="18.85546875" style="1236" customWidth="1"/>
    <col min="3596" max="3596" width="17.7109375" style="1236" customWidth="1"/>
    <col min="3597" max="3840" width="9.140625" style="1236"/>
    <col min="3841" max="3841" width="4.7109375" style="1236" customWidth="1"/>
    <col min="3842" max="3842" width="6.7109375" style="1236" customWidth="1"/>
    <col min="3843" max="3843" width="8.85546875" style="1236" customWidth="1"/>
    <col min="3844" max="3844" width="47.85546875" style="1236" customWidth="1"/>
    <col min="3845" max="3845" width="12.85546875" style="1236" customWidth="1"/>
    <col min="3846" max="3846" width="15.5703125" style="1236" customWidth="1"/>
    <col min="3847" max="3847" width="15.85546875" style="1236" customWidth="1"/>
    <col min="3848" max="3848" width="6.42578125" style="1236" customWidth="1"/>
    <col min="3849" max="3850" width="9.140625" style="1236"/>
    <col min="3851" max="3851" width="18.85546875" style="1236" customWidth="1"/>
    <col min="3852" max="3852" width="17.7109375" style="1236" customWidth="1"/>
    <col min="3853" max="4096" width="9.140625" style="1236"/>
    <col min="4097" max="4097" width="4.7109375" style="1236" customWidth="1"/>
    <col min="4098" max="4098" width="6.7109375" style="1236" customWidth="1"/>
    <col min="4099" max="4099" width="8.85546875" style="1236" customWidth="1"/>
    <col min="4100" max="4100" width="47.85546875" style="1236" customWidth="1"/>
    <col min="4101" max="4101" width="12.85546875" style="1236" customWidth="1"/>
    <col min="4102" max="4102" width="15.5703125" style="1236" customWidth="1"/>
    <col min="4103" max="4103" width="15.85546875" style="1236" customWidth="1"/>
    <col min="4104" max="4104" width="6.42578125" style="1236" customWidth="1"/>
    <col min="4105" max="4106" width="9.140625" style="1236"/>
    <col min="4107" max="4107" width="18.85546875" style="1236" customWidth="1"/>
    <col min="4108" max="4108" width="17.7109375" style="1236" customWidth="1"/>
    <col min="4109" max="4352" width="9.140625" style="1236"/>
    <col min="4353" max="4353" width="4.7109375" style="1236" customWidth="1"/>
    <col min="4354" max="4354" width="6.7109375" style="1236" customWidth="1"/>
    <col min="4355" max="4355" width="8.85546875" style="1236" customWidth="1"/>
    <col min="4356" max="4356" width="47.85546875" style="1236" customWidth="1"/>
    <col min="4357" max="4357" width="12.85546875" style="1236" customWidth="1"/>
    <col min="4358" max="4358" width="15.5703125" style="1236" customWidth="1"/>
    <col min="4359" max="4359" width="15.85546875" style="1236" customWidth="1"/>
    <col min="4360" max="4360" width="6.42578125" style="1236" customWidth="1"/>
    <col min="4361" max="4362" width="9.140625" style="1236"/>
    <col min="4363" max="4363" width="18.85546875" style="1236" customWidth="1"/>
    <col min="4364" max="4364" width="17.7109375" style="1236" customWidth="1"/>
    <col min="4365" max="4608" width="9.140625" style="1236"/>
    <col min="4609" max="4609" width="4.7109375" style="1236" customWidth="1"/>
    <col min="4610" max="4610" width="6.7109375" style="1236" customWidth="1"/>
    <col min="4611" max="4611" width="8.85546875" style="1236" customWidth="1"/>
    <col min="4612" max="4612" width="47.85546875" style="1236" customWidth="1"/>
    <col min="4613" max="4613" width="12.85546875" style="1236" customWidth="1"/>
    <col min="4614" max="4614" width="15.5703125" style="1236" customWidth="1"/>
    <col min="4615" max="4615" width="15.85546875" style="1236" customWidth="1"/>
    <col min="4616" max="4616" width="6.42578125" style="1236" customWidth="1"/>
    <col min="4617" max="4618" width="9.140625" style="1236"/>
    <col min="4619" max="4619" width="18.85546875" style="1236" customWidth="1"/>
    <col min="4620" max="4620" width="17.7109375" style="1236" customWidth="1"/>
    <col min="4621" max="4864" width="9.140625" style="1236"/>
    <col min="4865" max="4865" width="4.7109375" style="1236" customWidth="1"/>
    <col min="4866" max="4866" width="6.7109375" style="1236" customWidth="1"/>
    <col min="4867" max="4867" width="8.85546875" style="1236" customWidth="1"/>
    <col min="4868" max="4868" width="47.85546875" style="1236" customWidth="1"/>
    <col min="4869" max="4869" width="12.85546875" style="1236" customWidth="1"/>
    <col min="4870" max="4870" width="15.5703125" style="1236" customWidth="1"/>
    <col min="4871" max="4871" width="15.85546875" style="1236" customWidth="1"/>
    <col min="4872" max="4872" width="6.42578125" style="1236" customWidth="1"/>
    <col min="4873" max="4874" width="9.140625" style="1236"/>
    <col min="4875" max="4875" width="18.85546875" style="1236" customWidth="1"/>
    <col min="4876" max="4876" width="17.7109375" style="1236" customWidth="1"/>
    <col min="4877" max="5120" width="9.140625" style="1236"/>
    <col min="5121" max="5121" width="4.7109375" style="1236" customWidth="1"/>
    <col min="5122" max="5122" width="6.7109375" style="1236" customWidth="1"/>
    <col min="5123" max="5123" width="8.85546875" style="1236" customWidth="1"/>
    <col min="5124" max="5124" width="47.85546875" style="1236" customWidth="1"/>
    <col min="5125" max="5125" width="12.85546875" style="1236" customWidth="1"/>
    <col min="5126" max="5126" width="15.5703125" style="1236" customWidth="1"/>
    <col min="5127" max="5127" width="15.85546875" style="1236" customWidth="1"/>
    <col min="5128" max="5128" width="6.42578125" style="1236" customWidth="1"/>
    <col min="5129" max="5130" width="9.140625" style="1236"/>
    <col min="5131" max="5131" width="18.85546875" style="1236" customWidth="1"/>
    <col min="5132" max="5132" width="17.7109375" style="1236" customWidth="1"/>
    <col min="5133" max="5376" width="9.140625" style="1236"/>
    <col min="5377" max="5377" width="4.7109375" style="1236" customWidth="1"/>
    <col min="5378" max="5378" width="6.7109375" style="1236" customWidth="1"/>
    <col min="5379" max="5379" width="8.85546875" style="1236" customWidth="1"/>
    <col min="5380" max="5380" width="47.85546875" style="1236" customWidth="1"/>
    <col min="5381" max="5381" width="12.85546875" style="1236" customWidth="1"/>
    <col min="5382" max="5382" width="15.5703125" style="1236" customWidth="1"/>
    <col min="5383" max="5383" width="15.85546875" style="1236" customWidth="1"/>
    <col min="5384" max="5384" width="6.42578125" style="1236" customWidth="1"/>
    <col min="5385" max="5386" width="9.140625" style="1236"/>
    <col min="5387" max="5387" width="18.85546875" style="1236" customWidth="1"/>
    <col min="5388" max="5388" width="17.7109375" style="1236" customWidth="1"/>
    <col min="5389" max="5632" width="9.140625" style="1236"/>
    <col min="5633" max="5633" width="4.7109375" style="1236" customWidth="1"/>
    <col min="5634" max="5634" width="6.7109375" style="1236" customWidth="1"/>
    <col min="5635" max="5635" width="8.85546875" style="1236" customWidth="1"/>
    <col min="5636" max="5636" width="47.85546875" style="1236" customWidth="1"/>
    <col min="5637" max="5637" width="12.85546875" style="1236" customWidth="1"/>
    <col min="5638" max="5638" width="15.5703125" style="1236" customWidth="1"/>
    <col min="5639" max="5639" width="15.85546875" style="1236" customWidth="1"/>
    <col min="5640" max="5640" width="6.42578125" style="1236" customWidth="1"/>
    <col min="5641" max="5642" width="9.140625" style="1236"/>
    <col min="5643" max="5643" width="18.85546875" style="1236" customWidth="1"/>
    <col min="5644" max="5644" width="17.7109375" style="1236" customWidth="1"/>
    <col min="5645" max="5888" width="9.140625" style="1236"/>
    <col min="5889" max="5889" width="4.7109375" style="1236" customWidth="1"/>
    <col min="5890" max="5890" width="6.7109375" style="1236" customWidth="1"/>
    <col min="5891" max="5891" width="8.85546875" style="1236" customWidth="1"/>
    <col min="5892" max="5892" width="47.85546875" style="1236" customWidth="1"/>
    <col min="5893" max="5893" width="12.85546875" style="1236" customWidth="1"/>
    <col min="5894" max="5894" width="15.5703125" style="1236" customWidth="1"/>
    <col min="5895" max="5895" width="15.85546875" style="1236" customWidth="1"/>
    <col min="5896" max="5896" width="6.42578125" style="1236" customWidth="1"/>
    <col min="5897" max="5898" width="9.140625" style="1236"/>
    <col min="5899" max="5899" width="18.85546875" style="1236" customWidth="1"/>
    <col min="5900" max="5900" width="17.7109375" style="1236" customWidth="1"/>
    <col min="5901" max="6144" width="9.140625" style="1236"/>
    <col min="6145" max="6145" width="4.7109375" style="1236" customWidth="1"/>
    <col min="6146" max="6146" width="6.7109375" style="1236" customWidth="1"/>
    <col min="6147" max="6147" width="8.85546875" style="1236" customWidth="1"/>
    <col min="6148" max="6148" width="47.85546875" style="1236" customWidth="1"/>
    <col min="6149" max="6149" width="12.85546875" style="1236" customWidth="1"/>
    <col min="6150" max="6150" width="15.5703125" style="1236" customWidth="1"/>
    <col min="6151" max="6151" width="15.85546875" style="1236" customWidth="1"/>
    <col min="6152" max="6152" width="6.42578125" style="1236" customWidth="1"/>
    <col min="6153" max="6154" width="9.140625" style="1236"/>
    <col min="6155" max="6155" width="18.85546875" style="1236" customWidth="1"/>
    <col min="6156" max="6156" width="17.7109375" style="1236" customWidth="1"/>
    <col min="6157" max="6400" width="9.140625" style="1236"/>
    <col min="6401" max="6401" width="4.7109375" style="1236" customWidth="1"/>
    <col min="6402" max="6402" width="6.7109375" style="1236" customWidth="1"/>
    <col min="6403" max="6403" width="8.85546875" style="1236" customWidth="1"/>
    <col min="6404" max="6404" width="47.85546875" style="1236" customWidth="1"/>
    <col min="6405" max="6405" width="12.85546875" style="1236" customWidth="1"/>
    <col min="6406" max="6406" width="15.5703125" style="1236" customWidth="1"/>
    <col min="6407" max="6407" width="15.85546875" style="1236" customWidth="1"/>
    <col min="6408" max="6408" width="6.42578125" style="1236" customWidth="1"/>
    <col min="6409" max="6410" width="9.140625" style="1236"/>
    <col min="6411" max="6411" width="18.85546875" style="1236" customWidth="1"/>
    <col min="6412" max="6412" width="17.7109375" style="1236" customWidth="1"/>
    <col min="6413" max="6656" width="9.140625" style="1236"/>
    <col min="6657" max="6657" width="4.7109375" style="1236" customWidth="1"/>
    <col min="6658" max="6658" width="6.7109375" style="1236" customWidth="1"/>
    <col min="6659" max="6659" width="8.85546875" style="1236" customWidth="1"/>
    <col min="6660" max="6660" width="47.85546875" style="1236" customWidth="1"/>
    <col min="6661" max="6661" width="12.85546875" style="1236" customWidth="1"/>
    <col min="6662" max="6662" width="15.5703125" style="1236" customWidth="1"/>
    <col min="6663" max="6663" width="15.85546875" style="1236" customWidth="1"/>
    <col min="6664" max="6664" width="6.42578125" style="1236" customWidth="1"/>
    <col min="6665" max="6666" width="9.140625" style="1236"/>
    <col min="6667" max="6667" width="18.85546875" style="1236" customWidth="1"/>
    <col min="6668" max="6668" width="17.7109375" style="1236" customWidth="1"/>
    <col min="6669" max="6912" width="9.140625" style="1236"/>
    <col min="6913" max="6913" width="4.7109375" style="1236" customWidth="1"/>
    <col min="6914" max="6914" width="6.7109375" style="1236" customWidth="1"/>
    <col min="6915" max="6915" width="8.85546875" style="1236" customWidth="1"/>
    <col min="6916" max="6916" width="47.85546875" style="1236" customWidth="1"/>
    <col min="6917" max="6917" width="12.85546875" style="1236" customWidth="1"/>
    <col min="6918" max="6918" width="15.5703125" style="1236" customWidth="1"/>
    <col min="6919" max="6919" width="15.85546875" style="1236" customWidth="1"/>
    <col min="6920" max="6920" width="6.42578125" style="1236" customWidth="1"/>
    <col min="6921" max="6922" width="9.140625" style="1236"/>
    <col min="6923" max="6923" width="18.85546875" style="1236" customWidth="1"/>
    <col min="6924" max="6924" width="17.7109375" style="1236" customWidth="1"/>
    <col min="6925" max="7168" width="9.140625" style="1236"/>
    <col min="7169" max="7169" width="4.7109375" style="1236" customWidth="1"/>
    <col min="7170" max="7170" width="6.7109375" style="1236" customWidth="1"/>
    <col min="7171" max="7171" width="8.85546875" style="1236" customWidth="1"/>
    <col min="7172" max="7172" width="47.85546875" style="1236" customWidth="1"/>
    <col min="7173" max="7173" width="12.85546875" style="1236" customWidth="1"/>
    <col min="7174" max="7174" width="15.5703125" style="1236" customWidth="1"/>
    <col min="7175" max="7175" width="15.85546875" style="1236" customWidth="1"/>
    <col min="7176" max="7176" width="6.42578125" style="1236" customWidth="1"/>
    <col min="7177" max="7178" width="9.140625" style="1236"/>
    <col min="7179" max="7179" width="18.85546875" style="1236" customWidth="1"/>
    <col min="7180" max="7180" width="17.7109375" style="1236" customWidth="1"/>
    <col min="7181" max="7424" width="9.140625" style="1236"/>
    <col min="7425" max="7425" width="4.7109375" style="1236" customWidth="1"/>
    <col min="7426" max="7426" width="6.7109375" style="1236" customWidth="1"/>
    <col min="7427" max="7427" width="8.85546875" style="1236" customWidth="1"/>
    <col min="7428" max="7428" width="47.85546875" style="1236" customWidth="1"/>
    <col min="7429" max="7429" width="12.85546875" style="1236" customWidth="1"/>
    <col min="7430" max="7430" width="15.5703125" style="1236" customWidth="1"/>
    <col min="7431" max="7431" width="15.85546875" style="1236" customWidth="1"/>
    <col min="7432" max="7432" width="6.42578125" style="1236" customWidth="1"/>
    <col min="7433" max="7434" width="9.140625" style="1236"/>
    <col min="7435" max="7435" width="18.85546875" style="1236" customWidth="1"/>
    <col min="7436" max="7436" width="17.7109375" style="1236" customWidth="1"/>
    <col min="7437" max="7680" width="9.140625" style="1236"/>
    <col min="7681" max="7681" width="4.7109375" style="1236" customWidth="1"/>
    <col min="7682" max="7682" width="6.7109375" style="1236" customWidth="1"/>
    <col min="7683" max="7683" width="8.85546875" style="1236" customWidth="1"/>
    <col min="7684" max="7684" width="47.85546875" style="1236" customWidth="1"/>
    <col min="7685" max="7685" width="12.85546875" style="1236" customWidth="1"/>
    <col min="7686" max="7686" width="15.5703125" style="1236" customWidth="1"/>
    <col min="7687" max="7687" width="15.85546875" style="1236" customWidth="1"/>
    <col min="7688" max="7688" width="6.42578125" style="1236" customWidth="1"/>
    <col min="7689" max="7690" width="9.140625" style="1236"/>
    <col min="7691" max="7691" width="18.85546875" style="1236" customWidth="1"/>
    <col min="7692" max="7692" width="17.7109375" style="1236" customWidth="1"/>
    <col min="7693" max="7936" width="9.140625" style="1236"/>
    <col min="7937" max="7937" width="4.7109375" style="1236" customWidth="1"/>
    <col min="7938" max="7938" width="6.7109375" style="1236" customWidth="1"/>
    <col min="7939" max="7939" width="8.85546875" style="1236" customWidth="1"/>
    <col min="7940" max="7940" width="47.85546875" style="1236" customWidth="1"/>
    <col min="7941" max="7941" width="12.85546875" style="1236" customWidth="1"/>
    <col min="7942" max="7942" width="15.5703125" style="1236" customWidth="1"/>
    <col min="7943" max="7943" width="15.85546875" style="1236" customWidth="1"/>
    <col min="7944" max="7944" width="6.42578125" style="1236" customWidth="1"/>
    <col min="7945" max="7946" width="9.140625" style="1236"/>
    <col min="7947" max="7947" width="18.85546875" style="1236" customWidth="1"/>
    <col min="7948" max="7948" width="17.7109375" style="1236" customWidth="1"/>
    <col min="7949" max="8192" width="9.140625" style="1236"/>
    <col min="8193" max="8193" width="4.7109375" style="1236" customWidth="1"/>
    <col min="8194" max="8194" width="6.7109375" style="1236" customWidth="1"/>
    <col min="8195" max="8195" width="8.85546875" style="1236" customWidth="1"/>
    <col min="8196" max="8196" width="47.85546875" style="1236" customWidth="1"/>
    <col min="8197" max="8197" width="12.85546875" style="1236" customWidth="1"/>
    <col min="8198" max="8198" width="15.5703125" style="1236" customWidth="1"/>
    <col min="8199" max="8199" width="15.85546875" style="1236" customWidth="1"/>
    <col min="8200" max="8200" width="6.42578125" style="1236" customWidth="1"/>
    <col min="8201" max="8202" width="9.140625" style="1236"/>
    <col min="8203" max="8203" width="18.85546875" style="1236" customWidth="1"/>
    <col min="8204" max="8204" width="17.7109375" style="1236" customWidth="1"/>
    <col min="8205" max="8448" width="9.140625" style="1236"/>
    <col min="8449" max="8449" width="4.7109375" style="1236" customWidth="1"/>
    <col min="8450" max="8450" width="6.7109375" style="1236" customWidth="1"/>
    <col min="8451" max="8451" width="8.85546875" style="1236" customWidth="1"/>
    <col min="8452" max="8452" width="47.85546875" style="1236" customWidth="1"/>
    <col min="8453" max="8453" width="12.85546875" style="1236" customWidth="1"/>
    <col min="8454" max="8454" width="15.5703125" style="1236" customWidth="1"/>
    <col min="8455" max="8455" width="15.85546875" style="1236" customWidth="1"/>
    <col min="8456" max="8456" width="6.42578125" style="1236" customWidth="1"/>
    <col min="8457" max="8458" width="9.140625" style="1236"/>
    <col min="8459" max="8459" width="18.85546875" style="1236" customWidth="1"/>
    <col min="8460" max="8460" width="17.7109375" style="1236" customWidth="1"/>
    <col min="8461" max="8704" width="9.140625" style="1236"/>
    <col min="8705" max="8705" width="4.7109375" style="1236" customWidth="1"/>
    <col min="8706" max="8706" width="6.7109375" style="1236" customWidth="1"/>
    <col min="8707" max="8707" width="8.85546875" style="1236" customWidth="1"/>
    <col min="8708" max="8708" width="47.85546875" style="1236" customWidth="1"/>
    <col min="8709" max="8709" width="12.85546875" style="1236" customWidth="1"/>
    <col min="8710" max="8710" width="15.5703125" style="1236" customWidth="1"/>
    <col min="8711" max="8711" width="15.85546875" style="1236" customWidth="1"/>
    <col min="8712" max="8712" width="6.42578125" style="1236" customWidth="1"/>
    <col min="8713" max="8714" width="9.140625" style="1236"/>
    <col min="8715" max="8715" width="18.85546875" style="1236" customWidth="1"/>
    <col min="8716" max="8716" width="17.7109375" style="1236" customWidth="1"/>
    <col min="8717" max="8960" width="9.140625" style="1236"/>
    <col min="8961" max="8961" width="4.7109375" style="1236" customWidth="1"/>
    <col min="8962" max="8962" width="6.7109375" style="1236" customWidth="1"/>
    <col min="8963" max="8963" width="8.85546875" style="1236" customWidth="1"/>
    <col min="8964" max="8964" width="47.85546875" style="1236" customWidth="1"/>
    <col min="8965" max="8965" width="12.85546875" style="1236" customWidth="1"/>
    <col min="8966" max="8966" width="15.5703125" style="1236" customWidth="1"/>
    <col min="8967" max="8967" width="15.85546875" style="1236" customWidth="1"/>
    <col min="8968" max="8968" width="6.42578125" style="1236" customWidth="1"/>
    <col min="8969" max="8970" width="9.140625" style="1236"/>
    <col min="8971" max="8971" width="18.85546875" style="1236" customWidth="1"/>
    <col min="8972" max="8972" width="17.7109375" style="1236" customWidth="1"/>
    <col min="8973" max="9216" width="9.140625" style="1236"/>
    <col min="9217" max="9217" width="4.7109375" style="1236" customWidth="1"/>
    <col min="9218" max="9218" width="6.7109375" style="1236" customWidth="1"/>
    <col min="9219" max="9219" width="8.85546875" style="1236" customWidth="1"/>
    <col min="9220" max="9220" width="47.85546875" style="1236" customWidth="1"/>
    <col min="9221" max="9221" width="12.85546875" style="1236" customWidth="1"/>
    <col min="9222" max="9222" width="15.5703125" style="1236" customWidth="1"/>
    <col min="9223" max="9223" width="15.85546875" style="1236" customWidth="1"/>
    <col min="9224" max="9224" width="6.42578125" style="1236" customWidth="1"/>
    <col min="9225" max="9226" width="9.140625" style="1236"/>
    <col min="9227" max="9227" width="18.85546875" style="1236" customWidth="1"/>
    <col min="9228" max="9228" width="17.7109375" style="1236" customWidth="1"/>
    <col min="9229" max="9472" width="9.140625" style="1236"/>
    <col min="9473" max="9473" width="4.7109375" style="1236" customWidth="1"/>
    <col min="9474" max="9474" width="6.7109375" style="1236" customWidth="1"/>
    <col min="9475" max="9475" width="8.85546875" style="1236" customWidth="1"/>
    <col min="9476" max="9476" width="47.85546875" style="1236" customWidth="1"/>
    <col min="9477" max="9477" width="12.85546875" style="1236" customWidth="1"/>
    <col min="9478" max="9478" width="15.5703125" style="1236" customWidth="1"/>
    <col min="9479" max="9479" width="15.85546875" style="1236" customWidth="1"/>
    <col min="9480" max="9480" width="6.42578125" style="1236" customWidth="1"/>
    <col min="9481" max="9482" width="9.140625" style="1236"/>
    <col min="9483" max="9483" width="18.85546875" style="1236" customWidth="1"/>
    <col min="9484" max="9484" width="17.7109375" style="1236" customWidth="1"/>
    <col min="9485" max="9728" width="9.140625" style="1236"/>
    <col min="9729" max="9729" width="4.7109375" style="1236" customWidth="1"/>
    <col min="9730" max="9730" width="6.7109375" style="1236" customWidth="1"/>
    <col min="9731" max="9731" width="8.85546875" style="1236" customWidth="1"/>
    <col min="9732" max="9732" width="47.85546875" style="1236" customWidth="1"/>
    <col min="9733" max="9733" width="12.85546875" style="1236" customWidth="1"/>
    <col min="9734" max="9734" width="15.5703125" style="1236" customWidth="1"/>
    <col min="9735" max="9735" width="15.85546875" style="1236" customWidth="1"/>
    <col min="9736" max="9736" width="6.42578125" style="1236" customWidth="1"/>
    <col min="9737" max="9738" width="9.140625" style="1236"/>
    <col min="9739" max="9739" width="18.85546875" style="1236" customWidth="1"/>
    <col min="9740" max="9740" width="17.7109375" style="1236" customWidth="1"/>
    <col min="9741" max="9984" width="9.140625" style="1236"/>
    <col min="9985" max="9985" width="4.7109375" style="1236" customWidth="1"/>
    <col min="9986" max="9986" width="6.7109375" style="1236" customWidth="1"/>
    <col min="9987" max="9987" width="8.85546875" style="1236" customWidth="1"/>
    <col min="9988" max="9988" width="47.85546875" style="1236" customWidth="1"/>
    <col min="9989" max="9989" width="12.85546875" style="1236" customWidth="1"/>
    <col min="9990" max="9990" width="15.5703125" style="1236" customWidth="1"/>
    <col min="9991" max="9991" width="15.85546875" style="1236" customWidth="1"/>
    <col min="9992" max="9992" width="6.42578125" style="1236" customWidth="1"/>
    <col min="9993" max="9994" width="9.140625" style="1236"/>
    <col min="9995" max="9995" width="18.85546875" style="1236" customWidth="1"/>
    <col min="9996" max="9996" width="17.7109375" style="1236" customWidth="1"/>
    <col min="9997" max="10240" width="9.140625" style="1236"/>
    <col min="10241" max="10241" width="4.7109375" style="1236" customWidth="1"/>
    <col min="10242" max="10242" width="6.7109375" style="1236" customWidth="1"/>
    <col min="10243" max="10243" width="8.85546875" style="1236" customWidth="1"/>
    <col min="10244" max="10244" width="47.85546875" style="1236" customWidth="1"/>
    <col min="10245" max="10245" width="12.85546875" style="1236" customWidth="1"/>
    <col min="10246" max="10246" width="15.5703125" style="1236" customWidth="1"/>
    <col min="10247" max="10247" width="15.85546875" style="1236" customWidth="1"/>
    <col min="10248" max="10248" width="6.42578125" style="1236" customWidth="1"/>
    <col min="10249" max="10250" width="9.140625" style="1236"/>
    <col min="10251" max="10251" width="18.85546875" style="1236" customWidth="1"/>
    <col min="10252" max="10252" width="17.7109375" style="1236" customWidth="1"/>
    <col min="10253" max="10496" width="9.140625" style="1236"/>
    <col min="10497" max="10497" width="4.7109375" style="1236" customWidth="1"/>
    <col min="10498" max="10498" width="6.7109375" style="1236" customWidth="1"/>
    <col min="10499" max="10499" width="8.85546875" style="1236" customWidth="1"/>
    <col min="10500" max="10500" width="47.85546875" style="1236" customWidth="1"/>
    <col min="10501" max="10501" width="12.85546875" style="1236" customWidth="1"/>
    <col min="10502" max="10502" width="15.5703125" style="1236" customWidth="1"/>
    <col min="10503" max="10503" width="15.85546875" style="1236" customWidth="1"/>
    <col min="10504" max="10504" width="6.42578125" style="1236" customWidth="1"/>
    <col min="10505" max="10506" width="9.140625" style="1236"/>
    <col min="10507" max="10507" width="18.85546875" style="1236" customWidth="1"/>
    <col min="10508" max="10508" width="17.7109375" style="1236" customWidth="1"/>
    <col min="10509" max="10752" width="9.140625" style="1236"/>
    <col min="10753" max="10753" width="4.7109375" style="1236" customWidth="1"/>
    <col min="10754" max="10754" width="6.7109375" style="1236" customWidth="1"/>
    <col min="10755" max="10755" width="8.85546875" style="1236" customWidth="1"/>
    <col min="10756" max="10756" width="47.85546875" style="1236" customWidth="1"/>
    <col min="10757" max="10757" width="12.85546875" style="1236" customWidth="1"/>
    <col min="10758" max="10758" width="15.5703125" style="1236" customWidth="1"/>
    <col min="10759" max="10759" width="15.85546875" style="1236" customWidth="1"/>
    <col min="10760" max="10760" width="6.42578125" style="1236" customWidth="1"/>
    <col min="10761" max="10762" width="9.140625" style="1236"/>
    <col min="10763" max="10763" width="18.85546875" style="1236" customWidth="1"/>
    <col min="10764" max="10764" width="17.7109375" style="1236" customWidth="1"/>
    <col min="10765" max="11008" width="9.140625" style="1236"/>
    <col min="11009" max="11009" width="4.7109375" style="1236" customWidth="1"/>
    <col min="11010" max="11010" width="6.7109375" style="1236" customWidth="1"/>
    <col min="11011" max="11011" width="8.85546875" style="1236" customWidth="1"/>
    <col min="11012" max="11012" width="47.85546875" style="1236" customWidth="1"/>
    <col min="11013" max="11013" width="12.85546875" style="1236" customWidth="1"/>
    <col min="11014" max="11014" width="15.5703125" style="1236" customWidth="1"/>
    <col min="11015" max="11015" width="15.85546875" style="1236" customWidth="1"/>
    <col min="11016" max="11016" width="6.42578125" style="1236" customWidth="1"/>
    <col min="11017" max="11018" width="9.140625" style="1236"/>
    <col min="11019" max="11019" width="18.85546875" style="1236" customWidth="1"/>
    <col min="11020" max="11020" width="17.7109375" style="1236" customWidth="1"/>
    <col min="11021" max="11264" width="9.140625" style="1236"/>
    <col min="11265" max="11265" width="4.7109375" style="1236" customWidth="1"/>
    <col min="11266" max="11266" width="6.7109375" style="1236" customWidth="1"/>
    <col min="11267" max="11267" width="8.85546875" style="1236" customWidth="1"/>
    <col min="11268" max="11268" width="47.85546875" style="1236" customWidth="1"/>
    <col min="11269" max="11269" width="12.85546875" style="1236" customWidth="1"/>
    <col min="11270" max="11270" width="15.5703125" style="1236" customWidth="1"/>
    <col min="11271" max="11271" width="15.85546875" style="1236" customWidth="1"/>
    <col min="11272" max="11272" width="6.42578125" style="1236" customWidth="1"/>
    <col min="11273" max="11274" width="9.140625" style="1236"/>
    <col min="11275" max="11275" width="18.85546875" style="1236" customWidth="1"/>
    <col min="11276" max="11276" width="17.7109375" style="1236" customWidth="1"/>
    <col min="11277" max="11520" width="9.140625" style="1236"/>
    <col min="11521" max="11521" width="4.7109375" style="1236" customWidth="1"/>
    <col min="11522" max="11522" width="6.7109375" style="1236" customWidth="1"/>
    <col min="11523" max="11523" width="8.85546875" style="1236" customWidth="1"/>
    <col min="11524" max="11524" width="47.85546875" style="1236" customWidth="1"/>
    <col min="11525" max="11525" width="12.85546875" style="1236" customWidth="1"/>
    <col min="11526" max="11526" width="15.5703125" style="1236" customWidth="1"/>
    <col min="11527" max="11527" width="15.85546875" style="1236" customWidth="1"/>
    <col min="11528" max="11528" width="6.42578125" style="1236" customWidth="1"/>
    <col min="11529" max="11530" width="9.140625" style="1236"/>
    <col min="11531" max="11531" width="18.85546875" style="1236" customWidth="1"/>
    <col min="11532" max="11532" width="17.7109375" style="1236" customWidth="1"/>
    <col min="11533" max="11776" width="9.140625" style="1236"/>
    <col min="11777" max="11777" width="4.7109375" style="1236" customWidth="1"/>
    <col min="11778" max="11778" width="6.7109375" style="1236" customWidth="1"/>
    <col min="11779" max="11779" width="8.85546875" style="1236" customWidth="1"/>
    <col min="11780" max="11780" width="47.85546875" style="1236" customWidth="1"/>
    <col min="11781" max="11781" width="12.85546875" style="1236" customWidth="1"/>
    <col min="11782" max="11782" width="15.5703125" style="1236" customWidth="1"/>
    <col min="11783" max="11783" width="15.85546875" style="1236" customWidth="1"/>
    <col min="11784" max="11784" width="6.42578125" style="1236" customWidth="1"/>
    <col min="11785" max="11786" width="9.140625" style="1236"/>
    <col min="11787" max="11787" width="18.85546875" style="1236" customWidth="1"/>
    <col min="11788" max="11788" width="17.7109375" style="1236" customWidth="1"/>
    <col min="11789" max="12032" width="9.140625" style="1236"/>
    <col min="12033" max="12033" width="4.7109375" style="1236" customWidth="1"/>
    <col min="12034" max="12034" width="6.7109375" style="1236" customWidth="1"/>
    <col min="12035" max="12035" width="8.85546875" style="1236" customWidth="1"/>
    <col min="12036" max="12036" width="47.85546875" style="1236" customWidth="1"/>
    <col min="12037" max="12037" width="12.85546875" style="1236" customWidth="1"/>
    <col min="12038" max="12038" width="15.5703125" style="1236" customWidth="1"/>
    <col min="12039" max="12039" width="15.85546875" style="1236" customWidth="1"/>
    <col min="12040" max="12040" width="6.42578125" style="1236" customWidth="1"/>
    <col min="12041" max="12042" width="9.140625" style="1236"/>
    <col min="12043" max="12043" width="18.85546875" style="1236" customWidth="1"/>
    <col min="12044" max="12044" width="17.7109375" style="1236" customWidth="1"/>
    <col min="12045" max="12288" width="9.140625" style="1236"/>
    <col min="12289" max="12289" width="4.7109375" style="1236" customWidth="1"/>
    <col min="12290" max="12290" width="6.7109375" style="1236" customWidth="1"/>
    <col min="12291" max="12291" width="8.85546875" style="1236" customWidth="1"/>
    <col min="12292" max="12292" width="47.85546875" style="1236" customWidth="1"/>
    <col min="12293" max="12293" width="12.85546875" style="1236" customWidth="1"/>
    <col min="12294" max="12294" width="15.5703125" style="1236" customWidth="1"/>
    <col min="12295" max="12295" width="15.85546875" style="1236" customWidth="1"/>
    <col min="12296" max="12296" width="6.42578125" style="1236" customWidth="1"/>
    <col min="12297" max="12298" width="9.140625" style="1236"/>
    <col min="12299" max="12299" width="18.85546875" style="1236" customWidth="1"/>
    <col min="12300" max="12300" width="17.7109375" style="1236" customWidth="1"/>
    <col min="12301" max="12544" width="9.140625" style="1236"/>
    <col min="12545" max="12545" width="4.7109375" style="1236" customWidth="1"/>
    <col min="12546" max="12546" width="6.7109375" style="1236" customWidth="1"/>
    <col min="12547" max="12547" width="8.85546875" style="1236" customWidth="1"/>
    <col min="12548" max="12548" width="47.85546875" style="1236" customWidth="1"/>
    <col min="12549" max="12549" width="12.85546875" style="1236" customWidth="1"/>
    <col min="12550" max="12550" width="15.5703125" style="1236" customWidth="1"/>
    <col min="12551" max="12551" width="15.85546875" style="1236" customWidth="1"/>
    <col min="12552" max="12552" width="6.42578125" style="1236" customWidth="1"/>
    <col min="12553" max="12554" width="9.140625" style="1236"/>
    <col min="12555" max="12555" width="18.85546875" style="1236" customWidth="1"/>
    <col min="12556" max="12556" width="17.7109375" style="1236" customWidth="1"/>
    <col min="12557" max="12800" width="9.140625" style="1236"/>
    <col min="12801" max="12801" width="4.7109375" style="1236" customWidth="1"/>
    <col min="12802" max="12802" width="6.7109375" style="1236" customWidth="1"/>
    <col min="12803" max="12803" width="8.85546875" style="1236" customWidth="1"/>
    <col min="12804" max="12804" width="47.85546875" style="1236" customWidth="1"/>
    <col min="12805" max="12805" width="12.85546875" style="1236" customWidth="1"/>
    <col min="12806" max="12806" width="15.5703125" style="1236" customWidth="1"/>
    <col min="12807" max="12807" width="15.85546875" style="1236" customWidth="1"/>
    <col min="12808" max="12808" width="6.42578125" style="1236" customWidth="1"/>
    <col min="12809" max="12810" width="9.140625" style="1236"/>
    <col min="12811" max="12811" width="18.85546875" style="1236" customWidth="1"/>
    <col min="12812" max="12812" width="17.7109375" style="1236" customWidth="1"/>
    <col min="12813" max="13056" width="9.140625" style="1236"/>
    <col min="13057" max="13057" width="4.7109375" style="1236" customWidth="1"/>
    <col min="13058" max="13058" width="6.7109375" style="1236" customWidth="1"/>
    <col min="13059" max="13059" width="8.85546875" style="1236" customWidth="1"/>
    <col min="13060" max="13060" width="47.85546875" style="1236" customWidth="1"/>
    <col min="13061" max="13061" width="12.85546875" style="1236" customWidth="1"/>
    <col min="13062" max="13062" width="15.5703125" style="1236" customWidth="1"/>
    <col min="13063" max="13063" width="15.85546875" style="1236" customWidth="1"/>
    <col min="13064" max="13064" width="6.42578125" style="1236" customWidth="1"/>
    <col min="13065" max="13066" width="9.140625" style="1236"/>
    <col min="13067" max="13067" width="18.85546875" style="1236" customWidth="1"/>
    <col min="13068" max="13068" width="17.7109375" style="1236" customWidth="1"/>
    <col min="13069" max="13312" width="9.140625" style="1236"/>
    <col min="13313" max="13313" width="4.7109375" style="1236" customWidth="1"/>
    <col min="13314" max="13314" width="6.7109375" style="1236" customWidth="1"/>
    <col min="13315" max="13315" width="8.85546875" style="1236" customWidth="1"/>
    <col min="13316" max="13316" width="47.85546875" style="1236" customWidth="1"/>
    <col min="13317" max="13317" width="12.85546875" style="1236" customWidth="1"/>
    <col min="13318" max="13318" width="15.5703125" style="1236" customWidth="1"/>
    <col min="13319" max="13319" width="15.85546875" style="1236" customWidth="1"/>
    <col min="13320" max="13320" width="6.42578125" style="1236" customWidth="1"/>
    <col min="13321" max="13322" width="9.140625" style="1236"/>
    <col min="13323" max="13323" width="18.85546875" style="1236" customWidth="1"/>
    <col min="13324" max="13324" width="17.7109375" style="1236" customWidth="1"/>
    <col min="13325" max="13568" width="9.140625" style="1236"/>
    <col min="13569" max="13569" width="4.7109375" style="1236" customWidth="1"/>
    <col min="13570" max="13570" width="6.7109375" style="1236" customWidth="1"/>
    <col min="13571" max="13571" width="8.85546875" style="1236" customWidth="1"/>
    <col min="13572" max="13572" width="47.85546875" style="1236" customWidth="1"/>
    <col min="13573" max="13573" width="12.85546875" style="1236" customWidth="1"/>
    <col min="13574" max="13574" width="15.5703125" style="1236" customWidth="1"/>
    <col min="13575" max="13575" width="15.85546875" style="1236" customWidth="1"/>
    <col min="13576" max="13576" width="6.42578125" style="1236" customWidth="1"/>
    <col min="13577" max="13578" width="9.140625" style="1236"/>
    <col min="13579" max="13579" width="18.85546875" style="1236" customWidth="1"/>
    <col min="13580" max="13580" width="17.7109375" style="1236" customWidth="1"/>
    <col min="13581" max="13824" width="9.140625" style="1236"/>
    <col min="13825" max="13825" width="4.7109375" style="1236" customWidth="1"/>
    <col min="13826" max="13826" width="6.7109375" style="1236" customWidth="1"/>
    <col min="13827" max="13827" width="8.85546875" style="1236" customWidth="1"/>
    <col min="13828" max="13828" width="47.85546875" style="1236" customWidth="1"/>
    <col min="13829" max="13829" width="12.85546875" style="1236" customWidth="1"/>
    <col min="13830" max="13830" width="15.5703125" style="1236" customWidth="1"/>
    <col min="13831" max="13831" width="15.85546875" style="1236" customWidth="1"/>
    <col min="13832" max="13832" width="6.42578125" style="1236" customWidth="1"/>
    <col min="13833" max="13834" width="9.140625" style="1236"/>
    <col min="13835" max="13835" width="18.85546875" style="1236" customWidth="1"/>
    <col min="13836" max="13836" width="17.7109375" style="1236" customWidth="1"/>
    <col min="13837" max="14080" width="9.140625" style="1236"/>
    <col min="14081" max="14081" width="4.7109375" style="1236" customWidth="1"/>
    <col min="14082" max="14082" width="6.7109375" style="1236" customWidth="1"/>
    <col min="14083" max="14083" width="8.85546875" style="1236" customWidth="1"/>
    <col min="14084" max="14084" width="47.85546875" style="1236" customWidth="1"/>
    <col min="14085" max="14085" width="12.85546875" style="1236" customWidth="1"/>
    <col min="14086" max="14086" width="15.5703125" style="1236" customWidth="1"/>
    <col min="14087" max="14087" width="15.85546875" style="1236" customWidth="1"/>
    <col min="14088" max="14088" width="6.42578125" style="1236" customWidth="1"/>
    <col min="14089" max="14090" width="9.140625" style="1236"/>
    <col min="14091" max="14091" width="18.85546875" style="1236" customWidth="1"/>
    <col min="14092" max="14092" width="17.7109375" style="1236" customWidth="1"/>
    <col min="14093" max="14336" width="9.140625" style="1236"/>
    <col min="14337" max="14337" width="4.7109375" style="1236" customWidth="1"/>
    <col min="14338" max="14338" width="6.7109375" style="1236" customWidth="1"/>
    <col min="14339" max="14339" width="8.85546875" style="1236" customWidth="1"/>
    <col min="14340" max="14340" width="47.85546875" style="1236" customWidth="1"/>
    <col min="14341" max="14341" width="12.85546875" style="1236" customWidth="1"/>
    <col min="14342" max="14342" width="15.5703125" style="1236" customWidth="1"/>
    <col min="14343" max="14343" width="15.85546875" style="1236" customWidth="1"/>
    <col min="14344" max="14344" width="6.42578125" style="1236" customWidth="1"/>
    <col min="14345" max="14346" width="9.140625" style="1236"/>
    <col min="14347" max="14347" width="18.85546875" style="1236" customWidth="1"/>
    <col min="14348" max="14348" width="17.7109375" style="1236" customWidth="1"/>
    <col min="14349" max="14592" width="9.140625" style="1236"/>
    <col min="14593" max="14593" width="4.7109375" style="1236" customWidth="1"/>
    <col min="14594" max="14594" width="6.7109375" style="1236" customWidth="1"/>
    <col min="14595" max="14595" width="8.85546875" style="1236" customWidth="1"/>
    <col min="14596" max="14596" width="47.85546875" style="1236" customWidth="1"/>
    <col min="14597" max="14597" width="12.85546875" style="1236" customWidth="1"/>
    <col min="14598" max="14598" width="15.5703125" style="1236" customWidth="1"/>
    <col min="14599" max="14599" width="15.85546875" style="1236" customWidth="1"/>
    <col min="14600" max="14600" width="6.42578125" style="1236" customWidth="1"/>
    <col min="14601" max="14602" width="9.140625" style="1236"/>
    <col min="14603" max="14603" width="18.85546875" style="1236" customWidth="1"/>
    <col min="14604" max="14604" width="17.7109375" style="1236" customWidth="1"/>
    <col min="14605" max="14848" width="9.140625" style="1236"/>
    <col min="14849" max="14849" width="4.7109375" style="1236" customWidth="1"/>
    <col min="14850" max="14850" width="6.7109375" style="1236" customWidth="1"/>
    <col min="14851" max="14851" width="8.85546875" style="1236" customWidth="1"/>
    <col min="14852" max="14852" width="47.85546875" style="1236" customWidth="1"/>
    <col min="14853" max="14853" width="12.85546875" style="1236" customWidth="1"/>
    <col min="14854" max="14854" width="15.5703125" style="1236" customWidth="1"/>
    <col min="14855" max="14855" width="15.85546875" style="1236" customWidth="1"/>
    <col min="14856" max="14856" width="6.42578125" style="1236" customWidth="1"/>
    <col min="14857" max="14858" width="9.140625" style="1236"/>
    <col min="14859" max="14859" width="18.85546875" style="1236" customWidth="1"/>
    <col min="14860" max="14860" width="17.7109375" style="1236" customWidth="1"/>
    <col min="14861" max="15104" width="9.140625" style="1236"/>
    <col min="15105" max="15105" width="4.7109375" style="1236" customWidth="1"/>
    <col min="15106" max="15106" width="6.7109375" style="1236" customWidth="1"/>
    <col min="15107" max="15107" width="8.85546875" style="1236" customWidth="1"/>
    <col min="15108" max="15108" width="47.85546875" style="1236" customWidth="1"/>
    <col min="15109" max="15109" width="12.85546875" style="1236" customWidth="1"/>
    <col min="15110" max="15110" width="15.5703125" style="1236" customWidth="1"/>
    <col min="15111" max="15111" width="15.85546875" style="1236" customWidth="1"/>
    <col min="15112" max="15112" width="6.42578125" style="1236" customWidth="1"/>
    <col min="15113" max="15114" width="9.140625" style="1236"/>
    <col min="15115" max="15115" width="18.85546875" style="1236" customWidth="1"/>
    <col min="15116" max="15116" width="17.7109375" style="1236" customWidth="1"/>
    <col min="15117" max="15360" width="9.140625" style="1236"/>
    <col min="15361" max="15361" width="4.7109375" style="1236" customWidth="1"/>
    <col min="15362" max="15362" width="6.7109375" style="1236" customWidth="1"/>
    <col min="15363" max="15363" width="8.85546875" style="1236" customWidth="1"/>
    <col min="15364" max="15364" width="47.85546875" style="1236" customWidth="1"/>
    <col min="15365" max="15365" width="12.85546875" style="1236" customWidth="1"/>
    <col min="15366" max="15366" width="15.5703125" style="1236" customWidth="1"/>
    <col min="15367" max="15367" width="15.85546875" style="1236" customWidth="1"/>
    <col min="15368" max="15368" width="6.42578125" style="1236" customWidth="1"/>
    <col min="15369" max="15370" width="9.140625" style="1236"/>
    <col min="15371" max="15371" width="18.85546875" style="1236" customWidth="1"/>
    <col min="15372" max="15372" width="17.7109375" style="1236" customWidth="1"/>
    <col min="15373" max="15616" width="9.140625" style="1236"/>
    <col min="15617" max="15617" width="4.7109375" style="1236" customWidth="1"/>
    <col min="15618" max="15618" width="6.7109375" style="1236" customWidth="1"/>
    <col min="15619" max="15619" width="8.85546875" style="1236" customWidth="1"/>
    <col min="15620" max="15620" width="47.85546875" style="1236" customWidth="1"/>
    <col min="15621" max="15621" width="12.85546875" style="1236" customWidth="1"/>
    <col min="15622" max="15622" width="15.5703125" style="1236" customWidth="1"/>
    <col min="15623" max="15623" width="15.85546875" style="1236" customWidth="1"/>
    <col min="15624" max="15624" width="6.42578125" style="1236" customWidth="1"/>
    <col min="15625" max="15626" width="9.140625" style="1236"/>
    <col min="15627" max="15627" width="18.85546875" style="1236" customWidth="1"/>
    <col min="15628" max="15628" width="17.7109375" style="1236" customWidth="1"/>
    <col min="15629" max="15872" width="9.140625" style="1236"/>
    <col min="15873" max="15873" width="4.7109375" style="1236" customWidth="1"/>
    <col min="15874" max="15874" width="6.7109375" style="1236" customWidth="1"/>
    <col min="15875" max="15875" width="8.85546875" style="1236" customWidth="1"/>
    <col min="15876" max="15876" width="47.85546875" style="1236" customWidth="1"/>
    <col min="15877" max="15877" width="12.85546875" style="1236" customWidth="1"/>
    <col min="15878" max="15878" width="15.5703125" style="1236" customWidth="1"/>
    <col min="15879" max="15879" width="15.85546875" style="1236" customWidth="1"/>
    <col min="15880" max="15880" width="6.42578125" style="1236" customWidth="1"/>
    <col min="15881" max="15882" width="9.140625" style="1236"/>
    <col min="15883" max="15883" width="18.85546875" style="1236" customWidth="1"/>
    <col min="15884" max="15884" width="17.7109375" style="1236" customWidth="1"/>
    <col min="15885" max="16128" width="9.140625" style="1236"/>
    <col min="16129" max="16129" width="4.7109375" style="1236" customWidth="1"/>
    <col min="16130" max="16130" width="6.7109375" style="1236" customWidth="1"/>
    <col min="16131" max="16131" width="8.85546875" style="1236" customWidth="1"/>
    <col min="16132" max="16132" width="47.85546875" style="1236" customWidth="1"/>
    <col min="16133" max="16133" width="12.85546875" style="1236" customWidth="1"/>
    <col min="16134" max="16134" width="15.5703125" style="1236" customWidth="1"/>
    <col min="16135" max="16135" width="15.85546875" style="1236" customWidth="1"/>
    <col min="16136" max="16136" width="6.42578125" style="1236" customWidth="1"/>
    <col min="16137" max="16138" width="9.140625" style="1236"/>
    <col min="16139" max="16139" width="18.85546875" style="1236" customWidth="1"/>
    <col min="16140" max="16140" width="17.7109375" style="1236" customWidth="1"/>
    <col min="16141" max="16384" width="9.140625" style="1236"/>
  </cols>
  <sheetData>
    <row r="1" spans="1:8" ht="18.75" thickBot="1" x14ac:dyDescent="0.3">
      <c r="A1" s="1230" t="s">
        <v>667</v>
      </c>
      <c r="B1" s="1231"/>
      <c r="C1" s="1232"/>
      <c r="D1" s="1233"/>
      <c r="E1" s="1234"/>
      <c r="F1" s="1233"/>
      <c r="G1" s="1235"/>
      <c r="H1" s="1230"/>
    </row>
    <row r="2" spans="1:8" ht="18" x14ac:dyDescent="0.25">
      <c r="A2" s="1237"/>
      <c r="B2" s="1238"/>
      <c r="C2" s="1238"/>
      <c r="D2" s="1238"/>
      <c r="E2" s="1238"/>
      <c r="F2" s="1238"/>
      <c r="G2" s="1238"/>
      <c r="H2" s="1239" t="s">
        <v>666</v>
      </c>
    </row>
    <row r="3" spans="1:8" ht="18" x14ac:dyDescent="0.25">
      <c r="A3" s="1240" t="s">
        <v>201</v>
      </c>
      <c r="B3" s="1238"/>
      <c r="C3" s="2205" t="s">
        <v>121</v>
      </c>
      <c r="D3" s="1238"/>
      <c r="E3" s="1238"/>
      <c r="F3" s="1238"/>
      <c r="G3" s="1238"/>
      <c r="H3" s="1239"/>
    </row>
    <row r="4" spans="1:8" ht="18" x14ac:dyDescent="0.25">
      <c r="A4" s="1237"/>
      <c r="B4" s="1238"/>
      <c r="C4" s="2205" t="s">
        <v>781</v>
      </c>
      <c r="D4" s="1377"/>
      <c r="E4" s="1238"/>
      <c r="F4" s="1238"/>
      <c r="G4" s="1238"/>
      <c r="H4" s="1239"/>
    </row>
    <row r="5" spans="1:8" ht="18" x14ac:dyDescent="0.25">
      <c r="A5" s="1242" t="s">
        <v>665</v>
      </c>
      <c r="B5" s="1238"/>
      <c r="C5" s="1238"/>
      <c r="D5" s="1238"/>
      <c r="E5" s="1238"/>
      <c r="F5" s="1238"/>
      <c r="G5" s="1238"/>
      <c r="H5" s="1239"/>
    </row>
    <row r="6" spans="1:8" x14ac:dyDescent="0.2">
      <c r="A6" s="1243"/>
      <c r="B6" s="1243"/>
      <c r="C6" s="1243"/>
      <c r="E6" s="1244"/>
      <c r="F6" s="1244"/>
      <c r="G6" s="1244"/>
    </row>
    <row r="7" spans="1:8" ht="15.75" thickBot="1" x14ac:dyDescent="0.3">
      <c r="A7" s="1229" t="s">
        <v>137</v>
      </c>
      <c r="B7" s="1243"/>
      <c r="C7" s="1243"/>
      <c r="E7" s="1244"/>
      <c r="F7" s="1244"/>
      <c r="G7" s="1244"/>
      <c r="H7" s="1245" t="s">
        <v>92</v>
      </c>
    </row>
    <row r="8" spans="1:8" ht="25.5" thickTop="1" thickBot="1" x14ac:dyDescent="0.25">
      <c r="A8" s="1246" t="s">
        <v>93</v>
      </c>
      <c r="B8" s="1247" t="s">
        <v>392</v>
      </c>
      <c r="C8" s="1247" t="s">
        <v>209</v>
      </c>
      <c r="D8" s="1248" t="s">
        <v>95</v>
      </c>
      <c r="E8" s="1249" t="s">
        <v>328</v>
      </c>
      <c r="F8" s="1249" t="s">
        <v>329</v>
      </c>
      <c r="G8" s="1250" t="s">
        <v>448</v>
      </c>
      <c r="H8" s="1251" t="s">
        <v>449</v>
      </c>
    </row>
    <row r="9" spans="1:8" ht="14.25" thickTop="1" thickBot="1" x14ac:dyDescent="0.25">
      <c r="A9" s="1252">
        <v>1</v>
      </c>
      <c r="B9" s="1253">
        <v>2</v>
      </c>
      <c r="C9" s="1253">
        <v>3</v>
      </c>
      <c r="D9" s="1253">
        <v>4</v>
      </c>
      <c r="E9" s="1254">
        <v>5</v>
      </c>
      <c r="F9" s="1254">
        <v>6</v>
      </c>
      <c r="G9" s="1255">
        <v>7</v>
      </c>
      <c r="H9" s="1256" t="s">
        <v>33</v>
      </c>
    </row>
    <row r="10" spans="1:8" ht="45.75" hidden="1" thickTop="1" x14ac:dyDescent="0.2">
      <c r="A10" s="1257">
        <v>3299</v>
      </c>
      <c r="B10" s="1258">
        <v>5213</v>
      </c>
      <c r="C10" s="2204" t="s">
        <v>1046</v>
      </c>
      <c r="D10" s="1259" t="s">
        <v>601</v>
      </c>
      <c r="E10" s="1260"/>
      <c r="F10" s="1260"/>
      <c r="G10" s="1260"/>
      <c r="H10" s="1261" t="e">
        <f t="shared" ref="H10:H28" si="0">G10/F10*100</f>
        <v>#DIV/0!</v>
      </c>
    </row>
    <row r="11" spans="1:8" ht="45.75" hidden="1" thickTop="1" x14ac:dyDescent="0.2">
      <c r="A11" s="1262">
        <v>3299</v>
      </c>
      <c r="B11" s="1263">
        <v>5213</v>
      </c>
      <c r="C11" s="1309" t="s">
        <v>1045</v>
      </c>
      <c r="D11" s="1264" t="s">
        <v>601</v>
      </c>
      <c r="E11" s="1265"/>
      <c r="F11" s="1265"/>
      <c r="G11" s="1265"/>
      <c r="H11" s="1266" t="e">
        <f t="shared" si="0"/>
        <v>#DIV/0!</v>
      </c>
    </row>
    <row r="12" spans="1:8" ht="30.75" hidden="1" thickTop="1" x14ac:dyDescent="0.2">
      <c r="A12" s="1262">
        <v>3299</v>
      </c>
      <c r="B12" s="1263">
        <v>5221</v>
      </c>
      <c r="C12" s="1309" t="s">
        <v>1046</v>
      </c>
      <c r="D12" s="1264" t="s">
        <v>636</v>
      </c>
      <c r="E12" s="1265"/>
      <c r="F12" s="1265"/>
      <c r="G12" s="1265"/>
      <c r="H12" s="1266" t="e">
        <f t="shared" si="0"/>
        <v>#DIV/0!</v>
      </c>
    </row>
    <row r="13" spans="1:8" ht="30.75" hidden="1" thickTop="1" x14ac:dyDescent="0.2">
      <c r="A13" s="1262">
        <v>3299</v>
      </c>
      <c r="B13" s="1263">
        <v>5221</v>
      </c>
      <c r="C13" s="1309" t="s">
        <v>1045</v>
      </c>
      <c r="D13" s="1264" t="s">
        <v>636</v>
      </c>
      <c r="E13" s="1265"/>
      <c r="F13" s="1265"/>
      <c r="G13" s="1265"/>
      <c r="H13" s="1266" t="e">
        <f t="shared" si="0"/>
        <v>#DIV/0!</v>
      </c>
    </row>
    <row r="14" spans="1:8" ht="30.75" hidden="1" thickTop="1" x14ac:dyDescent="0.2">
      <c r="A14" s="1262">
        <v>3299</v>
      </c>
      <c r="B14" s="1263">
        <v>5223</v>
      </c>
      <c r="C14" s="1309" t="s">
        <v>1046</v>
      </c>
      <c r="D14" s="1264" t="s">
        <v>851</v>
      </c>
      <c r="E14" s="1265"/>
      <c r="F14" s="1265"/>
      <c r="G14" s="1265"/>
      <c r="H14" s="1266" t="e">
        <f t="shared" si="0"/>
        <v>#DIV/0!</v>
      </c>
    </row>
    <row r="15" spans="1:8" ht="30.75" hidden="1" thickTop="1" x14ac:dyDescent="0.2">
      <c r="A15" s="1262">
        <v>3299</v>
      </c>
      <c r="B15" s="1263">
        <v>5223</v>
      </c>
      <c r="C15" s="1309" t="s">
        <v>1045</v>
      </c>
      <c r="D15" s="1264" t="s">
        <v>851</v>
      </c>
      <c r="E15" s="1265"/>
      <c r="F15" s="1265"/>
      <c r="G15" s="1265"/>
      <c r="H15" s="1266" t="e">
        <f t="shared" si="0"/>
        <v>#DIV/0!</v>
      </c>
    </row>
    <row r="16" spans="1:8" ht="31.5" hidden="1" customHeight="1" x14ac:dyDescent="0.2">
      <c r="A16" s="1262">
        <v>3299</v>
      </c>
      <c r="B16" s="1263">
        <v>5229</v>
      </c>
      <c r="C16" s="1309" t="s">
        <v>1046</v>
      </c>
      <c r="D16" s="1264" t="s">
        <v>484</v>
      </c>
      <c r="E16" s="1265"/>
      <c r="F16" s="1265"/>
      <c r="G16" s="1265"/>
      <c r="H16" s="1266" t="e">
        <f t="shared" si="0"/>
        <v>#DIV/0!</v>
      </c>
    </row>
    <row r="17" spans="1:11" ht="30.75" hidden="1" thickTop="1" x14ac:dyDescent="0.2">
      <c r="A17" s="1262">
        <v>3299</v>
      </c>
      <c r="B17" s="1263">
        <v>5229</v>
      </c>
      <c r="C17" s="1309" t="s">
        <v>1045</v>
      </c>
      <c r="D17" s="1264" t="s">
        <v>484</v>
      </c>
      <c r="E17" s="1265"/>
      <c r="F17" s="1265"/>
      <c r="G17" s="1265"/>
      <c r="H17" s="1266" t="e">
        <f t="shared" si="0"/>
        <v>#DIV/0!</v>
      </c>
    </row>
    <row r="18" spans="1:11" ht="26.25" hidden="1" thickTop="1" x14ac:dyDescent="0.2">
      <c r="A18" s="1262">
        <v>3299</v>
      </c>
      <c r="B18" s="1263">
        <v>5332</v>
      </c>
      <c r="C18" s="2203" t="s">
        <v>1046</v>
      </c>
      <c r="D18" s="1264" t="s">
        <v>319</v>
      </c>
      <c r="E18" s="1265"/>
      <c r="F18" s="1265"/>
      <c r="G18" s="1265"/>
      <c r="H18" s="1266" t="e">
        <f t="shared" si="0"/>
        <v>#DIV/0!</v>
      </c>
    </row>
    <row r="19" spans="1:11" ht="26.25" hidden="1" thickTop="1" x14ac:dyDescent="0.2">
      <c r="A19" s="1262">
        <v>3299</v>
      </c>
      <c r="B19" s="1263">
        <v>5332</v>
      </c>
      <c r="C19" s="2203" t="s">
        <v>1045</v>
      </c>
      <c r="D19" s="1264" t="s">
        <v>319</v>
      </c>
      <c r="E19" s="1265"/>
      <c r="F19" s="1265"/>
      <c r="G19" s="1265"/>
      <c r="H19" s="1266" t="e">
        <f t="shared" si="0"/>
        <v>#DIV/0!</v>
      </c>
    </row>
    <row r="20" spans="1:11" ht="15" hidden="1" customHeight="1" x14ac:dyDescent="0.2">
      <c r="A20" s="1262">
        <v>3299</v>
      </c>
      <c r="B20" s="1263">
        <v>5901</v>
      </c>
      <c r="C20" s="2203" t="s">
        <v>1046</v>
      </c>
      <c r="D20" s="1264" t="s">
        <v>311</v>
      </c>
      <c r="E20" s="1265"/>
      <c r="F20" s="1265"/>
      <c r="G20" s="1265"/>
      <c r="H20" s="1266" t="e">
        <f t="shared" si="0"/>
        <v>#DIV/0!</v>
      </c>
    </row>
    <row r="21" spans="1:11" ht="15" hidden="1" customHeight="1" x14ac:dyDescent="0.2">
      <c r="A21" s="1262">
        <v>3299</v>
      </c>
      <c r="B21" s="1263">
        <v>5901</v>
      </c>
      <c r="C21" s="2203" t="s">
        <v>1045</v>
      </c>
      <c r="D21" s="1264" t="s">
        <v>311</v>
      </c>
      <c r="E21" s="1265"/>
      <c r="F21" s="1265"/>
      <c r="G21" s="1265"/>
      <c r="H21" s="1266" t="e">
        <f t="shared" si="0"/>
        <v>#DIV/0!</v>
      </c>
    </row>
    <row r="22" spans="1:11" ht="15" customHeight="1" thickTop="1" x14ac:dyDescent="0.2">
      <c r="A22" s="1262">
        <v>3299</v>
      </c>
      <c r="B22" s="1263">
        <v>5909</v>
      </c>
      <c r="C22" s="2203" t="s">
        <v>871</v>
      </c>
      <c r="D22" s="1264" t="s">
        <v>1447</v>
      </c>
      <c r="E22" s="1265"/>
      <c r="F22" s="1265"/>
      <c r="G22" s="1265"/>
      <c r="H22" s="1266" t="e">
        <f t="shared" si="0"/>
        <v>#DIV/0!</v>
      </c>
    </row>
    <row r="23" spans="1:11" ht="30" hidden="1" x14ac:dyDescent="0.2">
      <c r="A23" s="1262">
        <v>3299</v>
      </c>
      <c r="B23" s="1263">
        <v>6321</v>
      </c>
      <c r="C23" s="2203" t="s">
        <v>1048</v>
      </c>
      <c r="D23" s="1264" t="s">
        <v>535</v>
      </c>
      <c r="E23" s="1265"/>
      <c r="F23" s="1265"/>
      <c r="G23" s="1265"/>
      <c r="H23" s="1266" t="e">
        <f t="shared" si="0"/>
        <v>#DIV/0!</v>
      </c>
    </row>
    <row r="24" spans="1:11" ht="30" hidden="1" x14ac:dyDescent="0.2">
      <c r="A24" s="1262">
        <v>3299</v>
      </c>
      <c r="B24" s="1263">
        <v>6321</v>
      </c>
      <c r="C24" s="2203" t="s">
        <v>1047</v>
      </c>
      <c r="D24" s="1264" t="s">
        <v>535</v>
      </c>
      <c r="E24" s="1265"/>
      <c r="F24" s="1265"/>
      <c r="G24" s="1265"/>
      <c r="H24" s="1266" t="e">
        <f t="shared" si="0"/>
        <v>#DIV/0!</v>
      </c>
    </row>
    <row r="25" spans="1:11" ht="30" hidden="1" x14ac:dyDescent="0.2">
      <c r="A25" s="1262">
        <v>3299</v>
      </c>
      <c r="B25" s="1263">
        <v>6323</v>
      </c>
      <c r="C25" s="2203" t="s">
        <v>1048</v>
      </c>
      <c r="D25" s="1264" t="s">
        <v>293</v>
      </c>
      <c r="E25" s="1265"/>
      <c r="F25" s="1265"/>
      <c r="G25" s="1265"/>
      <c r="H25" s="1266" t="e">
        <f t="shared" si="0"/>
        <v>#DIV/0!</v>
      </c>
    </row>
    <row r="26" spans="1:11" ht="30" hidden="1" x14ac:dyDescent="0.2">
      <c r="A26" s="1262">
        <v>3299</v>
      </c>
      <c r="B26" s="1263">
        <v>6323</v>
      </c>
      <c r="C26" s="2203" t="s">
        <v>1047</v>
      </c>
      <c r="D26" s="1264" t="s">
        <v>293</v>
      </c>
      <c r="E26" s="1265"/>
      <c r="F26" s="1265"/>
      <c r="G26" s="1265"/>
      <c r="H26" s="1266" t="e">
        <f t="shared" si="0"/>
        <v>#DIV/0!</v>
      </c>
    </row>
    <row r="27" spans="1:11" ht="15" hidden="1" customHeight="1" x14ac:dyDescent="0.2">
      <c r="A27" s="1262">
        <v>3636</v>
      </c>
      <c r="B27" s="1263">
        <v>6901</v>
      </c>
      <c r="C27" s="2203" t="s">
        <v>1048</v>
      </c>
      <c r="D27" s="1264" t="s">
        <v>239</v>
      </c>
      <c r="E27" s="1265"/>
      <c r="F27" s="1265"/>
      <c r="G27" s="1265"/>
      <c r="H27" s="1266" t="e">
        <f t="shared" si="0"/>
        <v>#DIV/0!</v>
      </c>
    </row>
    <row r="28" spans="1:11" ht="25.5" hidden="1" x14ac:dyDescent="0.2">
      <c r="A28" s="1262">
        <v>3636</v>
      </c>
      <c r="B28" s="1263">
        <v>6901</v>
      </c>
      <c r="C28" s="2203" t="s">
        <v>1047</v>
      </c>
      <c r="D28" s="1264" t="s">
        <v>239</v>
      </c>
      <c r="E28" s="1265"/>
      <c r="F28" s="1265"/>
      <c r="G28" s="1265"/>
      <c r="H28" s="1266" t="e">
        <f t="shared" si="0"/>
        <v>#DIV/0!</v>
      </c>
    </row>
    <row r="29" spans="1:11" ht="25.5" x14ac:dyDescent="0.2">
      <c r="A29" s="1262">
        <v>6330</v>
      </c>
      <c r="B29" s="1263">
        <v>5345</v>
      </c>
      <c r="C29" s="2203" t="s">
        <v>871</v>
      </c>
      <c r="D29" s="1264" t="s">
        <v>397</v>
      </c>
      <c r="E29" s="1265"/>
      <c r="F29" s="1265"/>
      <c r="G29" s="1265"/>
      <c r="H29" s="1266">
        <v>0</v>
      </c>
    </row>
    <row r="30" spans="1:11" ht="25.5" x14ac:dyDescent="0.2">
      <c r="A30" s="1262">
        <v>6402</v>
      </c>
      <c r="B30" s="1263">
        <v>5363</v>
      </c>
      <c r="C30" s="2203" t="s">
        <v>882</v>
      </c>
      <c r="D30" s="1264" t="s">
        <v>739</v>
      </c>
      <c r="E30" s="1265"/>
      <c r="F30" s="1265"/>
      <c r="G30" s="1265"/>
      <c r="H30" s="1266" t="e">
        <f>G30/F30*100</f>
        <v>#DIV/0!</v>
      </c>
      <c r="J30" s="1236">
        <f>17887.85+40.38</f>
        <v>17928.23</v>
      </c>
      <c r="K30" s="1236">
        <f>31179.23+82654322.71</f>
        <v>82685501.939999998</v>
      </c>
    </row>
    <row r="31" spans="1:11" ht="30.75" thickBot="1" x14ac:dyDescent="0.25">
      <c r="A31" s="1262">
        <v>6402</v>
      </c>
      <c r="B31" s="1263">
        <v>5364</v>
      </c>
      <c r="C31" s="2203" t="s">
        <v>882</v>
      </c>
      <c r="D31" s="1264" t="s">
        <v>1022</v>
      </c>
      <c r="E31" s="1265"/>
      <c r="F31" s="1265"/>
      <c r="G31" s="1265"/>
      <c r="H31" s="1266" t="e">
        <f>G31/F31*100</f>
        <v>#DIV/0!</v>
      </c>
    </row>
    <row r="32" spans="1:11" ht="16.5" thickTop="1" thickBot="1" x14ac:dyDescent="0.3">
      <c r="A32" s="3342" t="s">
        <v>394</v>
      </c>
      <c r="B32" s="3343"/>
      <c r="C32" s="3343"/>
      <c r="D32" s="3343"/>
      <c r="E32" s="1269">
        <f>SUM(E10:E31)</f>
        <v>0</v>
      </c>
      <c r="F32" s="1269">
        <f>SUM(F10:F31)</f>
        <v>0</v>
      </c>
      <c r="G32" s="1269">
        <f>SUM(G10:G31)</f>
        <v>0</v>
      </c>
      <c r="H32" s="1270" t="e">
        <f>G32/F32*100</f>
        <v>#DIV/0!</v>
      </c>
    </row>
    <row r="33" spans="1:9" ht="13.5" thickTop="1" x14ac:dyDescent="0.2"/>
    <row r="35" spans="1:9" ht="15" hidden="1" x14ac:dyDescent="0.25">
      <c r="A35" s="1229" t="s">
        <v>771</v>
      </c>
      <c r="B35" s="1243"/>
      <c r="C35" s="1243"/>
      <c r="D35" s="1243"/>
      <c r="F35" s="1244"/>
      <c r="G35" s="1244"/>
      <c r="H35" s="1244"/>
      <c r="I35" s="1244"/>
    </row>
    <row r="36" spans="1:9" ht="15" hidden="1" x14ac:dyDescent="0.25">
      <c r="A36" s="1229" t="s">
        <v>742</v>
      </c>
      <c r="B36" s="1243"/>
      <c r="C36" s="1243"/>
      <c r="D36" s="1243"/>
      <c r="F36" s="1244"/>
      <c r="G36" s="1244"/>
      <c r="H36" s="1245" t="s">
        <v>92</v>
      </c>
      <c r="I36" s="1244"/>
    </row>
    <row r="37" spans="1:9" ht="25.5" hidden="1" thickTop="1" thickBot="1" x14ac:dyDescent="0.25">
      <c r="A37" s="1246" t="s">
        <v>93</v>
      </c>
      <c r="B37" s="1247" t="s">
        <v>392</v>
      </c>
      <c r="C37" s="1247" t="s">
        <v>209</v>
      </c>
      <c r="D37" s="1248" t="s">
        <v>95</v>
      </c>
      <c r="E37" s="1249" t="s">
        <v>328</v>
      </c>
      <c r="F37" s="1249" t="s">
        <v>329</v>
      </c>
      <c r="G37" s="1250" t="s">
        <v>448</v>
      </c>
      <c r="H37" s="1251" t="s">
        <v>449</v>
      </c>
      <c r="I37" s="1244"/>
    </row>
    <row r="38" spans="1:9" ht="14.25" hidden="1" thickTop="1" thickBot="1" x14ac:dyDescent="0.25">
      <c r="A38" s="1252">
        <v>1</v>
      </c>
      <c r="B38" s="1253">
        <v>2</v>
      </c>
      <c r="C38" s="1253">
        <v>3</v>
      </c>
      <c r="D38" s="1253">
        <v>5</v>
      </c>
      <c r="E38" s="1254">
        <v>6</v>
      </c>
      <c r="F38" s="1254">
        <v>7</v>
      </c>
      <c r="G38" s="1255">
        <v>8</v>
      </c>
      <c r="H38" s="1271" t="s">
        <v>393</v>
      </c>
      <c r="I38" s="1244"/>
    </row>
    <row r="39" spans="1:9" ht="30.75" hidden="1" thickTop="1" x14ac:dyDescent="0.2">
      <c r="A39" s="1262">
        <v>3299</v>
      </c>
      <c r="B39" s="1263">
        <v>5336</v>
      </c>
      <c r="C39" s="1309">
        <v>32133030</v>
      </c>
      <c r="D39" s="1264" t="s">
        <v>602</v>
      </c>
      <c r="E39" s="1260"/>
      <c r="F39" s="1260"/>
      <c r="G39" s="1272"/>
      <c r="H39" s="1261" t="e">
        <f>G39/F39*100</f>
        <v>#DIV/0!</v>
      </c>
      <c r="I39" s="1244"/>
    </row>
    <row r="40" spans="1:9" ht="30" hidden="1" x14ac:dyDescent="0.2">
      <c r="A40" s="1262">
        <v>3299</v>
      </c>
      <c r="B40" s="1263">
        <v>5336</v>
      </c>
      <c r="C40" s="1309">
        <v>32533030</v>
      </c>
      <c r="D40" s="1264" t="s">
        <v>602</v>
      </c>
      <c r="E40" s="1265"/>
      <c r="F40" s="1265"/>
      <c r="G40" s="1273"/>
      <c r="H40" s="1266" t="e">
        <f>G40/F40*100</f>
        <v>#DIV/0!</v>
      </c>
      <c r="I40" s="1244"/>
    </row>
    <row r="41" spans="1:9" ht="30" hidden="1" x14ac:dyDescent="0.2">
      <c r="A41" s="1262">
        <v>3299</v>
      </c>
      <c r="B41" s="1263">
        <v>6351</v>
      </c>
      <c r="C41" s="1263">
        <v>32133926</v>
      </c>
      <c r="D41" s="1264" t="s">
        <v>603</v>
      </c>
      <c r="E41" s="1265">
        <v>0</v>
      </c>
      <c r="F41" s="1265">
        <v>0</v>
      </c>
      <c r="G41" s="1273">
        <v>0</v>
      </c>
      <c r="H41" s="1266" t="e">
        <f>G41/F41*100</f>
        <v>#DIV/0!</v>
      </c>
      <c r="I41" s="1244"/>
    </row>
    <row r="42" spans="1:9" ht="30" hidden="1" x14ac:dyDescent="0.2">
      <c r="A42" s="1262">
        <v>3299</v>
      </c>
      <c r="B42" s="1263">
        <v>6351</v>
      </c>
      <c r="C42" s="1263">
        <v>32533926</v>
      </c>
      <c r="D42" s="1264" t="s">
        <v>603</v>
      </c>
      <c r="E42" s="1265">
        <v>0</v>
      </c>
      <c r="F42" s="1265">
        <v>0</v>
      </c>
      <c r="G42" s="1273">
        <v>0</v>
      </c>
      <c r="H42" s="1266" t="e">
        <f>G42/F42*100</f>
        <v>#DIV/0!</v>
      </c>
      <c r="I42" s="1244"/>
    </row>
    <row r="43" spans="1:9" ht="16.5" hidden="1" thickTop="1" thickBot="1" x14ac:dyDescent="0.3">
      <c r="A43" s="1274" t="s">
        <v>394</v>
      </c>
      <c r="B43" s="1275"/>
      <c r="C43" s="1275"/>
      <c r="D43" s="1276"/>
      <c r="E43" s="1269">
        <f>SUM(E39:E42)</f>
        <v>0</v>
      </c>
      <c r="F43" s="1269">
        <f>SUM(F39:F42)</f>
        <v>0</v>
      </c>
      <c r="G43" s="1269">
        <f>SUM(G39:G42)</f>
        <v>0</v>
      </c>
      <c r="H43" s="1270" t="e">
        <f>G43/F43*100</f>
        <v>#DIV/0!</v>
      </c>
      <c r="I43" s="1244"/>
    </row>
    <row r="44" spans="1:9" hidden="1" x14ac:dyDescent="0.2">
      <c r="A44" s="1243"/>
      <c r="B44" s="1243"/>
      <c r="C44" s="1243"/>
      <c r="E44" s="1244"/>
      <c r="F44" s="1244"/>
      <c r="G44" s="1244"/>
      <c r="I44" s="1244"/>
    </row>
    <row r="46" spans="1:9" ht="15" hidden="1" x14ac:dyDescent="0.25">
      <c r="A46" s="1229" t="s">
        <v>743</v>
      </c>
      <c r="B46" s="1243"/>
      <c r="C46" s="1243"/>
      <c r="D46" s="1243"/>
      <c r="F46" s="1244"/>
      <c r="G46" s="1244"/>
      <c r="H46" s="1244"/>
      <c r="I46" s="1244"/>
    </row>
    <row r="47" spans="1:9" ht="15" hidden="1" x14ac:dyDescent="0.25">
      <c r="A47" s="1229" t="s">
        <v>744</v>
      </c>
      <c r="B47" s="1243"/>
      <c r="C47" s="1243"/>
      <c r="D47" s="1243"/>
      <c r="F47" s="1244"/>
      <c r="G47" s="1244"/>
      <c r="H47" s="1245" t="s">
        <v>92</v>
      </c>
      <c r="I47" s="1244"/>
    </row>
    <row r="48" spans="1:9" ht="25.5" hidden="1" thickTop="1" thickBot="1" x14ac:dyDescent="0.25">
      <c r="A48" s="1246" t="s">
        <v>93</v>
      </c>
      <c r="B48" s="1247" t="s">
        <v>392</v>
      </c>
      <c r="C48" s="1247" t="s">
        <v>209</v>
      </c>
      <c r="D48" s="1248" t="s">
        <v>95</v>
      </c>
      <c r="E48" s="1249" t="s">
        <v>328</v>
      </c>
      <c r="F48" s="1249" t="s">
        <v>329</v>
      </c>
      <c r="G48" s="1250" t="s">
        <v>448</v>
      </c>
      <c r="H48" s="1251" t="s">
        <v>449</v>
      </c>
      <c r="I48" s="1244"/>
    </row>
    <row r="49" spans="1:12" ht="14.25" hidden="1" thickTop="1" thickBot="1" x14ac:dyDescent="0.25">
      <c r="A49" s="1252">
        <v>1</v>
      </c>
      <c r="B49" s="1253">
        <v>2</v>
      </c>
      <c r="C49" s="1253">
        <v>3</v>
      </c>
      <c r="D49" s="1253">
        <v>5</v>
      </c>
      <c r="E49" s="1254">
        <v>6</v>
      </c>
      <c r="F49" s="1254">
        <v>7</v>
      </c>
      <c r="G49" s="1255">
        <v>8</v>
      </c>
      <c r="H49" s="1271" t="s">
        <v>393</v>
      </c>
      <c r="I49" s="1244"/>
    </row>
    <row r="50" spans="1:12" ht="30.75" hidden="1" thickTop="1" x14ac:dyDescent="0.25">
      <c r="A50" s="1262">
        <v>3299</v>
      </c>
      <c r="B50" s="1263">
        <v>5221</v>
      </c>
      <c r="C50" s="1263">
        <v>32133030</v>
      </c>
      <c r="D50" s="1284" t="s">
        <v>636</v>
      </c>
      <c r="E50" s="1260">
        <v>0</v>
      </c>
      <c r="F50" s="1260">
        <v>0</v>
      </c>
      <c r="G50" s="1272">
        <v>0</v>
      </c>
      <c r="H50" s="1261" t="e">
        <f>G50/F50*100</f>
        <v>#DIV/0!</v>
      </c>
      <c r="I50" s="1244"/>
    </row>
    <row r="51" spans="1:12" ht="15" hidden="1" x14ac:dyDescent="0.25">
      <c r="A51" s="1278">
        <v>3299</v>
      </c>
      <c r="B51" s="1279">
        <v>5321</v>
      </c>
      <c r="C51" s="2201" t="s">
        <v>1046</v>
      </c>
      <c r="D51" s="1281" t="s">
        <v>566</v>
      </c>
      <c r="E51" s="1265"/>
      <c r="F51" s="1265"/>
      <c r="G51" s="1273"/>
      <c r="H51" s="1266" t="e">
        <f>G51/F51*100</f>
        <v>#DIV/0!</v>
      </c>
      <c r="I51" s="1244"/>
    </row>
    <row r="52" spans="1:12" ht="15" hidden="1" x14ac:dyDescent="0.25">
      <c r="A52" s="1278">
        <v>3299</v>
      </c>
      <c r="B52" s="1279">
        <v>5321</v>
      </c>
      <c r="C52" s="2201" t="s">
        <v>1045</v>
      </c>
      <c r="D52" s="1281" t="s">
        <v>566</v>
      </c>
      <c r="E52" s="1265"/>
      <c r="F52" s="1265"/>
      <c r="G52" s="1273"/>
      <c r="H52" s="1266" t="e">
        <f>G52/F52*100</f>
        <v>#DIV/0!</v>
      </c>
      <c r="I52" s="1244"/>
    </row>
    <row r="53" spans="1:12" ht="15.75" hidden="1" thickBot="1" x14ac:dyDescent="0.3">
      <c r="A53" s="1282">
        <v>3299</v>
      </c>
      <c r="B53" s="1283">
        <v>6341</v>
      </c>
      <c r="C53" s="1283">
        <v>32533926</v>
      </c>
      <c r="D53" s="1280" t="s">
        <v>136</v>
      </c>
      <c r="E53" s="1265">
        <v>0</v>
      </c>
      <c r="F53" s="1265">
        <v>0</v>
      </c>
      <c r="G53" s="1273">
        <v>0</v>
      </c>
      <c r="H53" s="1266" t="e">
        <f>G53/F53*100</f>
        <v>#DIV/0!</v>
      </c>
      <c r="I53" s="1244"/>
    </row>
    <row r="54" spans="1:12" ht="16.5" hidden="1" thickTop="1" thickBot="1" x14ac:dyDescent="0.3">
      <c r="A54" s="1274" t="s">
        <v>394</v>
      </c>
      <c r="B54" s="1275"/>
      <c r="C54" s="1275"/>
      <c r="D54" s="1276"/>
      <c r="E54" s="1269">
        <f>SUM(E50:E53)</f>
        <v>0</v>
      </c>
      <c r="F54" s="1269">
        <f>SUM(F50:F53)</f>
        <v>0</v>
      </c>
      <c r="G54" s="1269">
        <f>SUM(G50:G53)</f>
        <v>0</v>
      </c>
      <c r="H54" s="1270" t="e">
        <f>G54/F54*100</f>
        <v>#DIV/0!</v>
      </c>
      <c r="I54" s="1244"/>
    </row>
    <row r="55" spans="1:12" hidden="1" x14ac:dyDescent="0.2"/>
    <row r="59" spans="1:12" ht="16.5" x14ac:dyDescent="0.25">
      <c r="A59" s="1285" t="s">
        <v>251</v>
      </c>
      <c r="B59" s="1286"/>
      <c r="C59" s="1287"/>
      <c r="D59" s="1288"/>
      <c r="E59" s="1289">
        <f>SUM(E60:E62)</f>
        <v>0</v>
      </c>
      <c r="F59" s="1289">
        <f>F60+F61+F62+F63</f>
        <v>0</v>
      </c>
      <c r="G59" s="1289">
        <f>G60+G61+G62+G63</f>
        <v>0</v>
      </c>
      <c r="H59" s="1290" t="e">
        <f>G59/F59*100</f>
        <v>#DIV/0!</v>
      </c>
      <c r="J59" s="1291">
        <f>J60+J61+J62</f>
        <v>0</v>
      </c>
      <c r="K59" s="1291">
        <f>K60+K61+K62</f>
        <v>0</v>
      </c>
      <c r="L59" s="1291">
        <f>L60+L61+L62</f>
        <v>0</v>
      </c>
    </row>
    <row r="60" spans="1:12" ht="15" x14ac:dyDescent="0.2">
      <c r="A60" s="1292" t="s">
        <v>147</v>
      </c>
      <c r="B60" s="1293"/>
      <c r="C60" s="1294"/>
      <c r="D60" s="1295"/>
      <c r="E60" s="1296">
        <f>E22+E30+E31</f>
        <v>0</v>
      </c>
      <c r="F60" s="1296">
        <f>F22+F30+F31</f>
        <v>0</v>
      </c>
      <c r="G60" s="1296">
        <f>G22+G30+G31</f>
        <v>0</v>
      </c>
      <c r="H60" s="1297" t="e">
        <f>G60/F60*100</f>
        <v>#DIV/0!</v>
      </c>
      <c r="J60" s="1298">
        <v>0</v>
      </c>
      <c r="K60" s="1298">
        <v>0</v>
      </c>
      <c r="L60" s="1298">
        <v>0</v>
      </c>
    </row>
    <row r="61" spans="1:12" ht="15" x14ac:dyDescent="0.2">
      <c r="A61" s="1292" t="s">
        <v>148</v>
      </c>
      <c r="B61" s="1299"/>
      <c r="C61" s="1294"/>
      <c r="D61" s="1300"/>
      <c r="E61" s="1296">
        <v>0</v>
      </c>
      <c r="F61" s="1296">
        <v>0</v>
      </c>
      <c r="G61" s="1296">
        <v>0</v>
      </c>
      <c r="H61" s="1297">
        <v>0</v>
      </c>
      <c r="J61" s="1298">
        <v>0</v>
      </c>
      <c r="K61" s="1298">
        <v>0</v>
      </c>
      <c r="L61" s="1298">
        <v>0</v>
      </c>
    </row>
    <row r="62" spans="1:12" ht="15" x14ac:dyDescent="0.2">
      <c r="A62" s="1292" t="s">
        <v>252</v>
      </c>
      <c r="B62" s="1299"/>
      <c r="C62" s="1294"/>
      <c r="D62" s="1300"/>
      <c r="E62" s="1296">
        <f>E29</f>
        <v>0</v>
      </c>
      <c r="F62" s="1296">
        <f>F29</f>
        <v>0</v>
      </c>
      <c r="G62" s="1296">
        <f>G29</f>
        <v>0</v>
      </c>
      <c r="H62" s="1297">
        <v>0</v>
      </c>
      <c r="J62" s="1298">
        <v>0</v>
      </c>
      <c r="K62" s="1298">
        <v>0</v>
      </c>
      <c r="L62" s="1298">
        <v>0</v>
      </c>
    </row>
    <row r="63" spans="1:12" ht="15" x14ac:dyDescent="0.2">
      <c r="A63" s="1292"/>
      <c r="B63" s="1299"/>
      <c r="C63" s="1294"/>
      <c r="D63" s="1300"/>
      <c r="E63" s="1296"/>
      <c r="F63" s="1296"/>
      <c r="G63" s="1296"/>
      <c r="H63" s="1301"/>
    </row>
    <row r="64" spans="1:12" ht="57.75" customHeight="1" thickBot="1" x14ac:dyDescent="0.4">
      <c r="A64" s="3321" t="s">
        <v>685</v>
      </c>
      <c r="B64" s="3322"/>
      <c r="C64" s="3322"/>
      <c r="D64" s="3322"/>
      <c r="E64" s="1302">
        <f>SUM(E59)</f>
        <v>0</v>
      </c>
      <c r="F64" s="1302">
        <f>SUM(F59)</f>
        <v>0</v>
      </c>
      <c r="G64" s="1302">
        <f>SUM(G59)</f>
        <v>0</v>
      </c>
      <c r="H64" s="1303" t="e">
        <f>(G64/F64)*100</f>
        <v>#DIV/0!</v>
      </c>
    </row>
    <row r="65" ht="13.5" thickTop="1" x14ac:dyDescent="0.2"/>
  </sheetData>
  <mergeCells count="2">
    <mergeCell ref="A32:D32"/>
    <mergeCell ref="A64:D64"/>
  </mergeCells>
  <pageMargins left="0.70866141732283472" right="0.70866141732283472" top="0.78740157480314965" bottom="0.78740157480314965" header="0.31496062992125984" footer="0.31496062992125984"/>
  <pageSetup paperSize="9" scale="65" firstPageNumber="145" orientation="portrait" useFirstPageNumber="1" r:id="rId1"/>
  <headerFooter>
    <oddFooter>&amp;L&amp;"Arial,Kurzíva"Zastupitelstvo Olomouckého kraje 19. 6. 2017
5.1. - Rozpočet Olomouckého kraje 2016 - závěrečný účet 
Příloha č. 3: Plnění rozpočtu výdajů Olomouckého kraje k 31. 12. 2016&amp;R&amp;"Arial,Kurzíva"Strana &amp;P (celkem 500)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FF"/>
  </sheetPr>
  <dimension ref="A1:M72"/>
  <sheetViews>
    <sheetView view="pageBreakPreview" zoomScaleNormal="100" zoomScaleSheetLayoutView="100" workbookViewId="0">
      <selection activeCell="N62" sqref="N62"/>
    </sheetView>
  </sheetViews>
  <sheetFormatPr defaultRowHeight="12.75" x14ac:dyDescent="0.2"/>
  <cols>
    <col min="1" max="1" width="5.5703125" style="1236" customWidth="1"/>
    <col min="2" max="2" width="6.7109375" style="1236" customWidth="1"/>
    <col min="3" max="3" width="9.85546875" style="1236" customWidth="1"/>
    <col min="4" max="4" width="47.85546875" style="1236" customWidth="1"/>
    <col min="5" max="5" width="15.42578125" style="1236" customWidth="1"/>
    <col min="6" max="6" width="15.5703125" style="1236" customWidth="1"/>
    <col min="7" max="7" width="15.85546875" style="1236" customWidth="1"/>
    <col min="8" max="8" width="8.42578125" style="1236" customWidth="1"/>
    <col min="9" max="11" width="9.140625" style="1236"/>
    <col min="12" max="12" width="18.42578125" style="1236" customWidth="1"/>
    <col min="13" max="13" width="16" style="1236" bestFit="1" customWidth="1"/>
    <col min="14" max="256" width="9.140625" style="1236"/>
    <col min="257" max="257" width="4.7109375" style="1236" customWidth="1"/>
    <col min="258" max="258" width="6.7109375" style="1236" customWidth="1"/>
    <col min="259" max="259" width="8.85546875" style="1236" customWidth="1"/>
    <col min="260" max="260" width="47.85546875" style="1236" customWidth="1"/>
    <col min="261" max="261" width="12.85546875" style="1236" customWidth="1"/>
    <col min="262" max="262" width="15.5703125" style="1236" customWidth="1"/>
    <col min="263" max="263" width="15.85546875" style="1236" customWidth="1"/>
    <col min="264" max="264" width="6.42578125" style="1236" customWidth="1"/>
    <col min="265" max="267" width="9.140625" style="1236"/>
    <col min="268" max="268" width="18.42578125" style="1236" customWidth="1"/>
    <col min="269" max="269" width="16" style="1236" bestFit="1" customWidth="1"/>
    <col min="270" max="512" width="9.140625" style="1236"/>
    <col min="513" max="513" width="4.7109375" style="1236" customWidth="1"/>
    <col min="514" max="514" width="6.7109375" style="1236" customWidth="1"/>
    <col min="515" max="515" width="8.85546875" style="1236" customWidth="1"/>
    <col min="516" max="516" width="47.85546875" style="1236" customWidth="1"/>
    <col min="517" max="517" width="12.85546875" style="1236" customWidth="1"/>
    <col min="518" max="518" width="15.5703125" style="1236" customWidth="1"/>
    <col min="519" max="519" width="15.85546875" style="1236" customWidth="1"/>
    <col min="520" max="520" width="6.42578125" style="1236" customWidth="1"/>
    <col min="521" max="523" width="9.140625" style="1236"/>
    <col min="524" max="524" width="18.42578125" style="1236" customWidth="1"/>
    <col min="525" max="525" width="16" style="1236" bestFit="1" customWidth="1"/>
    <col min="526" max="768" width="9.140625" style="1236"/>
    <col min="769" max="769" width="4.7109375" style="1236" customWidth="1"/>
    <col min="770" max="770" width="6.7109375" style="1236" customWidth="1"/>
    <col min="771" max="771" width="8.85546875" style="1236" customWidth="1"/>
    <col min="772" max="772" width="47.85546875" style="1236" customWidth="1"/>
    <col min="773" max="773" width="12.85546875" style="1236" customWidth="1"/>
    <col min="774" max="774" width="15.5703125" style="1236" customWidth="1"/>
    <col min="775" max="775" width="15.85546875" style="1236" customWidth="1"/>
    <col min="776" max="776" width="6.42578125" style="1236" customWidth="1"/>
    <col min="777" max="779" width="9.140625" style="1236"/>
    <col min="780" max="780" width="18.42578125" style="1236" customWidth="1"/>
    <col min="781" max="781" width="16" style="1236" bestFit="1" customWidth="1"/>
    <col min="782" max="1024" width="9.140625" style="1236"/>
    <col min="1025" max="1025" width="4.7109375" style="1236" customWidth="1"/>
    <col min="1026" max="1026" width="6.7109375" style="1236" customWidth="1"/>
    <col min="1027" max="1027" width="8.85546875" style="1236" customWidth="1"/>
    <col min="1028" max="1028" width="47.85546875" style="1236" customWidth="1"/>
    <col min="1029" max="1029" width="12.85546875" style="1236" customWidth="1"/>
    <col min="1030" max="1030" width="15.5703125" style="1236" customWidth="1"/>
    <col min="1031" max="1031" width="15.85546875" style="1236" customWidth="1"/>
    <col min="1032" max="1032" width="6.42578125" style="1236" customWidth="1"/>
    <col min="1033" max="1035" width="9.140625" style="1236"/>
    <col min="1036" max="1036" width="18.42578125" style="1236" customWidth="1"/>
    <col min="1037" max="1037" width="16" style="1236" bestFit="1" customWidth="1"/>
    <col min="1038" max="1280" width="9.140625" style="1236"/>
    <col min="1281" max="1281" width="4.7109375" style="1236" customWidth="1"/>
    <col min="1282" max="1282" width="6.7109375" style="1236" customWidth="1"/>
    <col min="1283" max="1283" width="8.85546875" style="1236" customWidth="1"/>
    <col min="1284" max="1284" width="47.85546875" style="1236" customWidth="1"/>
    <col min="1285" max="1285" width="12.85546875" style="1236" customWidth="1"/>
    <col min="1286" max="1286" width="15.5703125" style="1236" customWidth="1"/>
    <col min="1287" max="1287" width="15.85546875" style="1236" customWidth="1"/>
    <col min="1288" max="1288" width="6.42578125" style="1236" customWidth="1"/>
    <col min="1289" max="1291" width="9.140625" style="1236"/>
    <col min="1292" max="1292" width="18.42578125" style="1236" customWidth="1"/>
    <col min="1293" max="1293" width="16" style="1236" bestFit="1" customWidth="1"/>
    <col min="1294" max="1536" width="9.140625" style="1236"/>
    <col min="1537" max="1537" width="4.7109375" style="1236" customWidth="1"/>
    <col min="1538" max="1538" width="6.7109375" style="1236" customWidth="1"/>
    <col min="1539" max="1539" width="8.85546875" style="1236" customWidth="1"/>
    <col min="1540" max="1540" width="47.85546875" style="1236" customWidth="1"/>
    <col min="1541" max="1541" width="12.85546875" style="1236" customWidth="1"/>
    <col min="1542" max="1542" width="15.5703125" style="1236" customWidth="1"/>
    <col min="1543" max="1543" width="15.85546875" style="1236" customWidth="1"/>
    <col min="1544" max="1544" width="6.42578125" style="1236" customWidth="1"/>
    <col min="1545" max="1547" width="9.140625" style="1236"/>
    <col min="1548" max="1548" width="18.42578125" style="1236" customWidth="1"/>
    <col min="1549" max="1549" width="16" style="1236" bestFit="1" customWidth="1"/>
    <col min="1550" max="1792" width="9.140625" style="1236"/>
    <col min="1793" max="1793" width="4.7109375" style="1236" customWidth="1"/>
    <col min="1794" max="1794" width="6.7109375" style="1236" customWidth="1"/>
    <col min="1795" max="1795" width="8.85546875" style="1236" customWidth="1"/>
    <col min="1796" max="1796" width="47.85546875" style="1236" customWidth="1"/>
    <col min="1797" max="1797" width="12.85546875" style="1236" customWidth="1"/>
    <col min="1798" max="1798" width="15.5703125" style="1236" customWidth="1"/>
    <col min="1799" max="1799" width="15.85546875" style="1236" customWidth="1"/>
    <col min="1800" max="1800" width="6.42578125" style="1236" customWidth="1"/>
    <col min="1801" max="1803" width="9.140625" style="1236"/>
    <col min="1804" max="1804" width="18.42578125" style="1236" customWidth="1"/>
    <col min="1805" max="1805" width="16" style="1236" bestFit="1" customWidth="1"/>
    <col min="1806" max="2048" width="9.140625" style="1236"/>
    <col min="2049" max="2049" width="4.7109375" style="1236" customWidth="1"/>
    <col min="2050" max="2050" width="6.7109375" style="1236" customWidth="1"/>
    <col min="2051" max="2051" width="8.85546875" style="1236" customWidth="1"/>
    <col min="2052" max="2052" width="47.85546875" style="1236" customWidth="1"/>
    <col min="2053" max="2053" width="12.85546875" style="1236" customWidth="1"/>
    <col min="2054" max="2054" width="15.5703125" style="1236" customWidth="1"/>
    <col min="2055" max="2055" width="15.85546875" style="1236" customWidth="1"/>
    <col min="2056" max="2056" width="6.42578125" style="1236" customWidth="1"/>
    <col min="2057" max="2059" width="9.140625" style="1236"/>
    <col min="2060" max="2060" width="18.42578125" style="1236" customWidth="1"/>
    <col min="2061" max="2061" width="16" style="1236" bestFit="1" customWidth="1"/>
    <col min="2062" max="2304" width="9.140625" style="1236"/>
    <col min="2305" max="2305" width="4.7109375" style="1236" customWidth="1"/>
    <col min="2306" max="2306" width="6.7109375" style="1236" customWidth="1"/>
    <col min="2307" max="2307" width="8.85546875" style="1236" customWidth="1"/>
    <col min="2308" max="2308" width="47.85546875" style="1236" customWidth="1"/>
    <col min="2309" max="2309" width="12.85546875" style="1236" customWidth="1"/>
    <col min="2310" max="2310" width="15.5703125" style="1236" customWidth="1"/>
    <col min="2311" max="2311" width="15.85546875" style="1236" customWidth="1"/>
    <col min="2312" max="2312" width="6.42578125" style="1236" customWidth="1"/>
    <col min="2313" max="2315" width="9.140625" style="1236"/>
    <col min="2316" max="2316" width="18.42578125" style="1236" customWidth="1"/>
    <col min="2317" max="2317" width="16" style="1236" bestFit="1" customWidth="1"/>
    <col min="2318" max="2560" width="9.140625" style="1236"/>
    <col min="2561" max="2561" width="4.7109375" style="1236" customWidth="1"/>
    <col min="2562" max="2562" width="6.7109375" style="1236" customWidth="1"/>
    <col min="2563" max="2563" width="8.85546875" style="1236" customWidth="1"/>
    <col min="2564" max="2564" width="47.85546875" style="1236" customWidth="1"/>
    <col min="2565" max="2565" width="12.85546875" style="1236" customWidth="1"/>
    <col min="2566" max="2566" width="15.5703125" style="1236" customWidth="1"/>
    <col min="2567" max="2567" width="15.85546875" style="1236" customWidth="1"/>
    <col min="2568" max="2568" width="6.42578125" style="1236" customWidth="1"/>
    <col min="2569" max="2571" width="9.140625" style="1236"/>
    <col min="2572" max="2572" width="18.42578125" style="1236" customWidth="1"/>
    <col min="2573" max="2573" width="16" style="1236" bestFit="1" customWidth="1"/>
    <col min="2574" max="2816" width="9.140625" style="1236"/>
    <col min="2817" max="2817" width="4.7109375" style="1236" customWidth="1"/>
    <col min="2818" max="2818" width="6.7109375" style="1236" customWidth="1"/>
    <col min="2819" max="2819" width="8.85546875" style="1236" customWidth="1"/>
    <col min="2820" max="2820" width="47.85546875" style="1236" customWidth="1"/>
    <col min="2821" max="2821" width="12.85546875" style="1236" customWidth="1"/>
    <col min="2822" max="2822" width="15.5703125" style="1236" customWidth="1"/>
    <col min="2823" max="2823" width="15.85546875" style="1236" customWidth="1"/>
    <col min="2824" max="2824" width="6.42578125" style="1236" customWidth="1"/>
    <col min="2825" max="2827" width="9.140625" style="1236"/>
    <col min="2828" max="2828" width="18.42578125" style="1236" customWidth="1"/>
    <col min="2829" max="2829" width="16" style="1236" bestFit="1" customWidth="1"/>
    <col min="2830" max="3072" width="9.140625" style="1236"/>
    <col min="3073" max="3073" width="4.7109375" style="1236" customWidth="1"/>
    <col min="3074" max="3074" width="6.7109375" style="1236" customWidth="1"/>
    <col min="3075" max="3075" width="8.85546875" style="1236" customWidth="1"/>
    <col min="3076" max="3076" width="47.85546875" style="1236" customWidth="1"/>
    <col min="3077" max="3077" width="12.85546875" style="1236" customWidth="1"/>
    <col min="3078" max="3078" width="15.5703125" style="1236" customWidth="1"/>
    <col min="3079" max="3079" width="15.85546875" style="1236" customWidth="1"/>
    <col min="3080" max="3080" width="6.42578125" style="1236" customWidth="1"/>
    <col min="3081" max="3083" width="9.140625" style="1236"/>
    <col min="3084" max="3084" width="18.42578125" style="1236" customWidth="1"/>
    <col min="3085" max="3085" width="16" style="1236" bestFit="1" customWidth="1"/>
    <col min="3086" max="3328" width="9.140625" style="1236"/>
    <col min="3329" max="3329" width="4.7109375" style="1236" customWidth="1"/>
    <col min="3330" max="3330" width="6.7109375" style="1236" customWidth="1"/>
    <col min="3331" max="3331" width="8.85546875" style="1236" customWidth="1"/>
    <col min="3332" max="3332" width="47.85546875" style="1236" customWidth="1"/>
    <col min="3333" max="3333" width="12.85546875" style="1236" customWidth="1"/>
    <col min="3334" max="3334" width="15.5703125" style="1236" customWidth="1"/>
    <col min="3335" max="3335" width="15.85546875" style="1236" customWidth="1"/>
    <col min="3336" max="3336" width="6.42578125" style="1236" customWidth="1"/>
    <col min="3337" max="3339" width="9.140625" style="1236"/>
    <col min="3340" max="3340" width="18.42578125" style="1236" customWidth="1"/>
    <col min="3341" max="3341" width="16" style="1236" bestFit="1" customWidth="1"/>
    <col min="3342" max="3584" width="9.140625" style="1236"/>
    <col min="3585" max="3585" width="4.7109375" style="1236" customWidth="1"/>
    <col min="3586" max="3586" width="6.7109375" style="1236" customWidth="1"/>
    <col min="3587" max="3587" width="8.85546875" style="1236" customWidth="1"/>
    <col min="3588" max="3588" width="47.85546875" style="1236" customWidth="1"/>
    <col min="3589" max="3589" width="12.85546875" style="1236" customWidth="1"/>
    <col min="3590" max="3590" width="15.5703125" style="1236" customWidth="1"/>
    <col min="3591" max="3591" width="15.85546875" style="1236" customWidth="1"/>
    <col min="3592" max="3592" width="6.42578125" style="1236" customWidth="1"/>
    <col min="3593" max="3595" width="9.140625" style="1236"/>
    <col min="3596" max="3596" width="18.42578125" style="1236" customWidth="1"/>
    <col min="3597" max="3597" width="16" style="1236" bestFit="1" customWidth="1"/>
    <col min="3598" max="3840" width="9.140625" style="1236"/>
    <col min="3841" max="3841" width="4.7109375" style="1236" customWidth="1"/>
    <col min="3842" max="3842" width="6.7109375" style="1236" customWidth="1"/>
    <col min="3843" max="3843" width="8.85546875" style="1236" customWidth="1"/>
    <col min="3844" max="3844" width="47.85546875" style="1236" customWidth="1"/>
    <col min="3845" max="3845" width="12.85546875" style="1236" customWidth="1"/>
    <col min="3846" max="3846" width="15.5703125" style="1236" customWidth="1"/>
    <col min="3847" max="3847" width="15.85546875" style="1236" customWidth="1"/>
    <col min="3848" max="3848" width="6.42578125" style="1236" customWidth="1"/>
    <col min="3849" max="3851" width="9.140625" style="1236"/>
    <col min="3852" max="3852" width="18.42578125" style="1236" customWidth="1"/>
    <col min="3853" max="3853" width="16" style="1236" bestFit="1" customWidth="1"/>
    <col min="3854" max="4096" width="9.140625" style="1236"/>
    <col min="4097" max="4097" width="4.7109375" style="1236" customWidth="1"/>
    <col min="4098" max="4098" width="6.7109375" style="1236" customWidth="1"/>
    <col min="4099" max="4099" width="8.85546875" style="1236" customWidth="1"/>
    <col min="4100" max="4100" width="47.85546875" style="1236" customWidth="1"/>
    <col min="4101" max="4101" width="12.85546875" style="1236" customWidth="1"/>
    <col min="4102" max="4102" width="15.5703125" style="1236" customWidth="1"/>
    <col min="4103" max="4103" width="15.85546875" style="1236" customWidth="1"/>
    <col min="4104" max="4104" width="6.42578125" style="1236" customWidth="1"/>
    <col min="4105" max="4107" width="9.140625" style="1236"/>
    <col min="4108" max="4108" width="18.42578125" style="1236" customWidth="1"/>
    <col min="4109" max="4109" width="16" style="1236" bestFit="1" customWidth="1"/>
    <col min="4110" max="4352" width="9.140625" style="1236"/>
    <col min="4353" max="4353" width="4.7109375" style="1236" customWidth="1"/>
    <col min="4354" max="4354" width="6.7109375" style="1236" customWidth="1"/>
    <col min="4355" max="4355" width="8.85546875" style="1236" customWidth="1"/>
    <col min="4356" max="4356" width="47.85546875" style="1236" customWidth="1"/>
    <col min="4357" max="4357" width="12.85546875" style="1236" customWidth="1"/>
    <col min="4358" max="4358" width="15.5703125" style="1236" customWidth="1"/>
    <col min="4359" max="4359" width="15.85546875" style="1236" customWidth="1"/>
    <col min="4360" max="4360" width="6.42578125" style="1236" customWidth="1"/>
    <col min="4361" max="4363" width="9.140625" style="1236"/>
    <col min="4364" max="4364" width="18.42578125" style="1236" customWidth="1"/>
    <col min="4365" max="4365" width="16" style="1236" bestFit="1" customWidth="1"/>
    <col min="4366" max="4608" width="9.140625" style="1236"/>
    <col min="4609" max="4609" width="4.7109375" style="1236" customWidth="1"/>
    <col min="4610" max="4610" width="6.7109375" style="1236" customWidth="1"/>
    <col min="4611" max="4611" width="8.85546875" style="1236" customWidth="1"/>
    <col min="4612" max="4612" width="47.85546875" style="1236" customWidth="1"/>
    <col min="4613" max="4613" width="12.85546875" style="1236" customWidth="1"/>
    <col min="4614" max="4614" width="15.5703125" style="1236" customWidth="1"/>
    <col min="4615" max="4615" width="15.85546875" style="1236" customWidth="1"/>
    <col min="4616" max="4616" width="6.42578125" style="1236" customWidth="1"/>
    <col min="4617" max="4619" width="9.140625" style="1236"/>
    <col min="4620" max="4620" width="18.42578125" style="1236" customWidth="1"/>
    <col min="4621" max="4621" width="16" style="1236" bestFit="1" customWidth="1"/>
    <col min="4622" max="4864" width="9.140625" style="1236"/>
    <col min="4865" max="4865" width="4.7109375" style="1236" customWidth="1"/>
    <col min="4866" max="4866" width="6.7109375" style="1236" customWidth="1"/>
    <col min="4867" max="4867" width="8.85546875" style="1236" customWidth="1"/>
    <col min="4868" max="4868" width="47.85546875" style="1236" customWidth="1"/>
    <col min="4869" max="4869" width="12.85546875" style="1236" customWidth="1"/>
    <col min="4870" max="4870" width="15.5703125" style="1236" customWidth="1"/>
    <col min="4871" max="4871" width="15.85546875" style="1236" customWidth="1"/>
    <col min="4872" max="4872" width="6.42578125" style="1236" customWidth="1"/>
    <col min="4873" max="4875" width="9.140625" style="1236"/>
    <col min="4876" max="4876" width="18.42578125" style="1236" customWidth="1"/>
    <col min="4877" max="4877" width="16" style="1236" bestFit="1" customWidth="1"/>
    <col min="4878" max="5120" width="9.140625" style="1236"/>
    <col min="5121" max="5121" width="4.7109375" style="1236" customWidth="1"/>
    <col min="5122" max="5122" width="6.7109375" style="1236" customWidth="1"/>
    <col min="5123" max="5123" width="8.85546875" style="1236" customWidth="1"/>
    <col min="5124" max="5124" width="47.85546875" style="1236" customWidth="1"/>
    <col min="5125" max="5125" width="12.85546875" style="1236" customWidth="1"/>
    <col min="5126" max="5126" width="15.5703125" style="1236" customWidth="1"/>
    <col min="5127" max="5127" width="15.85546875" style="1236" customWidth="1"/>
    <col min="5128" max="5128" width="6.42578125" style="1236" customWidth="1"/>
    <col min="5129" max="5131" width="9.140625" style="1236"/>
    <col min="5132" max="5132" width="18.42578125" style="1236" customWidth="1"/>
    <col min="5133" max="5133" width="16" style="1236" bestFit="1" customWidth="1"/>
    <col min="5134" max="5376" width="9.140625" style="1236"/>
    <col min="5377" max="5377" width="4.7109375" style="1236" customWidth="1"/>
    <col min="5378" max="5378" width="6.7109375" style="1236" customWidth="1"/>
    <col min="5379" max="5379" width="8.85546875" style="1236" customWidth="1"/>
    <col min="5380" max="5380" width="47.85546875" style="1236" customWidth="1"/>
    <col min="5381" max="5381" width="12.85546875" style="1236" customWidth="1"/>
    <col min="5382" max="5382" width="15.5703125" style="1236" customWidth="1"/>
    <col min="5383" max="5383" width="15.85546875" style="1236" customWidth="1"/>
    <col min="5384" max="5384" width="6.42578125" style="1236" customWidth="1"/>
    <col min="5385" max="5387" width="9.140625" style="1236"/>
    <col min="5388" max="5388" width="18.42578125" style="1236" customWidth="1"/>
    <col min="5389" max="5389" width="16" style="1236" bestFit="1" customWidth="1"/>
    <col min="5390" max="5632" width="9.140625" style="1236"/>
    <col min="5633" max="5633" width="4.7109375" style="1236" customWidth="1"/>
    <col min="5634" max="5634" width="6.7109375" style="1236" customWidth="1"/>
    <col min="5635" max="5635" width="8.85546875" style="1236" customWidth="1"/>
    <col min="5636" max="5636" width="47.85546875" style="1236" customWidth="1"/>
    <col min="5637" max="5637" width="12.85546875" style="1236" customWidth="1"/>
    <col min="5638" max="5638" width="15.5703125" style="1236" customWidth="1"/>
    <col min="5639" max="5639" width="15.85546875" style="1236" customWidth="1"/>
    <col min="5640" max="5640" width="6.42578125" style="1236" customWidth="1"/>
    <col min="5641" max="5643" width="9.140625" style="1236"/>
    <col min="5644" max="5644" width="18.42578125" style="1236" customWidth="1"/>
    <col min="5645" max="5645" width="16" style="1236" bestFit="1" customWidth="1"/>
    <col min="5646" max="5888" width="9.140625" style="1236"/>
    <col min="5889" max="5889" width="4.7109375" style="1236" customWidth="1"/>
    <col min="5890" max="5890" width="6.7109375" style="1236" customWidth="1"/>
    <col min="5891" max="5891" width="8.85546875" style="1236" customWidth="1"/>
    <col min="5892" max="5892" width="47.85546875" style="1236" customWidth="1"/>
    <col min="5893" max="5893" width="12.85546875" style="1236" customWidth="1"/>
    <col min="5894" max="5894" width="15.5703125" style="1236" customWidth="1"/>
    <col min="5895" max="5895" width="15.85546875" style="1236" customWidth="1"/>
    <col min="5896" max="5896" width="6.42578125" style="1236" customWidth="1"/>
    <col min="5897" max="5899" width="9.140625" style="1236"/>
    <col min="5900" max="5900" width="18.42578125" style="1236" customWidth="1"/>
    <col min="5901" max="5901" width="16" style="1236" bestFit="1" customWidth="1"/>
    <col min="5902" max="6144" width="9.140625" style="1236"/>
    <col min="6145" max="6145" width="4.7109375" style="1236" customWidth="1"/>
    <col min="6146" max="6146" width="6.7109375" style="1236" customWidth="1"/>
    <col min="6147" max="6147" width="8.85546875" style="1236" customWidth="1"/>
    <col min="6148" max="6148" width="47.85546875" style="1236" customWidth="1"/>
    <col min="6149" max="6149" width="12.85546875" style="1236" customWidth="1"/>
    <col min="6150" max="6150" width="15.5703125" style="1236" customWidth="1"/>
    <col min="6151" max="6151" width="15.85546875" style="1236" customWidth="1"/>
    <col min="6152" max="6152" width="6.42578125" style="1236" customWidth="1"/>
    <col min="6153" max="6155" width="9.140625" style="1236"/>
    <col min="6156" max="6156" width="18.42578125" style="1236" customWidth="1"/>
    <col min="6157" max="6157" width="16" style="1236" bestFit="1" customWidth="1"/>
    <col min="6158" max="6400" width="9.140625" style="1236"/>
    <col min="6401" max="6401" width="4.7109375" style="1236" customWidth="1"/>
    <col min="6402" max="6402" width="6.7109375" style="1236" customWidth="1"/>
    <col min="6403" max="6403" width="8.85546875" style="1236" customWidth="1"/>
    <col min="6404" max="6404" width="47.85546875" style="1236" customWidth="1"/>
    <col min="6405" max="6405" width="12.85546875" style="1236" customWidth="1"/>
    <col min="6406" max="6406" width="15.5703125" style="1236" customWidth="1"/>
    <col min="6407" max="6407" width="15.85546875" style="1236" customWidth="1"/>
    <col min="6408" max="6408" width="6.42578125" style="1236" customWidth="1"/>
    <col min="6409" max="6411" width="9.140625" style="1236"/>
    <col min="6412" max="6412" width="18.42578125" style="1236" customWidth="1"/>
    <col min="6413" max="6413" width="16" style="1236" bestFit="1" customWidth="1"/>
    <col min="6414" max="6656" width="9.140625" style="1236"/>
    <col min="6657" max="6657" width="4.7109375" style="1236" customWidth="1"/>
    <col min="6658" max="6658" width="6.7109375" style="1236" customWidth="1"/>
    <col min="6659" max="6659" width="8.85546875" style="1236" customWidth="1"/>
    <col min="6660" max="6660" width="47.85546875" style="1236" customWidth="1"/>
    <col min="6661" max="6661" width="12.85546875" style="1236" customWidth="1"/>
    <col min="6662" max="6662" width="15.5703125" style="1236" customWidth="1"/>
    <col min="6663" max="6663" width="15.85546875" style="1236" customWidth="1"/>
    <col min="6664" max="6664" width="6.42578125" style="1236" customWidth="1"/>
    <col min="6665" max="6667" width="9.140625" style="1236"/>
    <col min="6668" max="6668" width="18.42578125" style="1236" customWidth="1"/>
    <col min="6669" max="6669" width="16" style="1236" bestFit="1" customWidth="1"/>
    <col min="6670" max="6912" width="9.140625" style="1236"/>
    <col min="6913" max="6913" width="4.7109375" style="1236" customWidth="1"/>
    <col min="6914" max="6914" width="6.7109375" style="1236" customWidth="1"/>
    <col min="6915" max="6915" width="8.85546875" style="1236" customWidth="1"/>
    <col min="6916" max="6916" width="47.85546875" style="1236" customWidth="1"/>
    <col min="6917" max="6917" width="12.85546875" style="1236" customWidth="1"/>
    <col min="6918" max="6918" width="15.5703125" style="1236" customWidth="1"/>
    <col min="6919" max="6919" width="15.85546875" style="1236" customWidth="1"/>
    <col min="6920" max="6920" width="6.42578125" style="1236" customWidth="1"/>
    <col min="6921" max="6923" width="9.140625" style="1236"/>
    <col min="6924" max="6924" width="18.42578125" style="1236" customWidth="1"/>
    <col min="6925" max="6925" width="16" style="1236" bestFit="1" customWidth="1"/>
    <col min="6926" max="7168" width="9.140625" style="1236"/>
    <col min="7169" max="7169" width="4.7109375" style="1236" customWidth="1"/>
    <col min="7170" max="7170" width="6.7109375" style="1236" customWidth="1"/>
    <col min="7171" max="7171" width="8.85546875" style="1236" customWidth="1"/>
    <col min="7172" max="7172" width="47.85546875" style="1236" customWidth="1"/>
    <col min="7173" max="7173" width="12.85546875" style="1236" customWidth="1"/>
    <col min="7174" max="7174" width="15.5703125" style="1236" customWidth="1"/>
    <col min="7175" max="7175" width="15.85546875" style="1236" customWidth="1"/>
    <col min="7176" max="7176" width="6.42578125" style="1236" customWidth="1"/>
    <col min="7177" max="7179" width="9.140625" style="1236"/>
    <col min="7180" max="7180" width="18.42578125" style="1236" customWidth="1"/>
    <col min="7181" max="7181" width="16" style="1236" bestFit="1" customWidth="1"/>
    <col min="7182" max="7424" width="9.140625" style="1236"/>
    <col min="7425" max="7425" width="4.7109375" style="1236" customWidth="1"/>
    <col min="7426" max="7426" width="6.7109375" style="1236" customWidth="1"/>
    <col min="7427" max="7427" width="8.85546875" style="1236" customWidth="1"/>
    <col min="7428" max="7428" width="47.85546875" style="1236" customWidth="1"/>
    <col min="7429" max="7429" width="12.85546875" style="1236" customWidth="1"/>
    <col min="7430" max="7430" width="15.5703125" style="1236" customWidth="1"/>
    <col min="7431" max="7431" width="15.85546875" style="1236" customWidth="1"/>
    <col min="7432" max="7432" width="6.42578125" style="1236" customWidth="1"/>
    <col min="7433" max="7435" width="9.140625" style="1236"/>
    <col min="7436" max="7436" width="18.42578125" style="1236" customWidth="1"/>
    <col min="7437" max="7437" width="16" style="1236" bestFit="1" customWidth="1"/>
    <col min="7438" max="7680" width="9.140625" style="1236"/>
    <col min="7681" max="7681" width="4.7109375" style="1236" customWidth="1"/>
    <col min="7682" max="7682" width="6.7109375" style="1236" customWidth="1"/>
    <col min="7683" max="7683" width="8.85546875" style="1236" customWidth="1"/>
    <col min="7684" max="7684" width="47.85546875" style="1236" customWidth="1"/>
    <col min="7685" max="7685" width="12.85546875" style="1236" customWidth="1"/>
    <col min="7686" max="7686" width="15.5703125" style="1236" customWidth="1"/>
    <col min="7687" max="7687" width="15.85546875" style="1236" customWidth="1"/>
    <col min="7688" max="7688" width="6.42578125" style="1236" customWidth="1"/>
    <col min="7689" max="7691" width="9.140625" style="1236"/>
    <col min="7692" max="7692" width="18.42578125" style="1236" customWidth="1"/>
    <col min="7693" max="7693" width="16" style="1236" bestFit="1" customWidth="1"/>
    <col min="7694" max="7936" width="9.140625" style="1236"/>
    <col min="7937" max="7937" width="4.7109375" style="1236" customWidth="1"/>
    <col min="7938" max="7938" width="6.7109375" style="1236" customWidth="1"/>
    <col min="7939" max="7939" width="8.85546875" style="1236" customWidth="1"/>
    <col min="7940" max="7940" width="47.85546875" style="1236" customWidth="1"/>
    <col min="7941" max="7941" width="12.85546875" style="1236" customWidth="1"/>
    <col min="7942" max="7942" width="15.5703125" style="1236" customWidth="1"/>
    <col min="7943" max="7943" width="15.85546875" style="1236" customWidth="1"/>
    <col min="7944" max="7944" width="6.42578125" style="1236" customWidth="1"/>
    <col min="7945" max="7947" width="9.140625" style="1236"/>
    <col min="7948" max="7948" width="18.42578125" style="1236" customWidth="1"/>
    <col min="7949" max="7949" width="16" style="1236" bestFit="1" customWidth="1"/>
    <col min="7950" max="8192" width="9.140625" style="1236"/>
    <col min="8193" max="8193" width="4.7109375" style="1236" customWidth="1"/>
    <col min="8194" max="8194" width="6.7109375" style="1236" customWidth="1"/>
    <col min="8195" max="8195" width="8.85546875" style="1236" customWidth="1"/>
    <col min="8196" max="8196" width="47.85546875" style="1236" customWidth="1"/>
    <col min="8197" max="8197" width="12.85546875" style="1236" customWidth="1"/>
    <col min="8198" max="8198" width="15.5703125" style="1236" customWidth="1"/>
    <col min="8199" max="8199" width="15.85546875" style="1236" customWidth="1"/>
    <col min="8200" max="8200" width="6.42578125" style="1236" customWidth="1"/>
    <col min="8201" max="8203" width="9.140625" style="1236"/>
    <col min="8204" max="8204" width="18.42578125" style="1236" customWidth="1"/>
    <col min="8205" max="8205" width="16" style="1236" bestFit="1" customWidth="1"/>
    <col min="8206" max="8448" width="9.140625" style="1236"/>
    <col min="8449" max="8449" width="4.7109375" style="1236" customWidth="1"/>
    <col min="8450" max="8450" width="6.7109375" style="1236" customWidth="1"/>
    <col min="8451" max="8451" width="8.85546875" style="1236" customWidth="1"/>
    <col min="8452" max="8452" width="47.85546875" style="1236" customWidth="1"/>
    <col min="8453" max="8453" width="12.85546875" style="1236" customWidth="1"/>
    <col min="8454" max="8454" width="15.5703125" style="1236" customWidth="1"/>
    <col min="8455" max="8455" width="15.85546875" style="1236" customWidth="1"/>
    <col min="8456" max="8456" width="6.42578125" style="1236" customWidth="1"/>
    <col min="8457" max="8459" width="9.140625" style="1236"/>
    <col min="8460" max="8460" width="18.42578125" style="1236" customWidth="1"/>
    <col min="8461" max="8461" width="16" style="1236" bestFit="1" customWidth="1"/>
    <col min="8462" max="8704" width="9.140625" style="1236"/>
    <col min="8705" max="8705" width="4.7109375" style="1236" customWidth="1"/>
    <col min="8706" max="8706" width="6.7109375" style="1236" customWidth="1"/>
    <col min="8707" max="8707" width="8.85546875" style="1236" customWidth="1"/>
    <col min="8708" max="8708" width="47.85546875" style="1236" customWidth="1"/>
    <col min="8709" max="8709" width="12.85546875" style="1236" customWidth="1"/>
    <col min="8710" max="8710" width="15.5703125" style="1236" customWidth="1"/>
    <col min="8711" max="8711" width="15.85546875" style="1236" customWidth="1"/>
    <col min="8712" max="8712" width="6.42578125" style="1236" customWidth="1"/>
    <col min="8713" max="8715" width="9.140625" style="1236"/>
    <col min="8716" max="8716" width="18.42578125" style="1236" customWidth="1"/>
    <col min="8717" max="8717" width="16" style="1236" bestFit="1" customWidth="1"/>
    <col min="8718" max="8960" width="9.140625" style="1236"/>
    <col min="8961" max="8961" width="4.7109375" style="1236" customWidth="1"/>
    <col min="8962" max="8962" width="6.7109375" style="1236" customWidth="1"/>
    <col min="8963" max="8963" width="8.85546875" style="1236" customWidth="1"/>
    <col min="8964" max="8964" width="47.85546875" style="1236" customWidth="1"/>
    <col min="8965" max="8965" width="12.85546875" style="1236" customWidth="1"/>
    <col min="8966" max="8966" width="15.5703125" style="1236" customWidth="1"/>
    <col min="8967" max="8967" width="15.85546875" style="1236" customWidth="1"/>
    <col min="8968" max="8968" width="6.42578125" style="1236" customWidth="1"/>
    <col min="8969" max="8971" width="9.140625" style="1236"/>
    <col min="8972" max="8972" width="18.42578125" style="1236" customWidth="1"/>
    <col min="8973" max="8973" width="16" style="1236" bestFit="1" customWidth="1"/>
    <col min="8974" max="9216" width="9.140625" style="1236"/>
    <col min="9217" max="9217" width="4.7109375" style="1236" customWidth="1"/>
    <col min="9218" max="9218" width="6.7109375" style="1236" customWidth="1"/>
    <col min="9219" max="9219" width="8.85546875" style="1236" customWidth="1"/>
    <col min="9220" max="9220" width="47.85546875" style="1236" customWidth="1"/>
    <col min="9221" max="9221" width="12.85546875" style="1236" customWidth="1"/>
    <col min="9222" max="9222" width="15.5703125" style="1236" customWidth="1"/>
    <col min="9223" max="9223" width="15.85546875" style="1236" customWidth="1"/>
    <col min="9224" max="9224" width="6.42578125" style="1236" customWidth="1"/>
    <col min="9225" max="9227" width="9.140625" style="1236"/>
    <col min="9228" max="9228" width="18.42578125" style="1236" customWidth="1"/>
    <col min="9229" max="9229" width="16" style="1236" bestFit="1" customWidth="1"/>
    <col min="9230" max="9472" width="9.140625" style="1236"/>
    <col min="9473" max="9473" width="4.7109375" style="1236" customWidth="1"/>
    <col min="9474" max="9474" width="6.7109375" style="1236" customWidth="1"/>
    <col min="9475" max="9475" width="8.85546875" style="1236" customWidth="1"/>
    <col min="9476" max="9476" width="47.85546875" style="1236" customWidth="1"/>
    <col min="9477" max="9477" width="12.85546875" style="1236" customWidth="1"/>
    <col min="9478" max="9478" width="15.5703125" style="1236" customWidth="1"/>
    <col min="9479" max="9479" width="15.85546875" style="1236" customWidth="1"/>
    <col min="9480" max="9480" width="6.42578125" style="1236" customWidth="1"/>
    <col min="9481" max="9483" width="9.140625" style="1236"/>
    <col min="9484" max="9484" width="18.42578125" style="1236" customWidth="1"/>
    <col min="9485" max="9485" width="16" style="1236" bestFit="1" customWidth="1"/>
    <col min="9486" max="9728" width="9.140625" style="1236"/>
    <col min="9729" max="9729" width="4.7109375" style="1236" customWidth="1"/>
    <col min="9730" max="9730" width="6.7109375" style="1236" customWidth="1"/>
    <col min="9731" max="9731" width="8.85546875" style="1236" customWidth="1"/>
    <col min="9732" max="9732" width="47.85546875" style="1236" customWidth="1"/>
    <col min="9733" max="9733" width="12.85546875" style="1236" customWidth="1"/>
    <col min="9734" max="9734" width="15.5703125" style="1236" customWidth="1"/>
    <col min="9735" max="9735" width="15.85546875" style="1236" customWidth="1"/>
    <col min="9736" max="9736" width="6.42578125" style="1236" customWidth="1"/>
    <col min="9737" max="9739" width="9.140625" style="1236"/>
    <col min="9740" max="9740" width="18.42578125" style="1236" customWidth="1"/>
    <col min="9741" max="9741" width="16" style="1236" bestFit="1" customWidth="1"/>
    <col min="9742" max="9984" width="9.140625" style="1236"/>
    <col min="9985" max="9985" width="4.7109375" style="1236" customWidth="1"/>
    <col min="9986" max="9986" width="6.7109375" style="1236" customWidth="1"/>
    <col min="9987" max="9987" width="8.85546875" style="1236" customWidth="1"/>
    <col min="9988" max="9988" width="47.85546875" style="1236" customWidth="1"/>
    <col min="9989" max="9989" width="12.85546875" style="1236" customWidth="1"/>
    <col min="9990" max="9990" width="15.5703125" style="1236" customWidth="1"/>
    <col min="9991" max="9991" width="15.85546875" style="1236" customWidth="1"/>
    <col min="9992" max="9992" width="6.42578125" style="1236" customWidth="1"/>
    <col min="9993" max="9995" width="9.140625" style="1236"/>
    <col min="9996" max="9996" width="18.42578125" style="1236" customWidth="1"/>
    <col min="9997" max="9997" width="16" style="1236" bestFit="1" customWidth="1"/>
    <col min="9998" max="10240" width="9.140625" style="1236"/>
    <col min="10241" max="10241" width="4.7109375" style="1236" customWidth="1"/>
    <col min="10242" max="10242" width="6.7109375" style="1236" customWidth="1"/>
    <col min="10243" max="10243" width="8.85546875" style="1236" customWidth="1"/>
    <col min="10244" max="10244" width="47.85546875" style="1236" customWidth="1"/>
    <col min="10245" max="10245" width="12.85546875" style="1236" customWidth="1"/>
    <col min="10246" max="10246" width="15.5703125" style="1236" customWidth="1"/>
    <col min="10247" max="10247" width="15.85546875" style="1236" customWidth="1"/>
    <col min="10248" max="10248" width="6.42578125" style="1236" customWidth="1"/>
    <col min="10249" max="10251" width="9.140625" style="1236"/>
    <col min="10252" max="10252" width="18.42578125" style="1236" customWidth="1"/>
    <col min="10253" max="10253" width="16" style="1236" bestFit="1" customWidth="1"/>
    <col min="10254" max="10496" width="9.140625" style="1236"/>
    <col min="10497" max="10497" width="4.7109375" style="1236" customWidth="1"/>
    <col min="10498" max="10498" width="6.7109375" style="1236" customWidth="1"/>
    <col min="10499" max="10499" width="8.85546875" style="1236" customWidth="1"/>
    <col min="10500" max="10500" width="47.85546875" style="1236" customWidth="1"/>
    <col min="10501" max="10501" width="12.85546875" style="1236" customWidth="1"/>
    <col min="10502" max="10502" width="15.5703125" style="1236" customWidth="1"/>
    <col min="10503" max="10503" width="15.85546875" style="1236" customWidth="1"/>
    <col min="10504" max="10504" width="6.42578125" style="1236" customWidth="1"/>
    <col min="10505" max="10507" width="9.140625" style="1236"/>
    <col min="10508" max="10508" width="18.42578125" style="1236" customWidth="1"/>
    <col min="10509" max="10509" width="16" style="1236" bestFit="1" customWidth="1"/>
    <col min="10510" max="10752" width="9.140625" style="1236"/>
    <col min="10753" max="10753" width="4.7109375" style="1236" customWidth="1"/>
    <col min="10754" max="10754" width="6.7109375" style="1236" customWidth="1"/>
    <col min="10755" max="10755" width="8.85546875" style="1236" customWidth="1"/>
    <col min="10756" max="10756" width="47.85546875" style="1236" customWidth="1"/>
    <col min="10757" max="10757" width="12.85546875" style="1236" customWidth="1"/>
    <col min="10758" max="10758" width="15.5703125" style="1236" customWidth="1"/>
    <col min="10759" max="10759" width="15.85546875" style="1236" customWidth="1"/>
    <col min="10760" max="10760" width="6.42578125" style="1236" customWidth="1"/>
    <col min="10761" max="10763" width="9.140625" style="1236"/>
    <col min="10764" max="10764" width="18.42578125" style="1236" customWidth="1"/>
    <col min="10765" max="10765" width="16" style="1236" bestFit="1" customWidth="1"/>
    <col min="10766" max="11008" width="9.140625" style="1236"/>
    <col min="11009" max="11009" width="4.7109375" style="1236" customWidth="1"/>
    <col min="11010" max="11010" width="6.7109375" style="1236" customWidth="1"/>
    <col min="11011" max="11011" width="8.85546875" style="1236" customWidth="1"/>
    <col min="11012" max="11012" width="47.85546875" style="1236" customWidth="1"/>
    <col min="11013" max="11013" width="12.85546875" style="1236" customWidth="1"/>
    <col min="11014" max="11014" width="15.5703125" style="1236" customWidth="1"/>
    <col min="11015" max="11015" width="15.85546875" style="1236" customWidth="1"/>
    <col min="11016" max="11016" width="6.42578125" style="1236" customWidth="1"/>
    <col min="11017" max="11019" width="9.140625" style="1236"/>
    <col min="11020" max="11020" width="18.42578125" style="1236" customWidth="1"/>
    <col min="11021" max="11021" width="16" style="1236" bestFit="1" customWidth="1"/>
    <col min="11022" max="11264" width="9.140625" style="1236"/>
    <col min="11265" max="11265" width="4.7109375" style="1236" customWidth="1"/>
    <col min="11266" max="11266" width="6.7109375" style="1236" customWidth="1"/>
    <col min="11267" max="11267" width="8.85546875" style="1236" customWidth="1"/>
    <col min="11268" max="11268" width="47.85546875" style="1236" customWidth="1"/>
    <col min="11269" max="11269" width="12.85546875" style="1236" customWidth="1"/>
    <col min="11270" max="11270" width="15.5703125" style="1236" customWidth="1"/>
    <col min="11271" max="11271" width="15.85546875" style="1236" customWidth="1"/>
    <col min="11272" max="11272" width="6.42578125" style="1236" customWidth="1"/>
    <col min="11273" max="11275" width="9.140625" style="1236"/>
    <col min="11276" max="11276" width="18.42578125" style="1236" customWidth="1"/>
    <col min="11277" max="11277" width="16" style="1236" bestFit="1" customWidth="1"/>
    <col min="11278" max="11520" width="9.140625" style="1236"/>
    <col min="11521" max="11521" width="4.7109375" style="1236" customWidth="1"/>
    <col min="11522" max="11522" width="6.7109375" style="1236" customWidth="1"/>
    <col min="11523" max="11523" width="8.85546875" style="1236" customWidth="1"/>
    <col min="11524" max="11524" width="47.85546875" style="1236" customWidth="1"/>
    <col min="11525" max="11525" width="12.85546875" style="1236" customWidth="1"/>
    <col min="11526" max="11526" width="15.5703125" style="1236" customWidth="1"/>
    <col min="11527" max="11527" width="15.85546875" style="1236" customWidth="1"/>
    <col min="11528" max="11528" width="6.42578125" style="1236" customWidth="1"/>
    <col min="11529" max="11531" width="9.140625" style="1236"/>
    <col min="11532" max="11532" width="18.42578125" style="1236" customWidth="1"/>
    <col min="11533" max="11533" width="16" style="1236" bestFit="1" customWidth="1"/>
    <col min="11534" max="11776" width="9.140625" style="1236"/>
    <col min="11777" max="11777" width="4.7109375" style="1236" customWidth="1"/>
    <col min="11778" max="11778" width="6.7109375" style="1236" customWidth="1"/>
    <col min="11779" max="11779" width="8.85546875" style="1236" customWidth="1"/>
    <col min="11780" max="11780" width="47.85546875" style="1236" customWidth="1"/>
    <col min="11781" max="11781" width="12.85546875" style="1236" customWidth="1"/>
    <col min="11782" max="11782" width="15.5703125" style="1236" customWidth="1"/>
    <col min="11783" max="11783" width="15.85546875" style="1236" customWidth="1"/>
    <col min="11784" max="11784" width="6.42578125" style="1236" customWidth="1"/>
    <col min="11785" max="11787" width="9.140625" style="1236"/>
    <col min="11788" max="11788" width="18.42578125" style="1236" customWidth="1"/>
    <col min="11789" max="11789" width="16" style="1236" bestFit="1" customWidth="1"/>
    <col min="11790" max="12032" width="9.140625" style="1236"/>
    <col min="12033" max="12033" width="4.7109375" style="1236" customWidth="1"/>
    <col min="12034" max="12034" width="6.7109375" style="1236" customWidth="1"/>
    <col min="12035" max="12035" width="8.85546875" style="1236" customWidth="1"/>
    <col min="12036" max="12036" width="47.85546875" style="1236" customWidth="1"/>
    <col min="12037" max="12037" width="12.85546875" style="1236" customWidth="1"/>
    <col min="12038" max="12038" width="15.5703125" style="1236" customWidth="1"/>
    <col min="12039" max="12039" width="15.85546875" style="1236" customWidth="1"/>
    <col min="12040" max="12040" width="6.42578125" style="1236" customWidth="1"/>
    <col min="12041" max="12043" width="9.140625" style="1236"/>
    <col min="12044" max="12044" width="18.42578125" style="1236" customWidth="1"/>
    <col min="12045" max="12045" width="16" style="1236" bestFit="1" customWidth="1"/>
    <col min="12046" max="12288" width="9.140625" style="1236"/>
    <col min="12289" max="12289" width="4.7109375" style="1236" customWidth="1"/>
    <col min="12290" max="12290" width="6.7109375" style="1236" customWidth="1"/>
    <col min="12291" max="12291" width="8.85546875" style="1236" customWidth="1"/>
    <col min="12292" max="12292" width="47.85546875" style="1236" customWidth="1"/>
    <col min="12293" max="12293" width="12.85546875" style="1236" customWidth="1"/>
    <col min="12294" max="12294" width="15.5703125" style="1236" customWidth="1"/>
    <col min="12295" max="12295" width="15.85546875" style="1236" customWidth="1"/>
    <col min="12296" max="12296" width="6.42578125" style="1236" customWidth="1"/>
    <col min="12297" max="12299" width="9.140625" style="1236"/>
    <col min="12300" max="12300" width="18.42578125" style="1236" customWidth="1"/>
    <col min="12301" max="12301" width="16" style="1236" bestFit="1" customWidth="1"/>
    <col min="12302" max="12544" width="9.140625" style="1236"/>
    <col min="12545" max="12545" width="4.7109375" style="1236" customWidth="1"/>
    <col min="12546" max="12546" width="6.7109375" style="1236" customWidth="1"/>
    <col min="12547" max="12547" width="8.85546875" style="1236" customWidth="1"/>
    <col min="12548" max="12548" width="47.85546875" style="1236" customWidth="1"/>
    <col min="12549" max="12549" width="12.85546875" style="1236" customWidth="1"/>
    <col min="12550" max="12550" width="15.5703125" style="1236" customWidth="1"/>
    <col min="12551" max="12551" width="15.85546875" style="1236" customWidth="1"/>
    <col min="12552" max="12552" width="6.42578125" style="1236" customWidth="1"/>
    <col min="12553" max="12555" width="9.140625" style="1236"/>
    <col min="12556" max="12556" width="18.42578125" style="1236" customWidth="1"/>
    <col min="12557" max="12557" width="16" style="1236" bestFit="1" customWidth="1"/>
    <col min="12558" max="12800" width="9.140625" style="1236"/>
    <col min="12801" max="12801" width="4.7109375" style="1236" customWidth="1"/>
    <col min="12802" max="12802" width="6.7109375" style="1236" customWidth="1"/>
    <col min="12803" max="12803" width="8.85546875" style="1236" customWidth="1"/>
    <col min="12804" max="12804" width="47.85546875" style="1236" customWidth="1"/>
    <col min="12805" max="12805" width="12.85546875" style="1236" customWidth="1"/>
    <col min="12806" max="12806" width="15.5703125" style="1236" customWidth="1"/>
    <col min="12807" max="12807" width="15.85546875" style="1236" customWidth="1"/>
    <col min="12808" max="12808" width="6.42578125" style="1236" customWidth="1"/>
    <col min="12809" max="12811" width="9.140625" style="1236"/>
    <col min="12812" max="12812" width="18.42578125" style="1236" customWidth="1"/>
    <col min="12813" max="12813" width="16" style="1236" bestFit="1" customWidth="1"/>
    <col min="12814" max="13056" width="9.140625" style="1236"/>
    <col min="13057" max="13057" width="4.7109375" style="1236" customWidth="1"/>
    <col min="13058" max="13058" width="6.7109375" style="1236" customWidth="1"/>
    <col min="13059" max="13059" width="8.85546875" style="1236" customWidth="1"/>
    <col min="13060" max="13060" width="47.85546875" style="1236" customWidth="1"/>
    <col min="13061" max="13061" width="12.85546875" style="1236" customWidth="1"/>
    <col min="13062" max="13062" width="15.5703125" style="1236" customWidth="1"/>
    <col min="13063" max="13063" width="15.85546875" style="1236" customWidth="1"/>
    <col min="13064" max="13064" width="6.42578125" style="1236" customWidth="1"/>
    <col min="13065" max="13067" width="9.140625" style="1236"/>
    <col min="13068" max="13068" width="18.42578125" style="1236" customWidth="1"/>
    <col min="13069" max="13069" width="16" style="1236" bestFit="1" customWidth="1"/>
    <col min="13070" max="13312" width="9.140625" style="1236"/>
    <col min="13313" max="13313" width="4.7109375" style="1236" customWidth="1"/>
    <col min="13314" max="13314" width="6.7109375" style="1236" customWidth="1"/>
    <col min="13315" max="13315" width="8.85546875" style="1236" customWidth="1"/>
    <col min="13316" max="13316" width="47.85546875" style="1236" customWidth="1"/>
    <col min="13317" max="13317" width="12.85546875" style="1236" customWidth="1"/>
    <col min="13318" max="13318" width="15.5703125" style="1236" customWidth="1"/>
    <col min="13319" max="13319" width="15.85546875" style="1236" customWidth="1"/>
    <col min="13320" max="13320" width="6.42578125" style="1236" customWidth="1"/>
    <col min="13321" max="13323" width="9.140625" style="1236"/>
    <col min="13324" max="13324" width="18.42578125" style="1236" customWidth="1"/>
    <col min="13325" max="13325" width="16" style="1236" bestFit="1" customWidth="1"/>
    <col min="13326" max="13568" width="9.140625" style="1236"/>
    <col min="13569" max="13569" width="4.7109375" style="1236" customWidth="1"/>
    <col min="13570" max="13570" width="6.7109375" style="1236" customWidth="1"/>
    <col min="13571" max="13571" width="8.85546875" style="1236" customWidth="1"/>
    <col min="13572" max="13572" width="47.85546875" style="1236" customWidth="1"/>
    <col min="13573" max="13573" width="12.85546875" style="1236" customWidth="1"/>
    <col min="13574" max="13574" width="15.5703125" style="1236" customWidth="1"/>
    <col min="13575" max="13575" width="15.85546875" style="1236" customWidth="1"/>
    <col min="13576" max="13576" width="6.42578125" style="1236" customWidth="1"/>
    <col min="13577" max="13579" width="9.140625" style="1236"/>
    <col min="13580" max="13580" width="18.42578125" style="1236" customWidth="1"/>
    <col min="13581" max="13581" width="16" style="1236" bestFit="1" customWidth="1"/>
    <col min="13582" max="13824" width="9.140625" style="1236"/>
    <col min="13825" max="13825" width="4.7109375" style="1236" customWidth="1"/>
    <col min="13826" max="13826" width="6.7109375" style="1236" customWidth="1"/>
    <col min="13827" max="13827" width="8.85546875" style="1236" customWidth="1"/>
    <col min="13828" max="13828" width="47.85546875" style="1236" customWidth="1"/>
    <col min="13829" max="13829" width="12.85546875" style="1236" customWidth="1"/>
    <col min="13830" max="13830" width="15.5703125" style="1236" customWidth="1"/>
    <col min="13831" max="13831" width="15.85546875" style="1236" customWidth="1"/>
    <col min="13832" max="13832" width="6.42578125" style="1236" customWidth="1"/>
    <col min="13833" max="13835" width="9.140625" style="1236"/>
    <col min="13836" max="13836" width="18.42578125" style="1236" customWidth="1"/>
    <col min="13837" max="13837" width="16" style="1236" bestFit="1" customWidth="1"/>
    <col min="13838" max="14080" width="9.140625" style="1236"/>
    <col min="14081" max="14081" width="4.7109375" style="1236" customWidth="1"/>
    <col min="14082" max="14082" width="6.7109375" style="1236" customWidth="1"/>
    <col min="14083" max="14083" width="8.85546875" style="1236" customWidth="1"/>
    <col min="14084" max="14084" width="47.85546875" style="1236" customWidth="1"/>
    <col min="14085" max="14085" width="12.85546875" style="1236" customWidth="1"/>
    <col min="14086" max="14086" width="15.5703125" style="1236" customWidth="1"/>
    <col min="14087" max="14087" width="15.85546875" style="1236" customWidth="1"/>
    <col min="14088" max="14088" width="6.42578125" style="1236" customWidth="1"/>
    <col min="14089" max="14091" width="9.140625" style="1236"/>
    <col min="14092" max="14092" width="18.42578125" style="1236" customWidth="1"/>
    <col min="14093" max="14093" width="16" style="1236" bestFit="1" customWidth="1"/>
    <col min="14094" max="14336" width="9.140625" style="1236"/>
    <col min="14337" max="14337" width="4.7109375" style="1236" customWidth="1"/>
    <col min="14338" max="14338" width="6.7109375" style="1236" customWidth="1"/>
    <col min="14339" max="14339" width="8.85546875" style="1236" customWidth="1"/>
    <col min="14340" max="14340" width="47.85546875" style="1236" customWidth="1"/>
    <col min="14341" max="14341" width="12.85546875" style="1236" customWidth="1"/>
    <col min="14342" max="14342" width="15.5703125" style="1236" customWidth="1"/>
    <col min="14343" max="14343" width="15.85546875" style="1236" customWidth="1"/>
    <col min="14344" max="14344" width="6.42578125" style="1236" customWidth="1"/>
    <col min="14345" max="14347" width="9.140625" style="1236"/>
    <col min="14348" max="14348" width="18.42578125" style="1236" customWidth="1"/>
    <col min="14349" max="14349" width="16" style="1236" bestFit="1" customWidth="1"/>
    <col min="14350" max="14592" width="9.140625" style="1236"/>
    <col min="14593" max="14593" width="4.7109375" style="1236" customWidth="1"/>
    <col min="14594" max="14594" width="6.7109375" style="1236" customWidth="1"/>
    <col min="14595" max="14595" width="8.85546875" style="1236" customWidth="1"/>
    <col min="14596" max="14596" width="47.85546875" style="1236" customWidth="1"/>
    <col min="14597" max="14597" width="12.85546875" style="1236" customWidth="1"/>
    <col min="14598" max="14598" width="15.5703125" style="1236" customWidth="1"/>
    <col min="14599" max="14599" width="15.85546875" style="1236" customWidth="1"/>
    <col min="14600" max="14600" width="6.42578125" style="1236" customWidth="1"/>
    <col min="14601" max="14603" width="9.140625" style="1236"/>
    <col min="14604" max="14604" width="18.42578125" style="1236" customWidth="1"/>
    <col min="14605" max="14605" width="16" style="1236" bestFit="1" customWidth="1"/>
    <col min="14606" max="14848" width="9.140625" style="1236"/>
    <col min="14849" max="14849" width="4.7109375" style="1236" customWidth="1"/>
    <col min="14850" max="14850" width="6.7109375" style="1236" customWidth="1"/>
    <col min="14851" max="14851" width="8.85546875" style="1236" customWidth="1"/>
    <col min="14852" max="14852" width="47.85546875" style="1236" customWidth="1"/>
    <col min="14853" max="14853" width="12.85546875" style="1236" customWidth="1"/>
    <col min="14854" max="14854" width="15.5703125" style="1236" customWidth="1"/>
    <col min="14855" max="14855" width="15.85546875" style="1236" customWidth="1"/>
    <col min="14856" max="14856" width="6.42578125" style="1236" customWidth="1"/>
    <col min="14857" max="14859" width="9.140625" style="1236"/>
    <col min="14860" max="14860" width="18.42578125" style="1236" customWidth="1"/>
    <col min="14861" max="14861" width="16" style="1236" bestFit="1" customWidth="1"/>
    <col min="14862" max="15104" width="9.140625" style="1236"/>
    <col min="15105" max="15105" width="4.7109375" style="1236" customWidth="1"/>
    <col min="15106" max="15106" width="6.7109375" style="1236" customWidth="1"/>
    <col min="15107" max="15107" width="8.85546875" style="1236" customWidth="1"/>
    <col min="15108" max="15108" width="47.85546875" style="1236" customWidth="1"/>
    <col min="15109" max="15109" width="12.85546875" style="1236" customWidth="1"/>
    <col min="15110" max="15110" width="15.5703125" style="1236" customWidth="1"/>
    <col min="15111" max="15111" width="15.85546875" style="1236" customWidth="1"/>
    <col min="15112" max="15112" width="6.42578125" style="1236" customWidth="1"/>
    <col min="15113" max="15115" width="9.140625" style="1236"/>
    <col min="15116" max="15116" width="18.42578125" style="1236" customWidth="1"/>
    <col min="15117" max="15117" width="16" style="1236" bestFit="1" customWidth="1"/>
    <col min="15118" max="15360" width="9.140625" style="1236"/>
    <col min="15361" max="15361" width="4.7109375" style="1236" customWidth="1"/>
    <col min="15362" max="15362" width="6.7109375" style="1236" customWidth="1"/>
    <col min="15363" max="15363" width="8.85546875" style="1236" customWidth="1"/>
    <col min="15364" max="15364" width="47.85546875" style="1236" customWidth="1"/>
    <col min="15365" max="15365" width="12.85546875" style="1236" customWidth="1"/>
    <col min="15366" max="15366" width="15.5703125" style="1236" customWidth="1"/>
    <col min="15367" max="15367" width="15.85546875" style="1236" customWidth="1"/>
    <col min="15368" max="15368" width="6.42578125" style="1236" customWidth="1"/>
    <col min="15369" max="15371" width="9.140625" style="1236"/>
    <col min="15372" max="15372" width="18.42578125" style="1236" customWidth="1"/>
    <col min="15373" max="15373" width="16" style="1236" bestFit="1" customWidth="1"/>
    <col min="15374" max="15616" width="9.140625" style="1236"/>
    <col min="15617" max="15617" width="4.7109375" style="1236" customWidth="1"/>
    <col min="15618" max="15618" width="6.7109375" style="1236" customWidth="1"/>
    <col min="15619" max="15619" width="8.85546875" style="1236" customWidth="1"/>
    <col min="15620" max="15620" width="47.85546875" style="1236" customWidth="1"/>
    <col min="15621" max="15621" width="12.85546875" style="1236" customWidth="1"/>
    <col min="15622" max="15622" width="15.5703125" style="1236" customWidth="1"/>
    <col min="15623" max="15623" width="15.85546875" style="1236" customWidth="1"/>
    <col min="15624" max="15624" width="6.42578125" style="1236" customWidth="1"/>
    <col min="15625" max="15627" width="9.140625" style="1236"/>
    <col min="15628" max="15628" width="18.42578125" style="1236" customWidth="1"/>
    <col min="15629" max="15629" width="16" style="1236" bestFit="1" customWidth="1"/>
    <col min="15630" max="15872" width="9.140625" style="1236"/>
    <col min="15873" max="15873" width="4.7109375" style="1236" customWidth="1"/>
    <col min="15874" max="15874" width="6.7109375" style="1236" customWidth="1"/>
    <col min="15875" max="15875" width="8.85546875" style="1236" customWidth="1"/>
    <col min="15876" max="15876" width="47.85546875" style="1236" customWidth="1"/>
    <col min="15877" max="15877" width="12.85546875" style="1236" customWidth="1"/>
    <col min="15878" max="15878" width="15.5703125" style="1236" customWidth="1"/>
    <col min="15879" max="15879" width="15.85546875" style="1236" customWidth="1"/>
    <col min="15880" max="15880" width="6.42578125" style="1236" customWidth="1"/>
    <col min="15881" max="15883" width="9.140625" style="1236"/>
    <col min="15884" max="15884" width="18.42578125" style="1236" customWidth="1"/>
    <col min="15885" max="15885" width="16" style="1236" bestFit="1" customWidth="1"/>
    <col min="15886" max="16128" width="9.140625" style="1236"/>
    <col min="16129" max="16129" width="4.7109375" style="1236" customWidth="1"/>
    <col min="16130" max="16130" width="6.7109375" style="1236" customWidth="1"/>
    <col min="16131" max="16131" width="8.85546875" style="1236" customWidth="1"/>
    <col min="16132" max="16132" width="47.85546875" style="1236" customWidth="1"/>
    <col min="16133" max="16133" width="12.85546875" style="1236" customWidth="1"/>
    <col min="16134" max="16134" width="15.5703125" style="1236" customWidth="1"/>
    <col min="16135" max="16135" width="15.85546875" style="1236" customWidth="1"/>
    <col min="16136" max="16136" width="6.42578125" style="1236" customWidth="1"/>
    <col min="16137" max="16139" width="9.140625" style="1236"/>
    <col min="16140" max="16140" width="18.42578125" style="1236" customWidth="1"/>
    <col min="16141" max="16141" width="16" style="1236" bestFit="1" customWidth="1"/>
    <col min="16142" max="16384" width="9.140625" style="1236"/>
  </cols>
  <sheetData>
    <row r="1" spans="1:8" ht="18.75" thickBot="1" x14ac:dyDescent="0.3">
      <c r="A1" s="1230" t="s">
        <v>671</v>
      </c>
      <c r="B1" s="1231"/>
      <c r="C1" s="1232"/>
      <c r="D1" s="1233"/>
      <c r="E1" s="1234"/>
      <c r="F1" s="1233"/>
      <c r="G1" s="1235"/>
      <c r="H1" s="1230"/>
    </row>
    <row r="2" spans="1:8" ht="18" x14ac:dyDescent="0.25">
      <c r="A2" s="1237"/>
      <c r="B2" s="1238"/>
      <c r="C2" s="1238"/>
      <c r="D2" s="1238"/>
      <c r="E2" s="1238"/>
      <c r="F2" s="1238"/>
      <c r="G2" s="1238"/>
      <c r="H2" s="1239" t="s">
        <v>670</v>
      </c>
    </row>
    <row r="3" spans="1:8" ht="18" x14ac:dyDescent="0.25">
      <c r="A3" s="1240" t="s">
        <v>201</v>
      </c>
      <c r="B3" s="1238"/>
      <c r="C3" s="2205" t="s">
        <v>121</v>
      </c>
      <c r="D3" s="1238"/>
      <c r="E3" s="1238"/>
      <c r="F3" s="1238"/>
      <c r="G3" s="1238"/>
      <c r="H3" s="1239"/>
    </row>
    <row r="4" spans="1:8" ht="18" x14ac:dyDescent="0.25">
      <c r="A4" s="1237"/>
      <c r="B4" s="1238"/>
      <c r="C4" s="2205" t="s">
        <v>781</v>
      </c>
      <c r="D4" s="1238"/>
      <c r="E4" s="1238"/>
      <c r="F4" s="1238"/>
      <c r="G4" s="1238"/>
      <c r="H4" s="1239"/>
    </row>
    <row r="5" spans="1:8" ht="18" x14ac:dyDescent="0.25">
      <c r="A5" s="1242" t="s">
        <v>669</v>
      </c>
      <c r="B5" s="1238"/>
      <c r="C5" s="1238"/>
      <c r="D5" s="1238"/>
      <c r="E5" s="1238"/>
      <c r="F5" s="1238"/>
      <c r="G5" s="1238"/>
      <c r="H5" s="1239"/>
    </row>
    <row r="6" spans="1:8" x14ac:dyDescent="0.2">
      <c r="A6" s="1243"/>
      <c r="B6" s="1243"/>
      <c r="C6" s="1243"/>
      <c r="E6" s="1244"/>
      <c r="F6" s="1244"/>
      <c r="G6" s="1244"/>
    </row>
    <row r="7" spans="1:8" ht="15.75" thickBot="1" x14ac:dyDescent="0.3">
      <c r="A7" s="1229" t="s">
        <v>137</v>
      </c>
      <c r="B7" s="1243"/>
      <c r="C7" s="1243"/>
      <c r="E7" s="1244"/>
      <c r="F7" s="1244"/>
      <c r="G7" s="1244"/>
      <c r="H7" s="1245" t="s">
        <v>92</v>
      </c>
    </row>
    <row r="8" spans="1:8" ht="25.5" thickTop="1" thickBot="1" x14ac:dyDescent="0.25">
      <c r="A8" s="1104" t="s">
        <v>93</v>
      </c>
      <c r="B8" s="1105" t="s">
        <v>392</v>
      </c>
      <c r="C8" s="1105" t="s">
        <v>209</v>
      </c>
      <c r="D8" s="1106" t="s">
        <v>95</v>
      </c>
      <c r="E8" s="1127" t="s">
        <v>328</v>
      </c>
      <c r="F8" s="1127" t="s">
        <v>329</v>
      </c>
      <c r="G8" s="1128" t="s">
        <v>448</v>
      </c>
      <c r="H8" s="1129" t="s">
        <v>449</v>
      </c>
    </row>
    <row r="9" spans="1:8" ht="14.25" thickTop="1" thickBot="1" x14ac:dyDescent="0.25">
      <c r="A9" s="1042">
        <v>1</v>
      </c>
      <c r="B9" s="1041">
        <v>2</v>
      </c>
      <c r="C9" s="1041">
        <v>3</v>
      </c>
      <c r="D9" s="1041">
        <v>4</v>
      </c>
      <c r="E9" s="1040">
        <v>5</v>
      </c>
      <c r="F9" s="1040">
        <v>6</v>
      </c>
      <c r="G9" s="1164">
        <v>7</v>
      </c>
      <c r="H9" s="1186" t="s">
        <v>33</v>
      </c>
    </row>
    <row r="10" spans="1:8" ht="45.75" hidden="1" thickTop="1" x14ac:dyDescent="0.2">
      <c r="A10" s="1257">
        <v>3299</v>
      </c>
      <c r="B10" s="1258">
        <v>5213</v>
      </c>
      <c r="C10" s="2204" t="s">
        <v>1046</v>
      </c>
      <c r="D10" s="1259" t="s">
        <v>498</v>
      </c>
      <c r="E10" s="1260">
        <v>0</v>
      </c>
      <c r="F10" s="1260"/>
      <c r="G10" s="1260"/>
      <c r="H10" s="1261" t="e">
        <f t="shared" ref="H10:H27" si="0">G10/F10*100</f>
        <v>#DIV/0!</v>
      </c>
    </row>
    <row r="11" spans="1:8" ht="45.75" hidden="1" thickTop="1" x14ac:dyDescent="0.2">
      <c r="A11" s="1262">
        <v>3299</v>
      </c>
      <c r="B11" s="1263">
        <v>5213</v>
      </c>
      <c r="C11" s="1309" t="s">
        <v>1045</v>
      </c>
      <c r="D11" s="1264" t="s">
        <v>498</v>
      </c>
      <c r="E11" s="1265">
        <v>0</v>
      </c>
      <c r="F11" s="1265"/>
      <c r="G11" s="1265"/>
      <c r="H11" s="1266" t="e">
        <f t="shared" si="0"/>
        <v>#DIV/0!</v>
      </c>
    </row>
    <row r="12" spans="1:8" ht="30.75" hidden="1" thickTop="1" x14ac:dyDescent="0.2">
      <c r="A12" s="1262">
        <v>3299</v>
      </c>
      <c r="B12" s="1263">
        <v>5221</v>
      </c>
      <c r="C12" s="1309" t="s">
        <v>1046</v>
      </c>
      <c r="D12" s="1264" t="s">
        <v>636</v>
      </c>
      <c r="E12" s="1265">
        <v>0</v>
      </c>
      <c r="F12" s="1265"/>
      <c r="G12" s="1265"/>
      <c r="H12" s="1266" t="e">
        <f t="shared" si="0"/>
        <v>#DIV/0!</v>
      </c>
    </row>
    <row r="13" spans="1:8" ht="30.75" hidden="1" thickTop="1" x14ac:dyDescent="0.2">
      <c r="A13" s="1262">
        <v>3299</v>
      </c>
      <c r="B13" s="1263">
        <v>5221</v>
      </c>
      <c r="C13" s="1309" t="s">
        <v>1045</v>
      </c>
      <c r="D13" s="1264" t="s">
        <v>636</v>
      </c>
      <c r="E13" s="1265">
        <v>0</v>
      </c>
      <c r="F13" s="1265"/>
      <c r="G13" s="1265"/>
      <c r="H13" s="1266" t="e">
        <f t="shared" si="0"/>
        <v>#DIV/0!</v>
      </c>
    </row>
    <row r="14" spans="1:8" ht="15.75" hidden="1" thickTop="1" x14ac:dyDescent="0.2">
      <c r="A14" s="1262">
        <v>3299</v>
      </c>
      <c r="B14" s="1263">
        <v>5222</v>
      </c>
      <c r="C14" s="1309">
        <v>32133030</v>
      </c>
      <c r="D14" s="1264" t="s">
        <v>800</v>
      </c>
      <c r="E14" s="1265">
        <v>0</v>
      </c>
      <c r="F14" s="1265"/>
      <c r="G14" s="1265"/>
      <c r="H14" s="1266" t="e">
        <f t="shared" si="0"/>
        <v>#DIV/0!</v>
      </c>
    </row>
    <row r="15" spans="1:8" ht="15.75" hidden="1" thickTop="1" x14ac:dyDescent="0.2">
      <c r="A15" s="1262">
        <v>3299</v>
      </c>
      <c r="B15" s="1263">
        <v>5222</v>
      </c>
      <c r="C15" s="1309">
        <v>32533030</v>
      </c>
      <c r="D15" s="1264" t="s">
        <v>800</v>
      </c>
      <c r="E15" s="1265">
        <v>0</v>
      </c>
      <c r="F15" s="1265"/>
      <c r="G15" s="1265"/>
      <c r="H15" s="1266" t="e">
        <f t="shared" si="0"/>
        <v>#DIV/0!</v>
      </c>
    </row>
    <row r="16" spans="1:8" ht="26.25" hidden="1" thickTop="1" x14ac:dyDescent="0.2">
      <c r="A16" s="1262">
        <v>3299</v>
      </c>
      <c r="B16" s="1263">
        <v>5332</v>
      </c>
      <c r="C16" s="2203" t="s">
        <v>1046</v>
      </c>
      <c r="D16" s="1264" t="s">
        <v>319</v>
      </c>
      <c r="E16" s="1265">
        <v>0</v>
      </c>
      <c r="F16" s="1265"/>
      <c r="G16" s="1265"/>
      <c r="H16" s="1266" t="e">
        <f t="shared" si="0"/>
        <v>#DIV/0!</v>
      </c>
    </row>
    <row r="17" spans="1:9" ht="26.25" hidden="1" thickTop="1" x14ac:dyDescent="0.2">
      <c r="A17" s="1262">
        <v>3299</v>
      </c>
      <c r="B17" s="1263">
        <v>5332</v>
      </c>
      <c r="C17" s="2203" t="s">
        <v>1045</v>
      </c>
      <c r="D17" s="1264" t="s">
        <v>319</v>
      </c>
      <c r="E17" s="1265">
        <v>0</v>
      </c>
      <c r="F17" s="1265"/>
      <c r="G17" s="1265"/>
      <c r="H17" s="1266" t="e">
        <f t="shared" si="0"/>
        <v>#DIV/0!</v>
      </c>
    </row>
    <row r="18" spans="1:9" ht="15" hidden="1" customHeight="1" x14ac:dyDescent="0.2">
      <c r="A18" s="1262">
        <v>3299</v>
      </c>
      <c r="B18" s="1263">
        <v>5901</v>
      </c>
      <c r="C18" s="2203" t="s">
        <v>1046</v>
      </c>
      <c r="D18" s="1264" t="s">
        <v>311</v>
      </c>
      <c r="E18" s="1265">
        <v>0</v>
      </c>
      <c r="F18" s="1265"/>
      <c r="G18" s="1265"/>
      <c r="H18" s="1266" t="e">
        <f t="shared" si="0"/>
        <v>#DIV/0!</v>
      </c>
    </row>
    <row r="19" spans="1:9" ht="26.25" hidden="1" thickTop="1" x14ac:dyDescent="0.2">
      <c r="A19" s="1262">
        <v>3299</v>
      </c>
      <c r="B19" s="1263">
        <v>5901</v>
      </c>
      <c r="C19" s="2203" t="s">
        <v>1045</v>
      </c>
      <c r="D19" s="1264" t="s">
        <v>311</v>
      </c>
      <c r="E19" s="1265">
        <v>0</v>
      </c>
      <c r="F19" s="1265"/>
      <c r="G19" s="1265"/>
      <c r="H19" s="1266" t="e">
        <f t="shared" si="0"/>
        <v>#DIV/0!</v>
      </c>
    </row>
    <row r="20" spans="1:9" ht="45.75" hidden="1" thickTop="1" x14ac:dyDescent="0.2">
      <c r="A20" s="1262">
        <v>3299</v>
      </c>
      <c r="B20" s="1263">
        <v>6313</v>
      </c>
      <c r="C20" s="2203">
        <v>32133006</v>
      </c>
      <c r="D20" s="1264" t="s">
        <v>292</v>
      </c>
      <c r="E20" s="1265"/>
      <c r="F20" s="1265"/>
      <c r="G20" s="1265"/>
      <c r="H20" s="1266" t="e">
        <f t="shared" si="0"/>
        <v>#DIV/0!</v>
      </c>
    </row>
    <row r="21" spans="1:9" ht="45.75" hidden="1" thickTop="1" x14ac:dyDescent="0.2">
      <c r="A21" s="1262">
        <v>3299</v>
      </c>
      <c r="B21" s="1263">
        <v>6313</v>
      </c>
      <c r="C21" s="2203">
        <v>32533006</v>
      </c>
      <c r="D21" s="1264" t="s">
        <v>292</v>
      </c>
      <c r="E21" s="1265"/>
      <c r="F21" s="1265"/>
      <c r="G21" s="1265"/>
      <c r="H21" s="1266" t="e">
        <f t="shared" si="0"/>
        <v>#DIV/0!</v>
      </c>
    </row>
    <row r="22" spans="1:9" ht="30.75" hidden="1" thickTop="1" x14ac:dyDescent="0.2">
      <c r="A22" s="1262">
        <v>3299</v>
      </c>
      <c r="B22" s="1263">
        <v>6323</v>
      </c>
      <c r="C22" s="2203">
        <v>32133006</v>
      </c>
      <c r="D22" s="1264" t="s">
        <v>293</v>
      </c>
      <c r="E22" s="1265"/>
      <c r="F22" s="1265"/>
      <c r="G22" s="1265"/>
      <c r="H22" s="1266" t="e">
        <f t="shared" si="0"/>
        <v>#DIV/0!</v>
      </c>
    </row>
    <row r="23" spans="1:9" ht="30.75" hidden="1" thickTop="1" x14ac:dyDescent="0.2">
      <c r="A23" s="1262">
        <v>3299</v>
      </c>
      <c r="B23" s="1263">
        <v>6323</v>
      </c>
      <c r="C23" s="2203">
        <v>32533006</v>
      </c>
      <c r="D23" s="1264" t="s">
        <v>293</v>
      </c>
      <c r="E23" s="1265"/>
      <c r="F23" s="1265"/>
      <c r="G23" s="1265"/>
      <c r="H23" s="1266" t="e">
        <f t="shared" si="0"/>
        <v>#DIV/0!</v>
      </c>
    </row>
    <row r="24" spans="1:9" ht="15" hidden="1" customHeight="1" x14ac:dyDescent="0.2">
      <c r="A24" s="1262">
        <v>3299</v>
      </c>
      <c r="B24" s="1263">
        <v>6901</v>
      </c>
      <c r="C24" s="2203" t="s">
        <v>1048</v>
      </c>
      <c r="D24" s="1264" t="s">
        <v>239</v>
      </c>
      <c r="E24" s="1265">
        <v>0</v>
      </c>
      <c r="F24" s="1265"/>
      <c r="G24" s="1265"/>
      <c r="H24" s="1266" t="e">
        <f t="shared" si="0"/>
        <v>#DIV/0!</v>
      </c>
    </row>
    <row r="25" spans="1:9" ht="15" hidden="1" customHeight="1" x14ac:dyDescent="0.2">
      <c r="A25" s="1262">
        <v>3299</v>
      </c>
      <c r="B25" s="1263">
        <v>6901</v>
      </c>
      <c r="C25" s="2203" t="s">
        <v>1047</v>
      </c>
      <c r="D25" s="1264" t="s">
        <v>239</v>
      </c>
      <c r="E25" s="1265">
        <v>0</v>
      </c>
      <c r="F25" s="1265"/>
      <c r="G25" s="1265"/>
      <c r="H25" s="1266" t="e">
        <f t="shared" si="0"/>
        <v>#DIV/0!</v>
      </c>
    </row>
    <row r="26" spans="1:9" ht="15" customHeight="1" thickTop="1" x14ac:dyDescent="0.2">
      <c r="A26" s="1262">
        <v>6402</v>
      </c>
      <c r="B26" s="1263">
        <v>5363</v>
      </c>
      <c r="C26" s="2203" t="s">
        <v>882</v>
      </c>
      <c r="D26" s="1264" t="s">
        <v>739</v>
      </c>
      <c r="E26" s="1265"/>
      <c r="F26" s="1265"/>
      <c r="G26" s="1265"/>
      <c r="H26" s="1266" t="e">
        <f t="shared" si="0"/>
        <v>#DIV/0!</v>
      </c>
    </row>
    <row r="27" spans="1:9" ht="27.75" customHeight="1" x14ac:dyDescent="0.2">
      <c r="A27" s="1262">
        <v>6402</v>
      </c>
      <c r="B27" s="1263">
        <v>5364</v>
      </c>
      <c r="C27" s="2203" t="s">
        <v>882</v>
      </c>
      <c r="D27" s="1264" t="s">
        <v>1022</v>
      </c>
      <c r="E27" s="1265"/>
      <c r="F27" s="1265"/>
      <c r="G27" s="1265"/>
      <c r="H27" s="1266" t="e">
        <f t="shared" si="0"/>
        <v>#DIV/0!</v>
      </c>
    </row>
    <row r="28" spans="1:9" ht="27.75" customHeight="1" x14ac:dyDescent="0.2">
      <c r="A28" s="1262">
        <v>6409</v>
      </c>
      <c r="B28" s="1263">
        <v>5909</v>
      </c>
      <c r="C28" s="2203" t="s">
        <v>871</v>
      </c>
      <c r="D28" s="1264" t="s">
        <v>1447</v>
      </c>
      <c r="E28" s="1265"/>
      <c r="F28" s="1265"/>
      <c r="G28" s="1265"/>
      <c r="H28" s="1266">
        <v>0</v>
      </c>
    </row>
    <row r="29" spans="1:9" ht="26.25" thickBot="1" x14ac:dyDescent="0.25">
      <c r="A29" s="1262">
        <v>6330</v>
      </c>
      <c r="B29" s="1263">
        <v>5345</v>
      </c>
      <c r="C29" s="2203" t="s">
        <v>871</v>
      </c>
      <c r="D29" s="1264" t="s">
        <v>397</v>
      </c>
      <c r="E29" s="1265"/>
      <c r="F29" s="1265"/>
      <c r="G29" s="1265"/>
      <c r="H29" s="1268">
        <v>0</v>
      </c>
    </row>
    <row r="30" spans="1:9" ht="16.5" thickTop="1" thickBot="1" x14ac:dyDescent="0.3">
      <c r="A30" s="3317" t="s">
        <v>394</v>
      </c>
      <c r="B30" s="3318"/>
      <c r="C30" s="3318"/>
      <c r="D30" s="3318"/>
      <c r="E30" s="1113">
        <f>SUM(E10:E29)</f>
        <v>0</v>
      </c>
      <c r="F30" s="1113">
        <f>SUM(F10:F29)</f>
        <v>0</v>
      </c>
      <c r="G30" s="1113">
        <f>SUM(G10:G29)</f>
        <v>0</v>
      </c>
      <c r="H30" s="1117" t="e">
        <f>G30/F30*100</f>
        <v>#DIV/0!</v>
      </c>
    </row>
    <row r="31" spans="1:9" ht="15.75" thickTop="1" x14ac:dyDescent="0.25">
      <c r="A31" s="1304"/>
      <c r="B31" s="1304"/>
      <c r="C31" s="1304"/>
      <c r="D31" s="1304"/>
      <c r="E31" s="1305"/>
      <c r="F31" s="1305"/>
      <c r="G31" s="1305"/>
      <c r="H31" s="1306"/>
    </row>
    <row r="32" spans="1:9" ht="15" hidden="1" x14ac:dyDescent="0.25">
      <c r="A32" s="1229" t="s">
        <v>745</v>
      </c>
      <c r="B32" s="1243"/>
      <c r="C32" s="1243"/>
      <c r="D32" s="1243"/>
      <c r="F32" s="1244"/>
      <c r="G32" s="1244"/>
      <c r="H32" s="1244"/>
      <c r="I32" s="1244"/>
    </row>
    <row r="33" spans="1:9" ht="15" hidden="1" x14ac:dyDescent="0.25">
      <c r="A33" s="1229" t="s">
        <v>487</v>
      </c>
      <c r="B33" s="1243"/>
      <c r="C33" s="1243"/>
      <c r="D33" s="1243"/>
      <c r="F33" s="1244"/>
      <c r="G33" s="1244"/>
      <c r="H33" s="1245" t="s">
        <v>92</v>
      </c>
      <c r="I33" s="1244"/>
    </row>
    <row r="34" spans="1:9" ht="25.5" hidden="1" thickTop="1" thickBot="1" x14ac:dyDescent="0.25">
      <c r="A34" s="1246" t="s">
        <v>93</v>
      </c>
      <c r="B34" s="1247" t="s">
        <v>392</v>
      </c>
      <c r="C34" s="1247" t="s">
        <v>209</v>
      </c>
      <c r="D34" s="1248" t="s">
        <v>95</v>
      </c>
      <c r="E34" s="1249" t="s">
        <v>328</v>
      </c>
      <c r="F34" s="1249" t="s">
        <v>329</v>
      </c>
      <c r="G34" s="1250" t="s">
        <v>448</v>
      </c>
      <c r="H34" s="1251" t="s">
        <v>449</v>
      </c>
      <c r="I34" s="1244"/>
    </row>
    <row r="35" spans="1:9" ht="14.25" hidden="1" thickTop="1" thickBot="1" x14ac:dyDescent="0.25">
      <c r="A35" s="1252">
        <v>1</v>
      </c>
      <c r="B35" s="1253">
        <v>2</v>
      </c>
      <c r="C35" s="1253">
        <v>3</v>
      </c>
      <c r="D35" s="1253">
        <v>5</v>
      </c>
      <c r="E35" s="1254">
        <v>6</v>
      </c>
      <c r="F35" s="1254">
        <v>7</v>
      </c>
      <c r="G35" s="1255">
        <v>8</v>
      </c>
      <c r="H35" s="1271" t="s">
        <v>393</v>
      </c>
      <c r="I35" s="1244"/>
    </row>
    <row r="36" spans="1:9" ht="30.75" hidden="1" thickTop="1" x14ac:dyDescent="0.2">
      <c r="A36" s="1262">
        <v>3299</v>
      </c>
      <c r="B36" s="1263">
        <v>5336</v>
      </c>
      <c r="C36" s="1263">
        <v>32133030</v>
      </c>
      <c r="D36" s="1264" t="s">
        <v>602</v>
      </c>
      <c r="E36" s="1260"/>
      <c r="F36" s="1260"/>
      <c r="G36" s="1272"/>
      <c r="H36" s="1261" t="e">
        <f>G36/F36*100</f>
        <v>#DIV/0!</v>
      </c>
      <c r="I36" s="1244"/>
    </row>
    <row r="37" spans="1:9" ht="30" hidden="1" x14ac:dyDescent="0.2">
      <c r="A37" s="1262">
        <v>3299</v>
      </c>
      <c r="B37" s="1263">
        <v>5336</v>
      </c>
      <c r="C37" s="1263">
        <v>32533030</v>
      </c>
      <c r="D37" s="1264" t="s">
        <v>602</v>
      </c>
      <c r="E37" s="1265"/>
      <c r="F37" s="1265"/>
      <c r="G37" s="1273"/>
      <c r="H37" s="1266" t="e">
        <f>G37/F37*100</f>
        <v>#DIV/0!</v>
      </c>
      <c r="I37" s="1244"/>
    </row>
    <row r="38" spans="1:9" ht="30" hidden="1" x14ac:dyDescent="0.2">
      <c r="A38" s="1262">
        <v>3299</v>
      </c>
      <c r="B38" s="1263">
        <v>6351</v>
      </c>
      <c r="C38" s="1263">
        <v>32133006</v>
      </c>
      <c r="D38" s="1264" t="s">
        <v>603</v>
      </c>
      <c r="E38" s="1265">
        <v>0</v>
      </c>
      <c r="F38" s="1265">
        <v>0</v>
      </c>
      <c r="G38" s="1273">
        <v>0</v>
      </c>
      <c r="H38" s="1266" t="e">
        <f>G38/F38*100</f>
        <v>#DIV/0!</v>
      </c>
      <c r="I38" s="1244"/>
    </row>
    <row r="39" spans="1:9" ht="30" hidden="1" x14ac:dyDescent="0.2">
      <c r="A39" s="1262">
        <v>3299</v>
      </c>
      <c r="B39" s="1263">
        <v>6351</v>
      </c>
      <c r="C39" s="1263">
        <v>32533006</v>
      </c>
      <c r="D39" s="1264" t="s">
        <v>603</v>
      </c>
      <c r="E39" s="1265">
        <v>0</v>
      </c>
      <c r="F39" s="1265">
        <v>0</v>
      </c>
      <c r="G39" s="1273">
        <v>0</v>
      </c>
      <c r="H39" s="1266" t="e">
        <f>G39/F39*100</f>
        <v>#DIV/0!</v>
      </c>
      <c r="I39" s="1244"/>
    </row>
    <row r="40" spans="1:9" ht="16.5" hidden="1" thickTop="1" thickBot="1" x14ac:dyDescent="0.3">
      <c r="A40" s="1274" t="s">
        <v>394</v>
      </c>
      <c r="B40" s="1275"/>
      <c r="C40" s="1275"/>
      <c r="D40" s="1276"/>
      <c r="E40" s="1269">
        <f>SUM(E36:E39)</f>
        <v>0</v>
      </c>
      <c r="F40" s="1269">
        <f>SUM(F36:F39)</f>
        <v>0</v>
      </c>
      <c r="G40" s="1269">
        <f>SUM(G36:G39)</f>
        <v>0</v>
      </c>
      <c r="H40" s="1270" t="e">
        <f>G40/F40*100</f>
        <v>#DIV/0!</v>
      </c>
      <c r="I40" s="1244"/>
    </row>
    <row r="41" spans="1:9" ht="15" hidden="1" x14ac:dyDescent="0.25">
      <c r="A41" s="1304"/>
      <c r="B41" s="1304"/>
      <c r="C41" s="1304"/>
      <c r="D41" s="1304"/>
      <c r="E41" s="1305"/>
      <c r="F41" s="1305"/>
      <c r="G41" s="1305"/>
      <c r="H41" s="1306"/>
    </row>
    <row r="42" spans="1:9" ht="15" x14ac:dyDescent="0.25">
      <c r="A42" s="1304"/>
      <c r="B42" s="1304"/>
      <c r="C42" s="1304"/>
      <c r="D42" s="1304"/>
      <c r="E42" s="1305"/>
      <c r="F42" s="1305"/>
      <c r="G42" s="1305"/>
      <c r="H42" s="1306"/>
    </row>
    <row r="43" spans="1:9" ht="15" hidden="1" x14ac:dyDescent="0.25">
      <c r="A43" s="1229" t="s">
        <v>746</v>
      </c>
      <c r="B43" s="1243"/>
      <c r="C43" s="1243"/>
      <c r="D43" s="1243"/>
      <c r="F43" s="1244"/>
      <c r="G43" s="1244"/>
      <c r="H43" s="1244"/>
      <c r="I43" s="1244"/>
    </row>
    <row r="44" spans="1:9" ht="15" hidden="1" x14ac:dyDescent="0.25">
      <c r="A44" s="1229" t="s">
        <v>747</v>
      </c>
      <c r="B44" s="1243"/>
      <c r="C44" s="1243"/>
      <c r="D44" s="1243"/>
      <c r="F44" s="1244"/>
      <c r="G44" s="1244"/>
      <c r="H44" s="1245" t="s">
        <v>92</v>
      </c>
      <c r="I44" s="1244"/>
    </row>
    <row r="45" spans="1:9" ht="25.5" hidden="1" thickTop="1" thickBot="1" x14ac:dyDescent="0.25">
      <c r="A45" s="1246" t="s">
        <v>93</v>
      </c>
      <c r="B45" s="1247" t="s">
        <v>392</v>
      </c>
      <c r="C45" s="1247" t="s">
        <v>209</v>
      </c>
      <c r="D45" s="1248" t="s">
        <v>95</v>
      </c>
      <c r="E45" s="1249" t="s">
        <v>328</v>
      </c>
      <c r="F45" s="1249" t="s">
        <v>329</v>
      </c>
      <c r="G45" s="1250" t="s">
        <v>448</v>
      </c>
      <c r="H45" s="1251" t="s">
        <v>449</v>
      </c>
      <c r="I45" s="1244"/>
    </row>
    <row r="46" spans="1:9" ht="14.25" hidden="1" thickTop="1" thickBot="1" x14ac:dyDescent="0.25">
      <c r="A46" s="1252">
        <v>1</v>
      </c>
      <c r="B46" s="1253">
        <v>2</v>
      </c>
      <c r="C46" s="1253">
        <v>3</v>
      </c>
      <c r="D46" s="1253">
        <v>5</v>
      </c>
      <c r="E46" s="1254">
        <v>6</v>
      </c>
      <c r="F46" s="1254">
        <v>7</v>
      </c>
      <c r="G46" s="1255">
        <v>8</v>
      </c>
      <c r="H46" s="1271" t="s">
        <v>393</v>
      </c>
      <c r="I46" s="1244"/>
    </row>
    <row r="47" spans="1:9" ht="15" hidden="1" x14ac:dyDescent="0.25">
      <c r="A47" s="1278">
        <v>3299</v>
      </c>
      <c r="B47" s="1279">
        <v>5321</v>
      </c>
      <c r="C47" s="1279">
        <v>32133030</v>
      </c>
      <c r="D47" s="1281" t="s">
        <v>566</v>
      </c>
      <c r="E47" s="1265"/>
      <c r="F47" s="1265"/>
      <c r="G47" s="1273"/>
      <c r="H47" s="1266" t="e">
        <f>G47/F47*100</f>
        <v>#DIV/0!</v>
      </c>
      <c r="I47" s="1244"/>
    </row>
    <row r="48" spans="1:9" ht="15" hidden="1" x14ac:dyDescent="0.25">
      <c r="A48" s="1278">
        <v>3299</v>
      </c>
      <c r="B48" s="1279">
        <v>5321</v>
      </c>
      <c r="C48" s="1279">
        <v>32533030</v>
      </c>
      <c r="D48" s="1281" t="s">
        <v>566</v>
      </c>
      <c r="E48" s="1265"/>
      <c r="F48" s="1265"/>
      <c r="G48" s="1273"/>
      <c r="H48" s="1266" t="e">
        <f>G48/F48*100</f>
        <v>#DIV/0!</v>
      </c>
      <c r="I48" s="1244"/>
    </row>
    <row r="49" spans="1:9" ht="15.75" hidden="1" thickBot="1" x14ac:dyDescent="0.3">
      <c r="A49" s="1282">
        <v>3299</v>
      </c>
      <c r="B49" s="1283">
        <v>6341</v>
      </c>
      <c r="C49" s="1283">
        <v>32533926</v>
      </c>
      <c r="D49" s="1280" t="s">
        <v>136</v>
      </c>
      <c r="E49" s="1265">
        <v>0</v>
      </c>
      <c r="F49" s="1265">
        <v>0</v>
      </c>
      <c r="G49" s="1273">
        <v>0</v>
      </c>
      <c r="H49" s="1266" t="e">
        <f>G49/F49*100</f>
        <v>#DIV/0!</v>
      </c>
      <c r="I49" s="1244"/>
    </row>
    <row r="50" spans="1:9" ht="16.5" hidden="1" thickTop="1" thickBot="1" x14ac:dyDescent="0.3">
      <c r="A50" s="1274" t="s">
        <v>394</v>
      </c>
      <c r="B50" s="1275"/>
      <c r="C50" s="1275"/>
      <c r="D50" s="1276"/>
      <c r="E50" s="1269">
        <f>SUM(E47:E49)</f>
        <v>0</v>
      </c>
      <c r="F50" s="1269">
        <f>SUM(F47:F49)</f>
        <v>0</v>
      </c>
      <c r="G50" s="1269">
        <f>SUM(G47:G49)</f>
        <v>0</v>
      </c>
      <c r="H50" s="1270" t="e">
        <f>G50/F50*100</f>
        <v>#DIV/0!</v>
      </c>
      <c r="I50" s="1244"/>
    </row>
    <row r="51" spans="1:9" ht="15" hidden="1" x14ac:dyDescent="0.25">
      <c r="A51" s="1304"/>
      <c r="B51" s="1304"/>
      <c r="C51" s="1304"/>
      <c r="D51" s="1304"/>
      <c r="E51" s="1305"/>
      <c r="F51" s="1305"/>
      <c r="G51" s="1305"/>
      <c r="H51" s="1306"/>
    </row>
    <row r="52" spans="1:9" ht="15" hidden="1" x14ac:dyDescent="0.25">
      <c r="A52" s="1229" t="s">
        <v>485</v>
      </c>
      <c r="B52" s="1243"/>
      <c r="C52" s="1243"/>
      <c r="D52" s="1243"/>
      <c r="F52" s="1244"/>
      <c r="G52" s="1244"/>
      <c r="H52" s="1244"/>
      <c r="I52" s="1244"/>
    </row>
    <row r="53" spans="1:9" ht="15" hidden="1" x14ac:dyDescent="0.25">
      <c r="A53" s="1229" t="s">
        <v>486</v>
      </c>
      <c r="B53" s="1243"/>
      <c r="C53" s="1243"/>
      <c r="D53" s="1243"/>
      <c r="F53" s="1244"/>
      <c r="G53" s="1244"/>
      <c r="H53" s="1245" t="s">
        <v>92</v>
      </c>
      <c r="I53" s="1244"/>
    </row>
    <row r="54" spans="1:9" ht="25.5" hidden="1" thickTop="1" thickBot="1" x14ac:dyDescent="0.25">
      <c r="A54" s="1246" t="s">
        <v>93</v>
      </c>
      <c r="B54" s="1247" t="s">
        <v>392</v>
      </c>
      <c r="C54" s="1247" t="s">
        <v>209</v>
      </c>
      <c r="D54" s="1248" t="s">
        <v>95</v>
      </c>
      <c r="E54" s="1249" t="s">
        <v>328</v>
      </c>
      <c r="F54" s="1249" t="s">
        <v>329</v>
      </c>
      <c r="G54" s="1250" t="s">
        <v>448</v>
      </c>
      <c r="H54" s="1251" t="s">
        <v>449</v>
      </c>
      <c r="I54" s="1244"/>
    </row>
    <row r="55" spans="1:9" ht="14.25" hidden="1" thickTop="1" thickBot="1" x14ac:dyDescent="0.25">
      <c r="A55" s="1252">
        <v>1</v>
      </c>
      <c r="B55" s="1253">
        <v>2</v>
      </c>
      <c r="C55" s="1253">
        <v>3</v>
      </c>
      <c r="D55" s="1253">
        <v>5</v>
      </c>
      <c r="E55" s="1254">
        <v>6</v>
      </c>
      <c r="F55" s="1254">
        <v>7</v>
      </c>
      <c r="G55" s="1255">
        <v>8</v>
      </c>
      <c r="H55" s="1271" t="s">
        <v>393</v>
      </c>
      <c r="I55" s="1244"/>
    </row>
    <row r="56" spans="1:9" ht="15" hidden="1" x14ac:dyDescent="0.25">
      <c r="A56" s="1278">
        <v>3299</v>
      </c>
      <c r="B56" s="1279">
        <v>5321</v>
      </c>
      <c r="C56" s="1279">
        <v>32133030</v>
      </c>
      <c r="D56" s="1281" t="s">
        <v>566</v>
      </c>
      <c r="E56" s="1265"/>
      <c r="F56" s="1265"/>
      <c r="G56" s="1273"/>
      <c r="H56" s="1266" t="e">
        <f>G56/F56*100</f>
        <v>#DIV/0!</v>
      </c>
      <c r="I56" s="1244"/>
    </row>
    <row r="57" spans="1:9" ht="15" hidden="1" x14ac:dyDescent="0.25">
      <c r="A57" s="1278">
        <v>3299</v>
      </c>
      <c r="B57" s="1279">
        <v>5321</v>
      </c>
      <c r="C57" s="1279">
        <v>32533030</v>
      </c>
      <c r="D57" s="1281" t="s">
        <v>566</v>
      </c>
      <c r="E57" s="1265"/>
      <c r="F57" s="1265"/>
      <c r="G57" s="1273"/>
      <c r="H57" s="1266" t="e">
        <f>G57/F57*100</f>
        <v>#DIV/0!</v>
      </c>
      <c r="I57" s="1244"/>
    </row>
    <row r="58" spans="1:9" ht="15.75" hidden="1" thickBot="1" x14ac:dyDescent="0.3">
      <c r="A58" s="1282">
        <v>3299</v>
      </c>
      <c r="B58" s="1283">
        <v>6341</v>
      </c>
      <c r="C58" s="1283">
        <v>32533926</v>
      </c>
      <c r="D58" s="1280" t="s">
        <v>136</v>
      </c>
      <c r="E58" s="1265">
        <v>0</v>
      </c>
      <c r="F58" s="1265">
        <v>0</v>
      </c>
      <c r="G58" s="1273">
        <v>0</v>
      </c>
      <c r="H58" s="1266" t="e">
        <f>G58/F58*100</f>
        <v>#DIV/0!</v>
      </c>
      <c r="I58" s="1244"/>
    </row>
    <row r="59" spans="1:9" ht="16.5" hidden="1" thickTop="1" thickBot="1" x14ac:dyDescent="0.3">
      <c r="A59" s="1274" t="s">
        <v>394</v>
      </c>
      <c r="B59" s="1275"/>
      <c r="C59" s="1275"/>
      <c r="D59" s="1276"/>
      <c r="E59" s="1269">
        <f>SUM(E56:E58)</f>
        <v>0</v>
      </c>
      <c r="F59" s="1269">
        <f>SUM(F56:F58)</f>
        <v>0</v>
      </c>
      <c r="G59" s="1269">
        <f>SUM(G56:G58)</f>
        <v>0</v>
      </c>
      <c r="H59" s="1270" t="e">
        <f>G59/F59*100</f>
        <v>#DIV/0!</v>
      </c>
      <c r="I59" s="1244"/>
    </row>
    <row r="60" spans="1:9" ht="15" hidden="1" x14ac:dyDescent="0.25">
      <c r="A60" s="1304"/>
      <c r="B60" s="1304"/>
      <c r="C60" s="1304"/>
      <c r="D60" s="1304"/>
      <c r="E60" s="1305"/>
      <c r="F60" s="1305"/>
      <c r="G60" s="1305"/>
      <c r="H60" s="1306"/>
    </row>
    <row r="61" spans="1:9" ht="15" hidden="1" x14ac:dyDescent="0.25">
      <c r="A61" s="1304"/>
      <c r="B61" s="1304"/>
      <c r="C61" s="1304"/>
      <c r="D61" s="1304"/>
      <c r="E61" s="1305"/>
      <c r="F61" s="1305"/>
      <c r="G61" s="1305"/>
      <c r="H61" s="1306"/>
    </row>
    <row r="62" spans="1:9" hidden="1" x14ac:dyDescent="0.2"/>
    <row r="63" spans="1:9" hidden="1" x14ac:dyDescent="0.2"/>
    <row r="64" spans="1:9" hidden="1" x14ac:dyDescent="0.2"/>
    <row r="66" spans="1:13" ht="16.5" x14ac:dyDescent="0.25">
      <c r="A66" s="1285" t="s">
        <v>251</v>
      </c>
      <c r="B66" s="1286"/>
      <c r="C66" s="1287"/>
      <c r="D66" s="1288"/>
      <c r="E66" s="1289">
        <f>SUM(E67:E69)</f>
        <v>0</v>
      </c>
      <c r="F66" s="1289">
        <f>F67+F68+F69+F70</f>
        <v>0</v>
      </c>
      <c r="G66" s="1289">
        <f>G67+G68+G69+G70</f>
        <v>0</v>
      </c>
      <c r="H66" s="1290" t="e">
        <f>G66/F66*100</f>
        <v>#DIV/0!</v>
      </c>
      <c r="K66" s="1291">
        <f>K67+K68+K69</f>
        <v>0</v>
      </c>
      <c r="L66" s="1291">
        <f>L67+L68+L69</f>
        <v>0</v>
      </c>
      <c r="M66" s="1291">
        <f>M67+M68+M69</f>
        <v>0</v>
      </c>
    </row>
    <row r="67" spans="1:13" ht="15" x14ac:dyDescent="0.2">
      <c r="A67" s="1292" t="s">
        <v>147</v>
      </c>
      <c r="B67" s="1293"/>
      <c r="C67" s="1294"/>
      <c r="D67" s="1295"/>
      <c r="E67" s="1296">
        <f>E27+E26+E28</f>
        <v>0</v>
      </c>
      <c r="F67" s="1296">
        <f>F27+F26+F28</f>
        <v>0</v>
      </c>
      <c r="G67" s="1296">
        <f>G27+G26+G28</f>
        <v>0</v>
      </c>
      <c r="H67" s="1297" t="e">
        <f>G67/F67*100</f>
        <v>#DIV/0!</v>
      </c>
      <c r="K67" s="1298">
        <v>0</v>
      </c>
      <c r="L67" s="1298">
        <v>0</v>
      </c>
      <c r="M67" s="1298">
        <v>0</v>
      </c>
    </row>
    <row r="68" spans="1:13" ht="15" x14ac:dyDescent="0.2">
      <c r="A68" s="1292" t="s">
        <v>148</v>
      </c>
      <c r="B68" s="1299"/>
      <c r="C68" s="1294"/>
      <c r="D68" s="1300"/>
      <c r="E68" s="1296">
        <f>E24+E25</f>
        <v>0</v>
      </c>
      <c r="F68" s="1296">
        <f>F24+F25</f>
        <v>0</v>
      </c>
      <c r="G68" s="1296">
        <f>G24+G25</f>
        <v>0</v>
      </c>
      <c r="H68" s="1297">
        <v>0</v>
      </c>
      <c r="K68" s="1298">
        <v>0</v>
      </c>
      <c r="L68" s="1298">
        <v>0</v>
      </c>
      <c r="M68" s="1298">
        <v>0</v>
      </c>
    </row>
    <row r="69" spans="1:13" ht="15" x14ac:dyDescent="0.2">
      <c r="A69" s="1292" t="s">
        <v>252</v>
      </c>
      <c r="B69" s="1299"/>
      <c r="C69" s="1294"/>
      <c r="D69" s="1300"/>
      <c r="E69" s="1296">
        <f>E29</f>
        <v>0</v>
      </c>
      <c r="F69" s="1296">
        <f>F29</f>
        <v>0</v>
      </c>
      <c r="G69" s="1296">
        <f>G29</f>
        <v>0</v>
      </c>
      <c r="H69" s="1297">
        <v>0</v>
      </c>
      <c r="K69" s="1298">
        <v>0</v>
      </c>
      <c r="L69" s="1298">
        <v>0</v>
      </c>
      <c r="M69" s="1298">
        <v>0</v>
      </c>
    </row>
    <row r="70" spans="1:13" ht="16.5" customHeight="1" x14ac:dyDescent="0.2">
      <c r="A70" s="1292"/>
      <c r="B70" s="1299"/>
      <c r="C70" s="1294"/>
      <c r="D70" s="1300"/>
      <c r="E70" s="1296"/>
      <c r="F70" s="1296"/>
      <c r="G70" s="1296"/>
      <c r="H70" s="1301"/>
    </row>
    <row r="71" spans="1:13" ht="57.75" customHeight="1" thickBot="1" x14ac:dyDescent="0.4">
      <c r="A71" s="3321" t="s">
        <v>668</v>
      </c>
      <c r="B71" s="3287"/>
      <c r="C71" s="3287"/>
      <c r="D71" s="3287"/>
      <c r="E71" s="1302">
        <f>SUM(E66)</f>
        <v>0</v>
      </c>
      <c r="F71" s="1302">
        <f>SUM(F66)</f>
        <v>0</v>
      </c>
      <c r="G71" s="1302">
        <f>SUM(G66)</f>
        <v>0</v>
      </c>
      <c r="H71" s="1303" t="e">
        <f>(G71/F71)*100</f>
        <v>#DIV/0!</v>
      </c>
    </row>
    <row r="72" spans="1:13" ht="13.5" thickTop="1" x14ac:dyDescent="0.2"/>
  </sheetData>
  <mergeCells count="2">
    <mergeCell ref="A30:D30"/>
    <mergeCell ref="A71:D71"/>
  </mergeCells>
  <pageMargins left="0.70866141732283472" right="0.70866141732283472" top="0.78740157480314965" bottom="0.78740157480314965" header="0.31496062992125984" footer="0.31496062992125984"/>
  <pageSetup paperSize="9" scale="65" firstPageNumber="146" orientation="portrait" useFirstPageNumber="1" r:id="rId1"/>
  <headerFooter>
    <oddFooter xml:space="preserve">&amp;L&amp;"Arial,Kurzíva"Zastupitelstvo Olomouckého kraje 19. 6. 2017
5.1. - Rozpočet Olomouckého kraje 2016 - závěrečný účet 
Příloha č. 3: Plnění rozpočtu výdajů Olomouckého kraje k 31. 12. 2016&amp;R&amp;"Arial,Kurzíva"Strana &amp;P (celkem 500)
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FF"/>
  </sheetPr>
  <dimension ref="A1:L45"/>
  <sheetViews>
    <sheetView view="pageBreakPreview" zoomScaleNormal="100" zoomScaleSheetLayoutView="100" workbookViewId="0">
      <selection activeCell="N62" sqref="N62"/>
    </sheetView>
  </sheetViews>
  <sheetFormatPr defaultRowHeight="12.75" x14ac:dyDescent="0.2"/>
  <cols>
    <col min="1" max="1" width="5.140625" style="1236" customWidth="1"/>
    <col min="2" max="2" width="6.7109375" style="1236" customWidth="1"/>
    <col min="3" max="3" width="10.28515625" style="1236" customWidth="1"/>
    <col min="4" max="4" width="47.85546875" style="1236" customWidth="1"/>
    <col min="5" max="5" width="15.42578125" style="1236" customWidth="1"/>
    <col min="6" max="6" width="15.5703125" style="1236" customWidth="1"/>
    <col min="7" max="7" width="15.85546875" style="1236" customWidth="1"/>
    <col min="8" max="8" width="8.42578125" style="1236" customWidth="1"/>
    <col min="9" max="10" width="9.140625" style="1236"/>
    <col min="11" max="11" width="18.42578125" style="1236" customWidth="1"/>
    <col min="12" max="12" width="16" style="1236" bestFit="1" customWidth="1"/>
    <col min="13" max="256" width="9.140625" style="1236"/>
    <col min="257" max="257" width="4.7109375" style="1236" customWidth="1"/>
    <col min="258" max="258" width="6.7109375" style="1236" customWidth="1"/>
    <col min="259" max="259" width="8.85546875" style="1236" customWidth="1"/>
    <col min="260" max="260" width="47.85546875" style="1236" customWidth="1"/>
    <col min="261" max="261" width="12.85546875" style="1236" customWidth="1"/>
    <col min="262" max="262" width="15.5703125" style="1236" customWidth="1"/>
    <col min="263" max="263" width="15.85546875" style="1236" customWidth="1"/>
    <col min="264" max="264" width="6.42578125" style="1236" customWidth="1"/>
    <col min="265" max="266" width="9.140625" style="1236"/>
    <col min="267" max="267" width="18.42578125" style="1236" customWidth="1"/>
    <col min="268" max="268" width="16" style="1236" bestFit="1" customWidth="1"/>
    <col min="269" max="512" width="9.140625" style="1236"/>
    <col min="513" max="513" width="4.7109375" style="1236" customWidth="1"/>
    <col min="514" max="514" width="6.7109375" style="1236" customWidth="1"/>
    <col min="515" max="515" width="8.85546875" style="1236" customWidth="1"/>
    <col min="516" max="516" width="47.85546875" style="1236" customWidth="1"/>
    <col min="517" max="517" width="12.85546875" style="1236" customWidth="1"/>
    <col min="518" max="518" width="15.5703125" style="1236" customWidth="1"/>
    <col min="519" max="519" width="15.85546875" style="1236" customWidth="1"/>
    <col min="520" max="520" width="6.42578125" style="1236" customWidth="1"/>
    <col min="521" max="522" width="9.140625" style="1236"/>
    <col min="523" max="523" width="18.42578125" style="1236" customWidth="1"/>
    <col min="524" max="524" width="16" style="1236" bestFit="1" customWidth="1"/>
    <col min="525" max="768" width="9.140625" style="1236"/>
    <col min="769" max="769" width="4.7109375" style="1236" customWidth="1"/>
    <col min="770" max="770" width="6.7109375" style="1236" customWidth="1"/>
    <col min="771" max="771" width="8.85546875" style="1236" customWidth="1"/>
    <col min="772" max="772" width="47.85546875" style="1236" customWidth="1"/>
    <col min="773" max="773" width="12.85546875" style="1236" customWidth="1"/>
    <col min="774" max="774" width="15.5703125" style="1236" customWidth="1"/>
    <col min="775" max="775" width="15.85546875" style="1236" customWidth="1"/>
    <col min="776" max="776" width="6.42578125" style="1236" customWidth="1"/>
    <col min="777" max="778" width="9.140625" style="1236"/>
    <col min="779" max="779" width="18.42578125" style="1236" customWidth="1"/>
    <col min="780" max="780" width="16" style="1236" bestFit="1" customWidth="1"/>
    <col min="781" max="1024" width="9.140625" style="1236"/>
    <col min="1025" max="1025" width="4.7109375" style="1236" customWidth="1"/>
    <col min="1026" max="1026" width="6.7109375" style="1236" customWidth="1"/>
    <col min="1027" max="1027" width="8.85546875" style="1236" customWidth="1"/>
    <col min="1028" max="1028" width="47.85546875" style="1236" customWidth="1"/>
    <col min="1029" max="1029" width="12.85546875" style="1236" customWidth="1"/>
    <col min="1030" max="1030" width="15.5703125" style="1236" customWidth="1"/>
    <col min="1031" max="1031" width="15.85546875" style="1236" customWidth="1"/>
    <col min="1032" max="1032" width="6.42578125" style="1236" customWidth="1"/>
    <col min="1033" max="1034" width="9.140625" style="1236"/>
    <col min="1035" max="1035" width="18.42578125" style="1236" customWidth="1"/>
    <col min="1036" max="1036" width="16" style="1236" bestFit="1" customWidth="1"/>
    <col min="1037" max="1280" width="9.140625" style="1236"/>
    <col min="1281" max="1281" width="4.7109375" style="1236" customWidth="1"/>
    <col min="1282" max="1282" width="6.7109375" style="1236" customWidth="1"/>
    <col min="1283" max="1283" width="8.85546875" style="1236" customWidth="1"/>
    <col min="1284" max="1284" width="47.85546875" style="1236" customWidth="1"/>
    <col min="1285" max="1285" width="12.85546875" style="1236" customWidth="1"/>
    <col min="1286" max="1286" width="15.5703125" style="1236" customWidth="1"/>
    <col min="1287" max="1287" width="15.85546875" style="1236" customWidth="1"/>
    <col min="1288" max="1288" width="6.42578125" style="1236" customWidth="1"/>
    <col min="1289" max="1290" width="9.140625" style="1236"/>
    <col min="1291" max="1291" width="18.42578125" style="1236" customWidth="1"/>
    <col min="1292" max="1292" width="16" style="1236" bestFit="1" customWidth="1"/>
    <col min="1293" max="1536" width="9.140625" style="1236"/>
    <col min="1537" max="1537" width="4.7109375" style="1236" customWidth="1"/>
    <col min="1538" max="1538" width="6.7109375" style="1236" customWidth="1"/>
    <col min="1539" max="1539" width="8.85546875" style="1236" customWidth="1"/>
    <col min="1540" max="1540" width="47.85546875" style="1236" customWidth="1"/>
    <col min="1541" max="1541" width="12.85546875" style="1236" customWidth="1"/>
    <col min="1542" max="1542" width="15.5703125" style="1236" customWidth="1"/>
    <col min="1543" max="1543" width="15.85546875" style="1236" customWidth="1"/>
    <col min="1544" max="1544" width="6.42578125" style="1236" customWidth="1"/>
    <col min="1545" max="1546" width="9.140625" style="1236"/>
    <col min="1547" max="1547" width="18.42578125" style="1236" customWidth="1"/>
    <col min="1548" max="1548" width="16" style="1236" bestFit="1" customWidth="1"/>
    <col min="1549" max="1792" width="9.140625" style="1236"/>
    <col min="1793" max="1793" width="4.7109375" style="1236" customWidth="1"/>
    <col min="1794" max="1794" width="6.7109375" style="1236" customWidth="1"/>
    <col min="1795" max="1795" width="8.85546875" style="1236" customWidth="1"/>
    <col min="1796" max="1796" width="47.85546875" style="1236" customWidth="1"/>
    <col min="1797" max="1797" width="12.85546875" style="1236" customWidth="1"/>
    <col min="1798" max="1798" width="15.5703125" style="1236" customWidth="1"/>
    <col min="1799" max="1799" width="15.85546875" style="1236" customWidth="1"/>
    <col min="1800" max="1800" width="6.42578125" style="1236" customWidth="1"/>
    <col min="1801" max="1802" width="9.140625" style="1236"/>
    <col min="1803" max="1803" width="18.42578125" style="1236" customWidth="1"/>
    <col min="1804" max="1804" width="16" style="1236" bestFit="1" customWidth="1"/>
    <col min="1805" max="2048" width="9.140625" style="1236"/>
    <col min="2049" max="2049" width="4.7109375" style="1236" customWidth="1"/>
    <col min="2050" max="2050" width="6.7109375" style="1236" customWidth="1"/>
    <col min="2051" max="2051" width="8.85546875" style="1236" customWidth="1"/>
    <col min="2052" max="2052" width="47.85546875" style="1236" customWidth="1"/>
    <col min="2053" max="2053" width="12.85546875" style="1236" customWidth="1"/>
    <col min="2054" max="2054" width="15.5703125" style="1236" customWidth="1"/>
    <col min="2055" max="2055" width="15.85546875" style="1236" customWidth="1"/>
    <col min="2056" max="2056" width="6.42578125" style="1236" customWidth="1"/>
    <col min="2057" max="2058" width="9.140625" style="1236"/>
    <col min="2059" max="2059" width="18.42578125" style="1236" customWidth="1"/>
    <col min="2060" max="2060" width="16" style="1236" bestFit="1" customWidth="1"/>
    <col min="2061" max="2304" width="9.140625" style="1236"/>
    <col min="2305" max="2305" width="4.7109375" style="1236" customWidth="1"/>
    <col min="2306" max="2306" width="6.7109375" style="1236" customWidth="1"/>
    <col min="2307" max="2307" width="8.85546875" style="1236" customWidth="1"/>
    <col min="2308" max="2308" width="47.85546875" style="1236" customWidth="1"/>
    <col min="2309" max="2309" width="12.85546875" style="1236" customWidth="1"/>
    <col min="2310" max="2310" width="15.5703125" style="1236" customWidth="1"/>
    <col min="2311" max="2311" width="15.85546875" style="1236" customWidth="1"/>
    <col min="2312" max="2312" width="6.42578125" style="1236" customWidth="1"/>
    <col min="2313" max="2314" width="9.140625" style="1236"/>
    <col min="2315" max="2315" width="18.42578125" style="1236" customWidth="1"/>
    <col min="2316" max="2316" width="16" style="1236" bestFit="1" customWidth="1"/>
    <col min="2317" max="2560" width="9.140625" style="1236"/>
    <col min="2561" max="2561" width="4.7109375" style="1236" customWidth="1"/>
    <col min="2562" max="2562" width="6.7109375" style="1236" customWidth="1"/>
    <col min="2563" max="2563" width="8.85546875" style="1236" customWidth="1"/>
    <col min="2564" max="2564" width="47.85546875" style="1236" customWidth="1"/>
    <col min="2565" max="2565" width="12.85546875" style="1236" customWidth="1"/>
    <col min="2566" max="2566" width="15.5703125" style="1236" customWidth="1"/>
    <col min="2567" max="2567" width="15.85546875" style="1236" customWidth="1"/>
    <col min="2568" max="2568" width="6.42578125" style="1236" customWidth="1"/>
    <col min="2569" max="2570" width="9.140625" style="1236"/>
    <col min="2571" max="2571" width="18.42578125" style="1236" customWidth="1"/>
    <col min="2572" max="2572" width="16" style="1236" bestFit="1" customWidth="1"/>
    <col min="2573" max="2816" width="9.140625" style="1236"/>
    <col min="2817" max="2817" width="4.7109375" style="1236" customWidth="1"/>
    <col min="2818" max="2818" width="6.7109375" style="1236" customWidth="1"/>
    <col min="2819" max="2819" width="8.85546875" style="1236" customWidth="1"/>
    <col min="2820" max="2820" width="47.85546875" style="1236" customWidth="1"/>
    <col min="2821" max="2821" width="12.85546875" style="1236" customWidth="1"/>
    <col min="2822" max="2822" width="15.5703125" style="1236" customWidth="1"/>
    <col min="2823" max="2823" width="15.85546875" style="1236" customWidth="1"/>
    <col min="2824" max="2824" width="6.42578125" style="1236" customWidth="1"/>
    <col min="2825" max="2826" width="9.140625" style="1236"/>
    <col min="2827" max="2827" width="18.42578125" style="1236" customWidth="1"/>
    <col min="2828" max="2828" width="16" style="1236" bestFit="1" customWidth="1"/>
    <col min="2829" max="3072" width="9.140625" style="1236"/>
    <col min="3073" max="3073" width="4.7109375" style="1236" customWidth="1"/>
    <col min="3074" max="3074" width="6.7109375" style="1236" customWidth="1"/>
    <col min="3075" max="3075" width="8.85546875" style="1236" customWidth="1"/>
    <col min="3076" max="3076" width="47.85546875" style="1236" customWidth="1"/>
    <col min="3077" max="3077" width="12.85546875" style="1236" customWidth="1"/>
    <col min="3078" max="3078" width="15.5703125" style="1236" customWidth="1"/>
    <col min="3079" max="3079" width="15.85546875" style="1236" customWidth="1"/>
    <col min="3080" max="3080" width="6.42578125" style="1236" customWidth="1"/>
    <col min="3081" max="3082" width="9.140625" style="1236"/>
    <col min="3083" max="3083" width="18.42578125" style="1236" customWidth="1"/>
    <col min="3084" max="3084" width="16" style="1236" bestFit="1" customWidth="1"/>
    <col min="3085" max="3328" width="9.140625" style="1236"/>
    <col min="3329" max="3329" width="4.7109375" style="1236" customWidth="1"/>
    <col min="3330" max="3330" width="6.7109375" style="1236" customWidth="1"/>
    <col min="3331" max="3331" width="8.85546875" style="1236" customWidth="1"/>
    <col min="3332" max="3332" width="47.85546875" style="1236" customWidth="1"/>
    <col min="3333" max="3333" width="12.85546875" style="1236" customWidth="1"/>
    <col min="3334" max="3334" width="15.5703125" style="1236" customWidth="1"/>
    <col min="3335" max="3335" width="15.85546875" style="1236" customWidth="1"/>
    <col min="3336" max="3336" width="6.42578125" style="1236" customWidth="1"/>
    <col min="3337" max="3338" width="9.140625" style="1236"/>
    <col min="3339" max="3339" width="18.42578125" style="1236" customWidth="1"/>
    <col min="3340" max="3340" width="16" style="1236" bestFit="1" customWidth="1"/>
    <col min="3341" max="3584" width="9.140625" style="1236"/>
    <col min="3585" max="3585" width="4.7109375" style="1236" customWidth="1"/>
    <col min="3586" max="3586" width="6.7109375" style="1236" customWidth="1"/>
    <col min="3587" max="3587" width="8.85546875" style="1236" customWidth="1"/>
    <col min="3588" max="3588" width="47.85546875" style="1236" customWidth="1"/>
    <col min="3589" max="3589" width="12.85546875" style="1236" customWidth="1"/>
    <col min="3590" max="3590" width="15.5703125" style="1236" customWidth="1"/>
    <col min="3591" max="3591" width="15.85546875" style="1236" customWidth="1"/>
    <col min="3592" max="3592" width="6.42578125" style="1236" customWidth="1"/>
    <col min="3593" max="3594" width="9.140625" style="1236"/>
    <col min="3595" max="3595" width="18.42578125" style="1236" customWidth="1"/>
    <col min="3596" max="3596" width="16" style="1236" bestFit="1" customWidth="1"/>
    <col min="3597" max="3840" width="9.140625" style="1236"/>
    <col min="3841" max="3841" width="4.7109375" style="1236" customWidth="1"/>
    <col min="3842" max="3842" width="6.7109375" style="1236" customWidth="1"/>
    <col min="3843" max="3843" width="8.85546875" style="1236" customWidth="1"/>
    <col min="3844" max="3844" width="47.85546875" style="1236" customWidth="1"/>
    <col min="3845" max="3845" width="12.85546875" style="1236" customWidth="1"/>
    <col min="3846" max="3846" width="15.5703125" style="1236" customWidth="1"/>
    <col min="3847" max="3847" width="15.85546875" style="1236" customWidth="1"/>
    <col min="3848" max="3848" width="6.42578125" style="1236" customWidth="1"/>
    <col min="3849" max="3850" width="9.140625" style="1236"/>
    <col min="3851" max="3851" width="18.42578125" style="1236" customWidth="1"/>
    <col min="3852" max="3852" width="16" style="1236" bestFit="1" customWidth="1"/>
    <col min="3853" max="4096" width="9.140625" style="1236"/>
    <col min="4097" max="4097" width="4.7109375" style="1236" customWidth="1"/>
    <col min="4098" max="4098" width="6.7109375" style="1236" customWidth="1"/>
    <col min="4099" max="4099" width="8.85546875" style="1236" customWidth="1"/>
    <col min="4100" max="4100" width="47.85546875" style="1236" customWidth="1"/>
    <col min="4101" max="4101" width="12.85546875" style="1236" customWidth="1"/>
    <col min="4102" max="4102" width="15.5703125" style="1236" customWidth="1"/>
    <col min="4103" max="4103" width="15.85546875" style="1236" customWidth="1"/>
    <col min="4104" max="4104" width="6.42578125" style="1236" customWidth="1"/>
    <col min="4105" max="4106" width="9.140625" style="1236"/>
    <col min="4107" max="4107" width="18.42578125" style="1236" customWidth="1"/>
    <col min="4108" max="4108" width="16" style="1236" bestFit="1" customWidth="1"/>
    <col min="4109" max="4352" width="9.140625" style="1236"/>
    <col min="4353" max="4353" width="4.7109375" style="1236" customWidth="1"/>
    <col min="4354" max="4354" width="6.7109375" style="1236" customWidth="1"/>
    <col min="4355" max="4355" width="8.85546875" style="1236" customWidth="1"/>
    <col min="4356" max="4356" width="47.85546875" style="1236" customWidth="1"/>
    <col min="4357" max="4357" width="12.85546875" style="1236" customWidth="1"/>
    <col min="4358" max="4358" width="15.5703125" style="1236" customWidth="1"/>
    <col min="4359" max="4359" width="15.85546875" style="1236" customWidth="1"/>
    <col min="4360" max="4360" width="6.42578125" style="1236" customWidth="1"/>
    <col min="4361" max="4362" width="9.140625" style="1236"/>
    <col min="4363" max="4363" width="18.42578125" style="1236" customWidth="1"/>
    <col min="4364" max="4364" width="16" style="1236" bestFit="1" customWidth="1"/>
    <col min="4365" max="4608" width="9.140625" style="1236"/>
    <col min="4609" max="4609" width="4.7109375" style="1236" customWidth="1"/>
    <col min="4610" max="4610" width="6.7109375" style="1236" customWidth="1"/>
    <col min="4611" max="4611" width="8.85546875" style="1236" customWidth="1"/>
    <col min="4612" max="4612" width="47.85546875" style="1236" customWidth="1"/>
    <col min="4613" max="4613" width="12.85546875" style="1236" customWidth="1"/>
    <col min="4614" max="4614" width="15.5703125" style="1236" customWidth="1"/>
    <col min="4615" max="4615" width="15.85546875" style="1236" customWidth="1"/>
    <col min="4616" max="4616" width="6.42578125" style="1236" customWidth="1"/>
    <col min="4617" max="4618" width="9.140625" style="1236"/>
    <col min="4619" max="4619" width="18.42578125" style="1236" customWidth="1"/>
    <col min="4620" max="4620" width="16" style="1236" bestFit="1" customWidth="1"/>
    <col min="4621" max="4864" width="9.140625" style="1236"/>
    <col min="4865" max="4865" width="4.7109375" style="1236" customWidth="1"/>
    <col min="4866" max="4866" width="6.7109375" style="1236" customWidth="1"/>
    <col min="4867" max="4867" width="8.85546875" style="1236" customWidth="1"/>
    <col min="4868" max="4868" width="47.85546875" style="1236" customWidth="1"/>
    <col min="4869" max="4869" width="12.85546875" style="1236" customWidth="1"/>
    <col min="4870" max="4870" width="15.5703125" style="1236" customWidth="1"/>
    <col min="4871" max="4871" width="15.85546875" style="1236" customWidth="1"/>
    <col min="4872" max="4872" width="6.42578125" style="1236" customWidth="1"/>
    <col min="4873" max="4874" width="9.140625" style="1236"/>
    <col min="4875" max="4875" width="18.42578125" style="1236" customWidth="1"/>
    <col min="4876" max="4876" width="16" style="1236" bestFit="1" customWidth="1"/>
    <col min="4877" max="5120" width="9.140625" style="1236"/>
    <col min="5121" max="5121" width="4.7109375" style="1236" customWidth="1"/>
    <col min="5122" max="5122" width="6.7109375" style="1236" customWidth="1"/>
    <col min="5123" max="5123" width="8.85546875" style="1236" customWidth="1"/>
    <col min="5124" max="5124" width="47.85546875" style="1236" customWidth="1"/>
    <col min="5125" max="5125" width="12.85546875" style="1236" customWidth="1"/>
    <col min="5126" max="5126" width="15.5703125" style="1236" customWidth="1"/>
    <col min="5127" max="5127" width="15.85546875" style="1236" customWidth="1"/>
    <col min="5128" max="5128" width="6.42578125" style="1236" customWidth="1"/>
    <col min="5129" max="5130" width="9.140625" style="1236"/>
    <col min="5131" max="5131" width="18.42578125" style="1236" customWidth="1"/>
    <col min="5132" max="5132" width="16" style="1236" bestFit="1" customWidth="1"/>
    <col min="5133" max="5376" width="9.140625" style="1236"/>
    <col min="5377" max="5377" width="4.7109375" style="1236" customWidth="1"/>
    <col min="5378" max="5378" width="6.7109375" style="1236" customWidth="1"/>
    <col min="5379" max="5379" width="8.85546875" style="1236" customWidth="1"/>
    <col min="5380" max="5380" width="47.85546875" style="1236" customWidth="1"/>
    <col min="5381" max="5381" width="12.85546875" style="1236" customWidth="1"/>
    <col min="5382" max="5382" width="15.5703125" style="1236" customWidth="1"/>
    <col min="5383" max="5383" width="15.85546875" style="1236" customWidth="1"/>
    <col min="5384" max="5384" width="6.42578125" style="1236" customWidth="1"/>
    <col min="5385" max="5386" width="9.140625" style="1236"/>
    <col min="5387" max="5387" width="18.42578125" style="1236" customWidth="1"/>
    <col min="5388" max="5388" width="16" style="1236" bestFit="1" customWidth="1"/>
    <col min="5389" max="5632" width="9.140625" style="1236"/>
    <col min="5633" max="5633" width="4.7109375" style="1236" customWidth="1"/>
    <col min="5634" max="5634" width="6.7109375" style="1236" customWidth="1"/>
    <col min="5635" max="5635" width="8.85546875" style="1236" customWidth="1"/>
    <col min="5636" max="5636" width="47.85546875" style="1236" customWidth="1"/>
    <col min="5637" max="5637" width="12.85546875" style="1236" customWidth="1"/>
    <col min="5638" max="5638" width="15.5703125" style="1236" customWidth="1"/>
    <col min="5639" max="5639" width="15.85546875" style="1236" customWidth="1"/>
    <col min="5640" max="5640" width="6.42578125" style="1236" customWidth="1"/>
    <col min="5641" max="5642" width="9.140625" style="1236"/>
    <col min="5643" max="5643" width="18.42578125" style="1236" customWidth="1"/>
    <col min="5644" max="5644" width="16" style="1236" bestFit="1" customWidth="1"/>
    <col min="5645" max="5888" width="9.140625" style="1236"/>
    <col min="5889" max="5889" width="4.7109375" style="1236" customWidth="1"/>
    <col min="5890" max="5890" width="6.7109375" style="1236" customWidth="1"/>
    <col min="5891" max="5891" width="8.85546875" style="1236" customWidth="1"/>
    <col min="5892" max="5892" width="47.85546875" style="1236" customWidth="1"/>
    <col min="5893" max="5893" width="12.85546875" style="1236" customWidth="1"/>
    <col min="5894" max="5894" width="15.5703125" style="1236" customWidth="1"/>
    <col min="5895" max="5895" width="15.85546875" style="1236" customWidth="1"/>
    <col min="5896" max="5896" width="6.42578125" style="1236" customWidth="1"/>
    <col min="5897" max="5898" width="9.140625" style="1236"/>
    <col min="5899" max="5899" width="18.42578125" style="1236" customWidth="1"/>
    <col min="5900" max="5900" width="16" style="1236" bestFit="1" customWidth="1"/>
    <col min="5901" max="6144" width="9.140625" style="1236"/>
    <col min="6145" max="6145" width="4.7109375" style="1236" customWidth="1"/>
    <col min="6146" max="6146" width="6.7109375" style="1236" customWidth="1"/>
    <col min="6147" max="6147" width="8.85546875" style="1236" customWidth="1"/>
    <col min="6148" max="6148" width="47.85546875" style="1236" customWidth="1"/>
    <col min="6149" max="6149" width="12.85546875" style="1236" customWidth="1"/>
    <col min="6150" max="6150" width="15.5703125" style="1236" customWidth="1"/>
    <col min="6151" max="6151" width="15.85546875" style="1236" customWidth="1"/>
    <col min="6152" max="6152" width="6.42578125" style="1236" customWidth="1"/>
    <col min="6153" max="6154" width="9.140625" style="1236"/>
    <col min="6155" max="6155" width="18.42578125" style="1236" customWidth="1"/>
    <col min="6156" max="6156" width="16" style="1236" bestFit="1" customWidth="1"/>
    <col min="6157" max="6400" width="9.140625" style="1236"/>
    <col min="6401" max="6401" width="4.7109375" style="1236" customWidth="1"/>
    <col min="6402" max="6402" width="6.7109375" style="1236" customWidth="1"/>
    <col min="6403" max="6403" width="8.85546875" style="1236" customWidth="1"/>
    <col min="6404" max="6404" width="47.85546875" style="1236" customWidth="1"/>
    <col min="6405" max="6405" width="12.85546875" style="1236" customWidth="1"/>
    <col min="6406" max="6406" width="15.5703125" style="1236" customWidth="1"/>
    <col min="6407" max="6407" width="15.85546875" style="1236" customWidth="1"/>
    <col min="6408" max="6408" width="6.42578125" style="1236" customWidth="1"/>
    <col min="6409" max="6410" width="9.140625" style="1236"/>
    <col min="6411" max="6411" width="18.42578125" style="1236" customWidth="1"/>
    <col min="6412" max="6412" width="16" style="1236" bestFit="1" customWidth="1"/>
    <col min="6413" max="6656" width="9.140625" style="1236"/>
    <col min="6657" max="6657" width="4.7109375" style="1236" customWidth="1"/>
    <col min="6658" max="6658" width="6.7109375" style="1236" customWidth="1"/>
    <col min="6659" max="6659" width="8.85546875" style="1236" customWidth="1"/>
    <col min="6660" max="6660" width="47.85546875" style="1236" customWidth="1"/>
    <col min="6661" max="6661" width="12.85546875" style="1236" customWidth="1"/>
    <col min="6662" max="6662" width="15.5703125" style="1236" customWidth="1"/>
    <col min="6663" max="6663" width="15.85546875" style="1236" customWidth="1"/>
    <col min="6664" max="6664" width="6.42578125" style="1236" customWidth="1"/>
    <col min="6665" max="6666" width="9.140625" style="1236"/>
    <col min="6667" max="6667" width="18.42578125" style="1236" customWidth="1"/>
    <col min="6668" max="6668" width="16" style="1236" bestFit="1" customWidth="1"/>
    <col min="6669" max="6912" width="9.140625" style="1236"/>
    <col min="6913" max="6913" width="4.7109375" style="1236" customWidth="1"/>
    <col min="6914" max="6914" width="6.7109375" style="1236" customWidth="1"/>
    <col min="6915" max="6915" width="8.85546875" style="1236" customWidth="1"/>
    <col min="6916" max="6916" width="47.85546875" style="1236" customWidth="1"/>
    <col min="6917" max="6917" width="12.85546875" style="1236" customWidth="1"/>
    <col min="6918" max="6918" width="15.5703125" style="1236" customWidth="1"/>
    <col min="6919" max="6919" width="15.85546875" style="1236" customWidth="1"/>
    <col min="6920" max="6920" width="6.42578125" style="1236" customWidth="1"/>
    <col min="6921" max="6922" width="9.140625" style="1236"/>
    <col min="6923" max="6923" width="18.42578125" style="1236" customWidth="1"/>
    <col min="6924" max="6924" width="16" style="1236" bestFit="1" customWidth="1"/>
    <col min="6925" max="7168" width="9.140625" style="1236"/>
    <col min="7169" max="7169" width="4.7109375" style="1236" customWidth="1"/>
    <col min="7170" max="7170" width="6.7109375" style="1236" customWidth="1"/>
    <col min="7171" max="7171" width="8.85546875" style="1236" customWidth="1"/>
    <col min="7172" max="7172" width="47.85546875" style="1236" customWidth="1"/>
    <col min="7173" max="7173" width="12.85546875" style="1236" customWidth="1"/>
    <col min="7174" max="7174" width="15.5703125" style="1236" customWidth="1"/>
    <col min="7175" max="7175" width="15.85546875" style="1236" customWidth="1"/>
    <col min="7176" max="7176" width="6.42578125" style="1236" customWidth="1"/>
    <col min="7177" max="7178" width="9.140625" style="1236"/>
    <col min="7179" max="7179" width="18.42578125" style="1236" customWidth="1"/>
    <col min="7180" max="7180" width="16" style="1236" bestFit="1" customWidth="1"/>
    <col min="7181" max="7424" width="9.140625" style="1236"/>
    <col min="7425" max="7425" width="4.7109375" style="1236" customWidth="1"/>
    <col min="7426" max="7426" width="6.7109375" style="1236" customWidth="1"/>
    <col min="7427" max="7427" width="8.85546875" style="1236" customWidth="1"/>
    <col min="7428" max="7428" width="47.85546875" style="1236" customWidth="1"/>
    <col min="7429" max="7429" width="12.85546875" style="1236" customWidth="1"/>
    <col min="7430" max="7430" width="15.5703125" style="1236" customWidth="1"/>
    <col min="7431" max="7431" width="15.85546875" style="1236" customWidth="1"/>
    <col min="7432" max="7432" width="6.42578125" style="1236" customWidth="1"/>
    <col min="7433" max="7434" width="9.140625" style="1236"/>
    <col min="7435" max="7435" width="18.42578125" style="1236" customWidth="1"/>
    <col min="7436" max="7436" width="16" style="1236" bestFit="1" customWidth="1"/>
    <col min="7437" max="7680" width="9.140625" style="1236"/>
    <col min="7681" max="7681" width="4.7109375" style="1236" customWidth="1"/>
    <col min="7682" max="7682" width="6.7109375" style="1236" customWidth="1"/>
    <col min="7683" max="7683" width="8.85546875" style="1236" customWidth="1"/>
    <col min="7684" max="7684" width="47.85546875" style="1236" customWidth="1"/>
    <col min="7685" max="7685" width="12.85546875" style="1236" customWidth="1"/>
    <col min="7686" max="7686" width="15.5703125" style="1236" customWidth="1"/>
    <col min="7687" max="7687" width="15.85546875" style="1236" customWidth="1"/>
    <col min="7688" max="7688" width="6.42578125" style="1236" customWidth="1"/>
    <col min="7689" max="7690" width="9.140625" style="1236"/>
    <col min="7691" max="7691" width="18.42578125" style="1236" customWidth="1"/>
    <col min="7692" max="7692" width="16" style="1236" bestFit="1" customWidth="1"/>
    <col min="7693" max="7936" width="9.140625" style="1236"/>
    <col min="7937" max="7937" width="4.7109375" style="1236" customWidth="1"/>
    <col min="7938" max="7938" width="6.7109375" style="1236" customWidth="1"/>
    <col min="7939" max="7939" width="8.85546875" style="1236" customWidth="1"/>
    <col min="7940" max="7940" width="47.85546875" style="1236" customWidth="1"/>
    <col min="7941" max="7941" width="12.85546875" style="1236" customWidth="1"/>
    <col min="7942" max="7942" width="15.5703125" style="1236" customWidth="1"/>
    <col min="7943" max="7943" width="15.85546875" style="1236" customWidth="1"/>
    <col min="7944" max="7944" width="6.42578125" style="1236" customWidth="1"/>
    <col min="7945" max="7946" width="9.140625" style="1236"/>
    <col min="7947" max="7947" width="18.42578125" style="1236" customWidth="1"/>
    <col min="7948" max="7948" width="16" style="1236" bestFit="1" customWidth="1"/>
    <col min="7949" max="8192" width="9.140625" style="1236"/>
    <col min="8193" max="8193" width="4.7109375" style="1236" customWidth="1"/>
    <col min="8194" max="8194" width="6.7109375" style="1236" customWidth="1"/>
    <col min="8195" max="8195" width="8.85546875" style="1236" customWidth="1"/>
    <col min="8196" max="8196" width="47.85546875" style="1236" customWidth="1"/>
    <col min="8197" max="8197" width="12.85546875" style="1236" customWidth="1"/>
    <col min="8198" max="8198" width="15.5703125" style="1236" customWidth="1"/>
    <col min="8199" max="8199" width="15.85546875" style="1236" customWidth="1"/>
    <col min="8200" max="8200" width="6.42578125" style="1236" customWidth="1"/>
    <col min="8201" max="8202" width="9.140625" style="1236"/>
    <col min="8203" max="8203" width="18.42578125" style="1236" customWidth="1"/>
    <col min="8204" max="8204" width="16" style="1236" bestFit="1" customWidth="1"/>
    <col min="8205" max="8448" width="9.140625" style="1236"/>
    <col min="8449" max="8449" width="4.7109375" style="1236" customWidth="1"/>
    <col min="8450" max="8450" width="6.7109375" style="1236" customWidth="1"/>
    <col min="8451" max="8451" width="8.85546875" style="1236" customWidth="1"/>
    <col min="8452" max="8452" width="47.85546875" style="1236" customWidth="1"/>
    <col min="8453" max="8453" width="12.85546875" style="1236" customWidth="1"/>
    <col min="8454" max="8454" width="15.5703125" style="1236" customWidth="1"/>
    <col min="8455" max="8455" width="15.85546875" style="1236" customWidth="1"/>
    <col min="8456" max="8456" width="6.42578125" style="1236" customWidth="1"/>
    <col min="8457" max="8458" width="9.140625" style="1236"/>
    <col min="8459" max="8459" width="18.42578125" style="1236" customWidth="1"/>
    <col min="8460" max="8460" width="16" style="1236" bestFit="1" customWidth="1"/>
    <col min="8461" max="8704" width="9.140625" style="1236"/>
    <col min="8705" max="8705" width="4.7109375" style="1236" customWidth="1"/>
    <col min="8706" max="8706" width="6.7109375" style="1236" customWidth="1"/>
    <col min="8707" max="8707" width="8.85546875" style="1236" customWidth="1"/>
    <col min="8708" max="8708" width="47.85546875" style="1236" customWidth="1"/>
    <col min="8709" max="8709" width="12.85546875" style="1236" customWidth="1"/>
    <col min="8710" max="8710" width="15.5703125" style="1236" customWidth="1"/>
    <col min="8711" max="8711" width="15.85546875" style="1236" customWidth="1"/>
    <col min="8712" max="8712" width="6.42578125" style="1236" customWidth="1"/>
    <col min="8713" max="8714" width="9.140625" style="1236"/>
    <col min="8715" max="8715" width="18.42578125" style="1236" customWidth="1"/>
    <col min="8716" max="8716" width="16" style="1236" bestFit="1" customWidth="1"/>
    <col min="8717" max="8960" width="9.140625" style="1236"/>
    <col min="8961" max="8961" width="4.7109375" style="1236" customWidth="1"/>
    <col min="8962" max="8962" width="6.7109375" style="1236" customWidth="1"/>
    <col min="8963" max="8963" width="8.85546875" style="1236" customWidth="1"/>
    <col min="8964" max="8964" width="47.85546875" style="1236" customWidth="1"/>
    <col min="8965" max="8965" width="12.85546875" style="1236" customWidth="1"/>
    <col min="8966" max="8966" width="15.5703125" style="1236" customWidth="1"/>
    <col min="8967" max="8967" width="15.85546875" style="1236" customWidth="1"/>
    <col min="8968" max="8968" width="6.42578125" style="1236" customWidth="1"/>
    <col min="8969" max="8970" width="9.140625" style="1236"/>
    <col min="8971" max="8971" width="18.42578125" style="1236" customWidth="1"/>
    <col min="8972" max="8972" width="16" style="1236" bestFit="1" customWidth="1"/>
    <col min="8973" max="9216" width="9.140625" style="1236"/>
    <col min="9217" max="9217" width="4.7109375" style="1236" customWidth="1"/>
    <col min="9218" max="9218" width="6.7109375" style="1236" customWidth="1"/>
    <col min="9219" max="9219" width="8.85546875" style="1236" customWidth="1"/>
    <col min="9220" max="9220" width="47.85546875" style="1236" customWidth="1"/>
    <col min="9221" max="9221" width="12.85546875" style="1236" customWidth="1"/>
    <col min="9222" max="9222" width="15.5703125" style="1236" customWidth="1"/>
    <col min="9223" max="9223" width="15.85546875" style="1236" customWidth="1"/>
    <col min="9224" max="9224" width="6.42578125" style="1236" customWidth="1"/>
    <col min="9225" max="9226" width="9.140625" style="1236"/>
    <col min="9227" max="9227" width="18.42578125" style="1236" customWidth="1"/>
    <col min="9228" max="9228" width="16" style="1236" bestFit="1" customWidth="1"/>
    <col min="9229" max="9472" width="9.140625" style="1236"/>
    <col min="9473" max="9473" width="4.7109375" style="1236" customWidth="1"/>
    <col min="9474" max="9474" width="6.7109375" style="1236" customWidth="1"/>
    <col min="9475" max="9475" width="8.85546875" style="1236" customWidth="1"/>
    <col min="9476" max="9476" width="47.85546875" style="1236" customWidth="1"/>
    <col min="9477" max="9477" width="12.85546875" style="1236" customWidth="1"/>
    <col min="9478" max="9478" width="15.5703125" style="1236" customWidth="1"/>
    <col min="9479" max="9479" width="15.85546875" style="1236" customWidth="1"/>
    <col min="9480" max="9480" width="6.42578125" style="1236" customWidth="1"/>
    <col min="9481" max="9482" width="9.140625" style="1236"/>
    <col min="9483" max="9483" width="18.42578125" style="1236" customWidth="1"/>
    <col min="9484" max="9484" width="16" style="1236" bestFit="1" customWidth="1"/>
    <col min="9485" max="9728" width="9.140625" style="1236"/>
    <col min="9729" max="9729" width="4.7109375" style="1236" customWidth="1"/>
    <col min="9730" max="9730" width="6.7109375" style="1236" customWidth="1"/>
    <col min="9731" max="9731" width="8.85546875" style="1236" customWidth="1"/>
    <col min="9732" max="9732" width="47.85546875" style="1236" customWidth="1"/>
    <col min="9733" max="9733" width="12.85546875" style="1236" customWidth="1"/>
    <col min="9734" max="9734" width="15.5703125" style="1236" customWidth="1"/>
    <col min="9735" max="9735" width="15.85546875" style="1236" customWidth="1"/>
    <col min="9736" max="9736" width="6.42578125" style="1236" customWidth="1"/>
    <col min="9737" max="9738" width="9.140625" style="1236"/>
    <col min="9739" max="9739" width="18.42578125" style="1236" customWidth="1"/>
    <col min="9740" max="9740" width="16" style="1236" bestFit="1" customWidth="1"/>
    <col min="9741" max="9984" width="9.140625" style="1236"/>
    <col min="9985" max="9985" width="4.7109375" style="1236" customWidth="1"/>
    <col min="9986" max="9986" width="6.7109375" style="1236" customWidth="1"/>
    <col min="9987" max="9987" width="8.85546875" style="1236" customWidth="1"/>
    <col min="9988" max="9988" width="47.85546875" style="1236" customWidth="1"/>
    <col min="9989" max="9989" width="12.85546875" style="1236" customWidth="1"/>
    <col min="9990" max="9990" width="15.5703125" style="1236" customWidth="1"/>
    <col min="9991" max="9991" width="15.85546875" style="1236" customWidth="1"/>
    <col min="9992" max="9992" width="6.42578125" style="1236" customWidth="1"/>
    <col min="9993" max="9994" width="9.140625" style="1236"/>
    <col min="9995" max="9995" width="18.42578125" style="1236" customWidth="1"/>
    <col min="9996" max="9996" width="16" style="1236" bestFit="1" customWidth="1"/>
    <col min="9997" max="10240" width="9.140625" style="1236"/>
    <col min="10241" max="10241" width="4.7109375" style="1236" customWidth="1"/>
    <col min="10242" max="10242" width="6.7109375" style="1236" customWidth="1"/>
    <col min="10243" max="10243" width="8.85546875" style="1236" customWidth="1"/>
    <col min="10244" max="10244" width="47.85546875" style="1236" customWidth="1"/>
    <col min="10245" max="10245" width="12.85546875" style="1236" customWidth="1"/>
    <col min="10246" max="10246" width="15.5703125" style="1236" customWidth="1"/>
    <col min="10247" max="10247" width="15.85546875" style="1236" customWidth="1"/>
    <col min="10248" max="10248" width="6.42578125" style="1236" customWidth="1"/>
    <col min="10249" max="10250" width="9.140625" style="1236"/>
    <col min="10251" max="10251" width="18.42578125" style="1236" customWidth="1"/>
    <col min="10252" max="10252" width="16" style="1236" bestFit="1" customWidth="1"/>
    <col min="10253" max="10496" width="9.140625" style="1236"/>
    <col min="10497" max="10497" width="4.7109375" style="1236" customWidth="1"/>
    <col min="10498" max="10498" width="6.7109375" style="1236" customWidth="1"/>
    <col min="10499" max="10499" width="8.85546875" style="1236" customWidth="1"/>
    <col min="10500" max="10500" width="47.85546875" style="1236" customWidth="1"/>
    <col min="10501" max="10501" width="12.85546875" style="1236" customWidth="1"/>
    <col min="10502" max="10502" width="15.5703125" style="1236" customWidth="1"/>
    <col min="10503" max="10503" width="15.85546875" style="1236" customWidth="1"/>
    <col min="10504" max="10504" width="6.42578125" style="1236" customWidth="1"/>
    <col min="10505" max="10506" width="9.140625" style="1236"/>
    <col min="10507" max="10507" width="18.42578125" style="1236" customWidth="1"/>
    <col min="10508" max="10508" width="16" style="1236" bestFit="1" customWidth="1"/>
    <col min="10509" max="10752" width="9.140625" style="1236"/>
    <col min="10753" max="10753" width="4.7109375" style="1236" customWidth="1"/>
    <col min="10754" max="10754" width="6.7109375" style="1236" customWidth="1"/>
    <col min="10755" max="10755" width="8.85546875" style="1236" customWidth="1"/>
    <col min="10756" max="10756" width="47.85546875" style="1236" customWidth="1"/>
    <col min="10757" max="10757" width="12.85546875" style="1236" customWidth="1"/>
    <col min="10758" max="10758" width="15.5703125" style="1236" customWidth="1"/>
    <col min="10759" max="10759" width="15.85546875" style="1236" customWidth="1"/>
    <col min="10760" max="10760" width="6.42578125" style="1236" customWidth="1"/>
    <col min="10761" max="10762" width="9.140625" style="1236"/>
    <col min="10763" max="10763" width="18.42578125" style="1236" customWidth="1"/>
    <col min="10764" max="10764" width="16" style="1236" bestFit="1" customWidth="1"/>
    <col min="10765" max="11008" width="9.140625" style="1236"/>
    <col min="11009" max="11009" width="4.7109375" style="1236" customWidth="1"/>
    <col min="11010" max="11010" width="6.7109375" style="1236" customWidth="1"/>
    <col min="11011" max="11011" width="8.85546875" style="1236" customWidth="1"/>
    <col min="11012" max="11012" width="47.85546875" style="1236" customWidth="1"/>
    <col min="11013" max="11013" width="12.85546875" style="1236" customWidth="1"/>
    <col min="11014" max="11014" width="15.5703125" style="1236" customWidth="1"/>
    <col min="11015" max="11015" width="15.85546875" style="1236" customWidth="1"/>
    <col min="11016" max="11016" width="6.42578125" style="1236" customWidth="1"/>
    <col min="11017" max="11018" width="9.140625" style="1236"/>
    <col min="11019" max="11019" width="18.42578125" style="1236" customWidth="1"/>
    <col min="11020" max="11020" width="16" style="1236" bestFit="1" customWidth="1"/>
    <col min="11021" max="11264" width="9.140625" style="1236"/>
    <col min="11265" max="11265" width="4.7109375" style="1236" customWidth="1"/>
    <col min="11266" max="11266" width="6.7109375" style="1236" customWidth="1"/>
    <col min="11267" max="11267" width="8.85546875" style="1236" customWidth="1"/>
    <col min="11268" max="11268" width="47.85546875" style="1236" customWidth="1"/>
    <col min="11269" max="11269" width="12.85546875" style="1236" customWidth="1"/>
    <col min="11270" max="11270" width="15.5703125" style="1236" customWidth="1"/>
    <col min="11271" max="11271" width="15.85546875" style="1236" customWidth="1"/>
    <col min="11272" max="11272" width="6.42578125" style="1236" customWidth="1"/>
    <col min="11273" max="11274" width="9.140625" style="1236"/>
    <col min="11275" max="11275" width="18.42578125" style="1236" customWidth="1"/>
    <col min="11276" max="11276" width="16" style="1236" bestFit="1" customWidth="1"/>
    <col min="11277" max="11520" width="9.140625" style="1236"/>
    <col min="11521" max="11521" width="4.7109375" style="1236" customWidth="1"/>
    <col min="11522" max="11522" width="6.7109375" style="1236" customWidth="1"/>
    <col min="11523" max="11523" width="8.85546875" style="1236" customWidth="1"/>
    <col min="11524" max="11524" width="47.85546875" style="1236" customWidth="1"/>
    <col min="11525" max="11525" width="12.85546875" style="1236" customWidth="1"/>
    <col min="11526" max="11526" width="15.5703125" style="1236" customWidth="1"/>
    <col min="11527" max="11527" width="15.85546875" style="1236" customWidth="1"/>
    <col min="11528" max="11528" width="6.42578125" style="1236" customWidth="1"/>
    <col min="11529" max="11530" width="9.140625" style="1236"/>
    <col min="11531" max="11531" width="18.42578125" style="1236" customWidth="1"/>
    <col min="11532" max="11532" width="16" style="1236" bestFit="1" customWidth="1"/>
    <col min="11533" max="11776" width="9.140625" style="1236"/>
    <col min="11777" max="11777" width="4.7109375" style="1236" customWidth="1"/>
    <col min="11778" max="11778" width="6.7109375" style="1236" customWidth="1"/>
    <col min="11779" max="11779" width="8.85546875" style="1236" customWidth="1"/>
    <col min="11780" max="11780" width="47.85546875" style="1236" customWidth="1"/>
    <col min="11781" max="11781" width="12.85546875" style="1236" customWidth="1"/>
    <col min="11782" max="11782" width="15.5703125" style="1236" customWidth="1"/>
    <col min="11783" max="11783" width="15.85546875" style="1236" customWidth="1"/>
    <col min="11784" max="11784" width="6.42578125" style="1236" customWidth="1"/>
    <col min="11785" max="11786" width="9.140625" style="1236"/>
    <col min="11787" max="11787" width="18.42578125" style="1236" customWidth="1"/>
    <col min="11788" max="11788" width="16" style="1236" bestFit="1" customWidth="1"/>
    <col min="11789" max="12032" width="9.140625" style="1236"/>
    <col min="12033" max="12033" width="4.7109375" style="1236" customWidth="1"/>
    <col min="12034" max="12034" width="6.7109375" style="1236" customWidth="1"/>
    <col min="12035" max="12035" width="8.85546875" style="1236" customWidth="1"/>
    <col min="12036" max="12036" width="47.85546875" style="1236" customWidth="1"/>
    <col min="12037" max="12037" width="12.85546875" style="1236" customWidth="1"/>
    <col min="12038" max="12038" width="15.5703125" style="1236" customWidth="1"/>
    <col min="12039" max="12039" width="15.85546875" style="1236" customWidth="1"/>
    <col min="12040" max="12040" width="6.42578125" style="1236" customWidth="1"/>
    <col min="12041" max="12042" width="9.140625" style="1236"/>
    <col min="12043" max="12043" width="18.42578125" style="1236" customWidth="1"/>
    <col min="12044" max="12044" width="16" style="1236" bestFit="1" customWidth="1"/>
    <col min="12045" max="12288" width="9.140625" style="1236"/>
    <col min="12289" max="12289" width="4.7109375" style="1236" customWidth="1"/>
    <col min="12290" max="12290" width="6.7109375" style="1236" customWidth="1"/>
    <col min="12291" max="12291" width="8.85546875" style="1236" customWidth="1"/>
    <col min="12292" max="12292" width="47.85546875" style="1236" customWidth="1"/>
    <col min="12293" max="12293" width="12.85546875" style="1236" customWidth="1"/>
    <col min="12294" max="12294" width="15.5703125" style="1236" customWidth="1"/>
    <col min="12295" max="12295" width="15.85546875" style="1236" customWidth="1"/>
    <col min="12296" max="12296" width="6.42578125" style="1236" customWidth="1"/>
    <col min="12297" max="12298" width="9.140625" style="1236"/>
    <col min="12299" max="12299" width="18.42578125" style="1236" customWidth="1"/>
    <col min="12300" max="12300" width="16" style="1236" bestFit="1" customWidth="1"/>
    <col min="12301" max="12544" width="9.140625" style="1236"/>
    <col min="12545" max="12545" width="4.7109375" style="1236" customWidth="1"/>
    <col min="12546" max="12546" width="6.7109375" style="1236" customWidth="1"/>
    <col min="12547" max="12547" width="8.85546875" style="1236" customWidth="1"/>
    <col min="12548" max="12548" width="47.85546875" style="1236" customWidth="1"/>
    <col min="12549" max="12549" width="12.85546875" style="1236" customWidth="1"/>
    <col min="12550" max="12550" width="15.5703125" style="1236" customWidth="1"/>
    <col min="12551" max="12551" width="15.85546875" style="1236" customWidth="1"/>
    <col min="12552" max="12552" width="6.42578125" style="1236" customWidth="1"/>
    <col min="12553" max="12554" width="9.140625" style="1236"/>
    <col min="12555" max="12555" width="18.42578125" style="1236" customWidth="1"/>
    <col min="12556" max="12556" width="16" style="1236" bestFit="1" customWidth="1"/>
    <col min="12557" max="12800" width="9.140625" style="1236"/>
    <col min="12801" max="12801" width="4.7109375" style="1236" customWidth="1"/>
    <col min="12802" max="12802" width="6.7109375" style="1236" customWidth="1"/>
    <col min="12803" max="12803" width="8.85546875" style="1236" customWidth="1"/>
    <col min="12804" max="12804" width="47.85546875" style="1236" customWidth="1"/>
    <col min="12805" max="12805" width="12.85546875" style="1236" customWidth="1"/>
    <col min="12806" max="12806" width="15.5703125" style="1236" customWidth="1"/>
    <col min="12807" max="12807" width="15.85546875" style="1236" customWidth="1"/>
    <col min="12808" max="12808" width="6.42578125" style="1236" customWidth="1"/>
    <col min="12809" max="12810" width="9.140625" style="1236"/>
    <col min="12811" max="12811" width="18.42578125" style="1236" customWidth="1"/>
    <col min="12812" max="12812" width="16" style="1236" bestFit="1" customWidth="1"/>
    <col min="12813" max="13056" width="9.140625" style="1236"/>
    <col min="13057" max="13057" width="4.7109375" style="1236" customWidth="1"/>
    <col min="13058" max="13058" width="6.7109375" style="1236" customWidth="1"/>
    <col min="13059" max="13059" width="8.85546875" style="1236" customWidth="1"/>
    <col min="13060" max="13060" width="47.85546875" style="1236" customWidth="1"/>
    <col min="13061" max="13061" width="12.85546875" style="1236" customWidth="1"/>
    <col min="13062" max="13062" width="15.5703125" style="1236" customWidth="1"/>
    <col min="13063" max="13063" width="15.85546875" style="1236" customWidth="1"/>
    <col min="13064" max="13064" width="6.42578125" style="1236" customWidth="1"/>
    <col min="13065" max="13066" width="9.140625" style="1236"/>
    <col min="13067" max="13067" width="18.42578125" style="1236" customWidth="1"/>
    <col min="13068" max="13068" width="16" style="1236" bestFit="1" customWidth="1"/>
    <col min="13069" max="13312" width="9.140625" style="1236"/>
    <col min="13313" max="13313" width="4.7109375" style="1236" customWidth="1"/>
    <col min="13314" max="13314" width="6.7109375" style="1236" customWidth="1"/>
    <col min="13315" max="13315" width="8.85546875" style="1236" customWidth="1"/>
    <col min="13316" max="13316" width="47.85546875" style="1236" customWidth="1"/>
    <col min="13317" max="13317" width="12.85546875" style="1236" customWidth="1"/>
    <col min="13318" max="13318" width="15.5703125" style="1236" customWidth="1"/>
    <col min="13319" max="13319" width="15.85546875" style="1236" customWidth="1"/>
    <col min="13320" max="13320" width="6.42578125" style="1236" customWidth="1"/>
    <col min="13321" max="13322" width="9.140625" style="1236"/>
    <col min="13323" max="13323" width="18.42578125" style="1236" customWidth="1"/>
    <col min="13324" max="13324" width="16" style="1236" bestFit="1" customWidth="1"/>
    <col min="13325" max="13568" width="9.140625" style="1236"/>
    <col min="13569" max="13569" width="4.7109375" style="1236" customWidth="1"/>
    <col min="13570" max="13570" width="6.7109375" style="1236" customWidth="1"/>
    <col min="13571" max="13571" width="8.85546875" style="1236" customWidth="1"/>
    <col min="13572" max="13572" width="47.85546875" style="1236" customWidth="1"/>
    <col min="13573" max="13573" width="12.85546875" style="1236" customWidth="1"/>
    <col min="13574" max="13574" width="15.5703125" style="1236" customWidth="1"/>
    <col min="13575" max="13575" width="15.85546875" style="1236" customWidth="1"/>
    <col min="13576" max="13576" width="6.42578125" style="1236" customWidth="1"/>
    <col min="13577" max="13578" width="9.140625" style="1236"/>
    <col min="13579" max="13579" width="18.42578125" style="1236" customWidth="1"/>
    <col min="13580" max="13580" width="16" style="1236" bestFit="1" customWidth="1"/>
    <col min="13581" max="13824" width="9.140625" style="1236"/>
    <col min="13825" max="13825" width="4.7109375" style="1236" customWidth="1"/>
    <col min="13826" max="13826" width="6.7109375" style="1236" customWidth="1"/>
    <col min="13827" max="13827" width="8.85546875" style="1236" customWidth="1"/>
    <col min="13828" max="13828" width="47.85546875" style="1236" customWidth="1"/>
    <col min="13829" max="13829" width="12.85546875" style="1236" customWidth="1"/>
    <col min="13830" max="13830" width="15.5703125" style="1236" customWidth="1"/>
    <col min="13831" max="13831" width="15.85546875" style="1236" customWidth="1"/>
    <col min="13832" max="13832" width="6.42578125" style="1236" customWidth="1"/>
    <col min="13833" max="13834" width="9.140625" style="1236"/>
    <col min="13835" max="13835" width="18.42578125" style="1236" customWidth="1"/>
    <col min="13836" max="13836" width="16" style="1236" bestFit="1" customWidth="1"/>
    <col min="13837" max="14080" width="9.140625" style="1236"/>
    <col min="14081" max="14081" width="4.7109375" style="1236" customWidth="1"/>
    <col min="14082" max="14082" width="6.7109375" style="1236" customWidth="1"/>
    <col min="14083" max="14083" width="8.85546875" style="1236" customWidth="1"/>
    <col min="14084" max="14084" width="47.85546875" style="1236" customWidth="1"/>
    <col min="14085" max="14085" width="12.85546875" style="1236" customWidth="1"/>
    <col min="14086" max="14086" width="15.5703125" style="1236" customWidth="1"/>
    <col min="14087" max="14087" width="15.85546875" style="1236" customWidth="1"/>
    <col min="14088" max="14088" width="6.42578125" style="1236" customWidth="1"/>
    <col min="14089" max="14090" width="9.140625" style="1236"/>
    <col min="14091" max="14091" width="18.42578125" style="1236" customWidth="1"/>
    <col min="14092" max="14092" width="16" style="1236" bestFit="1" customWidth="1"/>
    <col min="14093" max="14336" width="9.140625" style="1236"/>
    <col min="14337" max="14337" width="4.7109375" style="1236" customWidth="1"/>
    <col min="14338" max="14338" width="6.7109375" style="1236" customWidth="1"/>
    <col min="14339" max="14339" width="8.85546875" style="1236" customWidth="1"/>
    <col min="14340" max="14340" width="47.85546875" style="1236" customWidth="1"/>
    <col min="14341" max="14341" width="12.85546875" style="1236" customWidth="1"/>
    <col min="14342" max="14342" width="15.5703125" style="1236" customWidth="1"/>
    <col min="14343" max="14343" width="15.85546875" style="1236" customWidth="1"/>
    <col min="14344" max="14344" width="6.42578125" style="1236" customWidth="1"/>
    <col min="14345" max="14346" width="9.140625" style="1236"/>
    <col min="14347" max="14347" width="18.42578125" style="1236" customWidth="1"/>
    <col min="14348" max="14348" width="16" style="1236" bestFit="1" customWidth="1"/>
    <col min="14349" max="14592" width="9.140625" style="1236"/>
    <col min="14593" max="14593" width="4.7109375" style="1236" customWidth="1"/>
    <col min="14594" max="14594" width="6.7109375" style="1236" customWidth="1"/>
    <col min="14595" max="14595" width="8.85546875" style="1236" customWidth="1"/>
    <col min="14596" max="14596" width="47.85546875" style="1236" customWidth="1"/>
    <col min="14597" max="14597" width="12.85546875" style="1236" customWidth="1"/>
    <col min="14598" max="14598" width="15.5703125" style="1236" customWidth="1"/>
    <col min="14599" max="14599" width="15.85546875" style="1236" customWidth="1"/>
    <col min="14600" max="14600" width="6.42578125" style="1236" customWidth="1"/>
    <col min="14601" max="14602" width="9.140625" style="1236"/>
    <col min="14603" max="14603" width="18.42578125" style="1236" customWidth="1"/>
    <col min="14604" max="14604" width="16" style="1236" bestFit="1" customWidth="1"/>
    <col min="14605" max="14848" width="9.140625" style="1236"/>
    <col min="14849" max="14849" width="4.7109375" style="1236" customWidth="1"/>
    <col min="14850" max="14850" width="6.7109375" style="1236" customWidth="1"/>
    <col min="14851" max="14851" width="8.85546875" style="1236" customWidth="1"/>
    <col min="14852" max="14852" width="47.85546875" style="1236" customWidth="1"/>
    <col min="14853" max="14853" width="12.85546875" style="1236" customWidth="1"/>
    <col min="14854" max="14854" width="15.5703125" style="1236" customWidth="1"/>
    <col min="14855" max="14855" width="15.85546875" style="1236" customWidth="1"/>
    <col min="14856" max="14856" width="6.42578125" style="1236" customWidth="1"/>
    <col min="14857" max="14858" width="9.140625" style="1236"/>
    <col min="14859" max="14859" width="18.42578125" style="1236" customWidth="1"/>
    <col min="14860" max="14860" width="16" style="1236" bestFit="1" customWidth="1"/>
    <col min="14861" max="15104" width="9.140625" style="1236"/>
    <col min="15105" max="15105" width="4.7109375" style="1236" customWidth="1"/>
    <col min="15106" max="15106" width="6.7109375" style="1236" customWidth="1"/>
    <col min="15107" max="15107" width="8.85546875" style="1236" customWidth="1"/>
    <col min="15108" max="15108" width="47.85546875" style="1236" customWidth="1"/>
    <col min="15109" max="15109" width="12.85546875" style="1236" customWidth="1"/>
    <col min="15110" max="15110" width="15.5703125" style="1236" customWidth="1"/>
    <col min="15111" max="15111" width="15.85546875" style="1236" customWidth="1"/>
    <col min="15112" max="15112" width="6.42578125" style="1236" customWidth="1"/>
    <col min="15113" max="15114" width="9.140625" style="1236"/>
    <col min="15115" max="15115" width="18.42578125" style="1236" customWidth="1"/>
    <col min="15116" max="15116" width="16" style="1236" bestFit="1" customWidth="1"/>
    <col min="15117" max="15360" width="9.140625" style="1236"/>
    <col min="15361" max="15361" width="4.7109375" style="1236" customWidth="1"/>
    <col min="15362" max="15362" width="6.7109375" style="1236" customWidth="1"/>
    <col min="15363" max="15363" width="8.85546875" style="1236" customWidth="1"/>
    <col min="15364" max="15364" width="47.85546875" style="1236" customWidth="1"/>
    <col min="15365" max="15365" width="12.85546875" style="1236" customWidth="1"/>
    <col min="15366" max="15366" width="15.5703125" style="1236" customWidth="1"/>
    <col min="15367" max="15367" width="15.85546875" style="1236" customWidth="1"/>
    <col min="15368" max="15368" width="6.42578125" style="1236" customWidth="1"/>
    <col min="15369" max="15370" width="9.140625" style="1236"/>
    <col min="15371" max="15371" width="18.42578125" style="1236" customWidth="1"/>
    <col min="15372" max="15372" width="16" style="1236" bestFit="1" customWidth="1"/>
    <col min="15373" max="15616" width="9.140625" style="1236"/>
    <col min="15617" max="15617" width="4.7109375" style="1236" customWidth="1"/>
    <col min="15618" max="15618" width="6.7109375" style="1236" customWidth="1"/>
    <col min="15619" max="15619" width="8.85546875" style="1236" customWidth="1"/>
    <col min="15620" max="15620" width="47.85546875" style="1236" customWidth="1"/>
    <col min="15621" max="15621" width="12.85546875" style="1236" customWidth="1"/>
    <col min="15622" max="15622" width="15.5703125" style="1236" customWidth="1"/>
    <col min="15623" max="15623" width="15.85546875" style="1236" customWidth="1"/>
    <col min="15624" max="15624" width="6.42578125" style="1236" customWidth="1"/>
    <col min="15625" max="15626" width="9.140625" style="1236"/>
    <col min="15627" max="15627" width="18.42578125" style="1236" customWidth="1"/>
    <col min="15628" max="15628" width="16" style="1236" bestFit="1" customWidth="1"/>
    <col min="15629" max="15872" width="9.140625" style="1236"/>
    <col min="15873" max="15873" width="4.7109375" style="1236" customWidth="1"/>
    <col min="15874" max="15874" width="6.7109375" style="1236" customWidth="1"/>
    <col min="15875" max="15875" width="8.85546875" style="1236" customWidth="1"/>
    <col min="15876" max="15876" width="47.85546875" style="1236" customWidth="1"/>
    <col min="15877" max="15877" width="12.85546875" style="1236" customWidth="1"/>
    <col min="15878" max="15878" width="15.5703125" style="1236" customWidth="1"/>
    <col min="15879" max="15879" width="15.85546875" style="1236" customWidth="1"/>
    <col min="15880" max="15880" width="6.42578125" style="1236" customWidth="1"/>
    <col min="15881" max="15882" width="9.140625" style="1236"/>
    <col min="15883" max="15883" width="18.42578125" style="1236" customWidth="1"/>
    <col min="15884" max="15884" width="16" style="1236" bestFit="1" customWidth="1"/>
    <col min="15885" max="16128" width="9.140625" style="1236"/>
    <col min="16129" max="16129" width="4.7109375" style="1236" customWidth="1"/>
    <col min="16130" max="16130" width="6.7109375" style="1236" customWidth="1"/>
    <col min="16131" max="16131" width="8.85546875" style="1236" customWidth="1"/>
    <col min="16132" max="16132" width="47.85546875" style="1236" customWidth="1"/>
    <col min="16133" max="16133" width="12.85546875" style="1236" customWidth="1"/>
    <col min="16134" max="16134" width="15.5703125" style="1236" customWidth="1"/>
    <col min="16135" max="16135" width="15.85546875" style="1236" customWidth="1"/>
    <col min="16136" max="16136" width="6.42578125" style="1236" customWidth="1"/>
    <col min="16137" max="16138" width="9.140625" style="1236"/>
    <col min="16139" max="16139" width="18.42578125" style="1236" customWidth="1"/>
    <col min="16140" max="16140" width="16" style="1236" bestFit="1" customWidth="1"/>
    <col min="16141" max="16384" width="9.140625" style="1236"/>
  </cols>
  <sheetData>
    <row r="1" spans="1:8" ht="18.75" thickBot="1" x14ac:dyDescent="0.3">
      <c r="A1" s="1230" t="s">
        <v>674</v>
      </c>
      <c r="B1" s="1231"/>
      <c r="C1" s="1232"/>
      <c r="D1" s="1233"/>
      <c r="E1" s="1234"/>
      <c r="F1" s="1233"/>
      <c r="G1" s="1235"/>
      <c r="H1" s="1230"/>
    </row>
    <row r="2" spans="1:8" ht="18" x14ac:dyDescent="0.25">
      <c r="A2" s="1237"/>
      <c r="B2" s="1238"/>
      <c r="C2" s="1238"/>
      <c r="D2" s="1238"/>
      <c r="E2" s="1238"/>
      <c r="F2" s="1238"/>
      <c r="G2" s="1238"/>
      <c r="H2" s="1239" t="s">
        <v>673</v>
      </c>
    </row>
    <row r="3" spans="1:8" ht="18" x14ac:dyDescent="0.25">
      <c r="A3" s="1240" t="s">
        <v>201</v>
      </c>
      <c r="B3" s="1238"/>
      <c r="C3" s="2205" t="s">
        <v>121</v>
      </c>
      <c r="D3" s="1238"/>
      <c r="E3" s="1238"/>
      <c r="F3" s="1238"/>
      <c r="G3" s="1238"/>
      <c r="H3" s="1239"/>
    </row>
    <row r="4" spans="1:8" ht="18" x14ac:dyDescent="0.25">
      <c r="A4" s="1237"/>
      <c r="B4" s="1238"/>
      <c r="C4" s="2205" t="s">
        <v>781</v>
      </c>
      <c r="D4" s="1238"/>
      <c r="E4" s="1238"/>
      <c r="F4" s="1238"/>
      <c r="G4" s="1238"/>
      <c r="H4" s="1239"/>
    </row>
    <row r="5" spans="1:8" ht="18" x14ac:dyDescent="0.25">
      <c r="A5" s="1242" t="s">
        <v>672</v>
      </c>
      <c r="B5" s="1238"/>
      <c r="C5" s="1238"/>
      <c r="D5" s="1238"/>
      <c r="E5" s="1238"/>
      <c r="F5" s="1238"/>
      <c r="G5" s="1238"/>
      <c r="H5" s="1239"/>
    </row>
    <row r="6" spans="1:8" x14ac:dyDescent="0.2">
      <c r="A6" s="1243"/>
      <c r="B6" s="1243"/>
      <c r="C6" s="1243"/>
      <c r="E6" s="1244"/>
      <c r="F6" s="1244"/>
      <c r="G6" s="1244"/>
    </row>
    <row r="7" spans="1:8" ht="15.75" thickBot="1" x14ac:dyDescent="0.3">
      <c r="A7" s="1229" t="s">
        <v>137</v>
      </c>
      <c r="B7" s="1243"/>
      <c r="C7" s="1243"/>
      <c r="E7" s="1244"/>
      <c r="F7" s="1244"/>
      <c r="G7" s="1244"/>
      <c r="H7" s="1245" t="s">
        <v>92</v>
      </c>
    </row>
    <row r="8" spans="1:8" ht="25.5" thickTop="1" thickBot="1" x14ac:dyDescent="0.25">
      <c r="A8" s="1104" t="s">
        <v>93</v>
      </c>
      <c r="B8" s="1105" t="s">
        <v>392</v>
      </c>
      <c r="C8" s="1105" t="s">
        <v>209</v>
      </c>
      <c r="D8" s="1106" t="s">
        <v>95</v>
      </c>
      <c r="E8" s="1127" t="s">
        <v>328</v>
      </c>
      <c r="F8" s="1127" t="s">
        <v>329</v>
      </c>
      <c r="G8" s="1128" t="s">
        <v>448</v>
      </c>
      <c r="H8" s="1129" t="s">
        <v>449</v>
      </c>
    </row>
    <row r="9" spans="1:8" ht="14.25" thickTop="1" thickBot="1" x14ac:dyDescent="0.25">
      <c r="A9" s="1042">
        <v>1</v>
      </c>
      <c r="B9" s="1041">
        <v>2</v>
      </c>
      <c r="C9" s="1041">
        <v>3</v>
      </c>
      <c r="D9" s="1041">
        <v>4</v>
      </c>
      <c r="E9" s="1040">
        <v>5</v>
      </c>
      <c r="F9" s="1040">
        <v>6</v>
      </c>
      <c r="G9" s="1164">
        <v>7</v>
      </c>
      <c r="H9" s="1186" t="s">
        <v>33</v>
      </c>
    </row>
    <row r="10" spans="1:8" ht="45.75" hidden="1" thickTop="1" x14ac:dyDescent="0.2">
      <c r="A10" s="1257">
        <v>3299</v>
      </c>
      <c r="B10" s="1258">
        <v>5213</v>
      </c>
      <c r="C10" s="2204" t="s">
        <v>1046</v>
      </c>
      <c r="D10" s="1259" t="s">
        <v>498</v>
      </c>
      <c r="E10" s="1260">
        <v>0</v>
      </c>
      <c r="F10" s="1260"/>
      <c r="G10" s="1260"/>
      <c r="H10" s="1261" t="e">
        <f t="shared" ref="H10:H19" si="0">G10/F10*100</f>
        <v>#DIV/0!</v>
      </c>
    </row>
    <row r="11" spans="1:8" ht="45.75" hidden="1" thickTop="1" x14ac:dyDescent="0.2">
      <c r="A11" s="1262">
        <v>3299</v>
      </c>
      <c r="B11" s="1263">
        <v>5213</v>
      </c>
      <c r="C11" s="1309" t="s">
        <v>1045</v>
      </c>
      <c r="D11" s="1264" t="s">
        <v>498</v>
      </c>
      <c r="E11" s="1265">
        <v>0</v>
      </c>
      <c r="F11" s="1265"/>
      <c r="G11" s="1265"/>
      <c r="H11" s="1266" t="e">
        <f t="shared" si="0"/>
        <v>#DIV/0!</v>
      </c>
    </row>
    <row r="12" spans="1:8" ht="30.75" hidden="1" thickTop="1" x14ac:dyDescent="0.2">
      <c r="A12" s="1262">
        <v>3299</v>
      </c>
      <c r="B12" s="1263">
        <v>5221</v>
      </c>
      <c r="C12" s="1309" t="s">
        <v>1046</v>
      </c>
      <c r="D12" s="1264" t="s">
        <v>636</v>
      </c>
      <c r="E12" s="1265"/>
      <c r="F12" s="1265"/>
      <c r="G12" s="1265"/>
      <c r="H12" s="1266" t="e">
        <f t="shared" si="0"/>
        <v>#DIV/0!</v>
      </c>
    </row>
    <row r="13" spans="1:8" ht="30.75" hidden="1" thickTop="1" x14ac:dyDescent="0.2">
      <c r="A13" s="1262">
        <v>3299</v>
      </c>
      <c r="B13" s="1263">
        <v>5221</v>
      </c>
      <c r="C13" s="1309" t="s">
        <v>1045</v>
      </c>
      <c r="D13" s="1264" t="s">
        <v>636</v>
      </c>
      <c r="E13" s="1265"/>
      <c r="F13" s="1265"/>
      <c r="G13" s="1265"/>
      <c r="H13" s="1266" t="e">
        <f t="shared" si="0"/>
        <v>#DIV/0!</v>
      </c>
    </row>
    <row r="14" spans="1:8" ht="15.75" hidden="1" thickTop="1" x14ac:dyDescent="0.2">
      <c r="A14" s="1262">
        <v>3299</v>
      </c>
      <c r="B14" s="1263">
        <v>5222</v>
      </c>
      <c r="C14" s="1309" t="s">
        <v>1046</v>
      </c>
      <c r="D14" s="1264" t="s">
        <v>800</v>
      </c>
      <c r="E14" s="1265">
        <v>0</v>
      </c>
      <c r="F14" s="1265"/>
      <c r="G14" s="1265"/>
      <c r="H14" s="1266" t="e">
        <f t="shared" si="0"/>
        <v>#DIV/0!</v>
      </c>
    </row>
    <row r="15" spans="1:8" ht="15.75" hidden="1" thickTop="1" x14ac:dyDescent="0.2">
      <c r="A15" s="1262">
        <v>3299</v>
      </c>
      <c r="B15" s="1263">
        <v>5222</v>
      </c>
      <c r="C15" s="1309" t="s">
        <v>1045</v>
      </c>
      <c r="D15" s="1264" t="s">
        <v>800</v>
      </c>
      <c r="E15" s="1265">
        <v>0</v>
      </c>
      <c r="F15" s="1265"/>
      <c r="G15" s="1265"/>
      <c r="H15" s="1266" t="e">
        <f t="shared" si="0"/>
        <v>#DIV/0!</v>
      </c>
    </row>
    <row r="16" spans="1:8" ht="15.75" hidden="1" thickTop="1" x14ac:dyDescent="0.2">
      <c r="A16" s="1262">
        <v>3299</v>
      </c>
      <c r="B16" s="1263">
        <v>5332</v>
      </c>
      <c r="C16" s="2203" t="s">
        <v>1046</v>
      </c>
      <c r="D16" s="1264" t="s">
        <v>319</v>
      </c>
      <c r="E16" s="1265">
        <v>0</v>
      </c>
      <c r="F16" s="1265"/>
      <c r="G16" s="1265"/>
      <c r="H16" s="1266" t="e">
        <f t="shared" si="0"/>
        <v>#DIV/0!</v>
      </c>
    </row>
    <row r="17" spans="1:8" ht="15.75" hidden="1" thickTop="1" x14ac:dyDescent="0.2">
      <c r="A17" s="1262">
        <v>3299</v>
      </c>
      <c r="B17" s="1263">
        <v>5332</v>
      </c>
      <c r="C17" s="2203" t="s">
        <v>1045</v>
      </c>
      <c r="D17" s="1264" t="s">
        <v>319</v>
      </c>
      <c r="E17" s="1265">
        <v>0</v>
      </c>
      <c r="F17" s="1265"/>
      <c r="G17" s="1265"/>
      <c r="H17" s="1266" t="e">
        <f t="shared" si="0"/>
        <v>#DIV/0!</v>
      </c>
    </row>
    <row r="18" spans="1:8" ht="30.75" hidden="1" thickTop="1" x14ac:dyDescent="0.2">
      <c r="A18" s="1262">
        <v>3299</v>
      </c>
      <c r="B18" s="1263">
        <v>5339</v>
      </c>
      <c r="C18" s="2203" t="s">
        <v>1046</v>
      </c>
      <c r="D18" s="1264" t="s">
        <v>801</v>
      </c>
      <c r="E18" s="1265">
        <v>0</v>
      </c>
      <c r="F18" s="1265"/>
      <c r="G18" s="1265"/>
      <c r="H18" s="1266" t="e">
        <f t="shared" si="0"/>
        <v>#DIV/0!</v>
      </c>
    </row>
    <row r="19" spans="1:8" ht="30.75" hidden="1" thickTop="1" x14ac:dyDescent="0.2">
      <c r="A19" s="1262">
        <v>3299</v>
      </c>
      <c r="B19" s="1263">
        <v>5339</v>
      </c>
      <c r="C19" s="2203" t="s">
        <v>1045</v>
      </c>
      <c r="D19" s="1264" t="s">
        <v>801</v>
      </c>
      <c r="E19" s="1265">
        <v>0</v>
      </c>
      <c r="F19" s="1265"/>
      <c r="G19" s="1265"/>
      <c r="H19" s="1266" t="e">
        <f t="shared" si="0"/>
        <v>#DIV/0!</v>
      </c>
    </row>
    <row r="20" spans="1:8" ht="15" customHeight="1" thickTop="1" x14ac:dyDescent="0.2">
      <c r="A20" s="1262">
        <v>3299</v>
      </c>
      <c r="B20" s="1263">
        <v>5901</v>
      </c>
      <c r="C20" s="2203" t="s">
        <v>1046</v>
      </c>
      <c r="D20" s="1264" t="s">
        <v>311</v>
      </c>
      <c r="E20" s="1265"/>
      <c r="F20" s="1265"/>
      <c r="G20" s="1265"/>
      <c r="H20" s="1266">
        <v>0</v>
      </c>
    </row>
    <row r="21" spans="1:8" ht="15" customHeight="1" x14ac:dyDescent="0.2">
      <c r="A21" s="1262">
        <v>3299</v>
      </c>
      <c r="B21" s="1263">
        <v>5901</v>
      </c>
      <c r="C21" s="2203" t="s">
        <v>1045</v>
      </c>
      <c r="D21" s="1264" t="s">
        <v>311</v>
      </c>
      <c r="E21" s="1265"/>
      <c r="F21" s="1265"/>
      <c r="G21" s="1265"/>
      <c r="H21" s="1266">
        <v>0</v>
      </c>
    </row>
    <row r="22" spans="1:8" ht="45" hidden="1" x14ac:dyDescent="0.2">
      <c r="A22" s="1262">
        <v>3299</v>
      </c>
      <c r="B22" s="1263">
        <v>6313</v>
      </c>
      <c r="C22" s="2203">
        <v>32133926</v>
      </c>
      <c r="D22" s="1264" t="s">
        <v>292</v>
      </c>
      <c r="E22" s="1265"/>
      <c r="F22" s="1265"/>
      <c r="G22" s="1265"/>
      <c r="H22" s="1266" t="e">
        <f>G22/F22*100</f>
        <v>#DIV/0!</v>
      </c>
    </row>
    <row r="23" spans="1:8" ht="15" hidden="1" x14ac:dyDescent="0.2">
      <c r="A23" s="1262">
        <v>3299</v>
      </c>
      <c r="B23" s="1263">
        <v>5909</v>
      </c>
      <c r="C23" s="2203" t="s">
        <v>871</v>
      </c>
      <c r="D23" s="1264" t="s">
        <v>344</v>
      </c>
      <c r="E23" s="1265"/>
      <c r="F23" s="1265"/>
      <c r="G23" s="1265"/>
      <c r="H23" s="1266" t="e">
        <f>G23/F23*100</f>
        <v>#DIV/0!</v>
      </c>
    </row>
    <row r="24" spans="1:8" ht="15" hidden="1" x14ac:dyDescent="0.2">
      <c r="A24" s="1262">
        <v>3299</v>
      </c>
      <c r="B24" s="1263">
        <v>6901</v>
      </c>
      <c r="C24" s="2203" t="s">
        <v>1046</v>
      </c>
      <c r="D24" s="1264" t="s">
        <v>239</v>
      </c>
      <c r="E24" s="1265"/>
      <c r="F24" s="1265"/>
      <c r="G24" s="1265"/>
      <c r="H24" s="1266" t="e">
        <f>G24/F24*100</f>
        <v>#DIV/0!</v>
      </c>
    </row>
    <row r="25" spans="1:8" ht="15" hidden="1" x14ac:dyDescent="0.2">
      <c r="A25" s="1262">
        <v>3299</v>
      </c>
      <c r="B25" s="1263">
        <v>6901</v>
      </c>
      <c r="C25" s="2203" t="s">
        <v>1044</v>
      </c>
      <c r="D25" s="1264" t="s">
        <v>239</v>
      </c>
      <c r="E25" s="1265"/>
      <c r="F25" s="1265"/>
      <c r="G25" s="1265"/>
      <c r="H25" s="1266">
        <v>0</v>
      </c>
    </row>
    <row r="26" spans="1:8" ht="15" hidden="1" customHeight="1" x14ac:dyDescent="0.2">
      <c r="A26" s="1262">
        <v>3299</v>
      </c>
      <c r="B26" s="1263">
        <v>6901</v>
      </c>
      <c r="C26" s="2203" t="s">
        <v>1045</v>
      </c>
      <c r="D26" s="1264" t="s">
        <v>239</v>
      </c>
      <c r="E26" s="1265"/>
      <c r="F26" s="1265"/>
      <c r="G26" s="1265"/>
      <c r="H26" s="1266" t="e">
        <f>G26/F26*100</f>
        <v>#DIV/0!</v>
      </c>
    </row>
    <row r="27" spans="1:8" ht="15" hidden="1" x14ac:dyDescent="0.2">
      <c r="A27" s="1262">
        <v>3299</v>
      </c>
      <c r="B27" s="1263">
        <v>6901</v>
      </c>
      <c r="C27" s="2203" t="s">
        <v>1043</v>
      </c>
      <c r="D27" s="1264" t="s">
        <v>239</v>
      </c>
      <c r="E27" s="1265"/>
      <c r="F27" s="1265"/>
      <c r="G27" s="1265"/>
      <c r="H27" s="1266">
        <v>0</v>
      </c>
    </row>
    <row r="28" spans="1:8" ht="15" x14ac:dyDescent="0.2">
      <c r="A28" s="1262">
        <v>6402</v>
      </c>
      <c r="B28" s="1263">
        <v>5363</v>
      </c>
      <c r="C28" s="2203" t="s">
        <v>882</v>
      </c>
      <c r="D28" s="1264" t="s">
        <v>739</v>
      </c>
      <c r="E28" s="1265"/>
      <c r="F28" s="1265"/>
      <c r="G28" s="1265"/>
      <c r="H28" s="1266" t="e">
        <f>G28/F28*100</f>
        <v>#DIV/0!</v>
      </c>
    </row>
    <row r="29" spans="1:8" ht="30" x14ac:dyDescent="0.2">
      <c r="A29" s="1262">
        <v>6402</v>
      </c>
      <c r="B29" s="1263">
        <v>5364</v>
      </c>
      <c r="C29" s="2203" t="s">
        <v>882</v>
      </c>
      <c r="D29" s="1264" t="s">
        <v>1022</v>
      </c>
      <c r="E29" s="1265"/>
      <c r="F29" s="1265"/>
      <c r="G29" s="1265"/>
      <c r="H29" s="1266" t="e">
        <f>G29/F29*100</f>
        <v>#DIV/0!</v>
      </c>
    </row>
    <row r="30" spans="1:8" ht="15.75" thickBot="1" x14ac:dyDescent="0.25">
      <c r="A30" s="1262">
        <v>6330</v>
      </c>
      <c r="B30" s="1263">
        <v>5345</v>
      </c>
      <c r="C30" s="2203" t="s">
        <v>871</v>
      </c>
      <c r="D30" s="1264" t="s">
        <v>397</v>
      </c>
      <c r="E30" s="1265"/>
      <c r="F30" s="1265"/>
      <c r="G30" s="1265"/>
      <c r="H30" s="1268">
        <v>0</v>
      </c>
    </row>
    <row r="31" spans="1:8" ht="16.5" thickTop="1" thickBot="1" x14ac:dyDescent="0.3">
      <c r="A31" s="3317" t="s">
        <v>394</v>
      </c>
      <c r="B31" s="3318"/>
      <c r="C31" s="3318"/>
      <c r="D31" s="3318"/>
      <c r="E31" s="1113">
        <f>SUM(E10:E27)</f>
        <v>0</v>
      </c>
      <c r="F31" s="1113">
        <f>SUM(F10:F30)</f>
        <v>0</v>
      </c>
      <c r="G31" s="1113">
        <f>SUM(G10:G30)</f>
        <v>0</v>
      </c>
      <c r="H31" s="1117" t="e">
        <f>G31/F31*100</f>
        <v>#DIV/0!</v>
      </c>
    </row>
    <row r="32" spans="1:8" ht="13.5" thickTop="1" x14ac:dyDescent="0.2"/>
    <row r="39" spans="1:12" ht="16.5" x14ac:dyDescent="0.25">
      <c r="A39" s="1285" t="s">
        <v>251</v>
      </c>
      <c r="B39" s="1286"/>
      <c r="C39" s="1287"/>
      <c r="D39" s="1288"/>
      <c r="E39" s="1289">
        <f>SUM(E40:E42)</f>
        <v>0</v>
      </c>
      <c r="F39" s="1289">
        <f>F40+F41+F42+F43</f>
        <v>0</v>
      </c>
      <c r="G39" s="1289">
        <f>G40+G41+G42+G43</f>
        <v>0</v>
      </c>
      <c r="H39" s="1290" t="e">
        <f>G39/F39*100</f>
        <v>#DIV/0!</v>
      </c>
      <c r="J39" s="1291">
        <f>J40+J41+J42</f>
        <v>0</v>
      </c>
      <c r="K39" s="1291">
        <f>K40+K41+K42</f>
        <v>0</v>
      </c>
      <c r="L39" s="1291">
        <f>L40+L41+L42</f>
        <v>0</v>
      </c>
    </row>
    <row r="40" spans="1:12" ht="15" x14ac:dyDescent="0.2">
      <c r="A40" s="1292" t="s">
        <v>147</v>
      </c>
      <c r="B40" s="1293"/>
      <c r="C40" s="1294"/>
      <c r="D40" s="1295"/>
      <c r="E40" s="1296">
        <f>E20+E21+E28+E29</f>
        <v>0</v>
      </c>
      <c r="F40" s="1296">
        <f>F20+F21+F28+F29</f>
        <v>0</v>
      </c>
      <c r="G40" s="1296">
        <f>G20+G21+G28+G29</f>
        <v>0</v>
      </c>
      <c r="H40" s="1297" t="e">
        <f>G40/F40*100</f>
        <v>#DIV/0!</v>
      </c>
      <c r="J40" s="1298">
        <v>0</v>
      </c>
      <c r="K40" s="1298">
        <v>0</v>
      </c>
      <c r="L40" s="1298">
        <v>0</v>
      </c>
    </row>
    <row r="41" spans="1:12" ht="15" x14ac:dyDescent="0.2">
      <c r="A41" s="1292" t="s">
        <v>148</v>
      </c>
      <c r="B41" s="1299"/>
      <c r="C41" s="1294"/>
      <c r="D41" s="1300"/>
      <c r="E41" s="1296">
        <f>E24+E25+E26+E27</f>
        <v>0</v>
      </c>
      <c r="F41" s="1296">
        <f>F24+F25+F26+F27</f>
        <v>0</v>
      </c>
      <c r="G41" s="1296">
        <f>G24+G25+G26+G27</f>
        <v>0</v>
      </c>
      <c r="H41" s="1297">
        <v>0</v>
      </c>
      <c r="J41" s="1298">
        <v>0</v>
      </c>
      <c r="K41" s="1298">
        <v>0</v>
      </c>
      <c r="L41" s="1298">
        <v>0</v>
      </c>
    </row>
    <row r="42" spans="1:12" ht="15" x14ac:dyDescent="0.2">
      <c r="A42" s="1292" t="s">
        <v>252</v>
      </c>
      <c r="B42" s="1299"/>
      <c r="C42" s="1294"/>
      <c r="D42" s="1300"/>
      <c r="E42" s="1296">
        <f>E30</f>
        <v>0</v>
      </c>
      <c r="F42" s="1296">
        <f>F30</f>
        <v>0</v>
      </c>
      <c r="G42" s="1296">
        <f>G30</f>
        <v>0</v>
      </c>
      <c r="H42" s="1297">
        <v>0</v>
      </c>
      <c r="J42" s="1298">
        <v>0</v>
      </c>
      <c r="K42" s="1298">
        <v>0</v>
      </c>
      <c r="L42" s="1298">
        <v>0</v>
      </c>
    </row>
    <row r="43" spans="1:12" ht="16.5" customHeight="1" x14ac:dyDescent="0.2">
      <c r="A43" s="1292"/>
      <c r="B43" s="1299"/>
      <c r="C43" s="1294"/>
      <c r="D43" s="1300"/>
      <c r="E43" s="1296"/>
      <c r="F43" s="1296"/>
      <c r="G43" s="1296"/>
      <c r="H43" s="1301"/>
    </row>
    <row r="44" spans="1:12" ht="57.75" customHeight="1" thickBot="1" x14ac:dyDescent="0.4">
      <c r="A44" s="3321" t="s">
        <v>748</v>
      </c>
      <c r="B44" s="3287"/>
      <c r="C44" s="3287"/>
      <c r="D44" s="3287"/>
      <c r="E44" s="1302">
        <f>SUM(E39)</f>
        <v>0</v>
      </c>
      <c r="F44" s="1302">
        <f>SUM(F39)</f>
        <v>0</v>
      </c>
      <c r="G44" s="1302">
        <f>SUM(G39)</f>
        <v>0</v>
      </c>
      <c r="H44" s="1303" t="e">
        <f>(G44/F44)*100</f>
        <v>#DIV/0!</v>
      </c>
    </row>
    <row r="45" spans="1:12" ht="13.5" thickTop="1" x14ac:dyDescent="0.2"/>
  </sheetData>
  <mergeCells count="2">
    <mergeCell ref="A31:D31"/>
    <mergeCell ref="A44:D44"/>
  </mergeCells>
  <pageMargins left="0.70866141732283472" right="0.70866141732283472" top="0.78740157480314965" bottom="0.78740157480314965" header="0.31496062992125984" footer="0.31496062992125984"/>
  <pageSetup paperSize="9" scale="65" firstPageNumber="147" orientation="portrait" useFirstPageNumber="1" r:id="rId1"/>
  <headerFooter>
    <oddFooter>&amp;L&amp;"Arial,Kurzíva"Zastupitelstvo Olomouckého kraje 19. 6. 2017
5.1. - Rozpočet Olomouckého kraje 2016 - závěrečný účet 
Příloha č. 3: Plnění rozpočtu výdajů Olomouckého kraje k 31. 12. 2016&amp;R&amp;"Arial,Kurzíva"Strana &amp;P (celkem 500)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rgb="FFCCFFFF"/>
  </sheetPr>
  <dimension ref="A1:L64"/>
  <sheetViews>
    <sheetView showGridLines="0" view="pageBreakPreview" zoomScaleNormal="100" zoomScaleSheetLayoutView="100" workbookViewId="0">
      <selection activeCell="K48" sqref="K48"/>
    </sheetView>
  </sheetViews>
  <sheetFormatPr defaultColWidth="9.140625" defaultRowHeight="12.75" x14ac:dyDescent="0.2"/>
  <cols>
    <col min="1" max="1" width="5.140625" style="584" customWidth="1"/>
    <col min="2" max="2" width="5.28515625" style="491" customWidth="1"/>
    <col min="3" max="3" width="10" style="491" customWidth="1"/>
    <col min="4" max="4" width="47.28515625" style="491" customWidth="1"/>
    <col min="5" max="5" width="15" style="459" customWidth="1"/>
    <col min="6" max="6" width="14.5703125" style="459" customWidth="1"/>
    <col min="7" max="7" width="13.5703125" style="459" customWidth="1"/>
    <col min="8" max="8" width="7.42578125" style="596" customWidth="1"/>
    <col min="9" max="9" width="9.140625" style="491"/>
    <col min="10" max="10" width="18.5703125" style="491" customWidth="1"/>
    <col min="11" max="11" width="17.140625" style="491" customWidth="1"/>
    <col min="12" max="12" width="19.42578125" style="491" customWidth="1"/>
    <col min="13" max="16384" width="9.140625" style="491"/>
  </cols>
  <sheetData>
    <row r="1" spans="1:9" ht="18.75" thickBot="1" x14ac:dyDescent="0.3">
      <c r="A1" s="441" t="s">
        <v>1104</v>
      </c>
      <c r="B1" s="442"/>
      <c r="C1" s="442"/>
      <c r="D1" s="453"/>
      <c r="E1" s="458"/>
      <c r="F1" s="445" t="s">
        <v>97</v>
      </c>
      <c r="I1" s="17"/>
    </row>
    <row r="2" spans="1:9" ht="12.75" customHeight="1" x14ac:dyDescent="0.25">
      <c r="A2" s="6"/>
      <c r="B2" s="28"/>
      <c r="C2" s="28"/>
      <c r="D2" s="10"/>
      <c r="E2" s="134"/>
      <c r="F2" s="134"/>
      <c r="G2" s="16"/>
      <c r="H2" s="190"/>
      <c r="I2" s="17"/>
    </row>
    <row r="3" spans="1:9" ht="12.75" customHeight="1" x14ac:dyDescent="0.25">
      <c r="A3" s="6"/>
      <c r="B3" s="28"/>
      <c r="C3" s="28"/>
      <c r="D3" s="10"/>
      <c r="E3" s="134"/>
      <c r="F3" s="134"/>
      <c r="G3" s="16"/>
      <c r="H3" s="190"/>
      <c r="I3" s="17"/>
    </row>
    <row r="4" spans="1:9" ht="12.75" customHeight="1" x14ac:dyDescent="0.25">
      <c r="A4" s="67" t="s">
        <v>201</v>
      </c>
      <c r="B4" s="28"/>
      <c r="C4" s="483" t="s">
        <v>944</v>
      </c>
      <c r="D4" s="569"/>
      <c r="E4" s="134"/>
      <c r="F4" s="16"/>
      <c r="G4" s="17"/>
      <c r="H4" s="190"/>
    </row>
    <row r="5" spans="1:9" ht="12.75" customHeight="1" x14ac:dyDescent="0.25">
      <c r="A5" s="6"/>
      <c r="B5" s="28"/>
      <c r="C5" s="462" t="s">
        <v>188</v>
      </c>
      <c r="D5" s="599"/>
      <c r="E5" s="135"/>
      <c r="F5" s="16"/>
      <c r="G5" s="17"/>
      <c r="H5" s="190"/>
    </row>
    <row r="6" spans="1:9" ht="12.75" customHeight="1" x14ac:dyDescent="0.25">
      <c r="A6" s="6"/>
      <c r="B6" s="28"/>
      <c r="C6" s="462"/>
      <c r="D6" s="599"/>
      <c r="E6" s="135"/>
      <c r="F6" s="16"/>
      <c r="G6" s="17"/>
      <c r="H6" s="190"/>
    </row>
    <row r="7" spans="1:9" ht="18" x14ac:dyDescent="0.25">
      <c r="A7" s="33" t="s">
        <v>450</v>
      </c>
      <c r="B7" s="28"/>
      <c r="C7" s="28"/>
      <c r="D7" s="10"/>
      <c r="E7" s="134"/>
      <c r="F7" s="134"/>
      <c r="G7" s="16"/>
      <c r="H7" s="190"/>
      <c r="I7" s="17"/>
    </row>
    <row r="8" spans="1:9" ht="13.5" thickBot="1" x14ac:dyDescent="0.25">
      <c r="A8" s="570"/>
      <c r="B8" s="570"/>
      <c r="C8" s="570"/>
      <c r="D8" s="571"/>
      <c r="G8" s="740"/>
      <c r="H8" s="596" t="s">
        <v>92</v>
      </c>
    </row>
    <row r="9" spans="1:9" s="106" customFormat="1" ht="20.25" customHeight="1" thickTop="1" thickBot="1" x14ac:dyDescent="0.25">
      <c r="A9" s="572" t="s">
        <v>93</v>
      </c>
      <c r="B9" s="573" t="s">
        <v>94</v>
      </c>
      <c r="C9" s="575" t="s">
        <v>364</v>
      </c>
      <c r="D9" s="575" t="s">
        <v>95</v>
      </c>
      <c r="E9" s="575" t="s">
        <v>328</v>
      </c>
      <c r="F9" s="575" t="s">
        <v>329</v>
      </c>
      <c r="G9" s="575" t="s">
        <v>448</v>
      </c>
      <c r="H9" s="576" t="s">
        <v>449</v>
      </c>
    </row>
    <row r="10" spans="1:9" s="374" customFormat="1" ht="13.5" thickTop="1" thickBot="1" x14ac:dyDescent="0.25">
      <c r="A10" s="511">
        <v>1</v>
      </c>
      <c r="B10" s="512">
        <v>2</v>
      </c>
      <c r="C10" s="512">
        <v>3</v>
      </c>
      <c r="D10" s="512">
        <v>4</v>
      </c>
      <c r="E10" s="512">
        <v>5</v>
      </c>
      <c r="F10" s="499">
        <v>6</v>
      </c>
      <c r="G10" s="499">
        <v>7</v>
      </c>
      <c r="H10" s="577" t="s">
        <v>33</v>
      </c>
      <c r="I10" s="106"/>
    </row>
    <row r="11" spans="1:9" s="374" customFormat="1" ht="15.75" thickTop="1" x14ac:dyDescent="0.25">
      <c r="A11" s="2347">
        <v>6172</v>
      </c>
      <c r="B11" s="1553">
        <v>5122</v>
      </c>
      <c r="C11" s="879"/>
      <c r="D11" s="800" t="s">
        <v>1831</v>
      </c>
      <c r="E11" s="48">
        <f>E12+E13</f>
        <v>0</v>
      </c>
      <c r="F11" s="48">
        <f t="shared" ref="F11:G11" si="0">F12+F13</f>
        <v>150</v>
      </c>
      <c r="G11" s="48">
        <f t="shared" si="0"/>
        <v>80</v>
      </c>
      <c r="H11" s="804">
        <f>G11/F11*100</f>
        <v>53.333333333333336</v>
      </c>
      <c r="I11" s="106"/>
    </row>
    <row r="12" spans="1:9" s="374" customFormat="1" ht="14.25" x14ac:dyDescent="0.2">
      <c r="A12" s="2915"/>
      <c r="B12" s="879"/>
      <c r="C12" s="833" t="s">
        <v>871</v>
      </c>
      <c r="D12" s="805" t="s">
        <v>600</v>
      </c>
      <c r="E12" s="2313">
        <v>0</v>
      </c>
      <c r="F12" s="894">
        <v>50</v>
      </c>
      <c r="G12" s="893">
        <v>0</v>
      </c>
      <c r="H12" s="904">
        <f>G12/F12*100</f>
        <v>0</v>
      </c>
      <c r="I12" s="106"/>
    </row>
    <row r="13" spans="1:9" s="374" customFormat="1" ht="25.5" x14ac:dyDescent="0.2">
      <c r="A13" s="2915"/>
      <c r="B13" s="879"/>
      <c r="C13" s="2723" t="s">
        <v>952</v>
      </c>
      <c r="D13" s="2914" t="s">
        <v>1835</v>
      </c>
      <c r="E13" s="2313">
        <v>0</v>
      </c>
      <c r="F13" s="894">
        <v>100</v>
      </c>
      <c r="G13" s="893">
        <v>80</v>
      </c>
      <c r="H13" s="904">
        <f>G13/F13*100</f>
        <v>80</v>
      </c>
      <c r="I13" s="106"/>
    </row>
    <row r="14" spans="1:9" s="374" customFormat="1" ht="15" x14ac:dyDescent="0.25">
      <c r="A14" s="2347">
        <v>6172</v>
      </c>
      <c r="B14" s="1553">
        <v>5137</v>
      </c>
      <c r="C14" s="879"/>
      <c r="D14" s="800" t="s">
        <v>88</v>
      </c>
      <c r="E14" s="428">
        <f>E15</f>
        <v>50</v>
      </c>
      <c r="F14" s="428">
        <f t="shared" ref="F14:G14" si="1">F15</f>
        <v>0</v>
      </c>
      <c r="G14" s="428">
        <f t="shared" si="1"/>
        <v>0</v>
      </c>
      <c r="H14" s="804">
        <v>0</v>
      </c>
      <c r="I14" s="106"/>
    </row>
    <row r="15" spans="1:9" s="374" customFormat="1" ht="14.25" x14ac:dyDescent="0.2">
      <c r="A15" s="690"/>
      <c r="B15" s="879"/>
      <c r="C15" s="833" t="s">
        <v>871</v>
      </c>
      <c r="D15" s="805" t="s">
        <v>600</v>
      </c>
      <c r="E15" s="2313">
        <v>50</v>
      </c>
      <c r="F15" s="894">
        <v>0</v>
      </c>
      <c r="G15" s="893">
        <v>0</v>
      </c>
      <c r="H15" s="904">
        <v>0</v>
      </c>
      <c r="I15" s="106"/>
    </row>
    <row r="16" spans="1:9" s="799" customFormat="1" ht="15" hidden="1" x14ac:dyDescent="0.25">
      <c r="A16" s="2347">
        <v>6172</v>
      </c>
      <c r="B16" s="1553">
        <v>5163</v>
      </c>
      <c r="C16" s="2723"/>
      <c r="D16" s="800" t="s">
        <v>452</v>
      </c>
      <c r="E16" s="48"/>
      <c r="F16" s="165"/>
      <c r="G16" s="310"/>
      <c r="H16" s="804" t="e">
        <f t="shared" ref="H16:H30" si="2">(G16/F16)*100</f>
        <v>#DIV/0!</v>
      </c>
    </row>
    <row r="17" spans="1:8" s="799" customFormat="1" ht="15" x14ac:dyDescent="0.25">
      <c r="A17" s="2347">
        <v>6172</v>
      </c>
      <c r="B17" s="1553">
        <v>5164</v>
      </c>
      <c r="C17" s="2839"/>
      <c r="D17" s="800" t="s">
        <v>101</v>
      </c>
      <c r="E17" s="48">
        <f>E18</f>
        <v>10</v>
      </c>
      <c r="F17" s="165">
        <f>F18+F19</f>
        <v>125</v>
      </c>
      <c r="G17" s="310">
        <f>G18+G19</f>
        <v>49</v>
      </c>
      <c r="H17" s="804">
        <f>(G17/F17)*100</f>
        <v>39.200000000000003</v>
      </c>
    </row>
    <row r="18" spans="1:8" s="799" customFormat="1" ht="14.25" x14ac:dyDescent="0.2">
      <c r="A18" s="2347"/>
      <c r="B18" s="1553"/>
      <c r="C18" s="2723" t="s">
        <v>871</v>
      </c>
      <c r="D18" s="805" t="s">
        <v>600</v>
      </c>
      <c r="E18" s="311">
        <v>10</v>
      </c>
      <c r="F18" s="309">
        <v>25</v>
      </c>
      <c r="G18" s="311">
        <v>17</v>
      </c>
      <c r="H18" s="807">
        <f>(G18/F18)*100</f>
        <v>68</v>
      </c>
    </row>
    <row r="19" spans="1:8" s="799" customFormat="1" ht="25.5" x14ac:dyDescent="0.2">
      <c r="A19" s="2347"/>
      <c r="B19" s="1553"/>
      <c r="C19" s="2723" t="s">
        <v>952</v>
      </c>
      <c r="D19" s="2298" t="s">
        <v>1835</v>
      </c>
      <c r="E19" s="2314">
        <v>0</v>
      </c>
      <c r="F19" s="894">
        <v>100</v>
      </c>
      <c r="G19" s="893">
        <v>32</v>
      </c>
      <c r="H19" s="904">
        <f>(G19/F19)*100</f>
        <v>32</v>
      </c>
    </row>
    <row r="20" spans="1:8" s="799" customFormat="1" ht="15" x14ac:dyDescent="0.25">
      <c r="A20" s="2347">
        <v>6172</v>
      </c>
      <c r="B20" s="1553">
        <v>5166</v>
      </c>
      <c r="C20" s="2839"/>
      <c r="D20" s="800" t="s">
        <v>317</v>
      </c>
      <c r="E20" s="48">
        <f>E21</f>
        <v>1370</v>
      </c>
      <c r="F20" s="428">
        <f>F21+F22</f>
        <v>1625</v>
      </c>
      <c r="G20" s="428">
        <f>G21+G22</f>
        <v>1131</v>
      </c>
      <c r="H20" s="804">
        <f>(G20/F20)*100</f>
        <v>69.599999999999994</v>
      </c>
    </row>
    <row r="21" spans="1:8" s="799" customFormat="1" ht="14.25" x14ac:dyDescent="0.2">
      <c r="A21" s="2347"/>
      <c r="B21" s="1553"/>
      <c r="C21" s="2723" t="s">
        <v>871</v>
      </c>
      <c r="D21" s="805" t="s">
        <v>600</v>
      </c>
      <c r="E21" s="55">
        <v>1370</v>
      </c>
      <c r="F21" s="309">
        <v>1585</v>
      </c>
      <c r="G21" s="311">
        <v>1123</v>
      </c>
      <c r="H21" s="807">
        <f t="shared" si="2"/>
        <v>70.85173501577286</v>
      </c>
    </row>
    <row r="22" spans="1:8" s="799" customFormat="1" ht="25.5" x14ac:dyDescent="0.2">
      <c r="A22" s="2347"/>
      <c r="B22" s="1553"/>
      <c r="C22" s="2723" t="s">
        <v>952</v>
      </c>
      <c r="D22" s="2298" t="s">
        <v>1835</v>
      </c>
      <c r="E22" s="2314">
        <v>0</v>
      </c>
      <c r="F22" s="894">
        <v>40</v>
      </c>
      <c r="G22" s="893">
        <v>8</v>
      </c>
      <c r="H22" s="904">
        <f t="shared" si="2"/>
        <v>20</v>
      </c>
    </row>
    <row r="23" spans="1:8" s="799" customFormat="1" ht="15" customHeight="1" x14ac:dyDescent="0.25">
      <c r="A23" s="2347">
        <v>6172</v>
      </c>
      <c r="B23" s="1553">
        <v>5168</v>
      </c>
      <c r="C23" s="2723"/>
      <c r="D23" s="3185" t="s">
        <v>821</v>
      </c>
      <c r="E23" s="48">
        <v>220</v>
      </c>
      <c r="F23" s="48">
        <v>220</v>
      </c>
      <c r="G23" s="48">
        <v>200</v>
      </c>
      <c r="H23" s="804">
        <f t="shared" si="2"/>
        <v>90.909090909090907</v>
      </c>
    </row>
    <row r="24" spans="1:8" s="799" customFormat="1" ht="15" customHeight="1" x14ac:dyDescent="0.25">
      <c r="A24" s="2347"/>
      <c r="B24" s="1553"/>
      <c r="C24" s="2723"/>
      <c r="D24" s="3184"/>
      <c r="E24" s="48"/>
      <c r="F24" s="48"/>
      <c r="G24" s="48"/>
      <c r="H24" s="804"/>
    </row>
    <row r="25" spans="1:8" s="799" customFormat="1" ht="15" x14ac:dyDescent="0.25">
      <c r="A25" s="2347">
        <v>6172</v>
      </c>
      <c r="B25" s="1553">
        <v>5169</v>
      </c>
      <c r="C25" s="2839"/>
      <c r="D25" s="800" t="s">
        <v>430</v>
      </c>
      <c r="E25" s="48">
        <f>E26+E27</f>
        <v>160</v>
      </c>
      <c r="F25" s="48">
        <f t="shared" ref="F25:G25" si="3">F26+F27</f>
        <v>180</v>
      </c>
      <c r="G25" s="48">
        <f t="shared" si="3"/>
        <v>0</v>
      </c>
      <c r="H25" s="804">
        <f t="shared" si="2"/>
        <v>0</v>
      </c>
    </row>
    <row r="26" spans="1:8" s="799" customFormat="1" ht="14.25" x14ac:dyDescent="0.2">
      <c r="A26" s="2347"/>
      <c r="B26" s="1553"/>
      <c r="C26" s="2723" t="s">
        <v>871</v>
      </c>
      <c r="D26" s="805" t="s">
        <v>600</v>
      </c>
      <c r="E26" s="55">
        <v>160</v>
      </c>
      <c r="F26" s="309">
        <v>160</v>
      </c>
      <c r="G26" s="311">
        <v>0</v>
      </c>
      <c r="H26" s="807">
        <f t="shared" si="2"/>
        <v>0</v>
      </c>
    </row>
    <row r="27" spans="1:8" s="799" customFormat="1" ht="25.5" x14ac:dyDescent="0.2">
      <c r="A27" s="2347"/>
      <c r="B27" s="1553"/>
      <c r="C27" s="2723" t="s">
        <v>952</v>
      </c>
      <c r="D27" s="2298" t="s">
        <v>1835</v>
      </c>
      <c r="E27" s="2313">
        <v>0</v>
      </c>
      <c r="F27" s="894">
        <v>20</v>
      </c>
      <c r="G27" s="893">
        <v>0</v>
      </c>
      <c r="H27" s="904">
        <f t="shared" si="2"/>
        <v>0</v>
      </c>
    </row>
    <row r="28" spans="1:8" s="799" customFormat="1" ht="15" x14ac:dyDescent="0.25">
      <c r="A28" s="2347">
        <v>6172</v>
      </c>
      <c r="B28" s="1553">
        <v>5192</v>
      </c>
      <c r="C28" s="2723"/>
      <c r="D28" s="800" t="s">
        <v>826</v>
      </c>
      <c r="E28" s="48">
        <f>E29</f>
        <v>90</v>
      </c>
      <c r="F28" s="48">
        <f t="shared" ref="F28:G28" si="4">F29</f>
        <v>20</v>
      </c>
      <c r="G28" s="48">
        <f t="shared" si="4"/>
        <v>11</v>
      </c>
      <c r="H28" s="804">
        <f t="shared" si="2"/>
        <v>55.000000000000007</v>
      </c>
    </row>
    <row r="29" spans="1:8" s="799" customFormat="1" ht="14.25" x14ac:dyDescent="0.2">
      <c r="A29" s="2347"/>
      <c r="B29" s="1553"/>
      <c r="C29" s="2723" t="s">
        <v>871</v>
      </c>
      <c r="D29" s="805" t="s">
        <v>600</v>
      </c>
      <c r="E29" s="55">
        <v>90</v>
      </c>
      <c r="F29" s="309">
        <v>20</v>
      </c>
      <c r="G29" s="311">
        <v>11</v>
      </c>
      <c r="H29" s="807">
        <f t="shared" si="2"/>
        <v>55.000000000000007</v>
      </c>
    </row>
    <row r="30" spans="1:8" s="799" customFormat="1" ht="15" x14ac:dyDescent="0.25">
      <c r="A30" s="2347">
        <v>6172</v>
      </c>
      <c r="B30" s="1553">
        <v>5362</v>
      </c>
      <c r="C30" s="2723"/>
      <c r="D30" s="800" t="s">
        <v>386</v>
      </c>
      <c r="E30" s="48">
        <v>2405</v>
      </c>
      <c r="F30" s="165">
        <v>2245</v>
      </c>
      <c r="G30" s="310">
        <v>1533</v>
      </c>
      <c r="H30" s="804">
        <f t="shared" si="2"/>
        <v>68.285077951002222</v>
      </c>
    </row>
    <row r="31" spans="1:8" s="799" customFormat="1" ht="15.75" thickBot="1" x14ac:dyDescent="0.3">
      <c r="A31" s="2834">
        <v>6172</v>
      </c>
      <c r="B31" s="2835">
        <v>5499</v>
      </c>
      <c r="C31" s="2840"/>
      <c r="D31" s="834" t="s">
        <v>207</v>
      </c>
      <c r="E31" s="823">
        <v>2</v>
      </c>
      <c r="F31" s="427">
        <v>2</v>
      </c>
      <c r="G31" s="426">
        <v>0</v>
      </c>
      <c r="H31" s="895">
        <f>(G31/F31)*100</f>
        <v>0</v>
      </c>
    </row>
    <row r="32" spans="1:8" s="355" customFormat="1" ht="35.25" customHeight="1" thickTop="1" thickBot="1" x14ac:dyDescent="0.3">
      <c r="A32" s="578" t="s">
        <v>134</v>
      </c>
      <c r="B32" s="579"/>
      <c r="C32" s="580"/>
      <c r="D32" s="581"/>
      <c r="E32" s="582">
        <f>E16+E17+E20+E25+E28+E30+E31+E14+E11+E23</f>
        <v>4307</v>
      </c>
      <c r="F32" s="582">
        <f>F16+F17+F20+F25+F28+F30+F31+F14+F11+F23</f>
        <v>4567</v>
      </c>
      <c r="G32" s="582">
        <f>G16+G17+G20+G25+G28+G30+G31+G14+G11+G23</f>
        <v>3004</v>
      </c>
      <c r="H32" s="583">
        <f>(G32/F32)*100</f>
        <v>65.776220713816514</v>
      </c>
    </row>
    <row r="33" spans="1:10" s="774" customFormat="1" ht="12.75" customHeight="1" thickTop="1" x14ac:dyDescent="0.25">
      <c r="B33" s="775"/>
      <c r="C33" s="776"/>
      <c r="D33" s="777"/>
      <c r="E33" s="778"/>
      <c r="F33" s="778"/>
      <c r="G33" s="778"/>
      <c r="H33" s="779"/>
    </row>
    <row r="34" spans="1:10" s="597" customFormat="1" ht="15.75" x14ac:dyDescent="0.25">
      <c r="A34" s="33" t="s">
        <v>431</v>
      </c>
      <c r="E34" s="599"/>
      <c r="F34" s="599"/>
      <c r="G34" s="599"/>
      <c r="H34" s="600"/>
    </row>
    <row r="35" spans="1:10" s="597" customFormat="1" ht="16.5" thickBot="1" x14ac:dyDescent="0.3">
      <c r="A35" s="33"/>
      <c r="E35" s="599"/>
      <c r="F35" s="599"/>
      <c r="G35" s="599"/>
      <c r="H35" s="600" t="s">
        <v>583</v>
      </c>
    </row>
    <row r="36" spans="1:10" s="106" customFormat="1" ht="20.25" customHeight="1" thickTop="1" thickBot="1" x14ac:dyDescent="0.25">
      <c r="A36" s="572" t="s">
        <v>93</v>
      </c>
      <c r="B36" s="573" t="s">
        <v>94</v>
      </c>
      <c r="C36" s="575" t="s">
        <v>364</v>
      </c>
      <c r="D36" s="575" t="s">
        <v>95</v>
      </c>
      <c r="E36" s="575" t="s">
        <v>328</v>
      </c>
      <c r="F36" s="575" t="s">
        <v>329</v>
      </c>
      <c r="G36" s="575" t="s">
        <v>448</v>
      </c>
      <c r="H36" s="576" t="s">
        <v>449</v>
      </c>
    </row>
    <row r="37" spans="1:10" s="374" customFormat="1" ht="13.5" thickTop="1" thickBot="1" x14ac:dyDescent="0.25">
      <c r="A37" s="511">
        <v>1</v>
      </c>
      <c r="B37" s="512">
        <v>2</v>
      </c>
      <c r="C37" s="512">
        <v>3</v>
      </c>
      <c r="D37" s="512">
        <v>4</v>
      </c>
      <c r="E37" s="512">
        <v>5</v>
      </c>
      <c r="F37" s="499">
        <v>6</v>
      </c>
      <c r="G37" s="499">
        <v>7</v>
      </c>
      <c r="H37" s="577" t="s">
        <v>33</v>
      </c>
      <c r="I37" s="106"/>
    </row>
    <row r="38" spans="1:10" s="374" customFormat="1" ht="15.75" thickTop="1" x14ac:dyDescent="0.25">
      <c r="A38" s="2836">
        <v>6172</v>
      </c>
      <c r="B38" s="2837">
        <v>6121</v>
      </c>
      <c r="C38" s="811"/>
      <c r="D38" s="800" t="s">
        <v>312</v>
      </c>
      <c r="E38" s="48">
        <f>E39+E40</f>
        <v>2033</v>
      </c>
      <c r="F38" s="428">
        <f>F40+F39</f>
        <v>2284</v>
      </c>
      <c r="G38" s="428">
        <f>G40+G39</f>
        <v>2283</v>
      </c>
      <c r="H38" s="804">
        <f>(G38/F38)*100</f>
        <v>99.95621716287215</v>
      </c>
      <c r="I38" s="106"/>
    </row>
    <row r="39" spans="1:10" s="374" customFormat="1" ht="25.5" x14ac:dyDescent="0.2">
      <c r="A39" s="2605"/>
      <c r="B39" s="2606"/>
      <c r="C39" s="2723" t="s">
        <v>972</v>
      </c>
      <c r="D39" s="2298" t="s">
        <v>1836</v>
      </c>
      <c r="E39" s="2313">
        <v>2033</v>
      </c>
      <c r="F39" s="894">
        <v>2282</v>
      </c>
      <c r="G39" s="893">
        <v>2281</v>
      </c>
      <c r="H39" s="904">
        <f t="shared" ref="H39:H40" si="5">(G39/F39)*100</f>
        <v>99.956178790534622</v>
      </c>
      <c r="I39" s="106"/>
    </row>
    <row r="40" spans="1:10" s="374" customFormat="1" ht="25.5" x14ac:dyDescent="0.2">
      <c r="A40" s="690"/>
      <c r="B40" s="788"/>
      <c r="C40" s="2723" t="s">
        <v>971</v>
      </c>
      <c r="D40" s="2298" t="s">
        <v>1837</v>
      </c>
      <c r="E40" s="2313">
        <v>0</v>
      </c>
      <c r="F40" s="894">
        <v>2</v>
      </c>
      <c r="G40" s="893">
        <v>2</v>
      </c>
      <c r="H40" s="904">
        <f t="shared" si="5"/>
        <v>100</v>
      </c>
      <c r="I40" s="106"/>
    </row>
    <row r="41" spans="1:10" s="374" customFormat="1" ht="15" x14ac:dyDescent="0.25">
      <c r="A41" s="2605">
        <v>6172</v>
      </c>
      <c r="B41" s="2606">
        <v>6129</v>
      </c>
      <c r="C41" s="833"/>
      <c r="D41" s="800" t="s">
        <v>1607</v>
      </c>
      <c r="E41" s="71">
        <f>E42</f>
        <v>100</v>
      </c>
      <c r="F41" s="428">
        <f>F42+F43</f>
        <v>0</v>
      </c>
      <c r="G41" s="428">
        <f>G42+G43</f>
        <v>0</v>
      </c>
      <c r="H41" s="804">
        <v>0</v>
      </c>
      <c r="I41" s="106"/>
    </row>
    <row r="42" spans="1:10" s="374" customFormat="1" ht="14.25" x14ac:dyDescent="0.2">
      <c r="A42" s="690"/>
      <c r="B42" s="788"/>
      <c r="C42" s="2725" t="s">
        <v>871</v>
      </c>
      <c r="D42" s="805" t="s">
        <v>600</v>
      </c>
      <c r="E42" s="55">
        <v>100</v>
      </c>
      <c r="F42" s="309">
        <v>0</v>
      </c>
      <c r="G42" s="311">
        <v>0</v>
      </c>
      <c r="H42" s="807">
        <v>0</v>
      </c>
      <c r="I42" s="106"/>
    </row>
    <row r="43" spans="1:10" s="374" customFormat="1" ht="25.5" hidden="1" x14ac:dyDescent="0.2">
      <c r="A43" s="690"/>
      <c r="B43" s="788"/>
      <c r="C43" s="2723" t="s">
        <v>952</v>
      </c>
      <c r="D43" s="2298" t="s">
        <v>1835</v>
      </c>
      <c r="E43" s="2313"/>
      <c r="F43" s="894"/>
      <c r="G43" s="893"/>
      <c r="H43" s="904"/>
      <c r="I43" s="106"/>
    </row>
    <row r="44" spans="1:10" s="799" customFormat="1" ht="15.75" x14ac:dyDescent="0.25">
      <c r="A44" s="2605">
        <v>6172</v>
      </c>
      <c r="B44" s="2606">
        <v>6130</v>
      </c>
      <c r="C44" s="833"/>
      <c r="D44" s="800" t="s">
        <v>433</v>
      </c>
      <c r="E44" s="48">
        <f>E45+E46+E47+E48+E49+E50</f>
        <v>1068</v>
      </c>
      <c r="F44" s="48">
        <f t="shared" ref="F44:G44" si="6">F45+F46+F47+F48+F49+F50</f>
        <v>2410</v>
      </c>
      <c r="G44" s="48">
        <f t="shared" si="6"/>
        <v>1665</v>
      </c>
      <c r="H44" s="804">
        <f t="shared" ref="H44:H54" si="7">(G44/F44)*100</f>
        <v>69.087136929460584</v>
      </c>
      <c r="J44" s="830"/>
    </row>
    <row r="45" spans="1:10" s="799" customFormat="1" ht="15" x14ac:dyDescent="0.2">
      <c r="A45" s="2605"/>
      <c r="B45" s="2606"/>
      <c r="C45" s="833" t="s">
        <v>871</v>
      </c>
      <c r="D45" s="805" t="s">
        <v>600</v>
      </c>
      <c r="E45" s="55">
        <v>600</v>
      </c>
      <c r="F45" s="309">
        <v>489</v>
      </c>
      <c r="G45" s="311">
        <v>332</v>
      </c>
      <c r="H45" s="807">
        <f t="shared" si="7"/>
        <v>67.893660531697336</v>
      </c>
      <c r="J45" s="813"/>
    </row>
    <row r="46" spans="1:10" s="799" customFormat="1" ht="25.5" x14ac:dyDescent="0.2">
      <c r="A46" s="2605"/>
      <c r="B46" s="2606"/>
      <c r="C46" s="2723" t="s">
        <v>972</v>
      </c>
      <c r="D46" s="2298" t="s">
        <v>1836</v>
      </c>
      <c r="E46" s="2313">
        <v>468</v>
      </c>
      <c r="F46" s="894">
        <v>559</v>
      </c>
      <c r="G46" s="893">
        <v>556</v>
      </c>
      <c r="H46" s="904">
        <f t="shared" si="7"/>
        <v>99.463327370304114</v>
      </c>
      <c r="J46" s="813"/>
    </row>
    <row r="47" spans="1:10" s="799" customFormat="1" ht="25.5" x14ac:dyDescent="0.2">
      <c r="A47" s="2605"/>
      <c r="B47" s="2606"/>
      <c r="C47" s="2723" t="s">
        <v>971</v>
      </c>
      <c r="D47" s="2298" t="s">
        <v>1837</v>
      </c>
      <c r="E47" s="2313">
        <v>0</v>
      </c>
      <c r="F47" s="894">
        <v>2</v>
      </c>
      <c r="G47" s="893">
        <v>2</v>
      </c>
      <c r="H47" s="904">
        <f t="shared" si="7"/>
        <v>100</v>
      </c>
      <c r="J47" s="813"/>
    </row>
    <row r="48" spans="1:10" s="799" customFormat="1" ht="25.5" x14ac:dyDescent="0.2">
      <c r="A48" s="2605"/>
      <c r="B48" s="2606"/>
      <c r="C48" s="2723" t="s">
        <v>952</v>
      </c>
      <c r="D48" s="2298" t="s">
        <v>1835</v>
      </c>
      <c r="E48" s="2313">
        <v>0</v>
      </c>
      <c r="F48" s="894">
        <v>891</v>
      </c>
      <c r="G48" s="893">
        <v>768</v>
      </c>
      <c r="H48" s="2916">
        <f t="shared" si="7"/>
        <v>86.195286195286187</v>
      </c>
      <c r="J48" s="813"/>
    </row>
    <row r="49" spans="1:12" s="799" customFormat="1" ht="25.5" x14ac:dyDescent="0.2">
      <c r="A49" s="2605"/>
      <c r="B49" s="2606"/>
      <c r="C49" s="2723" t="s">
        <v>956</v>
      </c>
      <c r="D49" s="2914" t="s">
        <v>1838</v>
      </c>
      <c r="E49" s="2313">
        <v>0</v>
      </c>
      <c r="F49" s="894">
        <v>465</v>
      </c>
      <c r="G49" s="893">
        <v>3</v>
      </c>
      <c r="H49" s="904">
        <f t="shared" si="7"/>
        <v>0.64516129032258063</v>
      </c>
      <c r="J49" s="813"/>
    </row>
    <row r="50" spans="1:12" s="799" customFormat="1" ht="15" x14ac:dyDescent="0.2">
      <c r="A50" s="2605"/>
      <c r="B50" s="2606"/>
      <c r="C50" s="2723" t="s">
        <v>1833</v>
      </c>
      <c r="D50" s="2914" t="s">
        <v>1834</v>
      </c>
      <c r="E50" s="2313">
        <v>0</v>
      </c>
      <c r="F50" s="894">
        <v>4</v>
      </c>
      <c r="G50" s="893">
        <v>4</v>
      </c>
      <c r="H50" s="904">
        <f t="shared" si="7"/>
        <v>100</v>
      </c>
      <c r="J50" s="813"/>
    </row>
    <row r="51" spans="1:12" s="374" customFormat="1" ht="15" x14ac:dyDescent="0.25">
      <c r="A51" s="2605">
        <v>6172</v>
      </c>
      <c r="B51" s="2606">
        <v>6142</v>
      </c>
      <c r="C51" s="833"/>
      <c r="D51" s="800" t="s">
        <v>1832</v>
      </c>
      <c r="E51" s="71">
        <f>E52</f>
        <v>0</v>
      </c>
      <c r="F51" s="428">
        <f>F52+F53</f>
        <v>160</v>
      </c>
      <c r="G51" s="428">
        <f>G52+G53</f>
        <v>48</v>
      </c>
      <c r="H51" s="804">
        <f t="shared" si="7"/>
        <v>30</v>
      </c>
      <c r="I51" s="106"/>
    </row>
    <row r="52" spans="1:12" s="374" customFormat="1" ht="14.25" x14ac:dyDescent="0.2">
      <c r="A52" s="690"/>
      <c r="B52" s="788"/>
      <c r="C52" s="2725" t="s">
        <v>871</v>
      </c>
      <c r="D52" s="805" t="s">
        <v>600</v>
      </c>
      <c r="E52" s="55">
        <v>0</v>
      </c>
      <c r="F52" s="309">
        <v>100</v>
      </c>
      <c r="G52" s="311">
        <v>48</v>
      </c>
      <c r="H52" s="807">
        <f t="shared" si="7"/>
        <v>48</v>
      </c>
      <c r="I52" s="106"/>
    </row>
    <row r="53" spans="1:12" s="374" customFormat="1" ht="26.25" thickBot="1" x14ac:dyDescent="0.25">
      <c r="A53" s="690"/>
      <c r="B53" s="788"/>
      <c r="C53" s="2723" t="s">
        <v>952</v>
      </c>
      <c r="D53" s="2914" t="s">
        <v>1835</v>
      </c>
      <c r="E53" s="2313">
        <v>0</v>
      </c>
      <c r="F53" s="894">
        <v>60</v>
      </c>
      <c r="G53" s="893">
        <v>0</v>
      </c>
      <c r="H53" s="904">
        <f t="shared" si="7"/>
        <v>0</v>
      </c>
      <c r="I53" s="106"/>
    </row>
    <row r="54" spans="1:12" s="355" customFormat="1" ht="35.25" customHeight="1" thickTop="1" thickBot="1" x14ac:dyDescent="0.3">
      <c r="A54" s="578" t="s">
        <v>133</v>
      </c>
      <c r="B54" s="579"/>
      <c r="C54" s="580"/>
      <c r="D54" s="581"/>
      <c r="E54" s="582">
        <f>E44+E41+E38+E51</f>
        <v>3201</v>
      </c>
      <c r="F54" s="582">
        <f t="shared" ref="F54:G54" si="8">F44+F41+F38+F51</f>
        <v>4854</v>
      </c>
      <c r="G54" s="582">
        <f t="shared" si="8"/>
        <v>3996</v>
      </c>
      <c r="H54" s="594">
        <f t="shared" si="7"/>
        <v>82.323856613102592</v>
      </c>
    </row>
    <row r="55" spans="1:12" ht="15.75" thickTop="1" x14ac:dyDescent="0.25">
      <c r="A55" s="631"/>
      <c r="B55" s="136"/>
      <c r="C55" s="136"/>
      <c r="D55" s="631"/>
      <c r="E55" s="177"/>
      <c r="F55" s="709"/>
      <c r="G55" s="177"/>
      <c r="H55" s="209"/>
    </row>
    <row r="56" spans="1:12" s="597" customFormat="1" ht="16.5" x14ac:dyDescent="0.25">
      <c r="A56" s="356" t="s">
        <v>1661</v>
      </c>
      <c r="B56" s="357"/>
      <c r="C56" s="358"/>
      <c r="D56" s="358"/>
      <c r="E56" s="734">
        <f>E57+E58+E59+E60</f>
        <v>7508</v>
      </c>
      <c r="F56" s="734">
        <f>F57+F58+F59+F60</f>
        <v>9421</v>
      </c>
      <c r="G56" s="734">
        <f>G57+G58+G59+G60</f>
        <v>7000</v>
      </c>
      <c r="H56" s="641">
        <f>(G56/F56)*100</f>
        <v>74.302091073134491</v>
      </c>
      <c r="J56" s="1291">
        <f>SUM(J57:J61)</f>
        <v>7508000</v>
      </c>
      <c r="K56" s="1291">
        <f t="shared" ref="K56:L56" si="9">SUM(K57:K61)</f>
        <v>9421290</v>
      </c>
      <c r="L56" s="1291">
        <f t="shared" si="9"/>
        <v>6999820.7000000002</v>
      </c>
    </row>
    <row r="57" spans="1:12" ht="15" x14ac:dyDescent="0.2">
      <c r="A57" s="507" t="s">
        <v>147</v>
      </c>
      <c r="B57" s="528"/>
      <c r="C57" s="529"/>
      <c r="D57" s="529"/>
      <c r="E57" s="735">
        <f>E32</f>
        <v>4307</v>
      </c>
      <c r="F57" s="735">
        <f>F32-F59</f>
        <v>4567</v>
      </c>
      <c r="G57" s="735">
        <f>G32-G59</f>
        <v>3004</v>
      </c>
      <c r="H57" s="642">
        <f>(G57/F57)*100</f>
        <v>65.776220713816514</v>
      </c>
      <c r="J57" s="1155">
        <v>4307000</v>
      </c>
      <c r="K57" s="1155">
        <v>4567000</v>
      </c>
      <c r="L57" s="1155">
        <v>3003743.7</v>
      </c>
    </row>
    <row r="58" spans="1:12" ht="15" x14ac:dyDescent="0.2">
      <c r="A58" s="507" t="s">
        <v>148</v>
      </c>
      <c r="B58" s="533"/>
      <c r="C58" s="529"/>
      <c r="D58" s="529"/>
      <c r="E58" s="736">
        <f>E54</f>
        <v>3201</v>
      </c>
      <c r="F58" s="736">
        <f>F54-F60</f>
        <v>4850</v>
      </c>
      <c r="G58" s="736">
        <f>G54-G60</f>
        <v>3992</v>
      </c>
      <c r="H58" s="642">
        <f>(G58/F58)*100</f>
        <v>82.30927835051547</v>
      </c>
      <c r="J58" s="1155">
        <v>3201000</v>
      </c>
      <c r="K58" s="1155">
        <f>4854290-K60</f>
        <v>4850220</v>
      </c>
      <c r="L58" s="1155">
        <f>3996077-L60</f>
        <v>3992007</v>
      </c>
    </row>
    <row r="59" spans="1:12" ht="15" x14ac:dyDescent="0.2">
      <c r="A59" s="507" t="s">
        <v>119</v>
      </c>
      <c r="B59" s="533"/>
      <c r="C59" s="529"/>
      <c r="D59" s="529"/>
      <c r="E59" s="735">
        <v>0</v>
      </c>
      <c r="F59" s="531">
        <v>0</v>
      </c>
      <c r="G59" s="531">
        <v>0</v>
      </c>
      <c r="H59" s="642">
        <v>0</v>
      </c>
      <c r="J59" s="1155">
        <v>0</v>
      </c>
      <c r="K59" s="1155">
        <v>0</v>
      </c>
      <c r="L59" s="1155">
        <v>0</v>
      </c>
    </row>
    <row r="60" spans="1:12" ht="15" x14ac:dyDescent="0.2">
      <c r="A60" s="507" t="s">
        <v>537</v>
      </c>
      <c r="B60" s="533"/>
      <c r="C60" s="529"/>
      <c r="D60" s="529"/>
      <c r="E60" s="735">
        <v>0</v>
      </c>
      <c r="F60" s="535">
        <f>F50</f>
        <v>4</v>
      </c>
      <c r="G60" s="535">
        <f>G50</f>
        <v>4</v>
      </c>
      <c r="H60" s="642">
        <f t="shared" ref="H60" si="10">(G60/F60)*100</f>
        <v>100</v>
      </c>
      <c r="J60" s="1155">
        <v>0</v>
      </c>
      <c r="K60" s="1155">
        <v>4070</v>
      </c>
      <c r="L60" s="1155">
        <v>4070</v>
      </c>
    </row>
    <row r="61" spans="1:12" ht="15.75" x14ac:dyDescent="0.25">
      <c r="A61" s="631"/>
      <c r="B61" s="136"/>
      <c r="C61" s="136"/>
      <c r="D61" s="631"/>
      <c r="E61" s="177"/>
      <c r="F61" s="709"/>
      <c r="G61" s="177"/>
      <c r="H61" s="209"/>
      <c r="J61" s="1155"/>
      <c r="K61" s="1155"/>
      <c r="L61" s="1155"/>
    </row>
    <row r="63" spans="1:12" s="58" customFormat="1" ht="47.25" customHeight="1" thickBot="1" x14ac:dyDescent="0.4">
      <c r="A63" s="3196" t="s">
        <v>1662</v>
      </c>
      <c r="B63" s="3196"/>
      <c r="C63" s="3196"/>
      <c r="D63" s="3196"/>
      <c r="E63" s="536">
        <f>SUM(E32,E54)</f>
        <v>7508</v>
      </c>
      <c r="F63" s="536">
        <f>SUM(F32,F54)</f>
        <v>9421</v>
      </c>
      <c r="G63" s="536">
        <f>SUM(G32,G54)</f>
        <v>7000</v>
      </c>
      <c r="H63" s="630">
        <f>(G63/F63)*100</f>
        <v>74.302091073134491</v>
      </c>
      <c r="J63" s="2576">
        <f>J56</f>
        <v>7508000</v>
      </c>
      <c r="K63" s="2576">
        <f t="shared" ref="K63:L63" si="11">K56</f>
        <v>9421290</v>
      </c>
      <c r="L63" s="2576">
        <f t="shared" si="11"/>
        <v>6999820.7000000002</v>
      </c>
    </row>
    <row r="64" spans="1:12" ht="13.5" thickTop="1" x14ac:dyDescent="0.2"/>
  </sheetData>
  <mergeCells count="2">
    <mergeCell ref="D23:D24"/>
    <mergeCell ref="A63:D63"/>
  </mergeCells>
  <phoneticPr fontId="0" type="noConversion"/>
  <pageMargins left="0.98425196850393704" right="0.98425196850393704" top="0.98425196850393704" bottom="0.98425196850393704" header="0.51181102362204722" footer="0.51181102362204722"/>
  <pageSetup paperSize="9" scale="67" firstPageNumber="31" orientation="portrait" useFirstPageNumber="1" r:id="rId1"/>
  <headerFooter alignWithMargins="0">
    <oddFooter>&amp;L&amp;"Arial,Kurzíva"Zastupitelstvo Olomouckého kraje 25. 6. 2018
5. - Rozpočet Olomouckého kraje 2017 - závěrečný  účet 
Příloha č. 3: Plnění rozpočtu výdajů Olomouckého kraje k 31. 12. 2017&amp;R&amp;"Arial,Kurzíva"Strana &amp;P (celkem 478)</oddFooter>
  </headerFooter>
  <rowBreaks count="1" manualBreakCount="1">
    <brk id="55" max="7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FF"/>
  </sheetPr>
  <dimension ref="A1:L46"/>
  <sheetViews>
    <sheetView view="pageBreakPreview" zoomScaleNormal="100" zoomScaleSheetLayoutView="100" workbookViewId="0">
      <selection activeCell="N62" sqref="N62"/>
    </sheetView>
  </sheetViews>
  <sheetFormatPr defaultRowHeight="12.75" x14ac:dyDescent="0.2"/>
  <cols>
    <col min="1" max="1" width="5.5703125" style="1236" customWidth="1"/>
    <col min="2" max="2" width="6.7109375" style="1236" customWidth="1"/>
    <col min="3" max="3" width="10.5703125" style="1236" customWidth="1"/>
    <col min="4" max="4" width="47.85546875" style="1236" customWidth="1"/>
    <col min="5" max="5" width="15.42578125" style="1236" customWidth="1"/>
    <col min="6" max="6" width="15.5703125" style="1236" customWidth="1"/>
    <col min="7" max="7" width="15.85546875" style="1236" customWidth="1"/>
    <col min="8" max="8" width="8.7109375" style="1236" customWidth="1"/>
    <col min="9" max="10" width="9.140625" style="1236"/>
    <col min="11" max="12" width="14.7109375" style="1236" bestFit="1" customWidth="1"/>
    <col min="13" max="256" width="9.140625" style="1236"/>
    <col min="257" max="257" width="5.5703125" style="1236" customWidth="1"/>
    <col min="258" max="258" width="6.7109375" style="1236" customWidth="1"/>
    <col min="259" max="259" width="8.85546875" style="1236" customWidth="1"/>
    <col min="260" max="260" width="47.85546875" style="1236" customWidth="1"/>
    <col min="261" max="261" width="12.85546875" style="1236" customWidth="1"/>
    <col min="262" max="262" width="15.5703125" style="1236" customWidth="1"/>
    <col min="263" max="263" width="15.85546875" style="1236" customWidth="1"/>
    <col min="264" max="264" width="6.42578125" style="1236" customWidth="1"/>
    <col min="265" max="266" width="9.140625" style="1236"/>
    <col min="267" max="268" width="14.7109375" style="1236" bestFit="1" customWidth="1"/>
    <col min="269" max="512" width="9.140625" style="1236"/>
    <col min="513" max="513" width="5.5703125" style="1236" customWidth="1"/>
    <col min="514" max="514" width="6.7109375" style="1236" customWidth="1"/>
    <col min="515" max="515" width="8.85546875" style="1236" customWidth="1"/>
    <col min="516" max="516" width="47.85546875" style="1236" customWidth="1"/>
    <col min="517" max="517" width="12.85546875" style="1236" customWidth="1"/>
    <col min="518" max="518" width="15.5703125" style="1236" customWidth="1"/>
    <col min="519" max="519" width="15.85546875" style="1236" customWidth="1"/>
    <col min="520" max="520" width="6.42578125" style="1236" customWidth="1"/>
    <col min="521" max="522" width="9.140625" style="1236"/>
    <col min="523" max="524" width="14.7109375" style="1236" bestFit="1" customWidth="1"/>
    <col min="525" max="768" width="9.140625" style="1236"/>
    <col min="769" max="769" width="5.5703125" style="1236" customWidth="1"/>
    <col min="770" max="770" width="6.7109375" style="1236" customWidth="1"/>
    <col min="771" max="771" width="8.85546875" style="1236" customWidth="1"/>
    <col min="772" max="772" width="47.85546875" style="1236" customWidth="1"/>
    <col min="773" max="773" width="12.85546875" style="1236" customWidth="1"/>
    <col min="774" max="774" width="15.5703125" style="1236" customWidth="1"/>
    <col min="775" max="775" width="15.85546875" style="1236" customWidth="1"/>
    <col min="776" max="776" width="6.42578125" style="1236" customWidth="1"/>
    <col min="777" max="778" width="9.140625" style="1236"/>
    <col min="779" max="780" width="14.7109375" style="1236" bestFit="1" customWidth="1"/>
    <col min="781" max="1024" width="9.140625" style="1236"/>
    <col min="1025" max="1025" width="5.5703125" style="1236" customWidth="1"/>
    <col min="1026" max="1026" width="6.7109375" style="1236" customWidth="1"/>
    <col min="1027" max="1027" width="8.85546875" style="1236" customWidth="1"/>
    <col min="1028" max="1028" width="47.85546875" style="1236" customWidth="1"/>
    <col min="1029" max="1029" width="12.85546875" style="1236" customWidth="1"/>
    <col min="1030" max="1030" width="15.5703125" style="1236" customWidth="1"/>
    <col min="1031" max="1031" width="15.85546875" style="1236" customWidth="1"/>
    <col min="1032" max="1032" width="6.42578125" style="1236" customWidth="1"/>
    <col min="1033" max="1034" width="9.140625" style="1236"/>
    <col min="1035" max="1036" width="14.7109375" style="1236" bestFit="1" customWidth="1"/>
    <col min="1037" max="1280" width="9.140625" style="1236"/>
    <col min="1281" max="1281" width="5.5703125" style="1236" customWidth="1"/>
    <col min="1282" max="1282" width="6.7109375" style="1236" customWidth="1"/>
    <col min="1283" max="1283" width="8.85546875" style="1236" customWidth="1"/>
    <col min="1284" max="1284" width="47.85546875" style="1236" customWidth="1"/>
    <col min="1285" max="1285" width="12.85546875" style="1236" customWidth="1"/>
    <col min="1286" max="1286" width="15.5703125" style="1236" customWidth="1"/>
    <col min="1287" max="1287" width="15.85546875" style="1236" customWidth="1"/>
    <col min="1288" max="1288" width="6.42578125" style="1236" customWidth="1"/>
    <col min="1289" max="1290" width="9.140625" style="1236"/>
    <col min="1291" max="1292" width="14.7109375" style="1236" bestFit="1" customWidth="1"/>
    <col min="1293" max="1536" width="9.140625" style="1236"/>
    <col min="1537" max="1537" width="5.5703125" style="1236" customWidth="1"/>
    <col min="1538" max="1538" width="6.7109375" style="1236" customWidth="1"/>
    <col min="1539" max="1539" width="8.85546875" style="1236" customWidth="1"/>
    <col min="1540" max="1540" width="47.85546875" style="1236" customWidth="1"/>
    <col min="1541" max="1541" width="12.85546875" style="1236" customWidth="1"/>
    <col min="1542" max="1542" width="15.5703125" style="1236" customWidth="1"/>
    <col min="1543" max="1543" width="15.85546875" style="1236" customWidth="1"/>
    <col min="1544" max="1544" width="6.42578125" style="1236" customWidth="1"/>
    <col min="1545" max="1546" width="9.140625" style="1236"/>
    <col min="1547" max="1548" width="14.7109375" style="1236" bestFit="1" customWidth="1"/>
    <col min="1549" max="1792" width="9.140625" style="1236"/>
    <col min="1793" max="1793" width="5.5703125" style="1236" customWidth="1"/>
    <col min="1794" max="1794" width="6.7109375" style="1236" customWidth="1"/>
    <col min="1795" max="1795" width="8.85546875" style="1236" customWidth="1"/>
    <col min="1796" max="1796" width="47.85546875" style="1236" customWidth="1"/>
    <col min="1797" max="1797" width="12.85546875" style="1236" customWidth="1"/>
    <col min="1798" max="1798" width="15.5703125" style="1236" customWidth="1"/>
    <col min="1799" max="1799" width="15.85546875" style="1236" customWidth="1"/>
    <col min="1800" max="1800" width="6.42578125" style="1236" customWidth="1"/>
    <col min="1801" max="1802" width="9.140625" style="1236"/>
    <col min="1803" max="1804" width="14.7109375" style="1236" bestFit="1" customWidth="1"/>
    <col min="1805" max="2048" width="9.140625" style="1236"/>
    <col min="2049" max="2049" width="5.5703125" style="1236" customWidth="1"/>
    <col min="2050" max="2050" width="6.7109375" style="1236" customWidth="1"/>
    <col min="2051" max="2051" width="8.85546875" style="1236" customWidth="1"/>
    <col min="2052" max="2052" width="47.85546875" style="1236" customWidth="1"/>
    <col min="2053" max="2053" width="12.85546875" style="1236" customWidth="1"/>
    <col min="2054" max="2054" width="15.5703125" style="1236" customWidth="1"/>
    <col min="2055" max="2055" width="15.85546875" style="1236" customWidth="1"/>
    <col min="2056" max="2056" width="6.42578125" style="1236" customWidth="1"/>
    <col min="2057" max="2058" width="9.140625" style="1236"/>
    <col min="2059" max="2060" width="14.7109375" style="1236" bestFit="1" customWidth="1"/>
    <col min="2061" max="2304" width="9.140625" style="1236"/>
    <col min="2305" max="2305" width="5.5703125" style="1236" customWidth="1"/>
    <col min="2306" max="2306" width="6.7109375" style="1236" customWidth="1"/>
    <col min="2307" max="2307" width="8.85546875" style="1236" customWidth="1"/>
    <col min="2308" max="2308" width="47.85546875" style="1236" customWidth="1"/>
    <col min="2309" max="2309" width="12.85546875" style="1236" customWidth="1"/>
    <col min="2310" max="2310" width="15.5703125" style="1236" customWidth="1"/>
    <col min="2311" max="2311" width="15.85546875" style="1236" customWidth="1"/>
    <col min="2312" max="2312" width="6.42578125" style="1236" customWidth="1"/>
    <col min="2313" max="2314" width="9.140625" style="1236"/>
    <col min="2315" max="2316" width="14.7109375" style="1236" bestFit="1" customWidth="1"/>
    <col min="2317" max="2560" width="9.140625" style="1236"/>
    <col min="2561" max="2561" width="5.5703125" style="1236" customWidth="1"/>
    <col min="2562" max="2562" width="6.7109375" style="1236" customWidth="1"/>
    <col min="2563" max="2563" width="8.85546875" style="1236" customWidth="1"/>
    <col min="2564" max="2564" width="47.85546875" style="1236" customWidth="1"/>
    <col min="2565" max="2565" width="12.85546875" style="1236" customWidth="1"/>
    <col min="2566" max="2566" width="15.5703125" style="1236" customWidth="1"/>
    <col min="2567" max="2567" width="15.85546875" style="1236" customWidth="1"/>
    <col min="2568" max="2568" width="6.42578125" style="1236" customWidth="1"/>
    <col min="2569" max="2570" width="9.140625" style="1236"/>
    <col min="2571" max="2572" width="14.7109375" style="1236" bestFit="1" customWidth="1"/>
    <col min="2573" max="2816" width="9.140625" style="1236"/>
    <col min="2817" max="2817" width="5.5703125" style="1236" customWidth="1"/>
    <col min="2818" max="2818" width="6.7109375" style="1236" customWidth="1"/>
    <col min="2819" max="2819" width="8.85546875" style="1236" customWidth="1"/>
    <col min="2820" max="2820" width="47.85546875" style="1236" customWidth="1"/>
    <col min="2821" max="2821" width="12.85546875" style="1236" customWidth="1"/>
    <col min="2822" max="2822" width="15.5703125" style="1236" customWidth="1"/>
    <col min="2823" max="2823" width="15.85546875" style="1236" customWidth="1"/>
    <col min="2824" max="2824" width="6.42578125" style="1236" customWidth="1"/>
    <col min="2825" max="2826" width="9.140625" style="1236"/>
    <col min="2827" max="2828" width="14.7109375" style="1236" bestFit="1" customWidth="1"/>
    <col min="2829" max="3072" width="9.140625" style="1236"/>
    <col min="3073" max="3073" width="5.5703125" style="1236" customWidth="1"/>
    <col min="3074" max="3074" width="6.7109375" style="1236" customWidth="1"/>
    <col min="3075" max="3075" width="8.85546875" style="1236" customWidth="1"/>
    <col min="3076" max="3076" width="47.85546875" style="1236" customWidth="1"/>
    <col min="3077" max="3077" width="12.85546875" style="1236" customWidth="1"/>
    <col min="3078" max="3078" width="15.5703125" style="1236" customWidth="1"/>
    <col min="3079" max="3079" width="15.85546875" style="1236" customWidth="1"/>
    <col min="3080" max="3080" width="6.42578125" style="1236" customWidth="1"/>
    <col min="3081" max="3082" width="9.140625" style="1236"/>
    <col min="3083" max="3084" width="14.7109375" style="1236" bestFit="1" customWidth="1"/>
    <col min="3085" max="3328" width="9.140625" style="1236"/>
    <col min="3329" max="3329" width="5.5703125" style="1236" customWidth="1"/>
    <col min="3330" max="3330" width="6.7109375" style="1236" customWidth="1"/>
    <col min="3331" max="3331" width="8.85546875" style="1236" customWidth="1"/>
    <col min="3332" max="3332" width="47.85546875" style="1236" customWidth="1"/>
    <col min="3333" max="3333" width="12.85546875" style="1236" customWidth="1"/>
    <col min="3334" max="3334" width="15.5703125" style="1236" customWidth="1"/>
    <col min="3335" max="3335" width="15.85546875" style="1236" customWidth="1"/>
    <col min="3336" max="3336" width="6.42578125" style="1236" customWidth="1"/>
    <col min="3337" max="3338" width="9.140625" style="1236"/>
    <col min="3339" max="3340" width="14.7109375" style="1236" bestFit="1" customWidth="1"/>
    <col min="3341" max="3584" width="9.140625" style="1236"/>
    <col min="3585" max="3585" width="5.5703125" style="1236" customWidth="1"/>
    <col min="3586" max="3586" width="6.7109375" style="1236" customWidth="1"/>
    <col min="3587" max="3587" width="8.85546875" style="1236" customWidth="1"/>
    <col min="3588" max="3588" width="47.85546875" style="1236" customWidth="1"/>
    <col min="3589" max="3589" width="12.85546875" style="1236" customWidth="1"/>
    <col min="3590" max="3590" width="15.5703125" style="1236" customWidth="1"/>
    <col min="3591" max="3591" width="15.85546875" style="1236" customWidth="1"/>
    <col min="3592" max="3592" width="6.42578125" style="1236" customWidth="1"/>
    <col min="3593" max="3594" width="9.140625" style="1236"/>
    <col min="3595" max="3596" width="14.7109375" style="1236" bestFit="1" customWidth="1"/>
    <col min="3597" max="3840" width="9.140625" style="1236"/>
    <col min="3841" max="3841" width="5.5703125" style="1236" customWidth="1"/>
    <col min="3842" max="3842" width="6.7109375" style="1236" customWidth="1"/>
    <col min="3843" max="3843" width="8.85546875" style="1236" customWidth="1"/>
    <col min="3844" max="3844" width="47.85546875" style="1236" customWidth="1"/>
    <col min="3845" max="3845" width="12.85546875" style="1236" customWidth="1"/>
    <col min="3846" max="3846" width="15.5703125" style="1236" customWidth="1"/>
    <col min="3847" max="3847" width="15.85546875" style="1236" customWidth="1"/>
    <col min="3848" max="3848" width="6.42578125" style="1236" customWidth="1"/>
    <col min="3849" max="3850" width="9.140625" style="1236"/>
    <col min="3851" max="3852" width="14.7109375" style="1236" bestFit="1" customWidth="1"/>
    <col min="3853" max="4096" width="9.140625" style="1236"/>
    <col min="4097" max="4097" width="5.5703125" style="1236" customWidth="1"/>
    <col min="4098" max="4098" width="6.7109375" style="1236" customWidth="1"/>
    <col min="4099" max="4099" width="8.85546875" style="1236" customWidth="1"/>
    <col min="4100" max="4100" width="47.85546875" style="1236" customWidth="1"/>
    <col min="4101" max="4101" width="12.85546875" style="1236" customWidth="1"/>
    <col min="4102" max="4102" width="15.5703125" style="1236" customWidth="1"/>
    <col min="4103" max="4103" width="15.85546875" style="1236" customWidth="1"/>
    <col min="4104" max="4104" width="6.42578125" style="1236" customWidth="1"/>
    <col min="4105" max="4106" width="9.140625" style="1236"/>
    <col min="4107" max="4108" width="14.7109375" style="1236" bestFit="1" customWidth="1"/>
    <col min="4109" max="4352" width="9.140625" style="1236"/>
    <col min="4353" max="4353" width="5.5703125" style="1236" customWidth="1"/>
    <col min="4354" max="4354" width="6.7109375" style="1236" customWidth="1"/>
    <col min="4355" max="4355" width="8.85546875" style="1236" customWidth="1"/>
    <col min="4356" max="4356" width="47.85546875" style="1236" customWidth="1"/>
    <col min="4357" max="4357" width="12.85546875" style="1236" customWidth="1"/>
    <col min="4358" max="4358" width="15.5703125" style="1236" customWidth="1"/>
    <col min="4359" max="4359" width="15.85546875" style="1236" customWidth="1"/>
    <col min="4360" max="4360" width="6.42578125" style="1236" customWidth="1"/>
    <col min="4361" max="4362" width="9.140625" style="1236"/>
    <col min="4363" max="4364" width="14.7109375" style="1236" bestFit="1" customWidth="1"/>
    <col min="4365" max="4608" width="9.140625" style="1236"/>
    <col min="4609" max="4609" width="5.5703125" style="1236" customWidth="1"/>
    <col min="4610" max="4610" width="6.7109375" style="1236" customWidth="1"/>
    <col min="4611" max="4611" width="8.85546875" style="1236" customWidth="1"/>
    <col min="4612" max="4612" width="47.85546875" style="1236" customWidth="1"/>
    <col min="4613" max="4613" width="12.85546875" style="1236" customWidth="1"/>
    <col min="4614" max="4614" width="15.5703125" style="1236" customWidth="1"/>
    <col min="4615" max="4615" width="15.85546875" style="1236" customWidth="1"/>
    <col min="4616" max="4616" width="6.42578125" style="1236" customWidth="1"/>
    <col min="4617" max="4618" width="9.140625" style="1236"/>
    <col min="4619" max="4620" width="14.7109375" style="1236" bestFit="1" customWidth="1"/>
    <col min="4621" max="4864" width="9.140625" style="1236"/>
    <col min="4865" max="4865" width="5.5703125" style="1236" customWidth="1"/>
    <col min="4866" max="4866" width="6.7109375" style="1236" customWidth="1"/>
    <col min="4867" max="4867" width="8.85546875" style="1236" customWidth="1"/>
    <col min="4868" max="4868" width="47.85546875" style="1236" customWidth="1"/>
    <col min="4869" max="4869" width="12.85546875" style="1236" customWidth="1"/>
    <col min="4870" max="4870" width="15.5703125" style="1236" customWidth="1"/>
    <col min="4871" max="4871" width="15.85546875" style="1236" customWidth="1"/>
    <col min="4872" max="4872" width="6.42578125" style="1236" customWidth="1"/>
    <col min="4873" max="4874" width="9.140625" style="1236"/>
    <col min="4875" max="4876" width="14.7109375" style="1236" bestFit="1" customWidth="1"/>
    <col min="4877" max="5120" width="9.140625" style="1236"/>
    <col min="5121" max="5121" width="5.5703125" style="1236" customWidth="1"/>
    <col min="5122" max="5122" width="6.7109375" style="1236" customWidth="1"/>
    <col min="5123" max="5123" width="8.85546875" style="1236" customWidth="1"/>
    <col min="5124" max="5124" width="47.85546875" style="1236" customWidth="1"/>
    <col min="5125" max="5125" width="12.85546875" style="1236" customWidth="1"/>
    <col min="5126" max="5126" width="15.5703125" style="1236" customWidth="1"/>
    <col min="5127" max="5127" width="15.85546875" style="1236" customWidth="1"/>
    <col min="5128" max="5128" width="6.42578125" style="1236" customWidth="1"/>
    <col min="5129" max="5130" width="9.140625" style="1236"/>
    <col min="5131" max="5132" width="14.7109375" style="1236" bestFit="1" customWidth="1"/>
    <col min="5133" max="5376" width="9.140625" style="1236"/>
    <col min="5377" max="5377" width="5.5703125" style="1236" customWidth="1"/>
    <col min="5378" max="5378" width="6.7109375" style="1236" customWidth="1"/>
    <col min="5379" max="5379" width="8.85546875" style="1236" customWidth="1"/>
    <col min="5380" max="5380" width="47.85546875" style="1236" customWidth="1"/>
    <col min="5381" max="5381" width="12.85546875" style="1236" customWidth="1"/>
    <col min="5382" max="5382" width="15.5703125" style="1236" customWidth="1"/>
    <col min="5383" max="5383" width="15.85546875" style="1236" customWidth="1"/>
    <col min="5384" max="5384" width="6.42578125" style="1236" customWidth="1"/>
    <col min="5385" max="5386" width="9.140625" style="1236"/>
    <col min="5387" max="5388" width="14.7109375" style="1236" bestFit="1" customWidth="1"/>
    <col min="5389" max="5632" width="9.140625" style="1236"/>
    <col min="5633" max="5633" width="5.5703125" style="1236" customWidth="1"/>
    <col min="5634" max="5634" width="6.7109375" style="1236" customWidth="1"/>
    <col min="5635" max="5635" width="8.85546875" style="1236" customWidth="1"/>
    <col min="5636" max="5636" width="47.85546875" style="1236" customWidth="1"/>
    <col min="5637" max="5637" width="12.85546875" style="1236" customWidth="1"/>
    <col min="5638" max="5638" width="15.5703125" style="1236" customWidth="1"/>
    <col min="5639" max="5639" width="15.85546875" style="1236" customWidth="1"/>
    <col min="5640" max="5640" width="6.42578125" style="1236" customWidth="1"/>
    <col min="5641" max="5642" width="9.140625" style="1236"/>
    <col min="5643" max="5644" width="14.7109375" style="1236" bestFit="1" customWidth="1"/>
    <col min="5645" max="5888" width="9.140625" style="1236"/>
    <col min="5889" max="5889" width="5.5703125" style="1236" customWidth="1"/>
    <col min="5890" max="5890" width="6.7109375" style="1236" customWidth="1"/>
    <col min="5891" max="5891" width="8.85546875" style="1236" customWidth="1"/>
    <col min="5892" max="5892" width="47.85546875" style="1236" customWidth="1"/>
    <col min="5893" max="5893" width="12.85546875" style="1236" customWidth="1"/>
    <col min="5894" max="5894" width="15.5703125" style="1236" customWidth="1"/>
    <col min="5895" max="5895" width="15.85546875" style="1236" customWidth="1"/>
    <col min="5896" max="5896" width="6.42578125" style="1236" customWidth="1"/>
    <col min="5897" max="5898" width="9.140625" style="1236"/>
    <col min="5899" max="5900" width="14.7109375" style="1236" bestFit="1" customWidth="1"/>
    <col min="5901" max="6144" width="9.140625" style="1236"/>
    <col min="6145" max="6145" width="5.5703125" style="1236" customWidth="1"/>
    <col min="6146" max="6146" width="6.7109375" style="1236" customWidth="1"/>
    <col min="6147" max="6147" width="8.85546875" style="1236" customWidth="1"/>
    <col min="6148" max="6148" width="47.85546875" style="1236" customWidth="1"/>
    <col min="6149" max="6149" width="12.85546875" style="1236" customWidth="1"/>
    <col min="6150" max="6150" width="15.5703125" style="1236" customWidth="1"/>
    <col min="6151" max="6151" width="15.85546875" style="1236" customWidth="1"/>
    <col min="6152" max="6152" width="6.42578125" style="1236" customWidth="1"/>
    <col min="6153" max="6154" width="9.140625" style="1236"/>
    <col min="6155" max="6156" width="14.7109375" style="1236" bestFit="1" customWidth="1"/>
    <col min="6157" max="6400" width="9.140625" style="1236"/>
    <col min="6401" max="6401" width="5.5703125" style="1236" customWidth="1"/>
    <col min="6402" max="6402" width="6.7109375" style="1236" customWidth="1"/>
    <col min="6403" max="6403" width="8.85546875" style="1236" customWidth="1"/>
    <col min="6404" max="6404" width="47.85546875" style="1236" customWidth="1"/>
    <col min="6405" max="6405" width="12.85546875" style="1236" customWidth="1"/>
    <col min="6406" max="6406" width="15.5703125" style="1236" customWidth="1"/>
    <col min="6407" max="6407" width="15.85546875" style="1236" customWidth="1"/>
    <col min="6408" max="6408" width="6.42578125" style="1236" customWidth="1"/>
    <col min="6409" max="6410" width="9.140625" style="1236"/>
    <col min="6411" max="6412" width="14.7109375" style="1236" bestFit="1" customWidth="1"/>
    <col min="6413" max="6656" width="9.140625" style="1236"/>
    <col min="6657" max="6657" width="5.5703125" style="1236" customWidth="1"/>
    <col min="6658" max="6658" width="6.7109375" style="1236" customWidth="1"/>
    <col min="6659" max="6659" width="8.85546875" style="1236" customWidth="1"/>
    <col min="6660" max="6660" width="47.85546875" style="1236" customWidth="1"/>
    <col min="6661" max="6661" width="12.85546875" style="1236" customWidth="1"/>
    <col min="6662" max="6662" width="15.5703125" style="1236" customWidth="1"/>
    <col min="6663" max="6663" width="15.85546875" style="1236" customWidth="1"/>
    <col min="6664" max="6664" width="6.42578125" style="1236" customWidth="1"/>
    <col min="6665" max="6666" width="9.140625" style="1236"/>
    <col min="6667" max="6668" width="14.7109375" style="1236" bestFit="1" customWidth="1"/>
    <col min="6669" max="6912" width="9.140625" style="1236"/>
    <col min="6913" max="6913" width="5.5703125" style="1236" customWidth="1"/>
    <col min="6914" max="6914" width="6.7109375" style="1236" customWidth="1"/>
    <col min="6915" max="6915" width="8.85546875" style="1236" customWidth="1"/>
    <col min="6916" max="6916" width="47.85546875" style="1236" customWidth="1"/>
    <col min="6917" max="6917" width="12.85546875" style="1236" customWidth="1"/>
    <col min="6918" max="6918" width="15.5703125" style="1236" customWidth="1"/>
    <col min="6919" max="6919" width="15.85546875" style="1236" customWidth="1"/>
    <col min="6920" max="6920" width="6.42578125" style="1236" customWidth="1"/>
    <col min="6921" max="6922" width="9.140625" style="1236"/>
    <col min="6923" max="6924" width="14.7109375" style="1236" bestFit="1" customWidth="1"/>
    <col min="6925" max="7168" width="9.140625" style="1236"/>
    <col min="7169" max="7169" width="5.5703125" style="1236" customWidth="1"/>
    <col min="7170" max="7170" width="6.7109375" style="1236" customWidth="1"/>
    <col min="7171" max="7171" width="8.85546875" style="1236" customWidth="1"/>
    <col min="7172" max="7172" width="47.85546875" style="1236" customWidth="1"/>
    <col min="7173" max="7173" width="12.85546875" style="1236" customWidth="1"/>
    <col min="7174" max="7174" width="15.5703125" style="1236" customWidth="1"/>
    <col min="7175" max="7175" width="15.85546875" style="1236" customWidth="1"/>
    <col min="7176" max="7176" width="6.42578125" style="1236" customWidth="1"/>
    <col min="7177" max="7178" width="9.140625" style="1236"/>
    <col min="7179" max="7180" width="14.7109375" style="1236" bestFit="1" customWidth="1"/>
    <col min="7181" max="7424" width="9.140625" style="1236"/>
    <col min="7425" max="7425" width="5.5703125" style="1236" customWidth="1"/>
    <col min="7426" max="7426" width="6.7109375" style="1236" customWidth="1"/>
    <col min="7427" max="7427" width="8.85546875" style="1236" customWidth="1"/>
    <col min="7428" max="7428" width="47.85546875" style="1236" customWidth="1"/>
    <col min="7429" max="7429" width="12.85546875" style="1236" customWidth="1"/>
    <col min="7430" max="7430" width="15.5703125" style="1236" customWidth="1"/>
    <col min="7431" max="7431" width="15.85546875" style="1236" customWidth="1"/>
    <col min="7432" max="7432" width="6.42578125" style="1236" customWidth="1"/>
    <col min="7433" max="7434" width="9.140625" style="1236"/>
    <col min="7435" max="7436" width="14.7109375" style="1236" bestFit="1" customWidth="1"/>
    <col min="7437" max="7680" width="9.140625" style="1236"/>
    <col min="7681" max="7681" width="5.5703125" style="1236" customWidth="1"/>
    <col min="7682" max="7682" width="6.7109375" style="1236" customWidth="1"/>
    <col min="7683" max="7683" width="8.85546875" style="1236" customWidth="1"/>
    <col min="7684" max="7684" width="47.85546875" style="1236" customWidth="1"/>
    <col min="7685" max="7685" width="12.85546875" style="1236" customWidth="1"/>
    <col min="7686" max="7686" width="15.5703125" style="1236" customWidth="1"/>
    <col min="7687" max="7687" width="15.85546875" style="1236" customWidth="1"/>
    <col min="7688" max="7688" width="6.42578125" style="1236" customWidth="1"/>
    <col min="7689" max="7690" width="9.140625" style="1236"/>
    <col min="7691" max="7692" width="14.7109375" style="1236" bestFit="1" customWidth="1"/>
    <col min="7693" max="7936" width="9.140625" style="1236"/>
    <col min="7937" max="7937" width="5.5703125" style="1236" customWidth="1"/>
    <col min="7938" max="7938" width="6.7109375" style="1236" customWidth="1"/>
    <col min="7939" max="7939" width="8.85546875" style="1236" customWidth="1"/>
    <col min="7940" max="7940" width="47.85546875" style="1236" customWidth="1"/>
    <col min="7941" max="7941" width="12.85546875" style="1236" customWidth="1"/>
    <col min="7942" max="7942" width="15.5703125" style="1236" customWidth="1"/>
    <col min="7943" max="7943" width="15.85546875" style="1236" customWidth="1"/>
    <col min="7944" max="7944" width="6.42578125" style="1236" customWidth="1"/>
    <col min="7945" max="7946" width="9.140625" style="1236"/>
    <col min="7947" max="7948" width="14.7109375" style="1236" bestFit="1" customWidth="1"/>
    <col min="7949" max="8192" width="9.140625" style="1236"/>
    <col min="8193" max="8193" width="5.5703125" style="1236" customWidth="1"/>
    <col min="8194" max="8194" width="6.7109375" style="1236" customWidth="1"/>
    <col min="8195" max="8195" width="8.85546875" style="1236" customWidth="1"/>
    <col min="8196" max="8196" width="47.85546875" style="1236" customWidth="1"/>
    <col min="8197" max="8197" width="12.85546875" style="1236" customWidth="1"/>
    <col min="8198" max="8198" width="15.5703125" style="1236" customWidth="1"/>
    <col min="8199" max="8199" width="15.85546875" style="1236" customWidth="1"/>
    <col min="8200" max="8200" width="6.42578125" style="1236" customWidth="1"/>
    <col min="8201" max="8202" width="9.140625" style="1236"/>
    <col min="8203" max="8204" width="14.7109375" style="1236" bestFit="1" customWidth="1"/>
    <col min="8205" max="8448" width="9.140625" style="1236"/>
    <col min="8449" max="8449" width="5.5703125" style="1236" customWidth="1"/>
    <col min="8450" max="8450" width="6.7109375" style="1236" customWidth="1"/>
    <col min="8451" max="8451" width="8.85546875" style="1236" customWidth="1"/>
    <col min="8452" max="8452" width="47.85546875" style="1236" customWidth="1"/>
    <col min="8453" max="8453" width="12.85546875" style="1236" customWidth="1"/>
    <col min="8454" max="8454" width="15.5703125" style="1236" customWidth="1"/>
    <col min="8455" max="8455" width="15.85546875" style="1236" customWidth="1"/>
    <col min="8456" max="8456" width="6.42578125" style="1236" customWidth="1"/>
    <col min="8457" max="8458" width="9.140625" style="1236"/>
    <col min="8459" max="8460" width="14.7109375" style="1236" bestFit="1" customWidth="1"/>
    <col min="8461" max="8704" width="9.140625" style="1236"/>
    <col min="8705" max="8705" width="5.5703125" style="1236" customWidth="1"/>
    <col min="8706" max="8706" width="6.7109375" style="1236" customWidth="1"/>
    <col min="8707" max="8707" width="8.85546875" style="1236" customWidth="1"/>
    <col min="8708" max="8708" width="47.85546875" style="1236" customWidth="1"/>
    <col min="8709" max="8709" width="12.85546875" style="1236" customWidth="1"/>
    <col min="8710" max="8710" width="15.5703125" style="1236" customWidth="1"/>
    <col min="8711" max="8711" width="15.85546875" style="1236" customWidth="1"/>
    <col min="8712" max="8712" width="6.42578125" style="1236" customWidth="1"/>
    <col min="8713" max="8714" width="9.140625" style="1236"/>
    <col min="8715" max="8716" width="14.7109375" style="1236" bestFit="1" customWidth="1"/>
    <col min="8717" max="8960" width="9.140625" style="1236"/>
    <col min="8961" max="8961" width="5.5703125" style="1236" customWidth="1"/>
    <col min="8962" max="8962" width="6.7109375" style="1236" customWidth="1"/>
    <col min="8963" max="8963" width="8.85546875" style="1236" customWidth="1"/>
    <col min="8964" max="8964" width="47.85546875" style="1236" customWidth="1"/>
    <col min="8965" max="8965" width="12.85546875" style="1236" customWidth="1"/>
    <col min="8966" max="8966" width="15.5703125" style="1236" customWidth="1"/>
    <col min="8967" max="8967" width="15.85546875" style="1236" customWidth="1"/>
    <col min="8968" max="8968" width="6.42578125" style="1236" customWidth="1"/>
    <col min="8969" max="8970" width="9.140625" style="1236"/>
    <col min="8971" max="8972" width="14.7109375" style="1236" bestFit="1" customWidth="1"/>
    <col min="8973" max="9216" width="9.140625" style="1236"/>
    <col min="9217" max="9217" width="5.5703125" style="1236" customWidth="1"/>
    <col min="9218" max="9218" width="6.7109375" style="1236" customWidth="1"/>
    <col min="9219" max="9219" width="8.85546875" style="1236" customWidth="1"/>
    <col min="9220" max="9220" width="47.85546875" style="1236" customWidth="1"/>
    <col min="9221" max="9221" width="12.85546875" style="1236" customWidth="1"/>
    <col min="9222" max="9222" width="15.5703125" style="1236" customWidth="1"/>
    <col min="9223" max="9223" width="15.85546875" style="1236" customWidth="1"/>
    <col min="9224" max="9224" width="6.42578125" style="1236" customWidth="1"/>
    <col min="9225" max="9226" width="9.140625" style="1236"/>
    <col min="9227" max="9228" width="14.7109375" style="1236" bestFit="1" customWidth="1"/>
    <col min="9229" max="9472" width="9.140625" style="1236"/>
    <col min="9473" max="9473" width="5.5703125" style="1236" customWidth="1"/>
    <col min="9474" max="9474" width="6.7109375" style="1236" customWidth="1"/>
    <col min="9475" max="9475" width="8.85546875" style="1236" customWidth="1"/>
    <col min="9476" max="9476" width="47.85546875" style="1236" customWidth="1"/>
    <col min="9477" max="9477" width="12.85546875" style="1236" customWidth="1"/>
    <col min="9478" max="9478" width="15.5703125" style="1236" customWidth="1"/>
    <col min="9479" max="9479" width="15.85546875" style="1236" customWidth="1"/>
    <col min="9480" max="9480" width="6.42578125" style="1236" customWidth="1"/>
    <col min="9481" max="9482" width="9.140625" style="1236"/>
    <col min="9483" max="9484" width="14.7109375" style="1236" bestFit="1" customWidth="1"/>
    <col min="9485" max="9728" width="9.140625" style="1236"/>
    <col min="9729" max="9729" width="5.5703125" style="1236" customWidth="1"/>
    <col min="9730" max="9730" width="6.7109375" style="1236" customWidth="1"/>
    <col min="9731" max="9731" width="8.85546875" style="1236" customWidth="1"/>
    <col min="9732" max="9732" width="47.85546875" style="1236" customWidth="1"/>
    <col min="9733" max="9733" width="12.85546875" style="1236" customWidth="1"/>
    <col min="9734" max="9734" width="15.5703125" style="1236" customWidth="1"/>
    <col min="9735" max="9735" width="15.85546875" style="1236" customWidth="1"/>
    <col min="9736" max="9736" width="6.42578125" style="1236" customWidth="1"/>
    <col min="9737" max="9738" width="9.140625" style="1236"/>
    <col min="9739" max="9740" width="14.7109375" style="1236" bestFit="1" customWidth="1"/>
    <col min="9741" max="9984" width="9.140625" style="1236"/>
    <col min="9985" max="9985" width="5.5703125" style="1236" customWidth="1"/>
    <col min="9986" max="9986" width="6.7109375" style="1236" customWidth="1"/>
    <col min="9987" max="9987" width="8.85546875" style="1236" customWidth="1"/>
    <col min="9988" max="9988" width="47.85546875" style="1236" customWidth="1"/>
    <col min="9989" max="9989" width="12.85546875" style="1236" customWidth="1"/>
    <col min="9990" max="9990" width="15.5703125" style="1236" customWidth="1"/>
    <col min="9991" max="9991" width="15.85546875" style="1236" customWidth="1"/>
    <col min="9992" max="9992" width="6.42578125" style="1236" customWidth="1"/>
    <col min="9993" max="9994" width="9.140625" style="1236"/>
    <col min="9995" max="9996" width="14.7109375" style="1236" bestFit="1" customWidth="1"/>
    <col min="9997" max="10240" width="9.140625" style="1236"/>
    <col min="10241" max="10241" width="5.5703125" style="1236" customWidth="1"/>
    <col min="10242" max="10242" width="6.7109375" style="1236" customWidth="1"/>
    <col min="10243" max="10243" width="8.85546875" style="1236" customWidth="1"/>
    <col min="10244" max="10244" width="47.85546875" style="1236" customWidth="1"/>
    <col min="10245" max="10245" width="12.85546875" style="1236" customWidth="1"/>
    <col min="10246" max="10246" width="15.5703125" style="1236" customWidth="1"/>
    <col min="10247" max="10247" width="15.85546875" style="1236" customWidth="1"/>
    <col min="10248" max="10248" width="6.42578125" style="1236" customWidth="1"/>
    <col min="10249" max="10250" width="9.140625" style="1236"/>
    <col min="10251" max="10252" width="14.7109375" style="1236" bestFit="1" customWidth="1"/>
    <col min="10253" max="10496" width="9.140625" style="1236"/>
    <col min="10497" max="10497" width="5.5703125" style="1236" customWidth="1"/>
    <col min="10498" max="10498" width="6.7109375" style="1236" customWidth="1"/>
    <col min="10499" max="10499" width="8.85546875" style="1236" customWidth="1"/>
    <col min="10500" max="10500" width="47.85546875" style="1236" customWidth="1"/>
    <col min="10501" max="10501" width="12.85546875" style="1236" customWidth="1"/>
    <col min="10502" max="10502" width="15.5703125" style="1236" customWidth="1"/>
    <col min="10503" max="10503" width="15.85546875" style="1236" customWidth="1"/>
    <col min="10504" max="10504" width="6.42578125" style="1236" customWidth="1"/>
    <col min="10505" max="10506" width="9.140625" style="1236"/>
    <col min="10507" max="10508" width="14.7109375" style="1236" bestFit="1" customWidth="1"/>
    <col min="10509" max="10752" width="9.140625" style="1236"/>
    <col min="10753" max="10753" width="5.5703125" style="1236" customWidth="1"/>
    <col min="10754" max="10754" width="6.7109375" style="1236" customWidth="1"/>
    <col min="10755" max="10755" width="8.85546875" style="1236" customWidth="1"/>
    <col min="10756" max="10756" width="47.85546875" style="1236" customWidth="1"/>
    <col min="10757" max="10757" width="12.85546875" style="1236" customWidth="1"/>
    <col min="10758" max="10758" width="15.5703125" style="1236" customWidth="1"/>
    <col min="10759" max="10759" width="15.85546875" style="1236" customWidth="1"/>
    <col min="10760" max="10760" width="6.42578125" style="1236" customWidth="1"/>
    <col min="10761" max="10762" width="9.140625" style="1236"/>
    <col min="10763" max="10764" width="14.7109375" style="1236" bestFit="1" customWidth="1"/>
    <col min="10765" max="11008" width="9.140625" style="1236"/>
    <col min="11009" max="11009" width="5.5703125" style="1236" customWidth="1"/>
    <col min="11010" max="11010" width="6.7109375" style="1236" customWidth="1"/>
    <col min="11011" max="11011" width="8.85546875" style="1236" customWidth="1"/>
    <col min="11012" max="11012" width="47.85546875" style="1236" customWidth="1"/>
    <col min="11013" max="11013" width="12.85546875" style="1236" customWidth="1"/>
    <col min="11014" max="11014" width="15.5703125" style="1236" customWidth="1"/>
    <col min="11015" max="11015" width="15.85546875" style="1236" customWidth="1"/>
    <col min="11016" max="11016" width="6.42578125" style="1236" customWidth="1"/>
    <col min="11017" max="11018" width="9.140625" style="1236"/>
    <col min="11019" max="11020" width="14.7109375" style="1236" bestFit="1" customWidth="1"/>
    <col min="11021" max="11264" width="9.140625" style="1236"/>
    <col min="11265" max="11265" width="5.5703125" style="1236" customWidth="1"/>
    <col min="11266" max="11266" width="6.7109375" style="1236" customWidth="1"/>
    <col min="11267" max="11267" width="8.85546875" style="1236" customWidth="1"/>
    <col min="11268" max="11268" width="47.85546875" style="1236" customWidth="1"/>
    <col min="11269" max="11269" width="12.85546875" style="1236" customWidth="1"/>
    <col min="11270" max="11270" width="15.5703125" style="1236" customWidth="1"/>
    <col min="11271" max="11271" width="15.85546875" style="1236" customWidth="1"/>
    <col min="11272" max="11272" width="6.42578125" style="1236" customWidth="1"/>
    <col min="11273" max="11274" width="9.140625" style="1236"/>
    <col min="11275" max="11276" width="14.7109375" style="1236" bestFit="1" customWidth="1"/>
    <col min="11277" max="11520" width="9.140625" style="1236"/>
    <col min="11521" max="11521" width="5.5703125" style="1236" customWidth="1"/>
    <col min="11522" max="11522" width="6.7109375" style="1236" customWidth="1"/>
    <col min="11523" max="11523" width="8.85546875" style="1236" customWidth="1"/>
    <col min="11524" max="11524" width="47.85546875" style="1236" customWidth="1"/>
    <col min="11525" max="11525" width="12.85546875" style="1236" customWidth="1"/>
    <col min="11526" max="11526" width="15.5703125" style="1236" customWidth="1"/>
    <col min="11527" max="11527" width="15.85546875" style="1236" customWidth="1"/>
    <col min="11528" max="11528" width="6.42578125" style="1236" customWidth="1"/>
    <col min="11529" max="11530" width="9.140625" style="1236"/>
    <col min="11531" max="11532" width="14.7109375" style="1236" bestFit="1" customWidth="1"/>
    <col min="11533" max="11776" width="9.140625" style="1236"/>
    <col min="11777" max="11777" width="5.5703125" style="1236" customWidth="1"/>
    <col min="11778" max="11778" width="6.7109375" style="1236" customWidth="1"/>
    <col min="11779" max="11779" width="8.85546875" style="1236" customWidth="1"/>
    <col min="11780" max="11780" width="47.85546875" style="1236" customWidth="1"/>
    <col min="11781" max="11781" width="12.85546875" style="1236" customWidth="1"/>
    <col min="11782" max="11782" width="15.5703125" style="1236" customWidth="1"/>
    <col min="11783" max="11783" width="15.85546875" style="1236" customWidth="1"/>
    <col min="11784" max="11784" width="6.42578125" style="1236" customWidth="1"/>
    <col min="11785" max="11786" width="9.140625" style="1236"/>
    <col min="11787" max="11788" width="14.7109375" style="1236" bestFit="1" customWidth="1"/>
    <col min="11789" max="12032" width="9.140625" style="1236"/>
    <col min="12033" max="12033" width="5.5703125" style="1236" customWidth="1"/>
    <col min="12034" max="12034" width="6.7109375" style="1236" customWidth="1"/>
    <col min="12035" max="12035" width="8.85546875" style="1236" customWidth="1"/>
    <col min="12036" max="12036" width="47.85546875" style="1236" customWidth="1"/>
    <col min="12037" max="12037" width="12.85546875" style="1236" customWidth="1"/>
    <col min="12038" max="12038" width="15.5703125" style="1236" customWidth="1"/>
    <col min="12039" max="12039" width="15.85546875" style="1236" customWidth="1"/>
    <col min="12040" max="12040" width="6.42578125" style="1236" customWidth="1"/>
    <col min="12041" max="12042" width="9.140625" style="1236"/>
    <col min="12043" max="12044" width="14.7109375" style="1236" bestFit="1" customWidth="1"/>
    <col min="12045" max="12288" width="9.140625" style="1236"/>
    <col min="12289" max="12289" width="5.5703125" style="1236" customWidth="1"/>
    <col min="12290" max="12290" width="6.7109375" style="1236" customWidth="1"/>
    <col min="12291" max="12291" width="8.85546875" style="1236" customWidth="1"/>
    <col min="12292" max="12292" width="47.85546875" style="1236" customWidth="1"/>
    <col min="12293" max="12293" width="12.85546875" style="1236" customWidth="1"/>
    <col min="12294" max="12294" width="15.5703125" style="1236" customWidth="1"/>
    <col min="12295" max="12295" width="15.85546875" style="1236" customWidth="1"/>
    <col min="12296" max="12296" width="6.42578125" style="1236" customWidth="1"/>
    <col min="12297" max="12298" width="9.140625" style="1236"/>
    <col min="12299" max="12300" width="14.7109375" style="1236" bestFit="1" customWidth="1"/>
    <col min="12301" max="12544" width="9.140625" style="1236"/>
    <col min="12545" max="12545" width="5.5703125" style="1236" customWidth="1"/>
    <col min="12546" max="12546" width="6.7109375" style="1236" customWidth="1"/>
    <col min="12547" max="12547" width="8.85546875" style="1236" customWidth="1"/>
    <col min="12548" max="12548" width="47.85546875" style="1236" customWidth="1"/>
    <col min="12549" max="12549" width="12.85546875" style="1236" customWidth="1"/>
    <col min="12550" max="12550" width="15.5703125" style="1236" customWidth="1"/>
    <col min="12551" max="12551" width="15.85546875" style="1236" customWidth="1"/>
    <col min="12552" max="12552" width="6.42578125" style="1236" customWidth="1"/>
    <col min="12553" max="12554" width="9.140625" style="1236"/>
    <col min="12555" max="12556" width="14.7109375" style="1236" bestFit="1" customWidth="1"/>
    <col min="12557" max="12800" width="9.140625" style="1236"/>
    <col min="12801" max="12801" width="5.5703125" style="1236" customWidth="1"/>
    <col min="12802" max="12802" width="6.7109375" style="1236" customWidth="1"/>
    <col min="12803" max="12803" width="8.85546875" style="1236" customWidth="1"/>
    <col min="12804" max="12804" width="47.85546875" style="1236" customWidth="1"/>
    <col min="12805" max="12805" width="12.85546875" style="1236" customWidth="1"/>
    <col min="12806" max="12806" width="15.5703125" style="1236" customWidth="1"/>
    <col min="12807" max="12807" width="15.85546875" style="1236" customWidth="1"/>
    <col min="12808" max="12808" width="6.42578125" style="1236" customWidth="1"/>
    <col min="12809" max="12810" width="9.140625" style="1236"/>
    <col min="12811" max="12812" width="14.7109375" style="1236" bestFit="1" customWidth="1"/>
    <col min="12813" max="13056" width="9.140625" style="1236"/>
    <col min="13057" max="13057" width="5.5703125" style="1236" customWidth="1"/>
    <col min="13058" max="13058" width="6.7109375" style="1236" customWidth="1"/>
    <col min="13059" max="13059" width="8.85546875" style="1236" customWidth="1"/>
    <col min="13060" max="13060" width="47.85546875" style="1236" customWidth="1"/>
    <col min="13061" max="13061" width="12.85546875" style="1236" customWidth="1"/>
    <col min="13062" max="13062" width="15.5703125" style="1236" customWidth="1"/>
    <col min="13063" max="13063" width="15.85546875" style="1236" customWidth="1"/>
    <col min="13064" max="13064" width="6.42578125" style="1236" customWidth="1"/>
    <col min="13065" max="13066" width="9.140625" style="1236"/>
    <col min="13067" max="13068" width="14.7109375" style="1236" bestFit="1" customWidth="1"/>
    <col min="13069" max="13312" width="9.140625" style="1236"/>
    <col min="13313" max="13313" width="5.5703125" style="1236" customWidth="1"/>
    <col min="13314" max="13314" width="6.7109375" style="1236" customWidth="1"/>
    <col min="13315" max="13315" width="8.85546875" style="1236" customWidth="1"/>
    <col min="13316" max="13316" width="47.85546875" style="1236" customWidth="1"/>
    <col min="13317" max="13317" width="12.85546875" style="1236" customWidth="1"/>
    <col min="13318" max="13318" width="15.5703125" style="1236" customWidth="1"/>
    <col min="13319" max="13319" width="15.85546875" style="1236" customWidth="1"/>
    <col min="13320" max="13320" width="6.42578125" style="1236" customWidth="1"/>
    <col min="13321" max="13322" width="9.140625" style="1236"/>
    <col min="13323" max="13324" width="14.7109375" style="1236" bestFit="1" customWidth="1"/>
    <col min="13325" max="13568" width="9.140625" style="1236"/>
    <col min="13569" max="13569" width="5.5703125" style="1236" customWidth="1"/>
    <col min="13570" max="13570" width="6.7109375" style="1236" customWidth="1"/>
    <col min="13571" max="13571" width="8.85546875" style="1236" customWidth="1"/>
    <col min="13572" max="13572" width="47.85546875" style="1236" customWidth="1"/>
    <col min="13573" max="13573" width="12.85546875" style="1236" customWidth="1"/>
    <col min="13574" max="13574" width="15.5703125" style="1236" customWidth="1"/>
    <col min="13575" max="13575" width="15.85546875" style="1236" customWidth="1"/>
    <col min="13576" max="13576" width="6.42578125" style="1236" customWidth="1"/>
    <col min="13577" max="13578" width="9.140625" style="1236"/>
    <col min="13579" max="13580" width="14.7109375" style="1236" bestFit="1" customWidth="1"/>
    <col min="13581" max="13824" width="9.140625" style="1236"/>
    <col min="13825" max="13825" width="5.5703125" style="1236" customWidth="1"/>
    <col min="13826" max="13826" width="6.7109375" style="1236" customWidth="1"/>
    <col min="13827" max="13827" width="8.85546875" style="1236" customWidth="1"/>
    <col min="13828" max="13828" width="47.85546875" style="1236" customWidth="1"/>
    <col min="13829" max="13829" width="12.85546875" style="1236" customWidth="1"/>
    <col min="13830" max="13830" width="15.5703125" style="1236" customWidth="1"/>
    <col min="13831" max="13831" width="15.85546875" style="1236" customWidth="1"/>
    <col min="13832" max="13832" width="6.42578125" style="1236" customWidth="1"/>
    <col min="13833" max="13834" width="9.140625" style="1236"/>
    <col min="13835" max="13836" width="14.7109375" style="1236" bestFit="1" customWidth="1"/>
    <col min="13837" max="14080" width="9.140625" style="1236"/>
    <col min="14081" max="14081" width="5.5703125" style="1236" customWidth="1"/>
    <col min="14082" max="14082" width="6.7109375" style="1236" customWidth="1"/>
    <col min="14083" max="14083" width="8.85546875" style="1236" customWidth="1"/>
    <col min="14084" max="14084" width="47.85546875" style="1236" customWidth="1"/>
    <col min="14085" max="14085" width="12.85546875" style="1236" customWidth="1"/>
    <col min="14086" max="14086" width="15.5703125" style="1236" customWidth="1"/>
    <col min="14087" max="14087" width="15.85546875" style="1236" customWidth="1"/>
    <col min="14088" max="14088" width="6.42578125" style="1236" customWidth="1"/>
    <col min="14089" max="14090" width="9.140625" style="1236"/>
    <col min="14091" max="14092" width="14.7109375" style="1236" bestFit="1" customWidth="1"/>
    <col min="14093" max="14336" width="9.140625" style="1236"/>
    <col min="14337" max="14337" width="5.5703125" style="1236" customWidth="1"/>
    <col min="14338" max="14338" width="6.7109375" style="1236" customWidth="1"/>
    <col min="14339" max="14339" width="8.85546875" style="1236" customWidth="1"/>
    <col min="14340" max="14340" width="47.85546875" style="1236" customWidth="1"/>
    <col min="14341" max="14341" width="12.85546875" style="1236" customWidth="1"/>
    <col min="14342" max="14342" width="15.5703125" style="1236" customWidth="1"/>
    <col min="14343" max="14343" width="15.85546875" style="1236" customWidth="1"/>
    <col min="14344" max="14344" width="6.42578125" style="1236" customWidth="1"/>
    <col min="14345" max="14346" width="9.140625" style="1236"/>
    <col min="14347" max="14348" width="14.7109375" style="1236" bestFit="1" customWidth="1"/>
    <col min="14349" max="14592" width="9.140625" style="1236"/>
    <col min="14593" max="14593" width="5.5703125" style="1236" customWidth="1"/>
    <col min="14594" max="14594" width="6.7109375" style="1236" customWidth="1"/>
    <col min="14595" max="14595" width="8.85546875" style="1236" customWidth="1"/>
    <col min="14596" max="14596" width="47.85546875" style="1236" customWidth="1"/>
    <col min="14597" max="14597" width="12.85546875" style="1236" customWidth="1"/>
    <col min="14598" max="14598" width="15.5703125" style="1236" customWidth="1"/>
    <col min="14599" max="14599" width="15.85546875" style="1236" customWidth="1"/>
    <col min="14600" max="14600" width="6.42578125" style="1236" customWidth="1"/>
    <col min="14601" max="14602" width="9.140625" style="1236"/>
    <col min="14603" max="14604" width="14.7109375" style="1236" bestFit="1" customWidth="1"/>
    <col min="14605" max="14848" width="9.140625" style="1236"/>
    <col min="14849" max="14849" width="5.5703125" style="1236" customWidth="1"/>
    <col min="14850" max="14850" width="6.7109375" style="1236" customWidth="1"/>
    <col min="14851" max="14851" width="8.85546875" style="1236" customWidth="1"/>
    <col min="14852" max="14852" width="47.85546875" style="1236" customWidth="1"/>
    <col min="14853" max="14853" width="12.85546875" style="1236" customWidth="1"/>
    <col min="14854" max="14854" width="15.5703125" style="1236" customWidth="1"/>
    <col min="14855" max="14855" width="15.85546875" style="1236" customWidth="1"/>
    <col min="14856" max="14856" width="6.42578125" style="1236" customWidth="1"/>
    <col min="14857" max="14858" width="9.140625" style="1236"/>
    <col min="14859" max="14860" width="14.7109375" style="1236" bestFit="1" customWidth="1"/>
    <col min="14861" max="15104" width="9.140625" style="1236"/>
    <col min="15105" max="15105" width="5.5703125" style="1236" customWidth="1"/>
    <col min="15106" max="15106" width="6.7109375" style="1236" customWidth="1"/>
    <col min="15107" max="15107" width="8.85546875" style="1236" customWidth="1"/>
    <col min="15108" max="15108" width="47.85546875" style="1236" customWidth="1"/>
    <col min="15109" max="15109" width="12.85546875" style="1236" customWidth="1"/>
    <col min="15110" max="15110" width="15.5703125" style="1236" customWidth="1"/>
    <col min="15111" max="15111" width="15.85546875" style="1236" customWidth="1"/>
    <col min="15112" max="15112" width="6.42578125" style="1236" customWidth="1"/>
    <col min="15113" max="15114" width="9.140625" style="1236"/>
    <col min="15115" max="15116" width="14.7109375" style="1236" bestFit="1" customWidth="1"/>
    <col min="15117" max="15360" width="9.140625" style="1236"/>
    <col min="15361" max="15361" width="5.5703125" style="1236" customWidth="1"/>
    <col min="15362" max="15362" width="6.7109375" style="1236" customWidth="1"/>
    <col min="15363" max="15363" width="8.85546875" style="1236" customWidth="1"/>
    <col min="15364" max="15364" width="47.85546875" style="1236" customWidth="1"/>
    <col min="15365" max="15365" width="12.85546875" style="1236" customWidth="1"/>
    <col min="15366" max="15366" width="15.5703125" style="1236" customWidth="1"/>
    <col min="15367" max="15367" width="15.85546875" style="1236" customWidth="1"/>
    <col min="15368" max="15368" width="6.42578125" style="1236" customWidth="1"/>
    <col min="15369" max="15370" width="9.140625" style="1236"/>
    <col min="15371" max="15372" width="14.7109375" style="1236" bestFit="1" customWidth="1"/>
    <col min="15373" max="15616" width="9.140625" style="1236"/>
    <col min="15617" max="15617" width="5.5703125" style="1236" customWidth="1"/>
    <col min="15618" max="15618" width="6.7109375" style="1236" customWidth="1"/>
    <col min="15619" max="15619" width="8.85546875" style="1236" customWidth="1"/>
    <col min="15620" max="15620" width="47.85546875" style="1236" customWidth="1"/>
    <col min="15621" max="15621" width="12.85546875" style="1236" customWidth="1"/>
    <col min="15622" max="15622" width="15.5703125" style="1236" customWidth="1"/>
    <col min="15623" max="15623" width="15.85546875" style="1236" customWidth="1"/>
    <col min="15624" max="15624" width="6.42578125" style="1236" customWidth="1"/>
    <col min="15625" max="15626" width="9.140625" style="1236"/>
    <col min="15627" max="15628" width="14.7109375" style="1236" bestFit="1" customWidth="1"/>
    <col min="15629" max="15872" width="9.140625" style="1236"/>
    <col min="15873" max="15873" width="5.5703125" style="1236" customWidth="1"/>
    <col min="15874" max="15874" width="6.7109375" style="1236" customWidth="1"/>
    <col min="15875" max="15875" width="8.85546875" style="1236" customWidth="1"/>
    <col min="15876" max="15876" width="47.85546875" style="1236" customWidth="1"/>
    <col min="15877" max="15877" width="12.85546875" style="1236" customWidth="1"/>
    <col min="15878" max="15878" width="15.5703125" style="1236" customWidth="1"/>
    <col min="15879" max="15879" width="15.85546875" style="1236" customWidth="1"/>
    <col min="15880" max="15880" width="6.42578125" style="1236" customWidth="1"/>
    <col min="15881" max="15882" width="9.140625" style="1236"/>
    <col min="15883" max="15884" width="14.7109375" style="1236" bestFit="1" customWidth="1"/>
    <col min="15885" max="16128" width="9.140625" style="1236"/>
    <col min="16129" max="16129" width="5.5703125" style="1236" customWidth="1"/>
    <col min="16130" max="16130" width="6.7109375" style="1236" customWidth="1"/>
    <col min="16131" max="16131" width="8.85546875" style="1236" customWidth="1"/>
    <col min="16132" max="16132" width="47.85546875" style="1236" customWidth="1"/>
    <col min="16133" max="16133" width="12.85546875" style="1236" customWidth="1"/>
    <col min="16134" max="16134" width="15.5703125" style="1236" customWidth="1"/>
    <col min="16135" max="16135" width="15.85546875" style="1236" customWidth="1"/>
    <col min="16136" max="16136" width="6.42578125" style="1236" customWidth="1"/>
    <col min="16137" max="16138" width="9.140625" style="1236"/>
    <col min="16139" max="16140" width="14.7109375" style="1236" bestFit="1" customWidth="1"/>
    <col min="16141" max="16384" width="9.140625" style="1236"/>
  </cols>
  <sheetData>
    <row r="1" spans="1:8" ht="18.75" thickBot="1" x14ac:dyDescent="0.3">
      <c r="A1" s="1230" t="s">
        <v>678</v>
      </c>
      <c r="B1" s="1231"/>
      <c r="C1" s="1232"/>
      <c r="D1" s="1233"/>
      <c r="E1" s="1234"/>
      <c r="F1" s="1233"/>
      <c r="G1" s="1235"/>
      <c r="H1" s="1230"/>
    </row>
    <row r="2" spans="1:8" ht="18" x14ac:dyDescent="0.25">
      <c r="A2" s="1237"/>
      <c r="B2" s="1238"/>
      <c r="C2" s="1238"/>
      <c r="D2" s="1238"/>
      <c r="E2" s="1238"/>
      <c r="F2" s="1238"/>
      <c r="G2" s="1238"/>
      <c r="H2" s="1239" t="s">
        <v>677</v>
      </c>
    </row>
    <row r="3" spans="1:8" ht="18" x14ac:dyDescent="0.25">
      <c r="A3" s="1240" t="s">
        <v>201</v>
      </c>
      <c r="B3" s="1238"/>
      <c r="C3" s="2205" t="s">
        <v>121</v>
      </c>
      <c r="D3" s="1238"/>
      <c r="E3" s="1238"/>
      <c r="F3" s="1238"/>
      <c r="G3" s="1238"/>
      <c r="H3" s="1239"/>
    </row>
    <row r="4" spans="1:8" ht="18" x14ac:dyDescent="0.25">
      <c r="A4" s="1237"/>
      <c r="B4" s="1238"/>
      <c r="C4" s="2205" t="s">
        <v>781</v>
      </c>
      <c r="D4" s="1238"/>
      <c r="E4" s="1238"/>
      <c r="F4" s="1238"/>
      <c r="G4" s="1238"/>
      <c r="H4" s="1239"/>
    </row>
    <row r="5" spans="1:8" ht="18" x14ac:dyDescent="0.25">
      <c r="A5" s="1242" t="s">
        <v>676</v>
      </c>
      <c r="B5" s="1238"/>
      <c r="C5" s="1238"/>
      <c r="D5" s="1238"/>
      <c r="E5" s="1238"/>
      <c r="F5" s="1238"/>
      <c r="G5" s="1238"/>
      <c r="H5" s="1239"/>
    </row>
    <row r="6" spans="1:8" ht="18" x14ac:dyDescent="0.25">
      <c r="A6" s="1242"/>
      <c r="B6" s="1238"/>
      <c r="C6" s="1238"/>
      <c r="D6" s="1238"/>
      <c r="E6" s="1238"/>
      <c r="F6" s="1238"/>
      <c r="G6" s="1238"/>
      <c r="H6" s="1239"/>
    </row>
    <row r="7" spans="1:8" x14ac:dyDescent="0.2">
      <c r="A7" s="1243"/>
      <c r="B7" s="1243"/>
      <c r="C7" s="1243"/>
      <c r="E7" s="1244"/>
      <c r="F7" s="1244"/>
      <c r="G7" s="1244"/>
    </row>
    <row r="8" spans="1:8" ht="27" customHeight="1" x14ac:dyDescent="0.25">
      <c r="A8" s="3333" t="s">
        <v>137</v>
      </c>
      <c r="B8" s="3334"/>
      <c r="C8" s="3334"/>
      <c r="D8" s="3334"/>
      <c r="E8" s="3334"/>
      <c r="F8" s="3334"/>
      <c r="G8" s="3334"/>
      <c r="H8" s="3334"/>
    </row>
    <row r="9" spans="1:8" ht="15.75" thickBot="1" x14ac:dyDescent="0.3">
      <c r="A9" s="1229"/>
      <c r="B9" s="1243"/>
      <c r="C9" s="1243"/>
      <c r="E9" s="1244"/>
      <c r="F9" s="1244"/>
      <c r="G9" s="1244"/>
      <c r="H9" s="1245" t="s">
        <v>92</v>
      </c>
    </row>
    <row r="10" spans="1:8" ht="25.5" thickTop="1" thickBot="1" x14ac:dyDescent="0.25">
      <c r="A10" s="1104" t="s">
        <v>93</v>
      </c>
      <c r="B10" s="1105" t="s">
        <v>392</v>
      </c>
      <c r="C10" s="1105" t="s">
        <v>209</v>
      </c>
      <c r="D10" s="1106" t="s">
        <v>95</v>
      </c>
      <c r="E10" s="1127" t="s">
        <v>328</v>
      </c>
      <c r="F10" s="1127" t="s">
        <v>329</v>
      </c>
      <c r="G10" s="1128" t="s">
        <v>448</v>
      </c>
      <c r="H10" s="1129" t="s">
        <v>449</v>
      </c>
    </row>
    <row r="11" spans="1:8" ht="14.25" thickTop="1" thickBot="1" x14ac:dyDescent="0.25">
      <c r="A11" s="1042">
        <v>1</v>
      </c>
      <c r="B11" s="1041">
        <v>2</v>
      </c>
      <c r="C11" s="1041">
        <v>3</v>
      </c>
      <c r="D11" s="1041">
        <v>4</v>
      </c>
      <c r="E11" s="1040">
        <v>5</v>
      </c>
      <c r="F11" s="1040">
        <v>6</v>
      </c>
      <c r="G11" s="1164">
        <v>7</v>
      </c>
      <c r="H11" s="1186" t="s">
        <v>33</v>
      </c>
    </row>
    <row r="12" spans="1:8" ht="15.75" hidden="1" thickTop="1" x14ac:dyDescent="0.2">
      <c r="A12" s="1257">
        <v>3299</v>
      </c>
      <c r="B12" s="1258">
        <v>5011</v>
      </c>
      <c r="C12" s="1258">
        <v>32133019</v>
      </c>
      <c r="D12" s="1259" t="s">
        <v>117</v>
      </c>
      <c r="E12" s="1260"/>
      <c r="F12" s="1260"/>
      <c r="G12" s="1260"/>
      <c r="H12" s="1261" t="e">
        <f t="shared" ref="H12:H19" si="0">G12/F12*100</f>
        <v>#DIV/0!</v>
      </c>
    </row>
    <row r="13" spans="1:8" ht="15.75" hidden="1" thickTop="1" x14ac:dyDescent="0.2">
      <c r="A13" s="1262">
        <v>3299</v>
      </c>
      <c r="B13" s="1263">
        <v>5011</v>
      </c>
      <c r="C13" s="1263">
        <v>32533019</v>
      </c>
      <c r="D13" s="1264" t="s">
        <v>117</v>
      </c>
      <c r="E13" s="1265"/>
      <c r="F13" s="1265"/>
      <c r="G13" s="1265"/>
      <c r="H13" s="1266" t="e">
        <f t="shared" si="0"/>
        <v>#DIV/0!</v>
      </c>
    </row>
    <row r="14" spans="1:8" ht="15.75" hidden="1" thickTop="1" x14ac:dyDescent="0.2">
      <c r="A14" s="1262">
        <v>3299</v>
      </c>
      <c r="B14" s="1263">
        <v>5021</v>
      </c>
      <c r="C14" s="1263">
        <v>32133019</v>
      </c>
      <c r="D14" s="1264" t="s">
        <v>217</v>
      </c>
      <c r="E14" s="1265"/>
      <c r="F14" s="1265"/>
      <c r="G14" s="1265"/>
      <c r="H14" s="1266" t="e">
        <f t="shared" si="0"/>
        <v>#DIV/0!</v>
      </c>
    </row>
    <row r="15" spans="1:8" ht="15.75" hidden="1" thickTop="1" x14ac:dyDescent="0.2">
      <c r="A15" s="1262">
        <v>3299</v>
      </c>
      <c r="B15" s="1263">
        <v>5021</v>
      </c>
      <c r="C15" s="1263">
        <v>32533019</v>
      </c>
      <c r="D15" s="1264" t="s">
        <v>217</v>
      </c>
      <c r="E15" s="1265"/>
      <c r="F15" s="1265"/>
      <c r="G15" s="1265"/>
      <c r="H15" s="1266" t="e">
        <f t="shared" si="0"/>
        <v>#DIV/0!</v>
      </c>
    </row>
    <row r="16" spans="1:8" ht="30.75" hidden="1" thickTop="1" x14ac:dyDescent="0.2">
      <c r="A16" s="1262">
        <v>3299</v>
      </c>
      <c r="B16" s="1263">
        <v>5031</v>
      </c>
      <c r="C16" s="1263">
        <v>32133019</v>
      </c>
      <c r="D16" s="1307" t="s">
        <v>621</v>
      </c>
      <c r="E16" s="1265"/>
      <c r="F16" s="1265"/>
      <c r="G16" s="1265"/>
      <c r="H16" s="1266" t="e">
        <f t="shared" si="0"/>
        <v>#DIV/0!</v>
      </c>
    </row>
    <row r="17" spans="1:8" ht="30.75" hidden="1" thickTop="1" x14ac:dyDescent="0.2">
      <c r="A17" s="1262">
        <v>3299</v>
      </c>
      <c r="B17" s="1263">
        <v>5031</v>
      </c>
      <c r="C17" s="1263">
        <v>32533019</v>
      </c>
      <c r="D17" s="1307" t="s">
        <v>621</v>
      </c>
      <c r="E17" s="1265"/>
      <c r="F17" s="1265"/>
      <c r="G17" s="1265"/>
      <c r="H17" s="1266" t="e">
        <f t="shared" si="0"/>
        <v>#DIV/0!</v>
      </c>
    </row>
    <row r="18" spans="1:8" ht="30.75" hidden="1" thickTop="1" x14ac:dyDescent="0.2">
      <c r="A18" s="1262">
        <v>3299</v>
      </c>
      <c r="B18" s="1263">
        <v>5032</v>
      </c>
      <c r="C18" s="1267">
        <v>32133019</v>
      </c>
      <c r="D18" s="1264" t="s">
        <v>553</v>
      </c>
      <c r="E18" s="1265"/>
      <c r="F18" s="1265"/>
      <c r="G18" s="1265"/>
      <c r="H18" s="1266" t="e">
        <f t="shared" si="0"/>
        <v>#DIV/0!</v>
      </c>
    </row>
    <row r="19" spans="1:8" ht="30.75" hidden="1" thickTop="1" x14ac:dyDescent="0.2">
      <c r="A19" s="1262">
        <v>3299</v>
      </c>
      <c r="B19" s="1263">
        <v>5032</v>
      </c>
      <c r="C19" s="1267">
        <v>32533019</v>
      </c>
      <c r="D19" s="1264" t="s">
        <v>553</v>
      </c>
      <c r="E19" s="1265"/>
      <c r="F19" s="1265"/>
      <c r="G19" s="1265"/>
      <c r="H19" s="1266" t="e">
        <f t="shared" si="0"/>
        <v>#DIV/0!</v>
      </c>
    </row>
    <row r="20" spans="1:8" ht="15.75" hidden="1" thickTop="1" x14ac:dyDescent="0.2">
      <c r="A20" s="1262">
        <v>3299</v>
      </c>
      <c r="B20" s="1263">
        <v>5137</v>
      </c>
      <c r="C20" s="1267">
        <v>32133019</v>
      </c>
      <c r="D20" s="1264" t="s">
        <v>88</v>
      </c>
      <c r="E20" s="1265"/>
      <c r="F20" s="1265"/>
      <c r="G20" s="1265"/>
      <c r="H20" s="1266">
        <v>0</v>
      </c>
    </row>
    <row r="21" spans="1:8" ht="15.75" hidden="1" thickTop="1" x14ac:dyDescent="0.2">
      <c r="A21" s="1262">
        <v>3299</v>
      </c>
      <c r="B21" s="1263">
        <v>5137</v>
      </c>
      <c r="C21" s="1267">
        <v>32533019</v>
      </c>
      <c r="D21" s="1264" t="s">
        <v>88</v>
      </c>
      <c r="E21" s="1265"/>
      <c r="F21" s="1265"/>
      <c r="G21" s="1265"/>
      <c r="H21" s="1266" t="e">
        <f t="shared" ref="H21:H33" si="1">G21/F21*100</f>
        <v>#DIV/0!</v>
      </c>
    </row>
    <row r="22" spans="1:8" ht="15.75" hidden="1" thickTop="1" x14ac:dyDescent="0.2">
      <c r="A22" s="1262">
        <v>3299</v>
      </c>
      <c r="B22" s="1263">
        <v>5139</v>
      </c>
      <c r="C22" s="1267">
        <v>32133019</v>
      </c>
      <c r="D22" s="1264" t="s">
        <v>152</v>
      </c>
      <c r="E22" s="1265"/>
      <c r="F22" s="1265"/>
      <c r="G22" s="1265"/>
      <c r="H22" s="1266" t="e">
        <f t="shared" si="1"/>
        <v>#DIV/0!</v>
      </c>
    </row>
    <row r="23" spans="1:8" ht="15.75" hidden="1" thickTop="1" x14ac:dyDescent="0.2">
      <c r="A23" s="1262">
        <v>3299</v>
      </c>
      <c r="B23" s="1263">
        <v>5139</v>
      </c>
      <c r="C23" s="1267">
        <v>32533019</v>
      </c>
      <c r="D23" s="1264" t="s">
        <v>152</v>
      </c>
      <c r="E23" s="1265"/>
      <c r="F23" s="1265"/>
      <c r="G23" s="1265"/>
      <c r="H23" s="1266" t="e">
        <f t="shared" si="1"/>
        <v>#DIV/0!</v>
      </c>
    </row>
    <row r="24" spans="1:8" ht="30.75" hidden="1" thickTop="1" x14ac:dyDescent="0.2">
      <c r="A24" s="1262">
        <v>3299</v>
      </c>
      <c r="B24" s="1263">
        <v>5168</v>
      </c>
      <c r="C24" s="1267">
        <v>32133019</v>
      </c>
      <c r="D24" s="1264" t="s">
        <v>838</v>
      </c>
      <c r="E24" s="1265"/>
      <c r="F24" s="1265"/>
      <c r="G24" s="1265"/>
      <c r="H24" s="1266" t="e">
        <f t="shared" si="1"/>
        <v>#DIV/0!</v>
      </c>
    </row>
    <row r="25" spans="1:8" ht="30.75" hidden="1" thickTop="1" x14ac:dyDescent="0.2">
      <c r="A25" s="1262">
        <v>3299</v>
      </c>
      <c r="B25" s="1263">
        <v>5168</v>
      </c>
      <c r="C25" s="1267">
        <v>32533019</v>
      </c>
      <c r="D25" s="1264" t="s">
        <v>838</v>
      </c>
      <c r="E25" s="1265"/>
      <c r="F25" s="1265"/>
      <c r="G25" s="1265"/>
      <c r="H25" s="1266" t="e">
        <f t="shared" si="1"/>
        <v>#DIV/0!</v>
      </c>
    </row>
    <row r="26" spans="1:8" ht="15.75" hidden="1" thickTop="1" x14ac:dyDescent="0.2">
      <c r="A26" s="1262">
        <v>3299</v>
      </c>
      <c r="B26" s="1263">
        <v>5169</v>
      </c>
      <c r="C26" s="1267">
        <v>32133019</v>
      </c>
      <c r="D26" s="1264" t="s">
        <v>430</v>
      </c>
      <c r="E26" s="1265"/>
      <c r="F26" s="1265"/>
      <c r="G26" s="1265"/>
      <c r="H26" s="1266" t="e">
        <f t="shared" si="1"/>
        <v>#DIV/0!</v>
      </c>
    </row>
    <row r="27" spans="1:8" ht="15.75" hidden="1" thickTop="1" x14ac:dyDescent="0.2">
      <c r="A27" s="1262">
        <v>3299</v>
      </c>
      <c r="B27" s="1263">
        <v>5169</v>
      </c>
      <c r="C27" s="1267">
        <v>32533019</v>
      </c>
      <c r="D27" s="1264" t="s">
        <v>430</v>
      </c>
      <c r="E27" s="1265"/>
      <c r="F27" s="1265"/>
      <c r="G27" s="1265"/>
      <c r="H27" s="1266" t="e">
        <f t="shared" si="1"/>
        <v>#DIV/0!</v>
      </c>
    </row>
    <row r="28" spans="1:8" ht="15.75" hidden="1" thickTop="1" x14ac:dyDescent="0.2">
      <c r="A28" s="1262">
        <v>3299</v>
      </c>
      <c r="B28" s="1263">
        <v>5175</v>
      </c>
      <c r="C28" s="1267">
        <v>32133019</v>
      </c>
      <c r="D28" s="1264" t="s">
        <v>352</v>
      </c>
      <c r="E28" s="1265"/>
      <c r="F28" s="1265"/>
      <c r="G28" s="1265"/>
      <c r="H28" s="1266" t="e">
        <f t="shared" si="1"/>
        <v>#DIV/0!</v>
      </c>
    </row>
    <row r="29" spans="1:8" ht="15.75" hidden="1" thickTop="1" x14ac:dyDescent="0.2">
      <c r="A29" s="1262">
        <v>3299</v>
      </c>
      <c r="B29" s="1263">
        <v>5175</v>
      </c>
      <c r="C29" s="1267">
        <v>32533019</v>
      </c>
      <c r="D29" s="1264" t="s">
        <v>352</v>
      </c>
      <c r="E29" s="1265"/>
      <c r="F29" s="1265"/>
      <c r="G29" s="1265"/>
      <c r="H29" s="1266" t="e">
        <f t="shared" si="1"/>
        <v>#DIV/0!</v>
      </c>
    </row>
    <row r="30" spans="1:8" ht="15.75" hidden="1" thickTop="1" x14ac:dyDescent="0.2">
      <c r="A30" s="1262">
        <v>3299</v>
      </c>
      <c r="B30" s="1263">
        <v>5901</v>
      </c>
      <c r="C30" s="1267">
        <v>0</v>
      </c>
      <c r="D30" s="1264" t="s">
        <v>311</v>
      </c>
      <c r="E30" s="1265"/>
      <c r="F30" s="1265"/>
      <c r="G30" s="1265"/>
      <c r="H30" s="1266" t="e">
        <f t="shared" si="1"/>
        <v>#DIV/0!</v>
      </c>
    </row>
    <row r="31" spans="1:8" ht="15.75" hidden="1" thickTop="1" x14ac:dyDescent="0.2">
      <c r="A31" s="1262">
        <v>3299</v>
      </c>
      <c r="B31" s="1263">
        <v>5901</v>
      </c>
      <c r="C31" s="1267">
        <v>32133019</v>
      </c>
      <c r="D31" s="1264" t="s">
        <v>311</v>
      </c>
      <c r="E31" s="1265"/>
      <c r="F31" s="1265"/>
      <c r="G31" s="1265"/>
      <c r="H31" s="1266" t="e">
        <f t="shared" si="1"/>
        <v>#DIV/0!</v>
      </c>
    </row>
    <row r="32" spans="1:8" ht="15.75" hidden="1" thickTop="1" x14ac:dyDescent="0.2">
      <c r="A32" s="1262">
        <v>3299</v>
      </c>
      <c r="B32" s="1263">
        <v>5901</v>
      </c>
      <c r="C32" s="1267">
        <v>32533019</v>
      </c>
      <c r="D32" s="1264" t="s">
        <v>311</v>
      </c>
      <c r="E32" s="1265"/>
      <c r="F32" s="1265"/>
      <c r="G32" s="1265"/>
      <c r="H32" s="1266" t="e">
        <f t="shared" si="1"/>
        <v>#DIV/0!</v>
      </c>
    </row>
    <row r="33" spans="1:12" ht="15.75" hidden="1" thickTop="1" x14ac:dyDescent="0.2">
      <c r="A33" s="1262">
        <v>3299</v>
      </c>
      <c r="B33" s="1263">
        <v>5323</v>
      </c>
      <c r="C33" s="1267">
        <v>32133019</v>
      </c>
      <c r="D33" s="1264" t="s">
        <v>125</v>
      </c>
      <c r="E33" s="1265"/>
      <c r="F33" s="1265"/>
      <c r="G33" s="1265"/>
      <c r="H33" s="1266" t="e">
        <f t="shared" si="1"/>
        <v>#DIV/0!</v>
      </c>
    </row>
    <row r="34" spans="1:12" ht="30.75" hidden="1" thickTop="1" x14ac:dyDescent="0.2">
      <c r="A34" s="1262">
        <v>6402</v>
      </c>
      <c r="B34" s="1263">
        <v>5364</v>
      </c>
      <c r="C34" s="2203" t="s">
        <v>890</v>
      </c>
      <c r="D34" s="1264" t="s">
        <v>1049</v>
      </c>
      <c r="E34" s="1265">
        <v>0</v>
      </c>
      <c r="F34" s="1265"/>
      <c r="G34" s="1265"/>
      <c r="H34" s="1266">
        <v>0</v>
      </c>
    </row>
    <row r="35" spans="1:12" ht="16.5" thickTop="1" thickBot="1" x14ac:dyDescent="0.25">
      <c r="A35" s="1262">
        <v>6409</v>
      </c>
      <c r="B35" s="1263">
        <v>5909</v>
      </c>
      <c r="C35" s="2203" t="s">
        <v>871</v>
      </c>
      <c r="D35" s="1264" t="s">
        <v>406</v>
      </c>
      <c r="E35" s="1265"/>
      <c r="F35" s="1265"/>
      <c r="G35" s="1265"/>
      <c r="H35" s="1266">
        <v>0</v>
      </c>
    </row>
    <row r="36" spans="1:12" ht="15.75" hidden="1" thickBot="1" x14ac:dyDescent="0.25">
      <c r="A36" s="1262">
        <v>6330</v>
      </c>
      <c r="B36" s="1263">
        <v>5345</v>
      </c>
      <c r="C36" s="2203" t="s">
        <v>871</v>
      </c>
      <c r="D36" s="1264" t="s">
        <v>397</v>
      </c>
      <c r="E36" s="1265">
        <v>0</v>
      </c>
      <c r="F36" s="1265">
        <v>0</v>
      </c>
      <c r="G36" s="1265">
        <v>0</v>
      </c>
      <c r="H36" s="1268">
        <v>0</v>
      </c>
    </row>
    <row r="37" spans="1:12" ht="16.5" thickTop="1" thickBot="1" x14ac:dyDescent="0.3">
      <c r="A37" s="3317" t="s">
        <v>394</v>
      </c>
      <c r="B37" s="3318"/>
      <c r="C37" s="3318"/>
      <c r="D37" s="3318"/>
      <c r="E37" s="1113">
        <f>SUM(E12:E35)</f>
        <v>0</v>
      </c>
      <c r="F37" s="1113">
        <f>SUM(F12:F36)</f>
        <v>0</v>
      </c>
      <c r="G37" s="1113">
        <f>SUM(G12:G36)</f>
        <v>0</v>
      </c>
      <c r="H37" s="1117">
        <v>0</v>
      </c>
    </row>
    <row r="38" spans="1:12" ht="13.5" thickTop="1" x14ac:dyDescent="0.2"/>
    <row r="40" spans="1:12" ht="16.5" x14ac:dyDescent="0.25">
      <c r="A40" s="1285" t="s">
        <v>251</v>
      </c>
      <c r="B40" s="1286"/>
      <c r="C40" s="1287"/>
      <c r="D40" s="1288"/>
      <c r="E40" s="1289">
        <f>SUM(E41:E43)</f>
        <v>0</v>
      </c>
      <c r="F40" s="1289">
        <f>F41+F42+F43+F44</f>
        <v>0</v>
      </c>
      <c r="G40" s="1289">
        <f>G41+G42+G43+G44</f>
        <v>0</v>
      </c>
      <c r="H40" s="1290">
        <v>0</v>
      </c>
      <c r="J40" s="1291">
        <f>J41+J42+J43</f>
        <v>0</v>
      </c>
      <c r="K40" s="1291">
        <f>K41+K42+K43</f>
        <v>0</v>
      </c>
      <c r="L40" s="1291">
        <f>L41+L42+L43</f>
        <v>0</v>
      </c>
    </row>
    <row r="41" spans="1:12" ht="15" x14ac:dyDescent="0.2">
      <c r="A41" s="1292" t="s">
        <v>147</v>
      </c>
      <c r="B41" s="1293"/>
      <c r="C41" s="1294"/>
      <c r="D41" s="1295"/>
      <c r="E41" s="1296">
        <f>+E12+E13+E14+E15+E16+E17+E18+E19+E20+E21+E22+E23+E26+E27+E28+E29+E31+E32+E33+E34+E24+E25</f>
        <v>0</v>
      </c>
      <c r="F41" s="1296">
        <f>+F12+F13+F14+F15+F16+F17+F18+F19+F20+F21+F22+F23+F26+F27+F28+F29+F31+F32+F33+F34+F24+F25</f>
        <v>0</v>
      </c>
      <c r="G41" s="1296">
        <f>+G12+G13+G14+G15+G16+G17+G18+G19+G20+G21+G22+G23+G26+G27+G28+G29+G31+G32+G33+G34+G24+G25</f>
        <v>0</v>
      </c>
      <c r="H41" s="1297">
        <v>0</v>
      </c>
      <c r="J41" s="1298">
        <v>0</v>
      </c>
      <c r="K41" s="1298">
        <v>0</v>
      </c>
      <c r="L41" s="1298">
        <v>0</v>
      </c>
    </row>
    <row r="42" spans="1:12" ht="15" x14ac:dyDescent="0.2">
      <c r="A42" s="1292" t="s">
        <v>148</v>
      </c>
      <c r="B42" s="1299"/>
      <c r="C42" s="1294"/>
      <c r="D42" s="1300"/>
      <c r="E42" s="1296">
        <f>0</f>
        <v>0</v>
      </c>
      <c r="F42" s="1296">
        <f>0</f>
        <v>0</v>
      </c>
      <c r="G42" s="1296">
        <f>0</f>
        <v>0</v>
      </c>
      <c r="H42" s="1297">
        <v>0</v>
      </c>
      <c r="J42" s="1298">
        <v>0</v>
      </c>
      <c r="K42" s="1298">
        <v>0</v>
      </c>
      <c r="L42" s="1298">
        <v>0</v>
      </c>
    </row>
    <row r="43" spans="1:12" ht="15" x14ac:dyDescent="0.2">
      <c r="A43" s="1292" t="s">
        <v>252</v>
      </c>
      <c r="B43" s="1299"/>
      <c r="C43" s="1294"/>
      <c r="D43" s="1300"/>
      <c r="E43" s="1296">
        <f>+E36</f>
        <v>0</v>
      </c>
      <c r="F43" s="1296">
        <f>+F36</f>
        <v>0</v>
      </c>
      <c r="G43" s="1296">
        <f>+G36</f>
        <v>0</v>
      </c>
      <c r="H43" s="1297">
        <v>0</v>
      </c>
      <c r="J43" s="1298">
        <v>0</v>
      </c>
      <c r="K43" s="1298">
        <v>0</v>
      </c>
      <c r="L43" s="1298">
        <v>0</v>
      </c>
    </row>
    <row r="44" spans="1:12" ht="16.5" customHeight="1" x14ac:dyDescent="0.2">
      <c r="A44" s="1292"/>
      <c r="B44" s="1299"/>
      <c r="C44" s="1294"/>
      <c r="D44" s="1300"/>
      <c r="E44" s="1296"/>
      <c r="F44" s="1296"/>
      <c r="G44" s="1296"/>
      <c r="H44" s="1301"/>
    </row>
    <row r="45" spans="1:12" ht="57.75" customHeight="1" thickBot="1" x14ac:dyDescent="0.4">
      <c r="A45" s="3321" t="s">
        <v>675</v>
      </c>
      <c r="B45" s="3287"/>
      <c r="C45" s="3287"/>
      <c r="D45" s="3287"/>
      <c r="E45" s="1302">
        <f>SUM(E40)</f>
        <v>0</v>
      </c>
      <c r="F45" s="1302">
        <f>SUM(F40)</f>
        <v>0</v>
      </c>
      <c r="G45" s="1302">
        <f>SUM(G40)</f>
        <v>0</v>
      </c>
      <c r="H45" s="1303">
        <v>0</v>
      </c>
    </row>
    <row r="46" spans="1:12" ht="13.5" thickTop="1" x14ac:dyDescent="0.2"/>
  </sheetData>
  <mergeCells count="3">
    <mergeCell ref="A8:H8"/>
    <mergeCell ref="A37:D37"/>
    <mergeCell ref="A45:D45"/>
  </mergeCells>
  <pageMargins left="0.70866141732283472" right="0.70866141732283472" top="0.78740157480314965" bottom="0.78740157480314965" header="0.31496062992125984" footer="0.31496062992125984"/>
  <pageSetup paperSize="9" scale="68" firstPageNumber="148" orientation="portrait" useFirstPageNumber="1" r:id="rId1"/>
  <headerFooter>
    <oddFooter xml:space="preserve">&amp;L&amp;"Arial,Kurzíva"Zastupitelstvo Olomouckého kraje 19. 6. 2017
5.1. - Rozpočet Olomouckého kraje 2016 - závěrečný účet 
Příloha č. 3: Plnění rozpočtu výdajů Olomouckého kraje k 31. 12. 2016&amp;R&amp;"Arial,Kurzíva"Strana &amp;P (celkem 500)
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FF"/>
  </sheetPr>
  <dimension ref="A1:L41"/>
  <sheetViews>
    <sheetView view="pageBreakPreview" zoomScaleNormal="100" zoomScaleSheetLayoutView="100" workbookViewId="0">
      <selection activeCell="N62" sqref="N62"/>
    </sheetView>
  </sheetViews>
  <sheetFormatPr defaultRowHeight="12.75" x14ac:dyDescent="0.2"/>
  <cols>
    <col min="1" max="1" width="4.7109375" style="1236" customWidth="1"/>
    <col min="2" max="2" width="6.7109375" style="1236" customWidth="1"/>
    <col min="3" max="3" width="10" style="1236" customWidth="1"/>
    <col min="4" max="4" width="47.85546875" style="1236" customWidth="1"/>
    <col min="5" max="5" width="15.42578125" style="1236" customWidth="1"/>
    <col min="6" max="6" width="15.5703125" style="1236" customWidth="1"/>
    <col min="7" max="7" width="15.85546875" style="1236" customWidth="1"/>
    <col min="8" max="8" width="8.85546875" style="1236" customWidth="1"/>
    <col min="9" max="10" width="9.140625" style="1236"/>
    <col min="11" max="12" width="14.7109375" style="1236" bestFit="1" customWidth="1"/>
    <col min="13" max="256" width="9.140625" style="1236"/>
    <col min="257" max="257" width="4.7109375" style="1236" customWidth="1"/>
    <col min="258" max="258" width="6.7109375" style="1236" customWidth="1"/>
    <col min="259" max="259" width="8.85546875" style="1236" customWidth="1"/>
    <col min="260" max="260" width="47.85546875" style="1236" customWidth="1"/>
    <col min="261" max="261" width="12.85546875" style="1236" customWidth="1"/>
    <col min="262" max="262" width="15.5703125" style="1236" customWidth="1"/>
    <col min="263" max="263" width="15.85546875" style="1236" customWidth="1"/>
    <col min="264" max="264" width="6.42578125" style="1236" customWidth="1"/>
    <col min="265" max="266" width="9.140625" style="1236"/>
    <col min="267" max="268" width="14.7109375" style="1236" bestFit="1" customWidth="1"/>
    <col min="269" max="512" width="9.140625" style="1236"/>
    <col min="513" max="513" width="4.7109375" style="1236" customWidth="1"/>
    <col min="514" max="514" width="6.7109375" style="1236" customWidth="1"/>
    <col min="515" max="515" width="8.85546875" style="1236" customWidth="1"/>
    <col min="516" max="516" width="47.85546875" style="1236" customWidth="1"/>
    <col min="517" max="517" width="12.85546875" style="1236" customWidth="1"/>
    <col min="518" max="518" width="15.5703125" style="1236" customWidth="1"/>
    <col min="519" max="519" width="15.85546875" style="1236" customWidth="1"/>
    <col min="520" max="520" width="6.42578125" style="1236" customWidth="1"/>
    <col min="521" max="522" width="9.140625" style="1236"/>
    <col min="523" max="524" width="14.7109375" style="1236" bestFit="1" customWidth="1"/>
    <col min="525" max="768" width="9.140625" style="1236"/>
    <col min="769" max="769" width="4.7109375" style="1236" customWidth="1"/>
    <col min="770" max="770" width="6.7109375" style="1236" customWidth="1"/>
    <col min="771" max="771" width="8.85546875" style="1236" customWidth="1"/>
    <col min="772" max="772" width="47.85546875" style="1236" customWidth="1"/>
    <col min="773" max="773" width="12.85546875" style="1236" customWidth="1"/>
    <col min="774" max="774" width="15.5703125" style="1236" customWidth="1"/>
    <col min="775" max="775" width="15.85546875" style="1236" customWidth="1"/>
    <col min="776" max="776" width="6.42578125" style="1236" customWidth="1"/>
    <col min="777" max="778" width="9.140625" style="1236"/>
    <col min="779" max="780" width="14.7109375" style="1236" bestFit="1" customWidth="1"/>
    <col min="781" max="1024" width="9.140625" style="1236"/>
    <col min="1025" max="1025" width="4.7109375" style="1236" customWidth="1"/>
    <col min="1026" max="1026" width="6.7109375" style="1236" customWidth="1"/>
    <col min="1027" max="1027" width="8.85546875" style="1236" customWidth="1"/>
    <col min="1028" max="1028" width="47.85546875" style="1236" customWidth="1"/>
    <col min="1029" max="1029" width="12.85546875" style="1236" customWidth="1"/>
    <col min="1030" max="1030" width="15.5703125" style="1236" customWidth="1"/>
    <col min="1031" max="1031" width="15.85546875" style="1236" customWidth="1"/>
    <col min="1032" max="1032" width="6.42578125" style="1236" customWidth="1"/>
    <col min="1033" max="1034" width="9.140625" style="1236"/>
    <col min="1035" max="1036" width="14.7109375" style="1236" bestFit="1" customWidth="1"/>
    <col min="1037" max="1280" width="9.140625" style="1236"/>
    <col min="1281" max="1281" width="4.7109375" style="1236" customWidth="1"/>
    <col min="1282" max="1282" width="6.7109375" style="1236" customWidth="1"/>
    <col min="1283" max="1283" width="8.85546875" style="1236" customWidth="1"/>
    <col min="1284" max="1284" width="47.85546875" style="1236" customWidth="1"/>
    <col min="1285" max="1285" width="12.85546875" style="1236" customWidth="1"/>
    <col min="1286" max="1286" width="15.5703125" style="1236" customWidth="1"/>
    <col min="1287" max="1287" width="15.85546875" style="1236" customWidth="1"/>
    <col min="1288" max="1288" width="6.42578125" style="1236" customWidth="1"/>
    <col min="1289" max="1290" width="9.140625" style="1236"/>
    <col min="1291" max="1292" width="14.7109375" style="1236" bestFit="1" customWidth="1"/>
    <col min="1293" max="1536" width="9.140625" style="1236"/>
    <col min="1537" max="1537" width="4.7109375" style="1236" customWidth="1"/>
    <col min="1538" max="1538" width="6.7109375" style="1236" customWidth="1"/>
    <col min="1539" max="1539" width="8.85546875" style="1236" customWidth="1"/>
    <col min="1540" max="1540" width="47.85546875" style="1236" customWidth="1"/>
    <col min="1541" max="1541" width="12.85546875" style="1236" customWidth="1"/>
    <col min="1542" max="1542" width="15.5703125" style="1236" customWidth="1"/>
    <col min="1543" max="1543" width="15.85546875" style="1236" customWidth="1"/>
    <col min="1544" max="1544" width="6.42578125" style="1236" customWidth="1"/>
    <col min="1545" max="1546" width="9.140625" style="1236"/>
    <col min="1547" max="1548" width="14.7109375" style="1236" bestFit="1" customWidth="1"/>
    <col min="1549" max="1792" width="9.140625" style="1236"/>
    <col min="1793" max="1793" width="4.7109375" style="1236" customWidth="1"/>
    <col min="1794" max="1794" width="6.7109375" style="1236" customWidth="1"/>
    <col min="1795" max="1795" width="8.85546875" style="1236" customWidth="1"/>
    <col min="1796" max="1796" width="47.85546875" style="1236" customWidth="1"/>
    <col min="1797" max="1797" width="12.85546875" style="1236" customWidth="1"/>
    <col min="1798" max="1798" width="15.5703125" style="1236" customWidth="1"/>
    <col min="1799" max="1799" width="15.85546875" style="1236" customWidth="1"/>
    <col min="1800" max="1800" width="6.42578125" style="1236" customWidth="1"/>
    <col min="1801" max="1802" width="9.140625" style="1236"/>
    <col min="1803" max="1804" width="14.7109375" style="1236" bestFit="1" customWidth="1"/>
    <col min="1805" max="2048" width="9.140625" style="1236"/>
    <col min="2049" max="2049" width="4.7109375" style="1236" customWidth="1"/>
    <col min="2050" max="2050" width="6.7109375" style="1236" customWidth="1"/>
    <col min="2051" max="2051" width="8.85546875" style="1236" customWidth="1"/>
    <col min="2052" max="2052" width="47.85546875" style="1236" customWidth="1"/>
    <col min="2053" max="2053" width="12.85546875" style="1236" customWidth="1"/>
    <col min="2054" max="2054" width="15.5703125" style="1236" customWidth="1"/>
    <col min="2055" max="2055" width="15.85546875" style="1236" customWidth="1"/>
    <col min="2056" max="2056" width="6.42578125" style="1236" customWidth="1"/>
    <col min="2057" max="2058" width="9.140625" style="1236"/>
    <col min="2059" max="2060" width="14.7109375" style="1236" bestFit="1" customWidth="1"/>
    <col min="2061" max="2304" width="9.140625" style="1236"/>
    <col min="2305" max="2305" width="4.7109375" style="1236" customWidth="1"/>
    <col min="2306" max="2306" width="6.7109375" style="1236" customWidth="1"/>
    <col min="2307" max="2307" width="8.85546875" style="1236" customWidth="1"/>
    <col min="2308" max="2308" width="47.85546875" style="1236" customWidth="1"/>
    <col min="2309" max="2309" width="12.85546875" style="1236" customWidth="1"/>
    <col min="2310" max="2310" width="15.5703125" style="1236" customWidth="1"/>
    <col min="2311" max="2311" width="15.85546875" style="1236" customWidth="1"/>
    <col min="2312" max="2312" width="6.42578125" style="1236" customWidth="1"/>
    <col min="2313" max="2314" width="9.140625" style="1236"/>
    <col min="2315" max="2316" width="14.7109375" style="1236" bestFit="1" customWidth="1"/>
    <col min="2317" max="2560" width="9.140625" style="1236"/>
    <col min="2561" max="2561" width="4.7109375" style="1236" customWidth="1"/>
    <col min="2562" max="2562" width="6.7109375" style="1236" customWidth="1"/>
    <col min="2563" max="2563" width="8.85546875" style="1236" customWidth="1"/>
    <col min="2564" max="2564" width="47.85546875" style="1236" customWidth="1"/>
    <col min="2565" max="2565" width="12.85546875" style="1236" customWidth="1"/>
    <col min="2566" max="2566" width="15.5703125" style="1236" customWidth="1"/>
    <col min="2567" max="2567" width="15.85546875" style="1236" customWidth="1"/>
    <col min="2568" max="2568" width="6.42578125" style="1236" customWidth="1"/>
    <col min="2569" max="2570" width="9.140625" style="1236"/>
    <col min="2571" max="2572" width="14.7109375" style="1236" bestFit="1" customWidth="1"/>
    <col min="2573" max="2816" width="9.140625" style="1236"/>
    <col min="2817" max="2817" width="4.7109375" style="1236" customWidth="1"/>
    <col min="2818" max="2818" width="6.7109375" style="1236" customWidth="1"/>
    <col min="2819" max="2819" width="8.85546875" style="1236" customWidth="1"/>
    <col min="2820" max="2820" width="47.85546875" style="1236" customWidth="1"/>
    <col min="2821" max="2821" width="12.85546875" style="1236" customWidth="1"/>
    <col min="2822" max="2822" width="15.5703125" style="1236" customWidth="1"/>
    <col min="2823" max="2823" width="15.85546875" style="1236" customWidth="1"/>
    <col min="2824" max="2824" width="6.42578125" style="1236" customWidth="1"/>
    <col min="2825" max="2826" width="9.140625" style="1236"/>
    <col min="2827" max="2828" width="14.7109375" style="1236" bestFit="1" customWidth="1"/>
    <col min="2829" max="3072" width="9.140625" style="1236"/>
    <col min="3073" max="3073" width="4.7109375" style="1236" customWidth="1"/>
    <col min="3074" max="3074" width="6.7109375" style="1236" customWidth="1"/>
    <col min="3075" max="3075" width="8.85546875" style="1236" customWidth="1"/>
    <col min="3076" max="3076" width="47.85546875" style="1236" customWidth="1"/>
    <col min="3077" max="3077" width="12.85546875" style="1236" customWidth="1"/>
    <col min="3078" max="3078" width="15.5703125" style="1236" customWidth="1"/>
    <col min="3079" max="3079" width="15.85546875" style="1236" customWidth="1"/>
    <col min="3080" max="3080" width="6.42578125" style="1236" customWidth="1"/>
    <col min="3081" max="3082" width="9.140625" style="1236"/>
    <col min="3083" max="3084" width="14.7109375" style="1236" bestFit="1" customWidth="1"/>
    <col min="3085" max="3328" width="9.140625" style="1236"/>
    <col min="3329" max="3329" width="4.7109375" style="1236" customWidth="1"/>
    <col min="3330" max="3330" width="6.7109375" style="1236" customWidth="1"/>
    <col min="3331" max="3331" width="8.85546875" style="1236" customWidth="1"/>
    <col min="3332" max="3332" width="47.85546875" style="1236" customWidth="1"/>
    <col min="3333" max="3333" width="12.85546875" style="1236" customWidth="1"/>
    <col min="3334" max="3334" width="15.5703125" style="1236" customWidth="1"/>
    <col min="3335" max="3335" width="15.85546875" style="1236" customWidth="1"/>
    <col min="3336" max="3336" width="6.42578125" style="1236" customWidth="1"/>
    <col min="3337" max="3338" width="9.140625" style="1236"/>
    <col min="3339" max="3340" width="14.7109375" style="1236" bestFit="1" customWidth="1"/>
    <col min="3341" max="3584" width="9.140625" style="1236"/>
    <col min="3585" max="3585" width="4.7109375" style="1236" customWidth="1"/>
    <col min="3586" max="3586" width="6.7109375" style="1236" customWidth="1"/>
    <col min="3587" max="3587" width="8.85546875" style="1236" customWidth="1"/>
    <col min="3588" max="3588" width="47.85546875" style="1236" customWidth="1"/>
    <col min="3589" max="3589" width="12.85546875" style="1236" customWidth="1"/>
    <col min="3590" max="3590" width="15.5703125" style="1236" customWidth="1"/>
    <col min="3591" max="3591" width="15.85546875" style="1236" customWidth="1"/>
    <col min="3592" max="3592" width="6.42578125" style="1236" customWidth="1"/>
    <col min="3593" max="3594" width="9.140625" style="1236"/>
    <col min="3595" max="3596" width="14.7109375" style="1236" bestFit="1" customWidth="1"/>
    <col min="3597" max="3840" width="9.140625" style="1236"/>
    <col min="3841" max="3841" width="4.7109375" style="1236" customWidth="1"/>
    <col min="3842" max="3842" width="6.7109375" style="1236" customWidth="1"/>
    <col min="3843" max="3843" width="8.85546875" style="1236" customWidth="1"/>
    <col min="3844" max="3844" width="47.85546875" style="1236" customWidth="1"/>
    <col min="3845" max="3845" width="12.85546875" style="1236" customWidth="1"/>
    <col min="3846" max="3846" width="15.5703125" style="1236" customWidth="1"/>
    <col min="3847" max="3847" width="15.85546875" style="1236" customWidth="1"/>
    <col min="3848" max="3848" width="6.42578125" style="1236" customWidth="1"/>
    <col min="3849" max="3850" width="9.140625" style="1236"/>
    <col min="3851" max="3852" width="14.7109375" style="1236" bestFit="1" customWidth="1"/>
    <col min="3853" max="4096" width="9.140625" style="1236"/>
    <col min="4097" max="4097" width="4.7109375" style="1236" customWidth="1"/>
    <col min="4098" max="4098" width="6.7109375" style="1236" customWidth="1"/>
    <col min="4099" max="4099" width="8.85546875" style="1236" customWidth="1"/>
    <col min="4100" max="4100" width="47.85546875" style="1236" customWidth="1"/>
    <col min="4101" max="4101" width="12.85546875" style="1236" customWidth="1"/>
    <col min="4102" max="4102" width="15.5703125" style="1236" customWidth="1"/>
    <col min="4103" max="4103" width="15.85546875" style="1236" customWidth="1"/>
    <col min="4104" max="4104" width="6.42578125" style="1236" customWidth="1"/>
    <col min="4105" max="4106" width="9.140625" style="1236"/>
    <col min="4107" max="4108" width="14.7109375" style="1236" bestFit="1" customWidth="1"/>
    <col min="4109" max="4352" width="9.140625" style="1236"/>
    <col min="4353" max="4353" width="4.7109375" style="1236" customWidth="1"/>
    <col min="4354" max="4354" width="6.7109375" style="1236" customWidth="1"/>
    <col min="4355" max="4355" width="8.85546875" style="1236" customWidth="1"/>
    <col min="4356" max="4356" width="47.85546875" style="1236" customWidth="1"/>
    <col min="4357" max="4357" width="12.85546875" style="1236" customWidth="1"/>
    <col min="4358" max="4358" width="15.5703125" style="1236" customWidth="1"/>
    <col min="4359" max="4359" width="15.85546875" style="1236" customWidth="1"/>
    <col min="4360" max="4360" width="6.42578125" style="1236" customWidth="1"/>
    <col min="4361" max="4362" width="9.140625" style="1236"/>
    <col min="4363" max="4364" width="14.7109375" style="1236" bestFit="1" customWidth="1"/>
    <col min="4365" max="4608" width="9.140625" style="1236"/>
    <col min="4609" max="4609" width="4.7109375" style="1236" customWidth="1"/>
    <col min="4610" max="4610" width="6.7109375" style="1236" customWidth="1"/>
    <col min="4611" max="4611" width="8.85546875" style="1236" customWidth="1"/>
    <col min="4612" max="4612" width="47.85546875" style="1236" customWidth="1"/>
    <col min="4613" max="4613" width="12.85546875" style="1236" customWidth="1"/>
    <col min="4614" max="4614" width="15.5703125" style="1236" customWidth="1"/>
    <col min="4615" max="4615" width="15.85546875" style="1236" customWidth="1"/>
    <col min="4616" max="4616" width="6.42578125" style="1236" customWidth="1"/>
    <col min="4617" max="4618" width="9.140625" style="1236"/>
    <col min="4619" max="4620" width="14.7109375" style="1236" bestFit="1" customWidth="1"/>
    <col min="4621" max="4864" width="9.140625" style="1236"/>
    <col min="4865" max="4865" width="4.7109375" style="1236" customWidth="1"/>
    <col min="4866" max="4866" width="6.7109375" style="1236" customWidth="1"/>
    <col min="4867" max="4867" width="8.85546875" style="1236" customWidth="1"/>
    <col min="4868" max="4868" width="47.85546875" style="1236" customWidth="1"/>
    <col min="4869" max="4869" width="12.85546875" style="1236" customWidth="1"/>
    <col min="4870" max="4870" width="15.5703125" style="1236" customWidth="1"/>
    <col min="4871" max="4871" width="15.85546875" style="1236" customWidth="1"/>
    <col min="4872" max="4872" width="6.42578125" style="1236" customWidth="1"/>
    <col min="4873" max="4874" width="9.140625" style="1236"/>
    <col min="4875" max="4876" width="14.7109375" style="1236" bestFit="1" customWidth="1"/>
    <col min="4877" max="5120" width="9.140625" style="1236"/>
    <col min="5121" max="5121" width="4.7109375" style="1236" customWidth="1"/>
    <col min="5122" max="5122" width="6.7109375" style="1236" customWidth="1"/>
    <col min="5123" max="5123" width="8.85546875" style="1236" customWidth="1"/>
    <col min="5124" max="5124" width="47.85546875" style="1236" customWidth="1"/>
    <col min="5125" max="5125" width="12.85546875" style="1236" customWidth="1"/>
    <col min="5126" max="5126" width="15.5703125" style="1236" customWidth="1"/>
    <col min="5127" max="5127" width="15.85546875" style="1236" customWidth="1"/>
    <col min="5128" max="5128" width="6.42578125" style="1236" customWidth="1"/>
    <col min="5129" max="5130" width="9.140625" style="1236"/>
    <col min="5131" max="5132" width="14.7109375" style="1236" bestFit="1" customWidth="1"/>
    <col min="5133" max="5376" width="9.140625" style="1236"/>
    <col min="5377" max="5377" width="4.7109375" style="1236" customWidth="1"/>
    <col min="5378" max="5378" width="6.7109375" style="1236" customWidth="1"/>
    <col min="5379" max="5379" width="8.85546875" style="1236" customWidth="1"/>
    <col min="5380" max="5380" width="47.85546875" style="1236" customWidth="1"/>
    <col min="5381" max="5381" width="12.85546875" style="1236" customWidth="1"/>
    <col min="5382" max="5382" width="15.5703125" style="1236" customWidth="1"/>
    <col min="5383" max="5383" width="15.85546875" style="1236" customWidth="1"/>
    <col min="5384" max="5384" width="6.42578125" style="1236" customWidth="1"/>
    <col min="5385" max="5386" width="9.140625" style="1236"/>
    <col min="5387" max="5388" width="14.7109375" style="1236" bestFit="1" customWidth="1"/>
    <col min="5389" max="5632" width="9.140625" style="1236"/>
    <col min="5633" max="5633" width="4.7109375" style="1236" customWidth="1"/>
    <col min="5634" max="5634" width="6.7109375" style="1236" customWidth="1"/>
    <col min="5635" max="5635" width="8.85546875" style="1236" customWidth="1"/>
    <col min="5636" max="5636" width="47.85546875" style="1236" customWidth="1"/>
    <col min="5637" max="5637" width="12.85546875" style="1236" customWidth="1"/>
    <col min="5638" max="5638" width="15.5703125" style="1236" customWidth="1"/>
    <col min="5639" max="5639" width="15.85546875" style="1236" customWidth="1"/>
    <col min="5640" max="5640" width="6.42578125" style="1236" customWidth="1"/>
    <col min="5641" max="5642" width="9.140625" style="1236"/>
    <col min="5643" max="5644" width="14.7109375" style="1236" bestFit="1" customWidth="1"/>
    <col min="5645" max="5888" width="9.140625" style="1236"/>
    <col min="5889" max="5889" width="4.7109375" style="1236" customWidth="1"/>
    <col min="5890" max="5890" width="6.7109375" style="1236" customWidth="1"/>
    <col min="5891" max="5891" width="8.85546875" style="1236" customWidth="1"/>
    <col min="5892" max="5892" width="47.85546875" style="1236" customWidth="1"/>
    <col min="5893" max="5893" width="12.85546875" style="1236" customWidth="1"/>
    <col min="5894" max="5894" width="15.5703125" style="1236" customWidth="1"/>
    <col min="5895" max="5895" width="15.85546875" style="1236" customWidth="1"/>
    <col min="5896" max="5896" width="6.42578125" style="1236" customWidth="1"/>
    <col min="5897" max="5898" width="9.140625" style="1236"/>
    <col min="5899" max="5900" width="14.7109375" style="1236" bestFit="1" customWidth="1"/>
    <col min="5901" max="6144" width="9.140625" style="1236"/>
    <col min="6145" max="6145" width="4.7109375" style="1236" customWidth="1"/>
    <col min="6146" max="6146" width="6.7109375" style="1236" customWidth="1"/>
    <col min="6147" max="6147" width="8.85546875" style="1236" customWidth="1"/>
    <col min="6148" max="6148" width="47.85546875" style="1236" customWidth="1"/>
    <col min="6149" max="6149" width="12.85546875" style="1236" customWidth="1"/>
    <col min="6150" max="6150" width="15.5703125" style="1236" customWidth="1"/>
    <col min="6151" max="6151" width="15.85546875" style="1236" customWidth="1"/>
    <col min="6152" max="6152" width="6.42578125" style="1236" customWidth="1"/>
    <col min="6153" max="6154" width="9.140625" style="1236"/>
    <col min="6155" max="6156" width="14.7109375" style="1236" bestFit="1" customWidth="1"/>
    <col min="6157" max="6400" width="9.140625" style="1236"/>
    <col min="6401" max="6401" width="4.7109375" style="1236" customWidth="1"/>
    <col min="6402" max="6402" width="6.7109375" style="1236" customWidth="1"/>
    <col min="6403" max="6403" width="8.85546875" style="1236" customWidth="1"/>
    <col min="6404" max="6404" width="47.85546875" style="1236" customWidth="1"/>
    <col min="6405" max="6405" width="12.85546875" style="1236" customWidth="1"/>
    <col min="6406" max="6406" width="15.5703125" style="1236" customWidth="1"/>
    <col min="6407" max="6407" width="15.85546875" style="1236" customWidth="1"/>
    <col min="6408" max="6408" width="6.42578125" style="1236" customWidth="1"/>
    <col min="6409" max="6410" width="9.140625" style="1236"/>
    <col min="6411" max="6412" width="14.7109375" style="1236" bestFit="1" customWidth="1"/>
    <col min="6413" max="6656" width="9.140625" style="1236"/>
    <col min="6657" max="6657" width="4.7109375" style="1236" customWidth="1"/>
    <col min="6658" max="6658" width="6.7109375" style="1236" customWidth="1"/>
    <col min="6659" max="6659" width="8.85546875" style="1236" customWidth="1"/>
    <col min="6660" max="6660" width="47.85546875" style="1236" customWidth="1"/>
    <col min="6661" max="6661" width="12.85546875" style="1236" customWidth="1"/>
    <col min="6662" max="6662" width="15.5703125" style="1236" customWidth="1"/>
    <col min="6663" max="6663" width="15.85546875" style="1236" customWidth="1"/>
    <col min="6664" max="6664" width="6.42578125" style="1236" customWidth="1"/>
    <col min="6665" max="6666" width="9.140625" style="1236"/>
    <col min="6667" max="6668" width="14.7109375" style="1236" bestFit="1" customWidth="1"/>
    <col min="6669" max="6912" width="9.140625" style="1236"/>
    <col min="6913" max="6913" width="4.7109375" style="1236" customWidth="1"/>
    <col min="6914" max="6914" width="6.7109375" style="1236" customWidth="1"/>
    <col min="6915" max="6915" width="8.85546875" style="1236" customWidth="1"/>
    <col min="6916" max="6916" width="47.85546875" style="1236" customWidth="1"/>
    <col min="6917" max="6917" width="12.85546875" style="1236" customWidth="1"/>
    <col min="6918" max="6918" width="15.5703125" style="1236" customWidth="1"/>
    <col min="6919" max="6919" width="15.85546875" style="1236" customWidth="1"/>
    <col min="6920" max="6920" width="6.42578125" style="1236" customWidth="1"/>
    <col min="6921" max="6922" width="9.140625" style="1236"/>
    <col min="6923" max="6924" width="14.7109375" style="1236" bestFit="1" customWidth="1"/>
    <col min="6925" max="7168" width="9.140625" style="1236"/>
    <col min="7169" max="7169" width="4.7109375" style="1236" customWidth="1"/>
    <col min="7170" max="7170" width="6.7109375" style="1236" customWidth="1"/>
    <col min="7171" max="7171" width="8.85546875" style="1236" customWidth="1"/>
    <col min="7172" max="7172" width="47.85546875" style="1236" customWidth="1"/>
    <col min="7173" max="7173" width="12.85546875" style="1236" customWidth="1"/>
    <col min="7174" max="7174" width="15.5703125" style="1236" customWidth="1"/>
    <col min="7175" max="7175" width="15.85546875" style="1236" customWidth="1"/>
    <col min="7176" max="7176" width="6.42578125" style="1236" customWidth="1"/>
    <col min="7177" max="7178" width="9.140625" style="1236"/>
    <col min="7179" max="7180" width="14.7109375" style="1236" bestFit="1" customWidth="1"/>
    <col min="7181" max="7424" width="9.140625" style="1236"/>
    <col min="7425" max="7425" width="4.7109375" style="1236" customWidth="1"/>
    <col min="7426" max="7426" width="6.7109375" style="1236" customWidth="1"/>
    <col min="7427" max="7427" width="8.85546875" style="1236" customWidth="1"/>
    <col min="7428" max="7428" width="47.85546875" style="1236" customWidth="1"/>
    <col min="7429" max="7429" width="12.85546875" style="1236" customWidth="1"/>
    <col min="7430" max="7430" width="15.5703125" style="1236" customWidth="1"/>
    <col min="7431" max="7431" width="15.85546875" style="1236" customWidth="1"/>
    <col min="7432" max="7432" width="6.42578125" style="1236" customWidth="1"/>
    <col min="7433" max="7434" width="9.140625" style="1236"/>
    <col min="7435" max="7436" width="14.7109375" style="1236" bestFit="1" customWidth="1"/>
    <col min="7437" max="7680" width="9.140625" style="1236"/>
    <col min="7681" max="7681" width="4.7109375" style="1236" customWidth="1"/>
    <col min="7682" max="7682" width="6.7109375" style="1236" customWidth="1"/>
    <col min="7683" max="7683" width="8.85546875" style="1236" customWidth="1"/>
    <col min="7684" max="7684" width="47.85546875" style="1236" customWidth="1"/>
    <col min="7685" max="7685" width="12.85546875" style="1236" customWidth="1"/>
    <col min="7686" max="7686" width="15.5703125" style="1236" customWidth="1"/>
    <col min="7687" max="7687" width="15.85546875" style="1236" customWidth="1"/>
    <col min="7688" max="7688" width="6.42578125" style="1236" customWidth="1"/>
    <col min="7689" max="7690" width="9.140625" style="1236"/>
    <col min="7691" max="7692" width="14.7109375" style="1236" bestFit="1" customWidth="1"/>
    <col min="7693" max="7936" width="9.140625" style="1236"/>
    <col min="7937" max="7937" width="4.7109375" style="1236" customWidth="1"/>
    <col min="7938" max="7938" width="6.7109375" style="1236" customWidth="1"/>
    <col min="7939" max="7939" width="8.85546875" style="1236" customWidth="1"/>
    <col min="7940" max="7940" width="47.85546875" style="1236" customWidth="1"/>
    <col min="7941" max="7941" width="12.85546875" style="1236" customWidth="1"/>
    <col min="7942" max="7942" width="15.5703125" style="1236" customWidth="1"/>
    <col min="7943" max="7943" width="15.85546875" style="1236" customWidth="1"/>
    <col min="7944" max="7944" width="6.42578125" style="1236" customWidth="1"/>
    <col min="7945" max="7946" width="9.140625" style="1236"/>
    <col min="7947" max="7948" width="14.7109375" style="1236" bestFit="1" customWidth="1"/>
    <col min="7949" max="8192" width="9.140625" style="1236"/>
    <col min="8193" max="8193" width="4.7109375" style="1236" customWidth="1"/>
    <col min="8194" max="8194" width="6.7109375" style="1236" customWidth="1"/>
    <col min="8195" max="8195" width="8.85546875" style="1236" customWidth="1"/>
    <col min="8196" max="8196" width="47.85546875" style="1236" customWidth="1"/>
    <col min="8197" max="8197" width="12.85546875" style="1236" customWidth="1"/>
    <col min="8198" max="8198" width="15.5703125" style="1236" customWidth="1"/>
    <col min="8199" max="8199" width="15.85546875" style="1236" customWidth="1"/>
    <col min="8200" max="8200" width="6.42578125" style="1236" customWidth="1"/>
    <col min="8201" max="8202" width="9.140625" style="1236"/>
    <col min="8203" max="8204" width="14.7109375" style="1236" bestFit="1" customWidth="1"/>
    <col min="8205" max="8448" width="9.140625" style="1236"/>
    <col min="8449" max="8449" width="4.7109375" style="1236" customWidth="1"/>
    <col min="8450" max="8450" width="6.7109375" style="1236" customWidth="1"/>
    <col min="8451" max="8451" width="8.85546875" style="1236" customWidth="1"/>
    <col min="8452" max="8452" width="47.85546875" style="1236" customWidth="1"/>
    <col min="8453" max="8453" width="12.85546875" style="1236" customWidth="1"/>
    <col min="8454" max="8454" width="15.5703125" style="1236" customWidth="1"/>
    <col min="8455" max="8455" width="15.85546875" style="1236" customWidth="1"/>
    <col min="8456" max="8456" width="6.42578125" style="1236" customWidth="1"/>
    <col min="8457" max="8458" width="9.140625" style="1236"/>
    <col min="8459" max="8460" width="14.7109375" style="1236" bestFit="1" customWidth="1"/>
    <col min="8461" max="8704" width="9.140625" style="1236"/>
    <col min="8705" max="8705" width="4.7109375" style="1236" customWidth="1"/>
    <col min="8706" max="8706" width="6.7109375" style="1236" customWidth="1"/>
    <col min="8707" max="8707" width="8.85546875" style="1236" customWidth="1"/>
    <col min="8708" max="8708" width="47.85546875" style="1236" customWidth="1"/>
    <col min="8709" max="8709" width="12.85546875" style="1236" customWidth="1"/>
    <col min="8710" max="8710" width="15.5703125" style="1236" customWidth="1"/>
    <col min="8711" max="8711" width="15.85546875" style="1236" customWidth="1"/>
    <col min="8712" max="8712" width="6.42578125" style="1236" customWidth="1"/>
    <col min="8713" max="8714" width="9.140625" style="1236"/>
    <col min="8715" max="8716" width="14.7109375" style="1236" bestFit="1" customWidth="1"/>
    <col min="8717" max="8960" width="9.140625" style="1236"/>
    <col min="8961" max="8961" width="4.7109375" style="1236" customWidth="1"/>
    <col min="8962" max="8962" width="6.7109375" style="1236" customWidth="1"/>
    <col min="8963" max="8963" width="8.85546875" style="1236" customWidth="1"/>
    <col min="8964" max="8964" width="47.85546875" style="1236" customWidth="1"/>
    <col min="8965" max="8965" width="12.85546875" style="1236" customWidth="1"/>
    <col min="8966" max="8966" width="15.5703125" style="1236" customWidth="1"/>
    <col min="8967" max="8967" width="15.85546875" style="1236" customWidth="1"/>
    <col min="8968" max="8968" width="6.42578125" style="1236" customWidth="1"/>
    <col min="8969" max="8970" width="9.140625" style="1236"/>
    <col min="8971" max="8972" width="14.7109375" style="1236" bestFit="1" customWidth="1"/>
    <col min="8973" max="9216" width="9.140625" style="1236"/>
    <col min="9217" max="9217" width="4.7109375" style="1236" customWidth="1"/>
    <col min="9218" max="9218" width="6.7109375" style="1236" customWidth="1"/>
    <col min="9219" max="9219" width="8.85546875" style="1236" customWidth="1"/>
    <col min="9220" max="9220" width="47.85546875" style="1236" customWidth="1"/>
    <col min="9221" max="9221" width="12.85546875" style="1236" customWidth="1"/>
    <col min="9222" max="9222" width="15.5703125" style="1236" customWidth="1"/>
    <col min="9223" max="9223" width="15.85546875" style="1236" customWidth="1"/>
    <col min="9224" max="9224" width="6.42578125" style="1236" customWidth="1"/>
    <col min="9225" max="9226" width="9.140625" style="1236"/>
    <col min="9227" max="9228" width="14.7109375" style="1236" bestFit="1" customWidth="1"/>
    <col min="9229" max="9472" width="9.140625" style="1236"/>
    <col min="9473" max="9473" width="4.7109375" style="1236" customWidth="1"/>
    <col min="9474" max="9474" width="6.7109375" style="1236" customWidth="1"/>
    <col min="9475" max="9475" width="8.85546875" style="1236" customWidth="1"/>
    <col min="9476" max="9476" width="47.85546875" style="1236" customWidth="1"/>
    <col min="9477" max="9477" width="12.85546875" style="1236" customWidth="1"/>
    <col min="9478" max="9478" width="15.5703125" style="1236" customWidth="1"/>
    <col min="9479" max="9479" width="15.85546875" style="1236" customWidth="1"/>
    <col min="9480" max="9480" width="6.42578125" style="1236" customWidth="1"/>
    <col min="9481" max="9482" width="9.140625" style="1236"/>
    <col min="9483" max="9484" width="14.7109375" style="1236" bestFit="1" customWidth="1"/>
    <col min="9485" max="9728" width="9.140625" style="1236"/>
    <col min="9729" max="9729" width="4.7109375" style="1236" customWidth="1"/>
    <col min="9730" max="9730" width="6.7109375" style="1236" customWidth="1"/>
    <col min="9731" max="9731" width="8.85546875" style="1236" customWidth="1"/>
    <col min="9732" max="9732" width="47.85546875" style="1236" customWidth="1"/>
    <col min="9733" max="9733" width="12.85546875" style="1236" customWidth="1"/>
    <col min="9734" max="9734" width="15.5703125" style="1236" customWidth="1"/>
    <col min="9735" max="9735" width="15.85546875" style="1236" customWidth="1"/>
    <col min="9736" max="9736" width="6.42578125" style="1236" customWidth="1"/>
    <col min="9737" max="9738" width="9.140625" style="1236"/>
    <col min="9739" max="9740" width="14.7109375" style="1236" bestFit="1" customWidth="1"/>
    <col min="9741" max="9984" width="9.140625" style="1236"/>
    <col min="9985" max="9985" width="4.7109375" style="1236" customWidth="1"/>
    <col min="9986" max="9986" width="6.7109375" style="1236" customWidth="1"/>
    <col min="9987" max="9987" width="8.85546875" style="1236" customWidth="1"/>
    <col min="9988" max="9988" width="47.85546875" style="1236" customWidth="1"/>
    <col min="9989" max="9989" width="12.85546875" style="1236" customWidth="1"/>
    <col min="9990" max="9990" width="15.5703125" style="1236" customWidth="1"/>
    <col min="9991" max="9991" width="15.85546875" style="1236" customWidth="1"/>
    <col min="9992" max="9992" width="6.42578125" style="1236" customWidth="1"/>
    <col min="9993" max="9994" width="9.140625" style="1236"/>
    <col min="9995" max="9996" width="14.7109375" style="1236" bestFit="1" customWidth="1"/>
    <col min="9997" max="10240" width="9.140625" style="1236"/>
    <col min="10241" max="10241" width="4.7109375" style="1236" customWidth="1"/>
    <col min="10242" max="10242" width="6.7109375" style="1236" customWidth="1"/>
    <col min="10243" max="10243" width="8.85546875" style="1236" customWidth="1"/>
    <col min="10244" max="10244" width="47.85546875" style="1236" customWidth="1"/>
    <col min="10245" max="10245" width="12.85546875" style="1236" customWidth="1"/>
    <col min="10246" max="10246" width="15.5703125" style="1236" customWidth="1"/>
    <col min="10247" max="10247" width="15.85546875" style="1236" customWidth="1"/>
    <col min="10248" max="10248" width="6.42578125" style="1236" customWidth="1"/>
    <col min="10249" max="10250" width="9.140625" style="1236"/>
    <col min="10251" max="10252" width="14.7109375" style="1236" bestFit="1" customWidth="1"/>
    <col min="10253" max="10496" width="9.140625" style="1236"/>
    <col min="10497" max="10497" width="4.7109375" style="1236" customWidth="1"/>
    <col min="10498" max="10498" width="6.7109375" style="1236" customWidth="1"/>
    <col min="10499" max="10499" width="8.85546875" style="1236" customWidth="1"/>
    <col min="10500" max="10500" width="47.85546875" style="1236" customWidth="1"/>
    <col min="10501" max="10501" width="12.85546875" style="1236" customWidth="1"/>
    <col min="10502" max="10502" width="15.5703125" style="1236" customWidth="1"/>
    <col min="10503" max="10503" width="15.85546875" style="1236" customWidth="1"/>
    <col min="10504" max="10504" width="6.42578125" style="1236" customWidth="1"/>
    <col min="10505" max="10506" width="9.140625" style="1236"/>
    <col min="10507" max="10508" width="14.7109375" style="1236" bestFit="1" customWidth="1"/>
    <col min="10509" max="10752" width="9.140625" style="1236"/>
    <col min="10753" max="10753" width="4.7109375" style="1236" customWidth="1"/>
    <col min="10754" max="10754" width="6.7109375" style="1236" customWidth="1"/>
    <col min="10755" max="10755" width="8.85546875" style="1236" customWidth="1"/>
    <col min="10756" max="10756" width="47.85546875" style="1236" customWidth="1"/>
    <col min="10757" max="10757" width="12.85546875" style="1236" customWidth="1"/>
    <col min="10758" max="10758" width="15.5703125" style="1236" customWidth="1"/>
    <col min="10759" max="10759" width="15.85546875" style="1236" customWidth="1"/>
    <col min="10760" max="10760" width="6.42578125" style="1236" customWidth="1"/>
    <col min="10761" max="10762" width="9.140625" style="1236"/>
    <col min="10763" max="10764" width="14.7109375" style="1236" bestFit="1" customWidth="1"/>
    <col min="10765" max="11008" width="9.140625" style="1236"/>
    <col min="11009" max="11009" width="4.7109375" style="1236" customWidth="1"/>
    <col min="11010" max="11010" width="6.7109375" style="1236" customWidth="1"/>
    <col min="11011" max="11011" width="8.85546875" style="1236" customWidth="1"/>
    <col min="11012" max="11012" width="47.85546875" style="1236" customWidth="1"/>
    <col min="11013" max="11013" width="12.85546875" style="1236" customWidth="1"/>
    <col min="11014" max="11014" width="15.5703125" style="1236" customWidth="1"/>
    <col min="11015" max="11015" width="15.85546875" style="1236" customWidth="1"/>
    <col min="11016" max="11016" width="6.42578125" style="1236" customWidth="1"/>
    <col min="11017" max="11018" width="9.140625" style="1236"/>
    <col min="11019" max="11020" width="14.7109375" style="1236" bestFit="1" customWidth="1"/>
    <col min="11021" max="11264" width="9.140625" style="1236"/>
    <col min="11265" max="11265" width="4.7109375" style="1236" customWidth="1"/>
    <col min="11266" max="11266" width="6.7109375" style="1236" customWidth="1"/>
    <col min="11267" max="11267" width="8.85546875" style="1236" customWidth="1"/>
    <col min="11268" max="11268" width="47.85546875" style="1236" customWidth="1"/>
    <col min="11269" max="11269" width="12.85546875" style="1236" customWidth="1"/>
    <col min="11270" max="11270" width="15.5703125" style="1236" customWidth="1"/>
    <col min="11271" max="11271" width="15.85546875" style="1236" customWidth="1"/>
    <col min="11272" max="11272" width="6.42578125" style="1236" customWidth="1"/>
    <col min="11273" max="11274" width="9.140625" style="1236"/>
    <col min="11275" max="11276" width="14.7109375" style="1236" bestFit="1" customWidth="1"/>
    <col min="11277" max="11520" width="9.140625" style="1236"/>
    <col min="11521" max="11521" width="4.7109375" style="1236" customWidth="1"/>
    <col min="11522" max="11522" width="6.7109375" style="1236" customWidth="1"/>
    <col min="11523" max="11523" width="8.85546875" style="1236" customWidth="1"/>
    <col min="11524" max="11524" width="47.85546875" style="1236" customWidth="1"/>
    <col min="11525" max="11525" width="12.85546875" style="1236" customWidth="1"/>
    <col min="11526" max="11526" width="15.5703125" style="1236" customWidth="1"/>
    <col min="11527" max="11527" width="15.85546875" style="1236" customWidth="1"/>
    <col min="11528" max="11528" width="6.42578125" style="1236" customWidth="1"/>
    <col min="11529" max="11530" width="9.140625" style="1236"/>
    <col min="11531" max="11532" width="14.7109375" style="1236" bestFit="1" customWidth="1"/>
    <col min="11533" max="11776" width="9.140625" style="1236"/>
    <col min="11777" max="11777" width="4.7109375" style="1236" customWidth="1"/>
    <col min="11778" max="11778" width="6.7109375" style="1236" customWidth="1"/>
    <col min="11779" max="11779" width="8.85546875" style="1236" customWidth="1"/>
    <col min="11780" max="11780" width="47.85546875" style="1236" customWidth="1"/>
    <col min="11781" max="11781" width="12.85546875" style="1236" customWidth="1"/>
    <col min="11782" max="11782" width="15.5703125" style="1236" customWidth="1"/>
    <col min="11783" max="11783" width="15.85546875" style="1236" customWidth="1"/>
    <col min="11784" max="11784" width="6.42578125" style="1236" customWidth="1"/>
    <col min="11785" max="11786" width="9.140625" style="1236"/>
    <col min="11787" max="11788" width="14.7109375" style="1236" bestFit="1" customWidth="1"/>
    <col min="11789" max="12032" width="9.140625" style="1236"/>
    <col min="12033" max="12033" width="4.7109375" style="1236" customWidth="1"/>
    <col min="12034" max="12034" width="6.7109375" style="1236" customWidth="1"/>
    <col min="12035" max="12035" width="8.85546875" style="1236" customWidth="1"/>
    <col min="12036" max="12036" width="47.85546875" style="1236" customWidth="1"/>
    <col min="12037" max="12037" width="12.85546875" style="1236" customWidth="1"/>
    <col min="12038" max="12038" width="15.5703125" style="1236" customWidth="1"/>
    <col min="12039" max="12039" width="15.85546875" style="1236" customWidth="1"/>
    <col min="12040" max="12040" width="6.42578125" style="1236" customWidth="1"/>
    <col min="12041" max="12042" width="9.140625" style="1236"/>
    <col min="12043" max="12044" width="14.7109375" style="1236" bestFit="1" customWidth="1"/>
    <col min="12045" max="12288" width="9.140625" style="1236"/>
    <col min="12289" max="12289" width="4.7109375" style="1236" customWidth="1"/>
    <col min="12290" max="12290" width="6.7109375" style="1236" customWidth="1"/>
    <col min="12291" max="12291" width="8.85546875" style="1236" customWidth="1"/>
    <col min="12292" max="12292" width="47.85546875" style="1236" customWidth="1"/>
    <col min="12293" max="12293" width="12.85546875" style="1236" customWidth="1"/>
    <col min="12294" max="12294" width="15.5703125" style="1236" customWidth="1"/>
    <col min="12295" max="12295" width="15.85546875" style="1236" customWidth="1"/>
    <col min="12296" max="12296" width="6.42578125" style="1236" customWidth="1"/>
    <col min="12297" max="12298" width="9.140625" style="1236"/>
    <col min="12299" max="12300" width="14.7109375" style="1236" bestFit="1" customWidth="1"/>
    <col min="12301" max="12544" width="9.140625" style="1236"/>
    <col min="12545" max="12545" width="4.7109375" style="1236" customWidth="1"/>
    <col min="12546" max="12546" width="6.7109375" style="1236" customWidth="1"/>
    <col min="12547" max="12547" width="8.85546875" style="1236" customWidth="1"/>
    <col min="12548" max="12548" width="47.85546875" style="1236" customWidth="1"/>
    <col min="12549" max="12549" width="12.85546875" style="1236" customWidth="1"/>
    <col min="12550" max="12550" width="15.5703125" style="1236" customWidth="1"/>
    <col min="12551" max="12551" width="15.85546875" style="1236" customWidth="1"/>
    <col min="12552" max="12552" width="6.42578125" style="1236" customWidth="1"/>
    <col min="12553" max="12554" width="9.140625" style="1236"/>
    <col min="12555" max="12556" width="14.7109375" style="1236" bestFit="1" customWidth="1"/>
    <col min="12557" max="12800" width="9.140625" style="1236"/>
    <col min="12801" max="12801" width="4.7109375" style="1236" customWidth="1"/>
    <col min="12802" max="12802" width="6.7109375" style="1236" customWidth="1"/>
    <col min="12803" max="12803" width="8.85546875" style="1236" customWidth="1"/>
    <col min="12804" max="12804" width="47.85546875" style="1236" customWidth="1"/>
    <col min="12805" max="12805" width="12.85546875" style="1236" customWidth="1"/>
    <col min="12806" max="12806" width="15.5703125" style="1236" customWidth="1"/>
    <col min="12807" max="12807" width="15.85546875" style="1236" customWidth="1"/>
    <col min="12808" max="12808" width="6.42578125" style="1236" customWidth="1"/>
    <col min="12809" max="12810" width="9.140625" style="1236"/>
    <col min="12811" max="12812" width="14.7109375" style="1236" bestFit="1" customWidth="1"/>
    <col min="12813" max="13056" width="9.140625" style="1236"/>
    <col min="13057" max="13057" width="4.7109375" style="1236" customWidth="1"/>
    <col min="13058" max="13058" width="6.7109375" style="1236" customWidth="1"/>
    <col min="13059" max="13059" width="8.85546875" style="1236" customWidth="1"/>
    <col min="13060" max="13060" width="47.85546875" style="1236" customWidth="1"/>
    <col min="13061" max="13061" width="12.85546875" style="1236" customWidth="1"/>
    <col min="13062" max="13062" width="15.5703125" style="1236" customWidth="1"/>
    <col min="13063" max="13063" width="15.85546875" style="1236" customWidth="1"/>
    <col min="13064" max="13064" width="6.42578125" style="1236" customWidth="1"/>
    <col min="13065" max="13066" width="9.140625" style="1236"/>
    <col min="13067" max="13068" width="14.7109375" style="1236" bestFit="1" customWidth="1"/>
    <col min="13069" max="13312" width="9.140625" style="1236"/>
    <col min="13313" max="13313" width="4.7109375" style="1236" customWidth="1"/>
    <col min="13314" max="13314" width="6.7109375" style="1236" customWidth="1"/>
    <col min="13315" max="13315" width="8.85546875" style="1236" customWidth="1"/>
    <col min="13316" max="13316" width="47.85546875" style="1236" customWidth="1"/>
    <col min="13317" max="13317" width="12.85546875" style="1236" customWidth="1"/>
    <col min="13318" max="13318" width="15.5703125" style="1236" customWidth="1"/>
    <col min="13319" max="13319" width="15.85546875" style="1236" customWidth="1"/>
    <col min="13320" max="13320" width="6.42578125" style="1236" customWidth="1"/>
    <col min="13321" max="13322" width="9.140625" style="1236"/>
    <col min="13323" max="13324" width="14.7109375" style="1236" bestFit="1" customWidth="1"/>
    <col min="13325" max="13568" width="9.140625" style="1236"/>
    <col min="13569" max="13569" width="4.7109375" style="1236" customWidth="1"/>
    <col min="13570" max="13570" width="6.7109375" style="1236" customWidth="1"/>
    <col min="13571" max="13571" width="8.85546875" style="1236" customWidth="1"/>
    <col min="13572" max="13572" width="47.85546875" style="1236" customWidth="1"/>
    <col min="13573" max="13573" width="12.85546875" style="1236" customWidth="1"/>
    <col min="13574" max="13574" width="15.5703125" style="1236" customWidth="1"/>
    <col min="13575" max="13575" width="15.85546875" style="1236" customWidth="1"/>
    <col min="13576" max="13576" width="6.42578125" style="1236" customWidth="1"/>
    <col min="13577" max="13578" width="9.140625" style="1236"/>
    <col min="13579" max="13580" width="14.7109375" style="1236" bestFit="1" customWidth="1"/>
    <col min="13581" max="13824" width="9.140625" style="1236"/>
    <col min="13825" max="13825" width="4.7109375" style="1236" customWidth="1"/>
    <col min="13826" max="13826" width="6.7109375" style="1236" customWidth="1"/>
    <col min="13827" max="13827" width="8.85546875" style="1236" customWidth="1"/>
    <col min="13828" max="13828" width="47.85546875" style="1236" customWidth="1"/>
    <col min="13829" max="13829" width="12.85546875" style="1236" customWidth="1"/>
    <col min="13830" max="13830" width="15.5703125" style="1236" customWidth="1"/>
    <col min="13831" max="13831" width="15.85546875" style="1236" customWidth="1"/>
    <col min="13832" max="13832" width="6.42578125" style="1236" customWidth="1"/>
    <col min="13833" max="13834" width="9.140625" style="1236"/>
    <col min="13835" max="13836" width="14.7109375" style="1236" bestFit="1" customWidth="1"/>
    <col min="13837" max="14080" width="9.140625" style="1236"/>
    <col min="14081" max="14081" width="4.7109375" style="1236" customWidth="1"/>
    <col min="14082" max="14082" width="6.7109375" style="1236" customWidth="1"/>
    <col min="14083" max="14083" width="8.85546875" style="1236" customWidth="1"/>
    <col min="14084" max="14084" width="47.85546875" style="1236" customWidth="1"/>
    <col min="14085" max="14085" width="12.85546875" style="1236" customWidth="1"/>
    <col min="14086" max="14086" width="15.5703125" style="1236" customWidth="1"/>
    <col min="14087" max="14087" width="15.85546875" style="1236" customWidth="1"/>
    <col min="14088" max="14088" width="6.42578125" style="1236" customWidth="1"/>
    <col min="14089" max="14090" width="9.140625" style="1236"/>
    <col min="14091" max="14092" width="14.7109375" style="1236" bestFit="1" customWidth="1"/>
    <col min="14093" max="14336" width="9.140625" style="1236"/>
    <col min="14337" max="14337" width="4.7109375" style="1236" customWidth="1"/>
    <col min="14338" max="14338" width="6.7109375" style="1236" customWidth="1"/>
    <col min="14339" max="14339" width="8.85546875" style="1236" customWidth="1"/>
    <col min="14340" max="14340" width="47.85546875" style="1236" customWidth="1"/>
    <col min="14341" max="14341" width="12.85546875" style="1236" customWidth="1"/>
    <col min="14342" max="14342" width="15.5703125" style="1236" customWidth="1"/>
    <col min="14343" max="14343" width="15.85546875" style="1236" customWidth="1"/>
    <col min="14344" max="14344" width="6.42578125" style="1236" customWidth="1"/>
    <col min="14345" max="14346" width="9.140625" style="1236"/>
    <col min="14347" max="14348" width="14.7109375" style="1236" bestFit="1" customWidth="1"/>
    <col min="14349" max="14592" width="9.140625" style="1236"/>
    <col min="14593" max="14593" width="4.7109375" style="1236" customWidth="1"/>
    <col min="14594" max="14594" width="6.7109375" style="1236" customWidth="1"/>
    <col min="14595" max="14595" width="8.85546875" style="1236" customWidth="1"/>
    <col min="14596" max="14596" width="47.85546875" style="1236" customWidth="1"/>
    <col min="14597" max="14597" width="12.85546875" style="1236" customWidth="1"/>
    <col min="14598" max="14598" width="15.5703125" style="1236" customWidth="1"/>
    <col min="14599" max="14599" width="15.85546875" style="1236" customWidth="1"/>
    <col min="14600" max="14600" width="6.42578125" style="1236" customWidth="1"/>
    <col min="14601" max="14602" width="9.140625" style="1236"/>
    <col min="14603" max="14604" width="14.7109375" style="1236" bestFit="1" customWidth="1"/>
    <col min="14605" max="14848" width="9.140625" style="1236"/>
    <col min="14849" max="14849" width="4.7109375" style="1236" customWidth="1"/>
    <col min="14850" max="14850" width="6.7109375" style="1236" customWidth="1"/>
    <col min="14851" max="14851" width="8.85546875" style="1236" customWidth="1"/>
    <col min="14852" max="14852" width="47.85546875" style="1236" customWidth="1"/>
    <col min="14853" max="14853" width="12.85546875" style="1236" customWidth="1"/>
    <col min="14854" max="14854" width="15.5703125" style="1236" customWidth="1"/>
    <col min="14855" max="14855" width="15.85546875" style="1236" customWidth="1"/>
    <col min="14856" max="14856" width="6.42578125" style="1236" customWidth="1"/>
    <col min="14857" max="14858" width="9.140625" style="1236"/>
    <col min="14859" max="14860" width="14.7109375" style="1236" bestFit="1" customWidth="1"/>
    <col min="14861" max="15104" width="9.140625" style="1236"/>
    <col min="15105" max="15105" width="4.7109375" style="1236" customWidth="1"/>
    <col min="15106" max="15106" width="6.7109375" style="1236" customWidth="1"/>
    <col min="15107" max="15107" width="8.85546875" style="1236" customWidth="1"/>
    <col min="15108" max="15108" width="47.85546875" style="1236" customWidth="1"/>
    <col min="15109" max="15109" width="12.85546875" style="1236" customWidth="1"/>
    <col min="15110" max="15110" width="15.5703125" style="1236" customWidth="1"/>
    <col min="15111" max="15111" width="15.85546875" style="1236" customWidth="1"/>
    <col min="15112" max="15112" width="6.42578125" style="1236" customWidth="1"/>
    <col min="15113" max="15114" width="9.140625" style="1236"/>
    <col min="15115" max="15116" width="14.7109375" style="1236" bestFit="1" customWidth="1"/>
    <col min="15117" max="15360" width="9.140625" style="1236"/>
    <col min="15361" max="15361" width="4.7109375" style="1236" customWidth="1"/>
    <col min="15362" max="15362" width="6.7109375" style="1236" customWidth="1"/>
    <col min="15363" max="15363" width="8.85546875" style="1236" customWidth="1"/>
    <col min="15364" max="15364" width="47.85546875" style="1236" customWidth="1"/>
    <col min="15365" max="15365" width="12.85546875" style="1236" customWidth="1"/>
    <col min="15366" max="15366" width="15.5703125" style="1236" customWidth="1"/>
    <col min="15367" max="15367" width="15.85546875" style="1236" customWidth="1"/>
    <col min="15368" max="15368" width="6.42578125" style="1236" customWidth="1"/>
    <col min="15369" max="15370" width="9.140625" style="1236"/>
    <col min="15371" max="15372" width="14.7109375" style="1236" bestFit="1" customWidth="1"/>
    <col min="15373" max="15616" width="9.140625" style="1236"/>
    <col min="15617" max="15617" width="4.7109375" style="1236" customWidth="1"/>
    <col min="15618" max="15618" width="6.7109375" style="1236" customWidth="1"/>
    <col min="15619" max="15619" width="8.85546875" style="1236" customWidth="1"/>
    <col min="15620" max="15620" width="47.85546875" style="1236" customWidth="1"/>
    <col min="15621" max="15621" width="12.85546875" style="1236" customWidth="1"/>
    <col min="15622" max="15622" width="15.5703125" style="1236" customWidth="1"/>
    <col min="15623" max="15623" width="15.85546875" style="1236" customWidth="1"/>
    <col min="15624" max="15624" width="6.42578125" style="1236" customWidth="1"/>
    <col min="15625" max="15626" width="9.140625" style="1236"/>
    <col min="15627" max="15628" width="14.7109375" style="1236" bestFit="1" customWidth="1"/>
    <col min="15629" max="15872" width="9.140625" style="1236"/>
    <col min="15873" max="15873" width="4.7109375" style="1236" customWidth="1"/>
    <col min="15874" max="15874" width="6.7109375" style="1236" customWidth="1"/>
    <col min="15875" max="15875" width="8.85546875" style="1236" customWidth="1"/>
    <col min="15876" max="15876" width="47.85546875" style="1236" customWidth="1"/>
    <col min="15877" max="15877" width="12.85546875" style="1236" customWidth="1"/>
    <col min="15878" max="15878" width="15.5703125" style="1236" customWidth="1"/>
    <col min="15879" max="15879" width="15.85546875" style="1236" customWidth="1"/>
    <col min="15880" max="15880" width="6.42578125" style="1236" customWidth="1"/>
    <col min="15881" max="15882" width="9.140625" style="1236"/>
    <col min="15883" max="15884" width="14.7109375" style="1236" bestFit="1" customWidth="1"/>
    <col min="15885" max="16128" width="9.140625" style="1236"/>
    <col min="16129" max="16129" width="4.7109375" style="1236" customWidth="1"/>
    <col min="16130" max="16130" width="6.7109375" style="1236" customWidth="1"/>
    <col min="16131" max="16131" width="8.85546875" style="1236" customWidth="1"/>
    <col min="16132" max="16132" width="47.85546875" style="1236" customWidth="1"/>
    <col min="16133" max="16133" width="12.85546875" style="1236" customWidth="1"/>
    <col min="16134" max="16134" width="15.5703125" style="1236" customWidth="1"/>
    <col min="16135" max="16135" width="15.85546875" style="1236" customWidth="1"/>
    <col min="16136" max="16136" width="6.42578125" style="1236" customWidth="1"/>
    <col min="16137" max="16138" width="9.140625" style="1236"/>
    <col min="16139" max="16140" width="14.7109375" style="1236" bestFit="1" customWidth="1"/>
    <col min="16141" max="16384" width="9.140625" style="1236"/>
  </cols>
  <sheetData>
    <row r="1" spans="1:8" ht="18.75" thickBot="1" x14ac:dyDescent="0.3">
      <c r="A1" s="1161" t="s">
        <v>683</v>
      </c>
      <c r="B1" s="1231"/>
      <c r="C1" s="1232"/>
      <c r="D1" s="1233"/>
      <c r="E1" s="1234"/>
      <c r="F1" s="1233"/>
      <c r="G1" s="1235"/>
      <c r="H1" s="1230"/>
    </row>
    <row r="2" spans="1:8" ht="18" x14ac:dyDescent="0.25">
      <c r="A2" s="1237"/>
      <c r="B2" s="1238"/>
      <c r="C2" s="1238"/>
      <c r="D2" s="1238"/>
      <c r="E2" s="1238"/>
      <c r="F2" s="1238"/>
      <c r="G2" s="1238"/>
      <c r="H2" s="1239" t="s">
        <v>682</v>
      </c>
    </row>
    <row r="3" spans="1:8" ht="18" x14ac:dyDescent="0.25">
      <c r="A3" s="1240" t="s">
        <v>201</v>
      </c>
      <c r="B3" s="1238"/>
      <c r="C3" s="2205" t="s">
        <v>121</v>
      </c>
      <c r="D3" s="1238"/>
      <c r="E3" s="1238"/>
      <c r="F3" s="1238"/>
      <c r="G3" s="1238"/>
      <c r="H3" s="1239"/>
    </row>
    <row r="4" spans="1:8" ht="18" x14ac:dyDescent="0.25">
      <c r="A4" s="1237"/>
      <c r="B4" s="1238"/>
      <c r="C4" s="2205" t="s">
        <v>781</v>
      </c>
      <c r="D4" s="1238"/>
      <c r="E4" s="1238"/>
      <c r="F4" s="1238"/>
      <c r="G4" s="1238"/>
      <c r="H4" s="1239"/>
    </row>
    <row r="5" spans="1:8" ht="18" x14ac:dyDescent="0.25">
      <c r="A5" s="1101" t="s">
        <v>681</v>
      </c>
      <c r="B5" s="1238"/>
      <c r="C5" s="1238"/>
      <c r="D5" s="1238"/>
      <c r="E5" s="1238"/>
      <c r="F5" s="1238"/>
      <c r="G5" s="1238"/>
      <c r="H5" s="1239"/>
    </row>
    <row r="6" spans="1:8" x14ac:dyDescent="0.2">
      <c r="A6" s="1243"/>
      <c r="B6" s="1243"/>
      <c r="C6" s="1243"/>
      <c r="E6" s="1244"/>
      <c r="F6" s="1244"/>
      <c r="G6" s="1244"/>
    </row>
    <row r="7" spans="1:8" ht="15.75" thickBot="1" x14ac:dyDescent="0.3">
      <c r="A7" s="1229" t="s">
        <v>137</v>
      </c>
      <c r="B7" s="1243"/>
      <c r="C7" s="1243"/>
      <c r="E7" s="1244"/>
      <c r="F7" s="1244"/>
      <c r="G7" s="1244"/>
      <c r="H7" s="1245" t="s">
        <v>92</v>
      </c>
    </row>
    <row r="8" spans="1:8" ht="25.5" thickTop="1" thickBot="1" x14ac:dyDescent="0.25">
      <c r="A8" s="1104" t="s">
        <v>93</v>
      </c>
      <c r="B8" s="1105" t="s">
        <v>392</v>
      </c>
      <c r="C8" s="1105" t="s">
        <v>209</v>
      </c>
      <c r="D8" s="1106" t="s">
        <v>95</v>
      </c>
      <c r="E8" s="1127" t="s">
        <v>328</v>
      </c>
      <c r="F8" s="1127" t="s">
        <v>329</v>
      </c>
      <c r="G8" s="1128" t="s">
        <v>448</v>
      </c>
      <c r="H8" s="1129" t="s">
        <v>449</v>
      </c>
    </row>
    <row r="9" spans="1:8" ht="14.25" thickTop="1" thickBot="1" x14ac:dyDescent="0.25">
      <c r="A9" s="1042">
        <v>1</v>
      </c>
      <c r="B9" s="1041">
        <v>2</v>
      </c>
      <c r="C9" s="1041">
        <v>3</v>
      </c>
      <c r="D9" s="1041">
        <v>4</v>
      </c>
      <c r="E9" s="1040">
        <v>5</v>
      </c>
      <c r="F9" s="1040">
        <v>6</v>
      </c>
      <c r="G9" s="1164">
        <v>7</v>
      </c>
      <c r="H9" s="1186" t="s">
        <v>33</v>
      </c>
    </row>
    <row r="10" spans="1:8" ht="15.75" hidden="1" thickTop="1" x14ac:dyDescent="0.2">
      <c r="A10" s="1257">
        <v>3299</v>
      </c>
      <c r="B10" s="1258">
        <v>5011</v>
      </c>
      <c r="C10" s="2204" t="s">
        <v>1051</v>
      </c>
      <c r="D10" s="1259" t="s">
        <v>117</v>
      </c>
      <c r="E10" s="1260"/>
      <c r="F10" s="1260"/>
      <c r="G10" s="1260"/>
      <c r="H10" s="1261" t="e">
        <f t="shared" ref="H10:H26" si="0">G10/F10*100</f>
        <v>#DIV/0!</v>
      </c>
    </row>
    <row r="11" spans="1:8" ht="15.75" hidden="1" thickTop="1" x14ac:dyDescent="0.2">
      <c r="A11" s="1262">
        <v>3299</v>
      </c>
      <c r="B11" s="1263">
        <v>5011</v>
      </c>
      <c r="C11" s="1309" t="s">
        <v>1050</v>
      </c>
      <c r="D11" s="1264" t="s">
        <v>117</v>
      </c>
      <c r="E11" s="1265"/>
      <c r="F11" s="1265"/>
      <c r="G11" s="1265"/>
      <c r="H11" s="1266" t="e">
        <f t="shared" si="0"/>
        <v>#DIV/0!</v>
      </c>
    </row>
    <row r="12" spans="1:8" ht="30.75" hidden="1" thickTop="1" x14ac:dyDescent="0.2">
      <c r="A12" s="1262">
        <v>3299</v>
      </c>
      <c r="B12" s="1263">
        <v>5031</v>
      </c>
      <c r="C12" s="1309" t="s">
        <v>1051</v>
      </c>
      <c r="D12" s="1264" t="s">
        <v>621</v>
      </c>
      <c r="E12" s="1265"/>
      <c r="F12" s="1265"/>
      <c r="G12" s="1265"/>
      <c r="H12" s="1266" t="e">
        <f t="shared" si="0"/>
        <v>#DIV/0!</v>
      </c>
    </row>
    <row r="13" spans="1:8" ht="30.75" hidden="1" thickTop="1" x14ac:dyDescent="0.2">
      <c r="A13" s="1262">
        <v>3299</v>
      </c>
      <c r="B13" s="1263">
        <v>5031</v>
      </c>
      <c r="C13" s="1309" t="s">
        <v>1050</v>
      </c>
      <c r="D13" s="1264" t="s">
        <v>621</v>
      </c>
      <c r="E13" s="1265"/>
      <c r="F13" s="1265"/>
      <c r="G13" s="1265"/>
      <c r="H13" s="1266" t="e">
        <f t="shared" si="0"/>
        <v>#DIV/0!</v>
      </c>
    </row>
    <row r="14" spans="1:8" ht="30.75" hidden="1" thickTop="1" x14ac:dyDescent="0.2">
      <c r="A14" s="1262">
        <v>3299</v>
      </c>
      <c r="B14" s="1263">
        <v>5032</v>
      </c>
      <c r="C14" s="1309" t="s">
        <v>1051</v>
      </c>
      <c r="D14" s="1264" t="s">
        <v>553</v>
      </c>
      <c r="E14" s="1265"/>
      <c r="F14" s="1265"/>
      <c r="G14" s="1265"/>
      <c r="H14" s="1266" t="e">
        <f t="shared" si="0"/>
        <v>#DIV/0!</v>
      </c>
    </row>
    <row r="15" spans="1:8" ht="30.75" hidden="1" thickTop="1" x14ac:dyDescent="0.2">
      <c r="A15" s="1262">
        <v>3299</v>
      </c>
      <c r="B15" s="1263">
        <v>5032</v>
      </c>
      <c r="C15" s="1309" t="s">
        <v>1050</v>
      </c>
      <c r="D15" s="1264" t="s">
        <v>553</v>
      </c>
      <c r="E15" s="1265"/>
      <c r="F15" s="1265"/>
      <c r="G15" s="1265"/>
      <c r="H15" s="1266" t="e">
        <f t="shared" si="0"/>
        <v>#DIV/0!</v>
      </c>
    </row>
    <row r="16" spans="1:8" ht="15.75" hidden="1" thickTop="1" x14ac:dyDescent="0.2">
      <c r="A16" s="1262">
        <v>3299</v>
      </c>
      <c r="B16" s="1263">
        <v>5137</v>
      </c>
      <c r="C16" s="2203">
        <v>32133007</v>
      </c>
      <c r="D16" s="1264" t="s">
        <v>88</v>
      </c>
      <c r="E16" s="1265"/>
      <c r="F16" s="1265"/>
      <c r="G16" s="1265"/>
      <c r="H16" s="1266" t="e">
        <f t="shared" si="0"/>
        <v>#DIV/0!</v>
      </c>
    </row>
    <row r="17" spans="1:9" ht="15.75" hidden="1" thickTop="1" x14ac:dyDescent="0.2">
      <c r="A17" s="1262">
        <v>3299</v>
      </c>
      <c r="B17" s="1263">
        <v>5137</v>
      </c>
      <c r="C17" s="2203">
        <v>32533007</v>
      </c>
      <c r="D17" s="1264" t="s">
        <v>88</v>
      </c>
      <c r="E17" s="1265"/>
      <c r="F17" s="1265"/>
      <c r="G17" s="1265"/>
      <c r="H17" s="1266" t="e">
        <f t="shared" si="0"/>
        <v>#DIV/0!</v>
      </c>
    </row>
    <row r="18" spans="1:9" ht="15.75" hidden="1" thickTop="1" x14ac:dyDescent="0.2">
      <c r="A18" s="1262">
        <v>3299</v>
      </c>
      <c r="B18" s="1263">
        <v>5163</v>
      </c>
      <c r="C18" s="2203" t="s">
        <v>1051</v>
      </c>
      <c r="D18" s="1264" t="s">
        <v>452</v>
      </c>
      <c r="E18" s="1265"/>
      <c r="F18" s="1265"/>
      <c r="G18" s="1265"/>
      <c r="H18" s="1266" t="e">
        <f t="shared" si="0"/>
        <v>#DIV/0!</v>
      </c>
    </row>
    <row r="19" spans="1:9" ht="15.75" hidden="1" thickTop="1" x14ac:dyDescent="0.2">
      <c r="A19" s="1262">
        <v>3299</v>
      </c>
      <c r="B19" s="1263">
        <v>5163</v>
      </c>
      <c r="C19" s="2203" t="s">
        <v>1050</v>
      </c>
      <c r="D19" s="1264" t="s">
        <v>452</v>
      </c>
      <c r="E19" s="1265"/>
      <c r="F19" s="1265"/>
      <c r="G19" s="1265"/>
      <c r="H19" s="1266" t="e">
        <f t="shared" si="0"/>
        <v>#DIV/0!</v>
      </c>
    </row>
    <row r="20" spans="1:9" ht="15.75" hidden="1" thickTop="1" x14ac:dyDescent="0.2">
      <c r="A20" s="1262">
        <v>3299</v>
      </c>
      <c r="B20" s="1263">
        <v>5164</v>
      </c>
      <c r="C20" s="2203">
        <v>32133007</v>
      </c>
      <c r="D20" s="1264" t="s">
        <v>101</v>
      </c>
      <c r="E20" s="1265"/>
      <c r="F20" s="1265"/>
      <c r="G20" s="1265"/>
      <c r="H20" s="1266" t="e">
        <f t="shared" si="0"/>
        <v>#DIV/0!</v>
      </c>
    </row>
    <row r="21" spans="1:9" ht="15.75" hidden="1" thickTop="1" x14ac:dyDescent="0.2">
      <c r="A21" s="1262">
        <v>3299</v>
      </c>
      <c r="B21" s="1263">
        <v>5164</v>
      </c>
      <c r="C21" s="2203">
        <v>32533007</v>
      </c>
      <c r="D21" s="1264" t="s">
        <v>101</v>
      </c>
      <c r="E21" s="1265"/>
      <c r="F21" s="1265"/>
      <c r="G21" s="1265"/>
      <c r="H21" s="1266" t="e">
        <f t="shared" si="0"/>
        <v>#DIV/0!</v>
      </c>
    </row>
    <row r="22" spans="1:9" ht="15.75" hidden="1" thickTop="1" x14ac:dyDescent="0.2">
      <c r="A22" s="1262">
        <v>3299</v>
      </c>
      <c r="B22" s="1263">
        <v>5166</v>
      </c>
      <c r="C22" s="2203" t="s">
        <v>1051</v>
      </c>
      <c r="D22" s="1264" t="s">
        <v>317</v>
      </c>
      <c r="E22" s="1265"/>
      <c r="F22" s="1265"/>
      <c r="G22" s="1265"/>
      <c r="H22" s="1266" t="e">
        <f t="shared" si="0"/>
        <v>#DIV/0!</v>
      </c>
    </row>
    <row r="23" spans="1:9" ht="15.75" hidden="1" thickTop="1" x14ac:dyDescent="0.2">
      <c r="A23" s="1262">
        <v>3299</v>
      </c>
      <c r="B23" s="1263">
        <v>5166</v>
      </c>
      <c r="C23" s="2203" t="s">
        <v>1050</v>
      </c>
      <c r="D23" s="1264" t="s">
        <v>317</v>
      </c>
      <c r="E23" s="1265"/>
      <c r="F23" s="1265"/>
      <c r="G23" s="1265"/>
      <c r="H23" s="1266" t="e">
        <f t="shared" si="0"/>
        <v>#DIV/0!</v>
      </c>
    </row>
    <row r="24" spans="1:9" ht="15.75" hidden="1" thickTop="1" x14ac:dyDescent="0.2">
      <c r="A24" s="1262">
        <v>3299</v>
      </c>
      <c r="B24" s="1263">
        <v>5167</v>
      </c>
      <c r="C24" s="2203" t="s">
        <v>1051</v>
      </c>
      <c r="D24" s="1264" t="s">
        <v>455</v>
      </c>
      <c r="E24" s="1265"/>
      <c r="F24" s="1265"/>
      <c r="G24" s="1265"/>
      <c r="H24" s="1266" t="e">
        <f t="shared" si="0"/>
        <v>#DIV/0!</v>
      </c>
    </row>
    <row r="25" spans="1:9" ht="15.75" hidden="1" thickTop="1" x14ac:dyDescent="0.2">
      <c r="A25" s="1262">
        <v>3299</v>
      </c>
      <c r="B25" s="1263">
        <v>5167</v>
      </c>
      <c r="C25" s="2203" t="s">
        <v>1050</v>
      </c>
      <c r="D25" s="1264" t="s">
        <v>455</v>
      </c>
      <c r="E25" s="1265"/>
      <c r="F25" s="1265"/>
      <c r="G25" s="1265"/>
      <c r="H25" s="1266" t="e">
        <f t="shared" si="0"/>
        <v>#DIV/0!</v>
      </c>
    </row>
    <row r="26" spans="1:9" ht="30.75" thickTop="1" x14ac:dyDescent="0.2">
      <c r="A26" s="1262">
        <v>6402</v>
      </c>
      <c r="B26" s="1263">
        <v>5364</v>
      </c>
      <c r="C26" s="2203" t="s">
        <v>882</v>
      </c>
      <c r="D26" s="1264" t="s">
        <v>1022</v>
      </c>
      <c r="E26" s="1265"/>
      <c r="F26" s="1265"/>
      <c r="G26" s="1265"/>
      <c r="H26" s="1266" t="e">
        <f t="shared" si="0"/>
        <v>#DIV/0!</v>
      </c>
    </row>
    <row r="27" spans="1:9" ht="15" x14ac:dyDescent="0.2">
      <c r="A27" s="1262">
        <v>6409</v>
      </c>
      <c r="B27" s="1263">
        <v>5909</v>
      </c>
      <c r="C27" s="2203" t="s">
        <v>871</v>
      </c>
      <c r="D27" s="1264" t="s">
        <v>406</v>
      </c>
      <c r="E27" s="1265"/>
      <c r="F27" s="1265"/>
      <c r="G27" s="1265"/>
      <c r="H27" s="1266">
        <v>0</v>
      </c>
    </row>
    <row r="28" spans="1:9" s="1238" customFormat="1" ht="15.75" thickBot="1" x14ac:dyDescent="0.3">
      <c r="A28" s="1308">
        <v>6330</v>
      </c>
      <c r="B28" s="1279">
        <v>5345</v>
      </c>
      <c r="C28" s="1309" t="s">
        <v>871</v>
      </c>
      <c r="D28" s="1280" t="s">
        <v>397</v>
      </c>
      <c r="E28" s="1310"/>
      <c r="F28" s="1310"/>
      <c r="G28" s="1310"/>
      <c r="H28" s="1268">
        <v>0</v>
      </c>
    </row>
    <row r="29" spans="1:9" ht="16.5" thickTop="1" thickBot="1" x14ac:dyDescent="0.3">
      <c r="A29" s="3317" t="s">
        <v>394</v>
      </c>
      <c r="B29" s="3318"/>
      <c r="C29" s="3318"/>
      <c r="D29" s="3318"/>
      <c r="E29" s="1113">
        <f>SUM(E10:E27)</f>
        <v>0</v>
      </c>
      <c r="F29" s="1113">
        <f>SUM(F10:F28)</f>
        <v>0</v>
      </c>
      <c r="G29" s="1113">
        <f>SUM(G10:G28)</f>
        <v>0</v>
      </c>
      <c r="H29" s="1117" t="e">
        <f>G29/F29*100</f>
        <v>#DIV/0!</v>
      </c>
    </row>
    <row r="30" spans="1:9" ht="13.5" thickTop="1" x14ac:dyDescent="0.2"/>
    <row r="31" spans="1:9" ht="15" x14ac:dyDescent="0.25">
      <c r="A31" s="1229"/>
      <c r="B31" s="1243"/>
      <c r="C31" s="1243"/>
      <c r="D31" s="1243"/>
      <c r="F31" s="1244"/>
      <c r="G31" s="1244"/>
      <c r="H31" s="1245"/>
      <c r="I31" s="1311"/>
    </row>
    <row r="35" spans="1:12" ht="16.5" x14ac:dyDescent="0.25">
      <c r="A35" s="1285" t="s">
        <v>251</v>
      </c>
      <c r="B35" s="1286"/>
      <c r="C35" s="1287"/>
      <c r="D35" s="1288"/>
      <c r="E35" s="1289">
        <f>SUM(E36:E38)</f>
        <v>0</v>
      </c>
      <c r="F35" s="1289">
        <f>F36+F37+F38+F39</f>
        <v>0</v>
      </c>
      <c r="G35" s="1289">
        <f>G36+G37+G38+G39</f>
        <v>0</v>
      </c>
      <c r="H35" s="1290" t="e">
        <f>G35/F35*100</f>
        <v>#DIV/0!</v>
      </c>
      <c r="J35" s="1291">
        <f>J36+J37+J38</f>
        <v>0</v>
      </c>
      <c r="K35" s="1291">
        <f>K36+K37+K38</f>
        <v>0</v>
      </c>
      <c r="L35" s="1291">
        <f>L36+L37+L38</f>
        <v>0</v>
      </c>
    </row>
    <row r="36" spans="1:12" ht="15" x14ac:dyDescent="0.2">
      <c r="A36" s="1292" t="s">
        <v>147</v>
      </c>
      <c r="B36" s="1293"/>
      <c r="C36" s="1294"/>
      <c r="D36" s="1295"/>
      <c r="E36" s="1296">
        <f>E10+E11+E12+E13+E14+E15+E16+E17+E18+E19+E20+E21+E22+E23+E24+E25+E26+E27</f>
        <v>0</v>
      </c>
      <c r="F36" s="1296">
        <f>F10+F11+F12+F13+F14+F15+F16+F17+F18+F19+F20+F21+F22+F23+F24+F25+F26+F27</f>
        <v>0</v>
      </c>
      <c r="G36" s="1296">
        <f>G10+G11+G12+G13+G14+G15+G16+G17+G18+G19+G20+G21+G22+G23+G24+G25+G26+G27</f>
        <v>0</v>
      </c>
      <c r="H36" s="1297" t="e">
        <f>G36/F36*100</f>
        <v>#DIV/0!</v>
      </c>
      <c r="J36" s="1298">
        <v>0</v>
      </c>
      <c r="K36" s="1298">
        <v>0</v>
      </c>
      <c r="L36" s="1298">
        <v>0</v>
      </c>
    </row>
    <row r="37" spans="1:12" ht="15" x14ac:dyDescent="0.2">
      <c r="A37" s="1292" t="s">
        <v>148</v>
      </c>
      <c r="B37" s="1299"/>
      <c r="C37" s="1294"/>
      <c r="D37" s="1300"/>
      <c r="E37" s="1296">
        <v>0</v>
      </c>
      <c r="F37" s="1296">
        <v>0</v>
      </c>
      <c r="G37" s="1296">
        <v>0</v>
      </c>
      <c r="H37" s="1297">
        <v>0</v>
      </c>
      <c r="J37" s="1298">
        <v>0</v>
      </c>
      <c r="K37" s="1298">
        <v>0</v>
      </c>
      <c r="L37" s="1298">
        <v>0</v>
      </c>
    </row>
    <row r="38" spans="1:12" ht="15" x14ac:dyDescent="0.2">
      <c r="A38" s="1292" t="s">
        <v>252</v>
      </c>
      <c r="B38" s="1299"/>
      <c r="C38" s="1294"/>
      <c r="D38" s="1300"/>
      <c r="E38" s="1296">
        <v>0</v>
      </c>
      <c r="F38" s="1296">
        <v>0</v>
      </c>
      <c r="G38" s="1296">
        <f>G28</f>
        <v>0</v>
      </c>
      <c r="H38" s="1297">
        <v>0</v>
      </c>
      <c r="J38" s="1298">
        <v>0</v>
      </c>
      <c r="K38" s="1298">
        <v>0</v>
      </c>
      <c r="L38" s="1298">
        <v>0</v>
      </c>
    </row>
    <row r="39" spans="1:12" ht="16.5" customHeight="1" x14ac:dyDescent="0.2">
      <c r="A39" s="1292"/>
      <c r="B39" s="1299"/>
      <c r="C39" s="1294"/>
      <c r="D39" s="1300"/>
      <c r="E39" s="1296"/>
      <c r="F39" s="1296"/>
      <c r="G39" s="1296"/>
      <c r="H39" s="1301"/>
    </row>
    <row r="40" spans="1:12" ht="69.75" customHeight="1" thickBot="1" x14ac:dyDescent="0.4">
      <c r="A40" s="3321" t="s">
        <v>680</v>
      </c>
      <c r="B40" s="3287"/>
      <c r="C40" s="3287"/>
      <c r="D40" s="3287"/>
      <c r="E40" s="1302">
        <f>SUM(E35)</f>
        <v>0</v>
      </c>
      <c r="F40" s="1302">
        <f>SUM(F35)</f>
        <v>0</v>
      </c>
      <c r="G40" s="1302">
        <f>SUM(G35)</f>
        <v>0</v>
      </c>
      <c r="H40" s="1303" t="e">
        <f>G40/F40*100</f>
        <v>#DIV/0!</v>
      </c>
    </row>
    <row r="41" spans="1:12" ht="13.5" thickTop="1" x14ac:dyDescent="0.2"/>
  </sheetData>
  <mergeCells count="2">
    <mergeCell ref="A29:D29"/>
    <mergeCell ref="A40:D40"/>
  </mergeCells>
  <pageMargins left="0.70866141732283472" right="0.70866141732283472" top="0.78740157480314965" bottom="0.78740157480314965" header="0.31496062992125984" footer="0.31496062992125984"/>
  <pageSetup paperSize="9" scale="70" firstPageNumber="149" orientation="portrait" useFirstPageNumber="1" r:id="rId1"/>
  <headerFooter>
    <oddFooter>&amp;L&amp;"Arial,Kurzíva"Zastupitelstvo Olomouckého kraje 19. 6. 2017
5.1. - Rozpočet Olomouckého kraje 2016 - závěrečný účet 
Příloha č. 3: Plnění rozpočtu výdajů Olomouckého kraje k 31. 12. 2016&amp;R&amp;"Arial,Kurzíva"Strana &amp;P (celkem 500)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FF"/>
  </sheetPr>
  <dimension ref="A1:L193"/>
  <sheetViews>
    <sheetView view="pageBreakPreview" zoomScaleNormal="100" zoomScaleSheetLayoutView="100" workbookViewId="0">
      <selection activeCell="N62" sqref="N62"/>
    </sheetView>
  </sheetViews>
  <sheetFormatPr defaultRowHeight="12.75" x14ac:dyDescent="0.2"/>
  <cols>
    <col min="1" max="1" width="4.7109375" style="1243" customWidth="1"/>
    <col min="2" max="2" width="6.7109375" style="1243" customWidth="1"/>
    <col min="3" max="3" width="9.5703125" style="1243" customWidth="1"/>
    <col min="4" max="4" width="46.42578125" style="1236" customWidth="1"/>
    <col min="5" max="5" width="15.42578125" style="1244" customWidth="1"/>
    <col min="6" max="6" width="15.5703125" style="1244" customWidth="1"/>
    <col min="7" max="7" width="15.85546875" style="1244" customWidth="1"/>
    <col min="8" max="8" width="8.85546875" style="1236" customWidth="1"/>
    <col min="9" max="9" width="14.28515625" style="1236" bestFit="1" customWidth="1"/>
    <col min="10" max="10" width="9.140625" style="1236"/>
    <col min="11" max="11" width="12.7109375" style="1236" bestFit="1" customWidth="1"/>
    <col min="12" max="12" width="13.140625" style="1236" customWidth="1"/>
    <col min="13" max="256" width="9.140625" style="1236"/>
    <col min="257" max="257" width="4.7109375" style="1236" customWidth="1"/>
    <col min="258" max="258" width="6.7109375" style="1236" customWidth="1"/>
    <col min="259" max="259" width="8.85546875" style="1236" customWidth="1"/>
    <col min="260" max="260" width="46.42578125" style="1236" customWidth="1"/>
    <col min="261" max="261" width="12.85546875" style="1236" customWidth="1"/>
    <col min="262" max="262" width="15.5703125" style="1236" customWidth="1"/>
    <col min="263" max="263" width="15.85546875" style="1236" customWidth="1"/>
    <col min="264" max="264" width="6.42578125" style="1236" customWidth="1"/>
    <col min="265" max="265" width="14.28515625" style="1236" bestFit="1" customWidth="1"/>
    <col min="266" max="266" width="9.140625" style="1236"/>
    <col min="267" max="267" width="12.7109375" style="1236" bestFit="1" customWidth="1"/>
    <col min="268" max="268" width="13.140625" style="1236" customWidth="1"/>
    <col min="269" max="512" width="9.140625" style="1236"/>
    <col min="513" max="513" width="4.7109375" style="1236" customWidth="1"/>
    <col min="514" max="514" width="6.7109375" style="1236" customWidth="1"/>
    <col min="515" max="515" width="8.85546875" style="1236" customWidth="1"/>
    <col min="516" max="516" width="46.42578125" style="1236" customWidth="1"/>
    <col min="517" max="517" width="12.85546875" style="1236" customWidth="1"/>
    <col min="518" max="518" width="15.5703125" style="1236" customWidth="1"/>
    <col min="519" max="519" width="15.85546875" style="1236" customWidth="1"/>
    <col min="520" max="520" width="6.42578125" style="1236" customWidth="1"/>
    <col min="521" max="521" width="14.28515625" style="1236" bestFit="1" customWidth="1"/>
    <col min="522" max="522" width="9.140625" style="1236"/>
    <col min="523" max="523" width="12.7109375" style="1236" bestFit="1" customWidth="1"/>
    <col min="524" max="524" width="13.140625" style="1236" customWidth="1"/>
    <col min="525" max="768" width="9.140625" style="1236"/>
    <col min="769" max="769" width="4.7109375" style="1236" customWidth="1"/>
    <col min="770" max="770" width="6.7109375" style="1236" customWidth="1"/>
    <col min="771" max="771" width="8.85546875" style="1236" customWidth="1"/>
    <col min="772" max="772" width="46.42578125" style="1236" customWidth="1"/>
    <col min="773" max="773" width="12.85546875" style="1236" customWidth="1"/>
    <col min="774" max="774" width="15.5703125" style="1236" customWidth="1"/>
    <col min="775" max="775" width="15.85546875" style="1236" customWidth="1"/>
    <col min="776" max="776" width="6.42578125" style="1236" customWidth="1"/>
    <col min="777" max="777" width="14.28515625" style="1236" bestFit="1" customWidth="1"/>
    <col min="778" max="778" width="9.140625" style="1236"/>
    <col min="779" max="779" width="12.7109375" style="1236" bestFit="1" customWidth="1"/>
    <col min="780" max="780" width="13.140625" style="1236" customWidth="1"/>
    <col min="781" max="1024" width="9.140625" style="1236"/>
    <col min="1025" max="1025" width="4.7109375" style="1236" customWidth="1"/>
    <col min="1026" max="1026" width="6.7109375" style="1236" customWidth="1"/>
    <col min="1027" max="1027" width="8.85546875" style="1236" customWidth="1"/>
    <col min="1028" max="1028" width="46.42578125" style="1236" customWidth="1"/>
    <col min="1029" max="1029" width="12.85546875" style="1236" customWidth="1"/>
    <col min="1030" max="1030" width="15.5703125" style="1236" customWidth="1"/>
    <col min="1031" max="1031" width="15.85546875" style="1236" customWidth="1"/>
    <col min="1032" max="1032" width="6.42578125" style="1236" customWidth="1"/>
    <col min="1033" max="1033" width="14.28515625" style="1236" bestFit="1" customWidth="1"/>
    <col min="1034" max="1034" width="9.140625" style="1236"/>
    <col min="1035" max="1035" width="12.7109375" style="1236" bestFit="1" customWidth="1"/>
    <col min="1036" max="1036" width="13.140625" style="1236" customWidth="1"/>
    <col min="1037" max="1280" width="9.140625" style="1236"/>
    <col min="1281" max="1281" width="4.7109375" style="1236" customWidth="1"/>
    <col min="1282" max="1282" width="6.7109375" style="1236" customWidth="1"/>
    <col min="1283" max="1283" width="8.85546875" style="1236" customWidth="1"/>
    <col min="1284" max="1284" width="46.42578125" style="1236" customWidth="1"/>
    <col min="1285" max="1285" width="12.85546875" style="1236" customWidth="1"/>
    <col min="1286" max="1286" width="15.5703125" style="1236" customWidth="1"/>
    <col min="1287" max="1287" width="15.85546875" style="1236" customWidth="1"/>
    <col min="1288" max="1288" width="6.42578125" style="1236" customWidth="1"/>
    <col min="1289" max="1289" width="14.28515625" style="1236" bestFit="1" customWidth="1"/>
    <col min="1290" max="1290" width="9.140625" style="1236"/>
    <col min="1291" max="1291" width="12.7109375" style="1236" bestFit="1" customWidth="1"/>
    <col min="1292" max="1292" width="13.140625" style="1236" customWidth="1"/>
    <col min="1293" max="1536" width="9.140625" style="1236"/>
    <col min="1537" max="1537" width="4.7109375" style="1236" customWidth="1"/>
    <col min="1538" max="1538" width="6.7109375" style="1236" customWidth="1"/>
    <col min="1539" max="1539" width="8.85546875" style="1236" customWidth="1"/>
    <col min="1540" max="1540" width="46.42578125" style="1236" customWidth="1"/>
    <col min="1541" max="1541" width="12.85546875" style="1236" customWidth="1"/>
    <col min="1542" max="1542" width="15.5703125" style="1236" customWidth="1"/>
    <col min="1543" max="1543" width="15.85546875" style="1236" customWidth="1"/>
    <col min="1544" max="1544" width="6.42578125" style="1236" customWidth="1"/>
    <col min="1545" max="1545" width="14.28515625" style="1236" bestFit="1" customWidth="1"/>
    <col min="1546" max="1546" width="9.140625" style="1236"/>
    <col min="1547" max="1547" width="12.7109375" style="1236" bestFit="1" customWidth="1"/>
    <col min="1548" max="1548" width="13.140625" style="1236" customWidth="1"/>
    <col min="1549" max="1792" width="9.140625" style="1236"/>
    <col min="1793" max="1793" width="4.7109375" style="1236" customWidth="1"/>
    <col min="1794" max="1794" width="6.7109375" style="1236" customWidth="1"/>
    <col min="1795" max="1795" width="8.85546875" style="1236" customWidth="1"/>
    <col min="1796" max="1796" width="46.42578125" style="1236" customWidth="1"/>
    <col min="1797" max="1797" width="12.85546875" style="1236" customWidth="1"/>
    <col min="1798" max="1798" width="15.5703125" style="1236" customWidth="1"/>
    <col min="1799" max="1799" width="15.85546875" style="1236" customWidth="1"/>
    <col min="1800" max="1800" width="6.42578125" style="1236" customWidth="1"/>
    <col min="1801" max="1801" width="14.28515625" style="1236" bestFit="1" customWidth="1"/>
    <col min="1802" max="1802" width="9.140625" style="1236"/>
    <col min="1803" max="1803" width="12.7109375" style="1236" bestFit="1" customWidth="1"/>
    <col min="1804" max="1804" width="13.140625" style="1236" customWidth="1"/>
    <col min="1805" max="2048" width="9.140625" style="1236"/>
    <col min="2049" max="2049" width="4.7109375" style="1236" customWidth="1"/>
    <col min="2050" max="2050" width="6.7109375" style="1236" customWidth="1"/>
    <col min="2051" max="2051" width="8.85546875" style="1236" customWidth="1"/>
    <col min="2052" max="2052" width="46.42578125" style="1236" customWidth="1"/>
    <col min="2053" max="2053" width="12.85546875" style="1236" customWidth="1"/>
    <col min="2054" max="2054" width="15.5703125" style="1236" customWidth="1"/>
    <col min="2055" max="2055" width="15.85546875" style="1236" customWidth="1"/>
    <col min="2056" max="2056" width="6.42578125" style="1236" customWidth="1"/>
    <col min="2057" max="2057" width="14.28515625" style="1236" bestFit="1" customWidth="1"/>
    <col min="2058" max="2058" width="9.140625" style="1236"/>
    <col min="2059" max="2059" width="12.7109375" style="1236" bestFit="1" customWidth="1"/>
    <col min="2060" max="2060" width="13.140625" style="1236" customWidth="1"/>
    <col min="2061" max="2304" width="9.140625" style="1236"/>
    <col min="2305" max="2305" width="4.7109375" style="1236" customWidth="1"/>
    <col min="2306" max="2306" width="6.7109375" style="1236" customWidth="1"/>
    <col min="2307" max="2307" width="8.85546875" style="1236" customWidth="1"/>
    <col min="2308" max="2308" width="46.42578125" style="1236" customWidth="1"/>
    <col min="2309" max="2309" width="12.85546875" style="1236" customWidth="1"/>
    <col min="2310" max="2310" width="15.5703125" style="1236" customWidth="1"/>
    <col min="2311" max="2311" width="15.85546875" style="1236" customWidth="1"/>
    <col min="2312" max="2312" width="6.42578125" style="1236" customWidth="1"/>
    <col min="2313" max="2313" width="14.28515625" style="1236" bestFit="1" customWidth="1"/>
    <col min="2314" max="2314" width="9.140625" style="1236"/>
    <col min="2315" max="2315" width="12.7109375" style="1236" bestFit="1" customWidth="1"/>
    <col min="2316" max="2316" width="13.140625" style="1236" customWidth="1"/>
    <col min="2317" max="2560" width="9.140625" style="1236"/>
    <col min="2561" max="2561" width="4.7109375" style="1236" customWidth="1"/>
    <col min="2562" max="2562" width="6.7109375" style="1236" customWidth="1"/>
    <col min="2563" max="2563" width="8.85546875" style="1236" customWidth="1"/>
    <col min="2564" max="2564" width="46.42578125" style="1236" customWidth="1"/>
    <col min="2565" max="2565" width="12.85546875" style="1236" customWidth="1"/>
    <col min="2566" max="2566" width="15.5703125" style="1236" customWidth="1"/>
    <col min="2567" max="2567" width="15.85546875" style="1236" customWidth="1"/>
    <col min="2568" max="2568" width="6.42578125" style="1236" customWidth="1"/>
    <col min="2569" max="2569" width="14.28515625" style="1236" bestFit="1" customWidth="1"/>
    <col min="2570" max="2570" width="9.140625" style="1236"/>
    <col min="2571" max="2571" width="12.7109375" style="1236" bestFit="1" customWidth="1"/>
    <col min="2572" max="2572" width="13.140625" style="1236" customWidth="1"/>
    <col min="2573" max="2816" width="9.140625" style="1236"/>
    <col min="2817" max="2817" width="4.7109375" style="1236" customWidth="1"/>
    <col min="2818" max="2818" width="6.7109375" style="1236" customWidth="1"/>
    <col min="2819" max="2819" width="8.85546875" style="1236" customWidth="1"/>
    <col min="2820" max="2820" width="46.42578125" style="1236" customWidth="1"/>
    <col min="2821" max="2821" width="12.85546875" style="1236" customWidth="1"/>
    <col min="2822" max="2822" width="15.5703125" style="1236" customWidth="1"/>
    <col min="2823" max="2823" width="15.85546875" style="1236" customWidth="1"/>
    <col min="2824" max="2824" width="6.42578125" style="1236" customWidth="1"/>
    <col min="2825" max="2825" width="14.28515625" style="1236" bestFit="1" customWidth="1"/>
    <col min="2826" max="2826" width="9.140625" style="1236"/>
    <col min="2827" max="2827" width="12.7109375" style="1236" bestFit="1" customWidth="1"/>
    <col min="2828" max="2828" width="13.140625" style="1236" customWidth="1"/>
    <col min="2829" max="3072" width="9.140625" style="1236"/>
    <col min="3073" max="3073" width="4.7109375" style="1236" customWidth="1"/>
    <col min="3074" max="3074" width="6.7109375" style="1236" customWidth="1"/>
    <col min="3075" max="3075" width="8.85546875" style="1236" customWidth="1"/>
    <col min="3076" max="3076" width="46.42578125" style="1236" customWidth="1"/>
    <col min="3077" max="3077" width="12.85546875" style="1236" customWidth="1"/>
    <col min="3078" max="3078" width="15.5703125" style="1236" customWidth="1"/>
    <col min="3079" max="3079" width="15.85546875" style="1236" customWidth="1"/>
    <col min="3080" max="3080" width="6.42578125" style="1236" customWidth="1"/>
    <col min="3081" max="3081" width="14.28515625" style="1236" bestFit="1" customWidth="1"/>
    <col min="3082" max="3082" width="9.140625" style="1236"/>
    <col min="3083" max="3083" width="12.7109375" style="1236" bestFit="1" customWidth="1"/>
    <col min="3084" max="3084" width="13.140625" style="1236" customWidth="1"/>
    <col min="3085" max="3328" width="9.140625" style="1236"/>
    <col min="3329" max="3329" width="4.7109375" style="1236" customWidth="1"/>
    <col min="3330" max="3330" width="6.7109375" style="1236" customWidth="1"/>
    <col min="3331" max="3331" width="8.85546875" style="1236" customWidth="1"/>
    <col min="3332" max="3332" width="46.42578125" style="1236" customWidth="1"/>
    <col min="3333" max="3333" width="12.85546875" style="1236" customWidth="1"/>
    <col min="3334" max="3334" width="15.5703125" style="1236" customWidth="1"/>
    <col min="3335" max="3335" width="15.85546875" style="1236" customWidth="1"/>
    <col min="3336" max="3336" width="6.42578125" style="1236" customWidth="1"/>
    <col min="3337" max="3337" width="14.28515625" style="1236" bestFit="1" customWidth="1"/>
    <col min="3338" max="3338" width="9.140625" style="1236"/>
    <col min="3339" max="3339" width="12.7109375" style="1236" bestFit="1" customWidth="1"/>
    <col min="3340" max="3340" width="13.140625" style="1236" customWidth="1"/>
    <col min="3341" max="3584" width="9.140625" style="1236"/>
    <col min="3585" max="3585" width="4.7109375" style="1236" customWidth="1"/>
    <col min="3586" max="3586" width="6.7109375" style="1236" customWidth="1"/>
    <col min="3587" max="3587" width="8.85546875" style="1236" customWidth="1"/>
    <col min="3588" max="3588" width="46.42578125" style="1236" customWidth="1"/>
    <col min="3589" max="3589" width="12.85546875" style="1236" customWidth="1"/>
    <col min="3590" max="3590" width="15.5703125" style="1236" customWidth="1"/>
    <col min="3591" max="3591" width="15.85546875" style="1236" customWidth="1"/>
    <col min="3592" max="3592" width="6.42578125" style="1236" customWidth="1"/>
    <col min="3593" max="3593" width="14.28515625" style="1236" bestFit="1" customWidth="1"/>
    <col min="3594" max="3594" width="9.140625" style="1236"/>
    <col min="3595" max="3595" width="12.7109375" style="1236" bestFit="1" customWidth="1"/>
    <col min="3596" max="3596" width="13.140625" style="1236" customWidth="1"/>
    <col min="3597" max="3840" width="9.140625" style="1236"/>
    <col min="3841" max="3841" width="4.7109375" style="1236" customWidth="1"/>
    <col min="3842" max="3842" width="6.7109375" style="1236" customWidth="1"/>
    <col min="3843" max="3843" width="8.85546875" style="1236" customWidth="1"/>
    <col min="3844" max="3844" width="46.42578125" style="1236" customWidth="1"/>
    <col min="3845" max="3845" width="12.85546875" style="1236" customWidth="1"/>
    <col min="3846" max="3846" width="15.5703125" style="1236" customWidth="1"/>
    <col min="3847" max="3847" width="15.85546875" style="1236" customWidth="1"/>
    <col min="3848" max="3848" width="6.42578125" style="1236" customWidth="1"/>
    <col min="3849" max="3849" width="14.28515625" style="1236" bestFit="1" customWidth="1"/>
    <col min="3850" max="3850" width="9.140625" style="1236"/>
    <col min="3851" max="3851" width="12.7109375" style="1236" bestFit="1" customWidth="1"/>
    <col min="3852" max="3852" width="13.140625" style="1236" customWidth="1"/>
    <col min="3853" max="4096" width="9.140625" style="1236"/>
    <col min="4097" max="4097" width="4.7109375" style="1236" customWidth="1"/>
    <col min="4098" max="4098" width="6.7109375" style="1236" customWidth="1"/>
    <col min="4099" max="4099" width="8.85546875" style="1236" customWidth="1"/>
    <col min="4100" max="4100" width="46.42578125" style="1236" customWidth="1"/>
    <col min="4101" max="4101" width="12.85546875" style="1236" customWidth="1"/>
    <col min="4102" max="4102" width="15.5703125" style="1236" customWidth="1"/>
    <col min="4103" max="4103" width="15.85546875" style="1236" customWidth="1"/>
    <col min="4104" max="4104" width="6.42578125" style="1236" customWidth="1"/>
    <col min="4105" max="4105" width="14.28515625" style="1236" bestFit="1" customWidth="1"/>
    <col min="4106" max="4106" width="9.140625" style="1236"/>
    <col min="4107" max="4107" width="12.7109375" style="1236" bestFit="1" customWidth="1"/>
    <col min="4108" max="4108" width="13.140625" style="1236" customWidth="1"/>
    <col min="4109" max="4352" width="9.140625" style="1236"/>
    <col min="4353" max="4353" width="4.7109375" style="1236" customWidth="1"/>
    <col min="4354" max="4354" width="6.7109375" style="1236" customWidth="1"/>
    <col min="4355" max="4355" width="8.85546875" style="1236" customWidth="1"/>
    <col min="4356" max="4356" width="46.42578125" style="1236" customWidth="1"/>
    <col min="4357" max="4357" width="12.85546875" style="1236" customWidth="1"/>
    <col min="4358" max="4358" width="15.5703125" style="1236" customWidth="1"/>
    <col min="4359" max="4359" width="15.85546875" style="1236" customWidth="1"/>
    <col min="4360" max="4360" width="6.42578125" style="1236" customWidth="1"/>
    <col min="4361" max="4361" width="14.28515625" style="1236" bestFit="1" customWidth="1"/>
    <col min="4362" max="4362" width="9.140625" style="1236"/>
    <col min="4363" max="4363" width="12.7109375" style="1236" bestFit="1" customWidth="1"/>
    <col min="4364" max="4364" width="13.140625" style="1236" customWidth="1"/>
    <col min="4365" max="4608" width="9.140625" style="1236"/>
    <col min="4609" max="4609" width="4.7109375" style="1236" customWidth="1"/>
    <col min="4610" max="4610" width="6.7109375" style="1236" customWidth="1"/>
    <col min="4611" max="4611" width="8.85546875" style="1236" customWidth="1"/>
    <col min="4612" max="4612" width="46.42578125" style="1236" customWidth="1"/>
    <col min="4613" max="4613" width="12.85546875" style="1236" customWidth="1"/>
    <col min="4614" max="4614" width="15.5703125" style="1236" customWidth="1"/>
    <col min="4615" max="4615" width="15.85546875" style="1236" customWidth="1"/>
    <col min="4616" max="4616" width="6.42578125" style="1236" customWidth="1"/>
    <col min="4617" max="4617" width="14.28515625" style="1236" bestFit="1" customWidth="1"/>
    <col min="4618" max="4618" width="9.140625" style="1236"/>
    <col min="4619" max="4619" width="12.7109375" style="1236" bestFit="1" customWidth="1"/>
    <col min="4620" max="4620" width="13.140625" style="1236" customWidth="1"/>
    <col min="4621" max="4864" width="9.140625" style="1236"/>
    <col min="4865" max="4865" width="4.7109375" style="1236" customWidth="1"/>
    <col min="4866" max="4866" width="6.7109375" style="1236" customWidth="1"/>
    <col min="4867" max="4867" width="8.85546875" style="1236" customWidth="1"/>
    <col min="4868" max="4868" width="46.42578125" style="1236" customWidth="1"/>
    <col min="4869" max="4869" width="12.85546875" style="1236" customWidth="1"/>
    <col min="4870" max="4870" width="15.5703125" style="1236" customWidth="1"/>
    <col min="4871" max="4871" width="15.85546875" style="1236" customWidth="1"/>
    <col min="4872" max="4872" width="6.42578125" style="1236" customWidth="1"/>
    <col min="4873" max="4873" width="14.28515625" style="1236" bestFit="1" customWidth="1"/>
    <col min="4874" max="4874" width="9.140625" style="1236"/>
    <col min="4875" max="4875" width="12.7109375" style="1236" bestFit="1" customWidth="1"/>
    <col min="4876" max="4876" width="13.140625" style="1236" customWidth="1"/>
    <col min="4877" max="5120" width="9.140625" style="1236"/>
    <col min="5121" max="5121" width="4.7109375" style="1236" customWidth="1"/>
    <col min="5122" max="5122" width="6.7109375" style="1236" customWidth="1"/>
    <col min="5123" max="5123" width="8.85546875" style="1236" customWidth="1"/>
    <col min="5124" max="5124" width="46.42578125" style="1236" customWidth="1"/>
    <col min="5125" max="5125" width="12.85546875" style="1236" customWidth="1"/>
    <col min="5126" max="5126" width="15.5703125" style="1236" customWidth="1"/>
    <col min="5127" max="5127" width="15.85546875" style="1236" customWidth="1"/>
    <col min="5128" max="5128" width="6.42578125" style="1236" customWidth="1"/>
    <col min="5129" max="5129" width="14.28515625" style="1236" bestFit="1" customWidth="1"/>
    <col min="5130" max="5130" width="9.140625" style="1236"/>
    <col min="5131" max="5131" width="12.7109375" style="1236" bestFit="1" customWidth="1"/>
    <col min="5132" max="5132" width="13.140625" style="1236" customWidth="1"/>
    <col min="5133" max="5376" width="9.140625" style="1236"/>
    <col min="5377" max="5377" width="4.7109375" style="1236" customWidth="1"/>
    <col min="5378" max="5378" width="6.7109375" style="1236" customWidth="1"/>
    <col min="5379" max="5379" width="8.85546875" style="1236" customWidth="1"/>
    <col min="5380" max="5380" width="46.42578125" style="1236" customWidth="1"/>
    <col min="5381" max="5381" width="12.85546875" style="1236" customWidth="1"/>
    <col min="5382" max="5382" width="15.5703125" style="1236" customWidth="1"/>
    <col min="5383" max="5383" width="15.85546875" style="1236" customWidth="1"/>
    <col min="5384" max="5384" width="6.42578125" style="1236" customWidth="1"/>
    <col min="5385" max="5385" width="14.28515625" style="1236" bestFit="1" customWidth="1"/>
    <col min="5386" max="5386" width="9.140625" style="1236"/>
    <col min="5387" max="5387" width="12.7109375" style="1236" bestFit="1" customWidth="1"/>
    <col min="5388" max="5388" width="13.140625" style="1236" customWidth="1"/>
    <col min="5389" max="5632" width="9.140625" style="1236"/>
    <col min="5633" max="5633" width="4.7109375" style="1236" customWidth="1"/>
    <col min="5634" max="5634" width="6.7109375" style="1236" customWidth="1"/>
    <col min="5635" max="5635" width="8.85546875" style="1236" customWidth="1"/>
    <col min="5636" max="5636" width="46.42578125" style="1236" customWidth="1"/>
    <col min="5637" max="5637" width="12.85546875" style="1236" customWidth="1"/>
    <col min="5638" max="5638" width="15.5703125" style="1236" customWidth="1"/>
    <col min="5639" max="5639" width="15.85546875" style="1236" customWidth="1"/>
    <col min="5640" max="5640" width="6.42578125" style="1236" customWidth="1"/>
    <col min="5641" max="5641" width="14.28515625" style="1236" bestFit="1" customWidth="1"/>
    <col min="5642" max="5642" width="9.140625" style="1236"/>
    <col min="5643" max="5643" width="12.7109375" style="1236" bestFit="1" customWidth="1"/>
    <col min="5644" max="5644" width="13.140625" style="1236" customWidth="1"/>
    <col min="5645" max="5888" width="9.140625" style="1236"/>
    <col min="5889" max="5889" width="4.7109375" style="1236" customWidth="1"/>
    <col min="5890" max="5890" width="6.7109375" style="1236" customWidth="1"/>
    <col min="5891" max="5891" width="8.85546875" style="1236" customWidth="1"/>
    <col min="5892" max="5892" width="46.42578125" style="1236" customWidth="1"/>
    <col min="5893" max="5893" width="12.85546875" style="1236" customWidth="1"/>
    <col min="5894" max="5894" width="15.5703125" style="1236" customWidth="1"/>
    <col min="5895" max="5895" width="15.85546875" style="1236" customWidth="1"/>
    <col min="5896" max="5896" width="6.42578125" style="1236" customWidth="1"/>
    <col min="5897" max="5897" width="14.28515625" style="1236" bestFit="1" customWidth="1"/>
    <col min="5898" max="5898" width="9.140625" style="1236"/>
    <col min="5899" max="5899" width="12.7109375" style="1236" bestFit="1" customWidth="1"/>
    <col min="5900" max="5900" width="13.140625" style="1236" customWidth="1"/>
    <col min="5901" max="6144" width="9.140625" style="1236"/>
    <col min="6145" max="6145" width="4.7109375" style="1236" customWidth="1"/>
    <col min="6146" max="6146" width="6.7109375" style="1236" customWidth="1"/>
    <col min="6147" max="6147" width="8.85546875" style="1236" customWidth="1"/>
    <col min="6148" max="6148" width="46.42578125" style="1236" customWidth="1"/>
    <col min="6149" max="6149" width="12.85546875" style="1236" customWidth="1"/>
    <col min="6150" max="6150" width="15.5703125" style="1236" customWidth="1"/>
    <col min="6151" max="6151" width="15.85546875" style="1236" customWidth="1"/>
    <col min="6152" max="6152" width="6.42578125" style="1236" customWidth="1"/>
    <col min="6153" max="6153" width="14.28515625" style="1236" bestFit="1" customWidth="1"/>
    <col min="6154" max="6154" width="9.140625" style="1236"/>
    <col min="6155" max="6155" width="12.7109375" style="1236" bestFit="1" customWidth="1"/>
    <col min="6156" max="6156" width="13.140625" style="1236" customWidth="1"/>
    <col min="6157" max="6400" width="9.140625" style="1236"/>
    <col min="6401" max="6401" width="4.7109375" style="1236" customWidth="1"/>
    <col min="6402" max="6402" width="6.7109375" style="1236" customWidth="1"/>
    <col min="6403" max="6403" width="8.85546875" style="1236" customWidth="1"/>
    <col min="6404" max="6404" width="46.42578125" style="1236" customWidth="1"/>
    <col min="6405" max="6405" width="12.85546875" style="1236" customWidth="1"/>
    <col min="6406" max="6406" width="15.5703125" style="1236" customWidth="1"/>
    <col min="6407" max="6407" width="15.85546875" style="1236" customWidth="1"/>
    <col min="6408" max="6408" width="6.42578125" style="1236" customWidth="1"/>
    <col min="6409" max="6409" width="14.28515625" style="1236" bestFit="1" customWidth="1"/>
    <col min="6410" max="6410" width="9.140625" style="1236"/>
    <col min="6411" max="6411" width="12.7109375" style="1236" bestFit="1" customWidth="1"/>
    <col min="6412" max="6412" width="13.140625" style="1236" customWidth="1"/>
    <col min="6413" max="6656" width="9.140625" style="1236"/>
    <col min="6657" max="6657" width="4.7109375" style="1236" customWidth="1"/>
    <col min="6658" max="6658" width="6.7109375" style="1236" customWidth="1"/>
    <col min="6659" max="6659" width="8.85546875" style="1236" customWidth="1"/>
    <col min="6660" max="6660" width="46.42578125" style="1236" customWidth="1"/>
    <col min="6661" max="6661" width="12.85546875" style="1236" customWidth="1"/>
    <col min="6662" max="6662" width="15.5703125" style="1236" customWidth="1"/>
    <col min="6663" max="6663" width="15.85546875" style="1236" customWidth="1"/>
    <col min="6664" max="6664" width="6.42578125" style="1236" customWidth="1"/>
    <col min="6665" max="6665" width="14.28515625" style="1236" bestFit="1" customWidth="1"/>
    <col min="6666" max="6666" width="9.140625" style="1236"/>
    <col min="6667" max="6667" width="12.7109375" style="1236" bestFit="1" customWidth="1"/>
    <col min="6668" max="6668" width="13.140625" style="1236" customWidth="1"/>
    <col min="6669" max="6912" width="9.140625" style="1236"/>
    <col min="6913" max="6913" width="4.7109375" style="1236" customWidth="1"/>
    <col min="6914" max="6914" width="6.7109375" style="1236" customWidth="1"/>
    <col min="6915" max="6915" width="8.85546875" style="1236" customWidth="1"/>
    <col min="6916" max="6916" width="46.42578125" style="1236" customWidth="1"/>
    <col min="6917" max="6917" width="12.85546875" style="1236" customWidth="1"/>
    <col min="6918" max="6918" width="15.5703125" style="1236" customWidth="1"/>
    <col min="6919" max="6919" width="15.85546875" style="1236" customWidth="1"/>
    <col min="6920" max="6920" width="6.42578125" style="1236" customWidth="1"/>
    <col min="6921" max="6921" width="14.28515625" style="1236" bestFit="1" customWidth="1"/>
    <col min="6922" max="6922" width="9.140625" style="1236"/>
    <col min="6923" max="6923" width="12.7109375" style="1236" bestFit="1" customWidth="1"/>
    <col min="6924" max="6924" width="13.140625" style="1236" customWidth="1"/>
    <col min="6925" max="7168" width="9.140625" style="1236"/>
    <col min="7169" max="7169" width="4.7109375" style="1236" customWidth="1"/>
    <col min="7170" max="7170" width="6.7109375" style="1236" customWidth="1"/>
    <col min="7171" max="7171" width="8.85546875" style="1236" customWidth="1"/>
    <col min="7172" max="7172" width="46.42578125" style="1236" customWidth="1"/>
    <col min="7173" max="7173" width="12.85546875" style="1236" customWidth="1"/>
    <col min="7174" max="7174" width="15.5703125" style="1236" customWidth="1"/>
    <col min="7175" max="7175" width="15.85546875" style="1236" customWidth="1"/>
    <col min="7176" max="7176" width="6.42578125" style="1236" customWidth="1"/>
    <col min="7177" max="7177" width="14.28515625" style="1236" bestFit="1" customWidth="1"/>
    <col min="7178" max="7178" width="9.140625" style="1236"/>
    <col min="7179" max="7179" width="12.7109375" style="1236" bestFit="1" customWidth="1"/>
    <col min="7180" max="7180" width="13.140625" style="1236" customWidth="1"/>
    <col min="7181" max="7424" width="9.140625" style="1236"/>
    <col min="7425" max="7425" width="4.7109375" style="1236" customWidth="1"/>
    <col min="7426" max="7426" width="6.7109375" style="1236" customWidth="1"/>
    <col min="7427" max="7427" width="8.85546875" style="1236" customWidth="1"/>
    <col min="7428" max="7428" width="46.42578125" style="1236" customWidth="1"/>
    <col min="7429" max="7429" width="12.85546875" style="1236" customWidth="1"/>
    <col min="7430" max="7430" width="15.5703125" style="1236" customWidth="1"/>
    <col min="7431" max="7431" width="15.85546875" style="1236" customWidth="1"/>
    <col min="7432" max="7432" width="6.42578125" style="1236" customWidth="1"/>
    <col min="7433" max="7433" width="14.28515625" style="1236" bestFit="1" customWidth="1"/>
    <col min="7434" max="7434" width="9.140625" style="1236"/>
    <col min="7435" max="7435" width="12.7109375" style="1236" bestFit="1" customWidth="1"/>
    <col min="7436" max="7436" width="13.140625" style="1236" customWidth="1"/>
    <col min="7437" max="7680" width="9.140625" style="1236"/>
    <col min="7681" max="7681" width="4.7109375" style="1236" customWidth="1"/>
    <col min="7682" max="7682" width="6.7109375" style="1236" customWidth="1"/>
    <col min="7683" max="7683" width="8.85546875" style="1236" customWidth="1"/>
    <col min="7684" max="7684" width="46.42578125" style="1236" customWidth="1"/>
    <col min="7685" max="7685" width="12.85546875" style="1236" customWidth="1"/>
    <col min="7686" max="7686" width="15.5703125" style="1236" customWidth="1"/>
    <col min="7687" max="7687" width="15.85546875" style="1236" customWidth="1"/>
    <col min="7688" max="7688" width="6.42578125" style="1236" customWidth="1"/>
    <col min="7689" max="7689" width="14.28515625" style="1236" bestFit="1" customWidth="1"/>
    <col min="7690" max="7690" width="9.140625" style="1236"/>
    <col min="7691" max="7691" width="12.7109375" style="1236" bestFit="1" customWidth="1"/>
    <col min="7692" max="7692" width="13.140625" style="1236" customWidth="1"/>
    <col min="7693" max="7936" width="9.140625" style="1236"/>
    <col min="7937" max="7937" width="4.7109375" style="1236" customWidth="1"/>
    <col min="7938" max="7938" width="6.7109375" style="1236" customWidth="1"/>
    <col min="7939" max="7939" width="8.85546875" style="1236" customWidth="1"/>
    <col min="7940" max="7940" width="46.42578125" style="1236" customWidth="1"/>
    <col min="7941" max="7941" width="12.85546875" style="1236" customWidth="1"/>
    <col min="7942" max="7942" width="15.5703125" style="1236" customWidth="1"/>
    <col min="7943" max="7943" width="15.85546875" style="1236" customWidth="1"/>
    <col min="7944" max="7944" width="6.42578125" style="1236" customWidth="1"/>
    <col min="7945" max="7945" width="14.28515625" style="1236" bestFit="1" customWidth="1"/>
    <col min="7946" max="7946" width="9.140625" style="1236"/>
    <col min="7947" max="7947" width="12.7109375" style="1236" bestFit="1" customWidth="1"/>
    <col min="7948" max="7948" width="13.140625" style="1236" customWidth="1"/>
    <col min="7949" max="8192" width="9.140625" style="1236"/>
    <col min="8193" max="8193" width="4.7109375" style="1236" customWidth="1"/>
    <col min="8194" max="8194" width="6.7109375" style="1236" customWidth="1"/>
    <col min="8195" max="8195" width="8.85546875" style="1236" customWidth="1"/>
    <col min="8196" max="8196" width="46.42578125" style="1236" customWidth="1"/>
    <col min="8197" max="8197" width="12.85546875" style="1236" customWidth="1"/>
    <col min="8198" max="8198" width="15.5703125" style="1236" customWidth="1"/>
    <col min="8199" max="8199" width="15.85546875" style="1236" customWidth="1"/>
    <col min="8200" max="8200" width="6.42578125" style="1236" customWidth="1"/>
    <col min="8201" max="8201" width="14.28515625" style="1236" bestFit="1" customWidth="1"/>
    <col min="8202" max="8202" width="9.140625" style="1236"/>
    <col min="8203" max="8203" width="12.7109375" style="1236" bestFit="1" customWidth="1"/>
    <col min="8204" max="8204" width="13.140625" style="1236" customWidth="1"/>
    <col min="8205" max="8448" width="9.140625" style="1236"/>
    <col min="8449" max="8449" width="4.7109375" style="1236" customWidth="1"/>
    <col min="8450" max="8450" width="6.7109375" style="1236" customWidth="1"/>
    <col min="8451" max="8451" width="8.85546875" style="1236" customWidth="1"/>
    <col min="8452" max="8452" width="46.42578125" style="1236" customWidth="1"/>
    <col min="8453" max="8453" width="12.85546875" style="1236" customWidth="1"/>
    <col min="8454" max="8454" width="15.5703125" style="1236" customWidth="1"/>
    <col min="8455" max="8455" width="15.85546875" style="1236" customWidth="1"/>
    <col min="8456" max="8456" width="6.42578125" style="1236" customWidth="1"/>
    <col min="8457" max="8457" width="14.28515625" style="1236" bestFit="1" customWidth="1"/>
    <col min="8458" max="8458" width="9.140625" style="1236"/>
    <col min="8459" max="8459" width="12.7109375" style="1236" bestFit="1" customWidth="1"/>
    <col min="8460" max="8460" width="13.140625" style="1236" customWidth="1"/>
    <col min="8461" max="8704" width="9.140625" style="1236"/>
    <col min="8705" max="8705" width="4.7109375" style="1236" customWidth="1"/>
    <col min="8706" max="8706" width="6.7109375" style="1236" customWidth="1"/>
    <col min="8707" max="8707" width="8.85546875" style="1236" customWidth="1"/>
    <col min="8708" max="8708" width="46.42578125" style="1236" customWidth="1"/>
    <col min="8709" max="8709" width="12.85546875" style="1236" customWidth="1"/>
    <col min="8710" max="8710" width="15.5703125" style="1236" customWidth="1"/>
    <col min="8711" max="8711" width="15.85546875" style="1236" customWidth="1"/>
    <col min="8712" max="8712" width="6.42578125" style="1236" customWidth="1"/>
    <col min="8713" max="8713" width="14.28515625" style="1236" bestFit="1" customWidth="1"/>
    <col min="8714" max="8714" width="9.140625" style="1236"/>
    <col min="8715" max="8715" width="12.7109375" style="1236" bestFit="1" customWidth="1"/>
    <col min="8716" max="8716" width="13.140625" style="1236" customWidth="1"/>
    <col min="8717" max="8960" width="9.140625" style="1236"/>
    <col min="8961" max="8961" width="4.7109375" style="1236" customWidth="1"/>
    <col min="8962" max="8962" width="6.7109375" style="1236" customWidth="1"/>
    <col min="8963" max="8963" width="8.85546875" style="1236" customWidth="1"/>
    <col min="8964" max="8964" width="46.42578125" style="1236" customWidth="1"/>
    <col min="8965" max="8965" width="12.85546875" style="1236" customWidth="1"/>
    <col min="8966" max="8966" width="15.5703125" style="1236" customWidth="1"/>
    <col min="8967" max="8967" width="15.85546875" style="1236" customWidth="1"/>
    <col min="8968" max="8968" width="6.42578125" style="1236" customWidth="1"/>
    <col min="8969" max="8969" width="14.28515625" style="1236" bestFit="1" customWidth="1"/>
    <col min="8970" max="8970" width="9.140625" style="1236"/>
    <col min="8971" max="8971" width="12.7109375" style="1236" bestFit="1" customWidth="1"/>
    <col min="8972" max="8972" width="13.140625" style="1236" customWidth="1"/>
    <col min="8973" max="9216" width="9.140625" style="1236"/>
    <col min="9217" max="9217" width="4.7109375" style="1236" customWidth="1"/>
    <col min="9218" max="9218" width="6.7109375" style="1236" customWidth="1"/>
    <col min="9219" max="9219" width="8.85546875" style="1236" customWidth="1"/>
    <col min="9220" max="9220" width="46.42578125" style="1236" customWidth="1"/>
    <col min="9221" max="9221" width="12.85546875" style="1236" customWidth="1"/>
    <col min="9222" max="9222" width="15.5703125" style="1236" customWidth="1"/>
    <col min="9223" max="9223" width="15.85546875" style="1236" customWidth="1"/>
    <col min="9224" max="9224" width="6.42578125" style="1236" customWidth="1"/>
    <col min="9225" max="9225" width="14.28515625" style="1236" bestFit="1" customWidth="1"/>
    <col min="9226" max="9226" width="9.140625" style="1236"/>
    <col min="9227" max="9227" width="12.7109375" style="1236" bestFit="1" customWidth="1"/>
    <col min="9228" max="9228" width="13.140625" style="1236" customWidth="1"/>
    <col min="9229" max="9472" width="9.140625" style="1236"/>
    <col min="9473" max="9473" width="4.7109375" style="1236" customWidth="1"/>
    <col min="9474" max="9474" width="6.7109375" style="1236" customWidth="1"/>
    <col min="9475" max="9475" width="8.85546875" style="1236" customWidth="1"/>
    <col min="9476" max="9476" width="46.42578125" style="1236" customWidth="1"/>
    <col min="9477" max="9477" width="12.85546875" style="1236" customWidth="1"/>
    <col min="9478" max="9478" width="15.5703125" style="1236" customWidth="1"/>
    <col min="9479" max="9479" width="15.85546875" style="1236" customWidth="1"/>
    <col min="9480" max="9480" width="6.42578125" style="1236" customWidth="1"/>
    <col min="9481" max="9481" width="14.28515625" style="1236" bestFit="1" customWidth="1"/>
    <col min="9482" max="9482" width="9.140625" style="1236"/>
    <col min="9483" max="9483" width="12.7109375" style="1236" bestFit="1" customWidth="1"/>
    <col min="9484" max="9484" width="13.140625" style="1236" customWidth="1"/>
    <col min="9485" max="9728" width="9.140625" style="1236"/>
    <col min="9729" max="9729" width="4.7109375" style="1236" customWidth="1"/>
    <col min="9730" max="9730" width="6.7109375" style="1236" customWidth="1"/>
    <col min="9731" max="9731" width="8.85546875" style="1236" customWidth="1"/>
    <col min="9732" max="9732" width="46.42578125" style="1236" customWidth="1"/>
    <col min="9733" max="9733" width="12.85546875" style="1236" customWidth="1"/>
    <col min="9734" max="9734" width="15.5703125" style="1236" customWidth="1"/>
    <col min="9735" max="9735" width="15.85546875" style="1236" customWidth="1"/>
    <col min="9736" max="9736" width="6.42578125" style="1236" customWidth="1"/>
    <col min="9737" max="9737" width="14.28515625" style="1236" bestFit="1" customWidth="1"/>
    <col min="9738" max="9738" width="9.140625" style="1236"/>
    <col min="9739" max="9739" width="12.7109375" style="1236" bestFit="1" customWidth="1"/>
    <col min="9740" max="9740" width="13.140625" style="1236" customWidth="1"/>
    <col min="9741" max="9984" width="9.140625" style="1236"/>
    <col min="9985" max="9985" width="4.7109375" style="1236" customWidth="1"/>
    <col min="9986" max="9986" width="6.7109375" style="1236" customWidth="1"/>
    <col min="9987" max="9987" width="8.85546875" style="1236" customWidth="1"/>
    <col min="9988" max="9988" width="46.42578125" style="1236" customWidth="1"/>
    <col min="9989" max="9989" width="12.85546875" style="1236" customWidth="1"/>
    <col min="9990" max="9990" width="15.5703125" style="1236" customWidth="1"/>
    <col min="9991" max="9991" width="15.85546875" style="1236" customWidth="1"/>
    <col min="9992" max="9992" width="6.42578125" style="1236" customWidth="1"/>
    <col min="9993" max="9993" width="14.28515625" style="1236" bestFit="1" customWidth="1"/>
    <col min="9994" max="9994" width="9.140625" style="1236"/>
    <col min="9995" max="9995" width="12.7109375" style="1236" bestFit="1" customWidth="1"/>
    <col min="9996" max="9996" width="13.140625" style="1236" customWidth="1"/>
    <col min="9997" max="10240" width="9.140625" style="1236"/>
    <col min="10241" max="10241" width="4.7109375" style="1236" customWidth="1"/>
    <col min="10242" max="10242" width="6.7109375" style="1236" customWidth="1"/>
    <col min="10243" max="10243" width="8.85546875" style="1236" customWidth="1"/>
    <col min="10244" max="10244" width="46.42578125" style="1236" customWidth="1"/>
    <col min="10245" max="10245" width="12.85546875" style="1236" customWidth="1"/>
    <col min="10246" max="10246" width="15.5703125" style="1236" customWidth="1"/>
    <col min="10247" max="10247" width="15.85546875" style="1236" customWidth="1"/>
    <col min="10248" max="10248" width="6.42578125" style="1236" customWidth="1"/>
    <col min="10249" max="10249" width="14.28515625" style="1236" bestFit="1" customWidth="1"/>
    <col min="10250" max="10250" width="9.140625" style="1236"/>
    <col min="10251" max="10251" width="12.7109375" style="1236" bestFit="1" customWidth="1"/>
    <col min="10252" max="10252" width="13.140625" style="1236" customWidth="1"/>
    <col min="10253" max="10496" width="9.140625" style="1236"/>
    <col min="10497" max="10497" width="4.7109375" style="1236" customWidth="1"/>
    <col min="10498" max="10498" width="6.7109375" style="1236" customWidth="1"/>
    <col min="10499" max="10499" width="8.85546875" style="1236" customWidth="1"/>
    <col min="10500" max="10500" width="46.42578125" style="1236" customWidth="1"/>
    <col min="10501" max="10501" width="12.85546875" style="1236" customWidth="1"/>
    <col min="10502" max="10502" width="15.5703125" style="1236" customWidth="1"/>
    <col min="10503" max="10503" width="15.85546875" style="1236" customWidth="1"/>
    <col min="10504" max="10504" width="6.42578125" style="1236" customWidth="1"/>
    <col min="10505" max="10505" width="14.28515625" style="1236" bestFit="1" customWidth="1"/>
    <col min="10506" max="10506" width="9.140625" style="1236"/>
    <col min="10507" max="10507" width="12.7109375" style="1236" bestFit="1" customWidth="1"/>
    <col min="10508" max="10508" width="13.140625" style="1236" customWidth="1"/>
    <col min="10509" max="10752" width="9.140625" style="1236"/>
    <col min="10753" max="10753" width="4.7109375" style="1236" customWidth="1"/>
    <col min="10754" max="10754" width="6.7109375" style="1236" customWidth="1"/>
    <col min="10755" max="10755" width="8.85546875" style="1236" customWidth="1"/>
    <col min="10756" max="10756" width="46.42578125" style="1236" customWidth="1"/>
    <col min="10757" max="10757" width="12.85546875" style="1236" customWidth="1"/>
    <col min="10758" max="10758" width="15.5703125" style="1236" customWidth="1"/>
    <col min="10759" max="10759" width="15.85546875" style="1236" customWidth="1"/>
    <col min="10760" max="10760" width="6.42578125" style="1236" customWidth="1"/>
    <col min="10761" max="10761" width="14.28515625" style="1236" bestFit="1" customWidth="1"/>
    <col min="10762" max="10762" width="9.140625" style="1236"/>
    <col min="10763" max="10763" width="12.7109375" style="1236" bestFit="1" customWidth="1"/>
    <col min="10764" max="10764" width="13.140625" style="1236" customWidth="1"/>
    <col min="10765" max="11008" width="9.140625" style="1236"/>
    <col min="11009" max="11009" width="4.7109375" style="1236" customWidth="1"/>
    <col min="11010" max="11010" width="6.7109375" style="1236" customWidth="1"/>
    <col min="11011" max="11011" width="8.85546875" style="1236" customWidth="1"/>
    <col min="11012" max="11012" width="46.42578125" style="1236" customWidth="1"/>
    <col min="11013" max="11013" width="12.85546875" style="1236" customWidth="1"/>
    <col min="11014" max="11014" width="15.5703125" style="1236" customWidth="1"/>
    <col min="11015" max="11015" width="15.85546875" style="1236" customWidth="1"/>
    <col min="11016" max="11016" width="6.42578125" style="1236" customWidth="1"/>
    <col min="11017" max="11017" width="14.28515625" style="1236" bestFit="1" customWidth="1"/>
    <col min="11018" max="11018" width="9.140625" style="1236"/>
    <col min="11019" max="11019" width="12.7109375" style="1236" bestFit="1" customWidth="1"/>
    <col min="11020" max="11020" width="13.140625" style="1236" customWidth="1"/>
    <col min="11021" max="11264" width="9.140625" style="1236"/>
    <col min="11265" max="11265" width="4.7109375" style="1236" customWidth="1"/>
    <col min="11266" max="11266" width="6.7109375" style="1236" customWidth="1"/>
    <col min="11267" max="11267" width="8.85546875" style="1236" customWidth="1"/>
    <col min="11268" max="11268" width="46.42578125" style="1236" customWidth="1"/>
    <col min="11269" max="11269" width="12.85546875" style="1236" customWidth="1"/>
    <col min="11270" max="11270" width="15.5703125" style="1236" customWidth="1"/>
    <col min="11271" max="11271" width="15.85546875" style="1236" customWidth="1"/>
    <col min="11272" max="11272" width="6.42578125" style="1236" customWidth="1"/>
    <col min="11273" max="11273" width="14.28515625" style="1236" bestFit="1" customWidth="1"/>
    <col min="11274" max="11274" width="9.140625" style="1236"/>
    <col min="11275" max="11275" width="12.7109375" style="1236" bestFit="1" customWidth="1"/>
    <col min="11276" max="11276" width="13.140625" style="1236" customWidth="1"/>
    <col min="11277" max="11520" width="9.140625" style="1236"/>
    <col min="11521" max="11521" width="4.7109375" style="1236" customWidth="1"/>
    <col min="11522" max="11522" width="6.7109375" style="1236" customWidth="1"/>
    <col min="11523" max="11523" width="8.85546875" style="1236" customWidth="1"/>
    <col min="11524" max="11524" width="46.42578125" style="1236" customWidth="1"/>
    <col min="11525" max="11525" width="12.85546875" style="1236" customWidth="1"/>
    <col min="11526" max="11526" width="15.5703125" style="1236" customWidth="1"/>
    <col min="11527" max="11527" width="15.85546875" style="1236" customWidth="1"/>
    <col min="11528" max="11528" width="6.42578125" style="1236" customWidth="1"/>
    <col min="11529" max="11529" width="14.28515625" style="1236" bestFit="1" customWidth="1"/>
    <col min="11530" max="11530" width="9.140625" style="1236"/>
    <col min="11531" max="11531" width="12.7109375" style="1236" bestFit="1" customWidth="1"/>
    <col min="11532" max="11532" width="13.140625" style="1236" customWidth="1"/>
    <col min="11533" max="11776" width="9.140625" style="1236"/>
    <col min="11777" max="11777" width="4.7109375" style="1236" customWidth="1"/>
    <col min="11778" max="11778" width="6.7109375" style="1236" customWidth="1"/>
    <col min="11779" max="11779" width="8.85546875" style="1236" customWidth="1"/>
    <col min="11780" max="11780" width="46.42578125" style="1236" customWidth="1"/>
    <col min="11781" max="11781" width="12.85546875" style="1236" customWidth="1"/>
    <col min="11782" max="11782" width="15.5703125" style="1236" customWidth="1"/>
    <col min="11783" max="11783" width="15.85546875" style="1236" customWidth="1"/>
    <col min="11784" max="11784" width="6.42578125" style="1236" customWidth="1"/>
    <col min="11785" max="11785" width="14.28515625" style="1236" bestFit="1" customWidth="1"/>
    <col min="11786" max="11786" width="9.140625" style="1236"/>
    <col min="11787" max="11787" width="12.7109375" style="1236" bestFit="1" customWidth="1"/>
    <col min="11788" max="11788" width="13.140625" style="1236" customWidth="1"/>
    <col min="11789" max="12032" width="9.140625" style="1236"/>
    <col min="12033" max="12033" width="4.7109375" style="1236" customWidth="1"/>
    <col min="12034" max="12034" width="6.7109375" style="1236" customWidth="1"/>
    <col min="12035" max="12035" width="8.85546875" style="1236" customWidth="1"/>
    <col min="12036" max="12036" width="46.42578125" style="1236" customWidth="1"/>
    <col min="12037" max="12037" width="12.85546875" style="1236" customWidth="1"/>
    <col min="12038" max="12038" width="15.5703125" style="1236" customWidth="1"/>
    <col min="12039" max="12039" width="15.85546875" style="1236" customWidth="1"/>
    <col min="12040" max="12040" width="6.42578125" style="1236" customWidth="1"/>
    <col min="12041" max="12041" width="14.28515625" style="1236" bestFit="1" customWidth="1"/>
    <col min="12042" max="12042" width="9.140625" style="1236"/>
    <col min="12043" max="12043" width="12.7109375" style="1236" bestFit="1" customWidth="1"/>
    <col min="12044" max="12044" width="13.140625" style="1236" customWidth="1"/>
    <col min="12045" max="12288" width="9.140625" style="1236"/>
    <col min="12289" max="12289" width="4.7109375" style="1236" customWidth="1"/>
    <col min="12290" max="12290" width="6.7109375" style="1236" customWidth="1"/>
    <col min="12291" max="12291" width="8.85546875" style="1236" customWidth="1"/>
    <col min="12292" max="12292" width="46.42578125" style="1236" customWidth="1"/>
    <col min="12293" max="12293" width="12.85546875" style="1236" customWidth="1"/>
    <col min="12294" max="12294" width="15.5703125" style="1236" customWidth="1"/>
    <col min="12295" max="12295" width="15.85546875" style="1236" customWidth="1"/>
    <col min="12296" max="12296" width="6.42578125" style="1236" customWidth="1"/>
    <col min="12297" max="12297" width="14.28515625" style="1236" bestFit="1" customWidth="1"/>
    <col min="12298" max="12298" width="9.140625" style="1236"/>
    <col min="12299" max="12299" width="12.7109375" style="1236" bestFit="1" customWidth="1"/>
    <col min="12300" max="12300" width="13.140625" style="1236" customWidth="1"/>
    <col min="12301" max="12544" width="9.140625" style="1236"/>
    <col min="12545" max="12545" width="4.7109375" style="1236" customWidth="1"/>
    <col min="12546" max="12546" width="6.7109375" style="1236" customWidth="1"/>
    <col min="12547" max="12547" width="8.85546875" style="1236" customWidth="1"/>
    <col min="12548" max="12548" width="46.42578125" style="1236" customWidth="1"/>
    <col min="12549" max="12549" width="12.85546875" style="1236" customWidth="1"/>
    <col min="12550" max="12550" width="15.5703125" style="1236" customWidth="1"/>
    <col min="12551" max="12551" width="15.85546875" style="1236" customWidth="1"/>
    <col min="12552" max="12552" width="6.42578125" style="1236" customWidth="1"/>
    <col min="12553" max="12553" width="14.28515625" style="1236" bestFit="1" customWidth="1"/>
    <col min="12554" max="12554" width="9.140625" style="1236"/>
    <col min="12555" max="12555" width="12.7109375" style="1236" bestFit="1" customWidth="1"/>
    <col min="12556" max="12556" width="13.140625" style="1236" customWidth="1"/>
    <col min="12557" max="12800" width="9.140625" style="1236"/>
    <col min="12801" max="12801" width="4.7109375" style="1236" customWidth="1"/>
    <col min="12802" max="12802" width="6.7109375" style="1236" customWidth="1"/>
    <col min="12803" max="12803" width="8.85546875" style="1236" customWidth="1"/>
    <col min="12804" max="12804" width="46.42578125" style="1236" customWidth="1"/>
    <col min="12805" max="12805" width="12.85546875" style="1236" customWidth="1"/>
    <col min="12806" max="12806" width="15.5703125" style="1236" customWidth="1"/>
    <col min="12807" max="12807" width="15.85546875" style="1236" customWidth="1"/>
    <col min="12808" max="12808" width="6.42578125" style="1236" customWidth="1"/>
    <col min="12809" max="12809" width="14.28515625" style="1236" bestFit="1" customWidth="1"/>
    <col min="12810" max="12810" width="9.140625" style="1236"/>
    <col min="12811" max="12811" width="12.7109375" style="1236" bestFit="1" customWidth="1"/>
    <col min="12812" max="12812" width="13.140625" style="1236" customWidth="1"/>
    <col min="12813" max="13056" width="9.140625" style="1236"/>
    <col min="13057" max="13057" width="4.7109375" style="1236" customWidth="1"/>
    <col min="13058" max="13058" width="6.7109375" style="1236" customWidth="1"/>
    <col min="13059" max="13059" width="8.85546875" style="1236" customWidth="1"/>
    <col min="13060" max="13060" width="46.42578125" style="1236" customWidth="1"/>
    <col min="13061" max="13061" width="12.85546875" style="1236" customWidth="1"/>
    <col min="13062" max="13062" width="15.5703125" style="1236" customWidth="1"/>
    <col min="13063" max="13063" width="15.85546875" style="1236" customWidth="1"/>
    <col min="13064" max="13064" width="6.42578125" style="1236" customWidth="1"/>
    <col min="13065" max="13065" width="14.28515625" style="1236" bestFit="1" customWidth="1"/>
    <col min="13066" max="13066" width="9.140625" style="1236"/>
    <col min="13067" max="13067" width="12.7109375" style="1236" bestFit="1" customWidth="1"/>
    <col min="13068" max="13068" width="13.140625" style="1236" customWidth="1"/>
    <col min="13069" max="13312" width="9.140625" style="1236"/>
    <col min="13313" max="13313" width="4.7109375" style="1236" customWidth="1"/>
    <col min="13314" max="13314" width="6.7109375" style="1236" customWidth="1"/>
    <col min="13315" max="13315" width="8.85546875" style="1236" customWidth="1"/>
    <col min="13316" max="13316" width="46.42578125" style="1236" customWidth="1"/>
    <col min="13317" max="13317" width="12.85546875" style="1236" customWidth="1"/>
    <col min="13318" max="13318" width="15.5703125" style="1236" customWidth="1"/>
    <col min="13319" max="13319" width="15.85546875" style="1236" customWidth="1"/>
    <col min="13320" max="13320" width="6.42578125" style="1236" customWidth="1"/>
    <col min="13321" max="13321" width="14.28515625" style="1236" bestFit="1" customWidth="1"/>
    <col min="13322" max="13322" width="9.140625" style="1236"/>
    <col min="13323" max="13323" width="12.7109375" style="1236" bestFit="1" customWidth="1"/>
    <col min="13324" max="13324" width="13.140625" style="1236" customWidth="1"/>
    <col min="13325" max="13568" width="9.140625" style="1236"/>
    <col min="13569" max="13569" width="4.7109375" style="1236" customWidth="1"/>
    <col min="13570" max="13570" width="6.7109375" style="1236" customWidth="1"/>
    <col min="13571" max="13571" width="8.85546875" style="1236" customWidth="1"/>
    <col min="13572" max="13572" width="46.42578125" style="1236" customWidth="1"/>
    <col min="13573" max="13573" width="12.85546875" style="1236" customWidth="1"/>
    <col min="13574" max="13574" width="15.5703125" style="1236" customWidth="1"/>
    <col min="13575" max="13575" width="15.85546875" style="1236" customWidth="1"/>
    <col min="13576" max="13576" width="6.42578125" style="1236" customWidth="1"/>
    <col min="13577" max="13577" width="14.28515625" style="1236" bestFit="1" customWidth="1"/>
    <col min="13578" max="13578" width="9.140625" style="1236"/>
    <col min="13579" max="13579" width="12.7109375" style="1236" bestFit="1" customWidth="1"/>
    <col min="13580" max="13580" width="13.140625" style="1236" customWidth="1"/>
    <col min="13581" max="13824" width="9.140625" style="1236"/>
    <col min="13825" max="13825" width="4.7109375" style="1236" customWidth="1"/>
    <col min="13826" max="13826" width="6.7109375" style="1236" customWidth="1"/>
    <col min="13827" max="13827" width="8.85546875" style="1236" customWidth="1"/>
    <col min="13828" max="13828" width="46.42578125" style="1236" customWidth="1"/>
    <col min="13829" max="13829" width="12.85546875" style="1236" customWidth="1"/>
    <col min="13830" max="13830" width="15.5703125" style="1236" customWidth="1"/>
    <col min="13831" max="13831" width="15.85546875" style="1236" customWidth="1"/>
    <col min="13832" max="13832" width="6.42578125" style="1236" customWidth="1"/>
    <col min="13833" max="13833" width="14.28515625" style="1236" bestFit="1" customWidth="1"/>
    <col min="13834" max="13834" width="9.140625" style="1236"/>
    <col min="13835" max="13835" width="12.7109375" style="1236" bestFit="1" customWidth="1"/>
    <col min="13836" max="13836" width="13.140625" style="1236" customWidth="1"/>
    <col min="13837" max="14080" width="9.140625" style="1236"/>
    <col min="14081" max="14081" width="4.7109375" style="1236" customWidth="1"/>
    <col min="14082" max="14082" width="6.7109375" style="1236" customWidth="1"/>
    <col min="14083" max="14083" width="8.85546875" style="1236" customWidth="1"/>
    <col min="14084" max="14084" width="46.42578125" style="1236" customWidth="1"/>
    <col min="14085" max="14085" width="12.85546875" style="1236" customWidth="1"/>
    <col min="14086" max="14086" width="15.5703125" style="1236" customWidth="1"/>
    <col min="14087" max="14087" width="15.85546875" style="1236" customWidth="1"/>
    <col min="14088" max="14088" width="6.42578125" style="1236" customWidth="1"/>
    <col min="14089" max="14089" width="14.28515625" style="1236" bestFit="1" customWidth="1"/>
    <col min="14090" max="14090" width="9.140625" style="1236"/>
    <col min="14091" max="14091" width="12.7109375" style="1236" bestFit="1" customWidth="1"/>
    <col min="14092" max="14092" width="13.140625" style="1236" customWidth="1"/>
    <col min="14093" max="14336" width="9.140625" style="1236"/>
    <col min="14337" max="14337" width="4.7109375" style="1236" customWidth="1"/>
    <col min="14338" max="14338" width="6.7109375" style="1236" customWidth="1"/>
    <col min="14339" max="14339" width="8.85546875" style="1236" customWidth="1"/>
    <col min="14340" max="14340" width="46.42578125" style="1236" customWidth="1"/>
    <col min="14341" max="14341" width="12.85546875" style="1236" customWidth="1"/>
    <col min="14342" max="14342" width="15.5703125" style="1236" customWidth="1"/>
    <col min="14343" max="14343" width="15.85546875" style="1236" customWidth="1"/>
    <col min="14344" max="14344" width="6.42578125" style="1236" customWidth="1"/>
    <col min="14345" max="14345" width="14.28515625" style="1236" bestFit="1" customWidth="1"/>
    <col min="14346" max="14346" width="9.140625" style="1236"/>
    <col min="14347" max="14347" width="12.7109375" style="1236" bestFit="1" customWidth="1"/>
    <col min="14348" max="14348" width="13.140625" style="1236" customWidth="1"/>
    <col min="14349" max="14592" width="9.140625" style="1236"/>
    <col min="14593" max="14593" width="4.7109375" style="1236" customWidth="1"/>
    <col min="14594" max="14594" width="6.7109375" style="1236" customWidth="1"/>
    <col min="14595" max="14595" width="8.85546875" style="1236" customWidth="1"/>
    <col min="14596" max="14596" width="46.42578125" style="1236" customWidth="1"/>
    <col min="14597" max="14597" width="12.85546875" style="1236" customWidth="1"/>
    <col min="14598" max="14598" width="15.5703125" style="1236" customWidth="1"/>
    <col min="14599" max="14599" width="15.85546875" style="1236" customWidth="1"/>
    <col min="14600" max="14600" width="6.42578125" style="1236" customWidth="1"/>
    <col min="14601" max="14601" width="14.28515625" style="1236" bestFit="1" customWidth="1"/>
    <col min="14602" max="14602" width="9.140625" style="1236"/>
    <col min="14603" max="14603" width="12.7109375" style="1236" bestFit="1" customWidth="1"/>
    <col min="14604" max="14604" width="13.140625" style="1236" customWidth="1"/>
    <col min="14605" max="14848" width="9.140625" style="1236"/>
    <col min="14849" max="14849" width="4.7109375" style="1236" customWidth="1"/>
    <col min="14850" max="14850" width="6.7109375" style="1236" customWidth="1"/>
    <col min="14851" max="14851" width="8.85546875" style="1236" customWidth="1"/>
    <col min="14852" max="14852" width="46.42578125" style="1236" customWidth="1"/>
    <col min="14853" max="14853" width="12.85546875" style="1236" customWidth="1"/>
    <col min="14854" max="14854" width="15.5703125" style="1236" customWidth="1"/>
    <col min="14855" max="14855" width="15.85546875" style="1236" customWidth="1"/>
    <col min="14856" max="14856" width="6.42578125" style="1236" customWidth="1"/>
    <col min="14857" max="14857" width="14.28515625" style="1236" bestFit="1" customWidth="1"/>
    <col min="14858" max="14858" width="9.140625" style="1236"/>
    <col min="14859" max="14859" width="12.7109375" style="1236" bestFit="1" customWidth="1"/>
    <col min="14860" max="14860" width="13.140625" style="1236" customWidth="1"/>
    <col min="14861" max="15104" width="9.140625" style="1236"/>
    <col min="15105" max="15105" width="4.7109375" style="1236" customWidth="1"/>
    <col min="15106" max="15106" width="6.7109375" style="1236" customWidth="1"/>
    <col min="15107" max="15107" width="8.85546875" style="1236" customWidth="1"/>
    <col min="15108" max="15108" width="46.42578125" style="1236" customWidth="1"/>
    <col min="15109" max="15109" width="12.85546875" style="1236" customWidth="1"/>
    <col min="15110" max="15110" width="15.5703125" style="1236" customWidth="1"/>
    <col min="15111" max="15111" width="15.85546875" style="1236" customWidth="1"/>
    <col min="15112" max="15112" width="6.42578125" style="1236" customWidth="1"/>
    <col min="15113" max="15113" width="14.28515625" style="1236" bestFit="1" customWidth="1"/>
    <col min="15114" max="15114" width="9.140625" style="1236"/>
    <col min="15115" max="15115" width="12.7109375" style="1236" bestFit="1" customWidth="1"/>
    <col min="15116" max="15116" width="13.140625" style="1236" customWidth="1"/>
    <col min="15117" max="15360" width="9.140625" style="1236"/>
    <col min="15361" max="15361" width="4.7109375" style="1236" customWidth="1"/>
    <col min="15362" max="15362" width="6.7109375" style="1236" customWidth="1"/>
    <col min="15363" max="15363" width="8.85546875" style="1236" customWidth="1"/>
    <col min="15364" max="15364" width="46.42578125" style="1236" customWidth="1"/>
    <col min="15365" max="15365" width="12.85546875" style="1236" customWidth="1"/>
    <col min="15366" max="15366" width="15.5703125" style="1236" customWidth="1"/>
    <col min="15367" max="15367" width="15.85546875" style="1236" customWidth="1"/>
    <col min="15368" max="15368" width="6.42578125" style="1236" customWidth="1"/>
    <col min="15369" max="15369" width="14.28515625" style="1236" bestFit="1" customWidth="1"/>
    <col min="15370" max="15370" width="9.140625" style="1236"/>
    <col min="15371" max="15371" width="12.7109375" style="1236" bestFit="1" customWidth="1"/>
    <col min="15372" max="15372" width="13.140625" style="1236" customWidth="1"/>
    <col min="15373" max="15616" width="9.140625" style="1236"/>
    <col min="15617" max="15617" width="4.7109375" style="1236" customWidth="1"/>
    <col min="15618" max="15618" width="6.7109375" style="1236" customWidth="1"/>
    <col min="15619" max="15619" width="8.85546875" style="1236" customWidth="1"/>
    <col min="15620" max="15620" width="46.42578125" style="1236" customWidth="1"/>
    <col min="15621" max="15621" width="12.85546875" style="1236" customWidth="1"/>
    <col min="15622" max="15622" width="15.5703125" style="1236" customWidth="1"/>
    <col min="15623" max="15623" width="15.85546875" style="1236" customWidth="1"/>
    <col min="15624" max="15624" width="6.42578125" style="1236" customWidth="1"/>
    <col min="15625" max="15625" width="14.28515625" style="1236" bestFit="1" customWidth="1"/>
    <col min="15626" max="15626" width="9.140625" style="1236"/>
    <col min="15627" max="15627" width="12.7109375" style="1236" bestFit="1" customWidth="1"/>
    <col min="15628" max="15628" width="13.140625" style="1236" customWidth="1"/>
    <col min="15629" max="15872" width="9.140625" style="1236"/>
    <col min="15873" max="15873" width="4.7109375" style="1236" customWidth="1"/>
    <col min="15874" max="15874" width="6.7109375" style="1236" customWidth="1"/>
    <col min="15875" max="15875" width="8.85546875" style="1236" customWidth="1"/>
    <col min="15876" max="15876" width="46.42578125" style="1236" customWidth="1"/>
    <col min="15877" max="15877" width="12.85546875" style="1236" customWidth="1"/>
    <col min="15878" max="15878" width="15.5703125" style="1236" customWidth="1"/>
    <col min="15879" max="15879" width="15.85546875" style="1236" customWidth="1"/>
    <col min="15880" max="15880" width="6.42578125" style="1236" customWidth="1"/>
    <col min="15881" max="15881" width="14.28515625" style="1236" bestFit="1" customWidth="1"/>
    <col min="15882" max="15882" width="9.140625" style="1236"/>
    <col min="15883" max="15883" width="12.7109375" style="1236" bestFit="1" customWidth="1"/>
    <col min="15884" max="15884" width="13.140625" style="1236" customWidth="1"/>
    <col min="15885" max="16128" width="9.140625" style="1236"/>
    <col min="16129" max="16129" width="4.7109375" style="1236" customWidth="1"/>
    <col min="16130" max="16130" width="6.7109375" style="1236" customWidth="1"/>
    <col min="16131" max="16131" width="8.85546875" style="1236" customWidth="1"/>
    <col min="16132" max="16132" width="46.42578125" style="1236" customWidth="1"/>
    <col min="16133" max="16133" width="12.85546875" style="1236" customWidth="1"/>
    <col min="16134" max="16134" width="15.5703125" style="1236" customWidth="1"/>
    <col min="16135" max="16135" width="15.85546875" style="1236" customWidth="1"/>
    <col min="16136" max="16136" width="6.42578125" style="1236" customWidth="1"/>
    <col min="16137" max="16137" width="14.28515625" style="1236" bestFit="1" customWidth="1"/>
    <col min="16138" max="16138" width="9.140625" style="1236"/>
    <col min="16139" max="16139" width="12.7109375" style="1236" bestFit="1" customWidth="1"/>
    <col min="16140" max="16140" width="13.140625" style="1236" customWidth="1"/>
    <col min="16141" max="16384" width="9.140625" style="1236"/>
  </cols>
  <sheetData>
    <row r="1" spans="1:8" ht="19.5" customHeight="1" thickBot="1" x14ac:dyDescent="0.3">
      <c r="A1" s="1230" t="s">
        <v>749</v>
      </c>
      <c r="B1" s="1231"/>
      <c r="C1" s="1232"/>
      <c r="D1" s="1233"/>
      <c r="E1" s="1234"/>
      <c r="F1" s="1233"/>
      <c r="G1" s="1235"/>
      <c r="H1" s="1230"/>
    </row>
    <row r="2" spans="1:8" ht="18" x14ac:dyDescent="0.25">
      <c r="A2" s="1237"/>
      <c r="B2" s="1238"/>
      <c r="C2" s="1238"/>
      <c r="D2" s="1238"/>
      <c r="E2" s="1238"/>
      <c r="F2" s="1238"/>
      <c r="G2" s="1238"/>
      <c r="H2" s="1239" t="s">
        <v>750</v>
      </c>
    </row>
    <row r="3" spans="1:8" ht="18" x14ac:dyDescent="0.25">
      <c r="A3" s="1240" t="s">
        <v>201</v>
      </c>
      <c r="B3" s="1238"/>
      <c r="C3" s="2205" t="s">
        <v>121</v>
      </c>
      <c r="D3" s="1238"/>
      <c r="E3" s="1238"/>
      <c r="F3" s="1238"/>
      <c r="G3" s="1238"/>
      <c r="H3" s="1239"/>
    </row>
    <row r="4" spans="1:8" ht="18" x14ac:dyDescent="0.25">
      <c r="A4" s="1237"/>
      <c r="B4" s="1238"/>
      <c r="C4" s="2205" t="s">
        <v>781</v>
      </c>
      <c r="D4" s="1238"/>
      <c r="E4" s="1238"/>
      <c r="F4" s="1238"/>
      <c r="G4" s="1238"/>
      <c r="H4" s="1239"/>
    </row>
    <row r="5" spans="1:8" ht="18" x14ac:dyDescent="0.25">
      <c r="A5" s="1242" t="s">
        <v>679</v>
      </c>
      <c r="B5" s="1238"/>
      <c r="C5" s="1238"/>
      <c r="D5" s="1238"/>
      <c r="E5" s="1238"/>
      <c r="F5" s="1238"/>
      <c r="G5" s="1238"/>
      <c r="H5" s="1239"/>
    </row>
    <row r="6" spans="1:8" ht="18" x14ac:dyDescent="0.25">
      <c r="A6" s="1242"/>
      <c r="B6" s="1238"/>
      <c r="C6" s="1238"/>
      <c r="D6" s="1238"/>
      <c r="E6" s="1238"/>
      <c r="F6" s="1238"/>
      <c r="G6" s="1238"/>
      <c r="H6" s="1239"/>
    </row>
    <row r="7" spans="1:8" ht="18" x14ac:dyDescent="0.25">
      <c r="A7" s="1242"/>
      <c r="B7" s="1238"/>
      <c r="C7" s="1238"/>
      <c r="D7" s="1238"/>
      <c r="E7" s="1238"/>
      <c r="F7" s="1238"/>
      <c r="G7" s="1238"/>
      <c r="H7" s="1239"/>
    </row>
    <row r="8" spans="1:8" ht="15.75" thickBot="1" x14ac:dyDescent="0.3">
      <c r="A8" s="1229" t="s">
        <v>137</v>
      </c>
      <c r="B8" s="1238"/>
      <c r="C8" s="1238"/>
      <c r="D8" s="1238"/>
      <c r="H8" s="1245" t="s">
        <v>92</v>
      </c>
    </row>
    <row r="9" spans="1:8" ht="15.75" hidden="1" thickBot="1" x14ac:dyDescent="0.3">
      <c r="A9" s="1312" t="s">
        <v>752</v>
      </c>
      <c r="B9" s="1313"/>
      <c r="C9" s="1313"/>
      <c r="H9" s="1245" t="s">
        <v>92</v>
      </c>
    </row>
    <row r="10" spans="1:8" s="1314" customFormat="1" ht="25.5" thickTop="1" thickBot="1" x14ac:dyDescent="0.25">
      <c r="A10" s="1246" t="s">
        <v>93</v>
      </c>
      <c r="B10" s="1247" t="s">
        <v>392</v>
      </c>
      <c r="C10" s="1247" t="s">
        <v>209</v>
      </c>
      <c r="D10" s="1248" t="s">
        <v>95</v>
      </c>
      <c r="E10" s="1249" t="s">
        <v>328</v>
      </c>
      <c r="F10" s="1249" t="s">
        <v>329</v>
      </c>
      <c r="G10" s="1250" t="s">
        <v>448</v>
      </c>
      <c r="H10" s="1251" t="s">
        <v>449</v>
      </c>
    </row>
    <row r="11" spans="1:8" s="1314" customFormat="1" ht="13.5" thickTop="1" thickBot="1" x14ac:dyDescent="0.25">
      <c r="A11" s="1252">
        <v>1</v>
      </c>
      <c r="B11" s="1253">
        <v>2</v>
      </c>
      <c r="C11" s="1253">
        <v>3</v>
      </c>
      <c r="D11" s="1253">
        <v>4</v>
      </c>
      <c r="E11" s="1254">
        <v>5</v>
      </c>
      <c r="F11" s="1254">
        <v>6</v>
      </c>
      <c r="G11" s="1255">
        <v>7</v>
      </c>
      <c r="H11" s="1256" t="s">
        <v>33</v>
      </c>
    </row>
    <row r="12" spans="1:8" s="1316" customFormat="1" ht="15.75" hidden="1" thickTop="1" x14ac:dyDescent="0.2">
      <c r="A12" s="1262">
        <v>3636</v>
      </c>
      <c r="B12" s="1263">
        <v>5011</v>
      </c>
      <c r="C12" s="1315">
        <v>38100880</v>
      </c>
      <c r="D12" s="1264" t="s">
        <v>117</v>
      </c>
      <c r="E12" s="1265"/>
      <c r="F12" s="1265"/>
      <c r="G12" s="1265"/>
      <c r="H12" s="1266" t="e">
        <f>G12/F12*100</f>
        <v>#DIV/0!</v>
      </c>
    </row>
    <row r="13" spans="1:8" s="1316" customFormat="1" ht="15.75" hidden="1" thickTop="1" x14ac:dyDescent="0.2">
      <c r="A13" s="1262">
        <v>3299</v>
      </c>
      <c r="B13" s="1263">
        <v>5139</v>
      </c>
      <c r="C13" s="1309" t="s">
        <v>1051</v>
      </c>
      <c r="D13" s="1264" t="s">
        <v>152</v>
      </c>
      <c r="E13" s="1265">
        <v>0</v>
      </c>
      <c r="F13" s="1265"/>
      <c r="G13" s="1265"/>
      <c r="H13" s="1266">
        <v>0</v>
      </c>
    </row>
    <row r="14" spans="1:8" s="1316" customFormat="1" ht="15.75" hidden="1" thickTop="1" x14ac:dyDescent="0.2">
      <c r="A14" s="1262">
        <v>3299</v>
      </c>
      <c r="B14" s="1263">
        <v>5139</v>
      </c>
      <c r="C14" s="1309" t="s">
        <v>1050</v>
      </c>
      <c r="D14" s="1264" t="s">
        <v>152</v>
      </c>
      <c r="E14" s="1265">
        <v>0</v>
      </c>
      <c r="F14" s="1265"/>
      <c r="G14" s="1265"/>
      <c r="H14" s="1266" t="e">
        <f>G14/F14*100</f>
        <v>#DIV/0!</v>
      </c>
    </row>
    <row r="15" spans="1:8" s="1316" customFormat="1" ht="15.75" hidden="1" thickTop="1" x14ac:dyDescent="0.2">
      <c r="A15" s="1262">
        <v>3299</v>
      </c>
      <c r="B15" s="1263">
        <v>5164</v>
      </c>
      <c r="C15" s="1309" t="s">
        <v>1051</v>
      </c>
      <c r="D15" s="1264" t="s">
        <v>101</v>
      </c>
      <c r="E15" s="1265">
        <v>0</v>
      </c>
      <c r="F15" s="1265"/>
      <c r="G15" s="1265"/>
      <c r="H15" s="1266" t="e">
        <f>G15/F15*100</f>
        <v>#DIV/0!</v>
      </c>
    </row>
    <row r="16" spans="1:8" s="1316" customFormat="1" ht="15.75" hidden="1" thickTop="1" x14ac:dyDescent="0.2">
      <c r="A16" s="1262">
        <v>3299</v>
      </c>
      <c r="B16" s="1263">
        <v>5164</v>
      </c>
      <c r="C16" s="1309" t="s">
        <v>1050</v>
      </c>
      <c r="D16" s="1264" t="s">
        <v>101</v>
      </c>
      <c r="E16" s="1265">
        <v>0</v>
      </c>
      <c r="F16" s="1265"/>
      <c r="G16" s="1265"/>
      <c r="H16" s="1266" t="e">
        <f>G16/F16*100</f>
        <v>#DIV/0!</v>
      </c>
    </row>
    <row r="17" spans="1:8" s="1316" customFormat="1" ht="15.75" hidden="1" thickTop="1" x14ac:dyDescent="0.2">
      <c r="A17" s="1262">
        <v>3299</v>
      </c>
      <c r="B17" s="1263">
        <v>5169</v>
      </c>
      <c r="C17" s="1309" t="s">
        <v>1051</v>
      </c>
      <c r="D17" s="1264" t="s">
        <v>430</v>
      </c>
      <c r="E17" s="1265">
        <v>0</v>
      </c>
      <c r="F17" s="1265"/>
      <c r="G17" s="1265"/>
      <c r="H17" s="1266" t="e">
        <f>G17/F17*100</f>
        <v>#DIV/0!</v>
      </c>
    </row>
    <row r="18" spans="1:8" s="1316" customFormat="1" ht="15.75" hidden="1" thickTop="1" x14ac:dyDescent="0.2">
      <c r="A18" s="1262">
        <v>3299</v>
      </c>
      <c r="B18" s="1263">
        <v>5021</v>
      </c>
      <c r="C18" s="1309">
        <v>38100882</v>
      </c>
      <c r="D18" s="1264" t="s">
        <v>217</v>
      </c>
      <c r="E18" s="1265"/>
      <c r="F18" s="1265"/>
      <c r="G18" s="1265"/>
      <c r="H18" s="1266">
        <v>0</v>
      </c>
    </row>
    <row r="19" spans="1:8" s="1316" customFormat="1" ht="15.75" hidden="1" thickTop="1" x14ac:dyDescent="0.2">
      <c r="A19" s="1262">
        <v>3299</v>
      </c>
      <c r="B19" s="1263">
        <v>5169</v>
      </c>
      <c r="C19" s="1309" t="s">
        <v>1050</v>
      </c>
      <c r="D19" s="1264" t="s">
        <v>430</v>
      </c>
      <c r="E19" s="1265">
        <v>0</v>
      </c>
      <c r="F19" s="1265"/>
      <c r="G19" s="1265"/>
      <c r="H19" s="1266" t="e">
        <f>G19/F19*100</f>
        <v>#DIV/0!</v>
      </c>
    </row>
    <row r="20" spans="1:8" s="1316" customFormat="1" ht="30.75" hidden="1" thickTop="1" x14ac:dyDescent="0.2">
      <c r="A20" s="1262">
        <v>3299</v>
      </c>
      <c r="B20" s="1263">
        <v>5031</v>
      </c>
      <c r="C20" s="1309">
        <v>38100880</v>
      </c>
      <c r="D20" s="1264" t="s">
        <v>621</v>
      </c>
      <c r="E20" s="1265"/>
      <c r="F20" s="1265"/>
      <c r="G20" s="1265"/>
      <c r="H20" s="1266" t="e">
        <f>G20/F20*100</f>
        <v>#DIV/0!</v>
      </c>
    </row>
    <row r="21" spans="1:8" s="1316" customFormat="1" ht="30.75" hidden="1" thickTop="1" x14ac:dyDescent="0.2">
      <c r="A21" s="1262">
        <v>3299</v>
      </c>
      <c r="B21" s="1263">
        <v>5031</v>
      </c>
      <c r="C21" s="1309">
        <v>38100882</v>
      </c>
      <c r="D21" s="1264" t="s">
        <v>621</v>
      </c>
      <c r="E21" s="1265"/>
      <c r="F21" s="1265"/>
      <c r="G21" s="1265"/>
      <c r="H21" s="1266">
        <v>0</v>
      </c>
    </row>
    <row r="22" spans="1:8" s="1316" customFormat="1" ht="30.75" hidden="1" thickTop="1" x14ac:dyDescent="0.2">
      <c r="A22" s="1262">
        <v>3299</v>
      </c>
      <c r="B22" s="1263">
        <v>5031</v>
      </c>
      <c r="C22" s="1309">
        <v>38500881</v>
      </c>
      <c r="D22" s="1264" t="s">
        <v>621</v>
      </c>
      <c r="E22" s="1265"/>
      <c r="F22" s="1265"/>
      <c r="G22" s="1265"/>
      <c r="H22" s="1266" t="e">
        <f>G22/F22*100</f>
        <v>#DIV/0!</v>
      </c>
    </row>
    <row r="23" spans="1:8" s="1316" customFormat="1" ht="30.75" hidden="1" thickTop="1" x14ac:dyDescent="0.2">
      <c r="A23" s="1262">
        <v>3299</v>
      </c>
      <c r="B23" s="1263">
        <v>5032</v>
      </c>
      <c r="C23" s="1309">
        <v>38100880</v>
      </c>
      <c r="D23" s="1264" t="s">
        <v>553</v>
      </c>
      <c r="E23" s="1265"/>
      <c r="F23" s="1265"/>
      <c r="G23" s="1265"/>
      <c r="H23" s="1266" t="e">
        <f>G23/F23*100</f>
        <v>#DIV/0!</v>
      </c>
    </row>
    <row r="24" spans="1:8" s="1316" customFormat="1" ht="30.75" hidden="1" thickTop="1" x14ac:dyDescent="0.2">
      <c r="A24" s="1262">
        <v>3299</v>
      </c>
      <c r="B24" s="1263">
        <v>5032</v>
      </c>
      <c r="C24" s="1309">
        <v>38100882</v>
      </c>
      <c r="D24" s="1264" t="s">
        <v>553</v>
      </c>
      <c r="E24" s="1265"/>
      <c r="F24" s="1265"/>
      <c r="G24" s="1265"/>
      <c r="H24" s="1266">
        <v>0</v>
      </c>
    </row>
    <row r="25" spans="1:8" s="1316" customFormat="1" ht="30.75" hidden="1" thickTop="1" x14ac:dyDescent="0.2">
      <c r="A25" s="1262">
        <v>3299</v>
      </c>
      <c r="B25" s="1263">
        <v>5032</v>
      </c>
      <c r="C25" s="1309">
        <v>38500881</v>
      </c>
      <c r="D25" s="1264" t="s">
        <v>553</v>
      </c>
      <c r="E25" s="1265"/>
      <c r="F25" s="1265"/>
      <c r="G25" s="1265"/>
      <c r="H25" s="1266" t="e">
        <f>G25/F25*100</f>
        <v>#DIV/0!</v>
      </c>
    </row>
    <row r="26" spans="1:8" s="1316" customFormat="1" ht="15.75" hidden="1" thickTop="1" x14ac:dyDescent="0.2">
      <c r="A26" s="1262">
        <v>3299</v>
      </c>
      <c r="B26" s="1263">
        <v>5136</v>
      </c>
      <c r="C26" s="1309">
        <v>38100880</v>
      </c>
      <c r="D26" s="1264" t="s">
        <v>316</v>
      </c>
      <c r="E26" s="1265"/>
      <c r="F26" s="1265"/>
      <c r="G26" s="1265"/>
      <c r="H26" s="1266" t="e">
        <f>G26/F26*100</f>
        <v>#DIV/0!</v>
      </c>
    </row>
    <row r="27" spans="1:8" s="1316" customFormat="1" ht="15.75" hidden="1" thickTop="1" x14ac:dyDescent="0.2">
      <c r="A27" s="1262">
        <v>3299</v>
      </c>
      <c r="B27" s="1263">
        <v>5136</v>
      </c>
      <c r="C27" s="1309">
        <v>38500881</v>
      </c>
      <c r="D27" s="1264" t="s">
        <v>316</v>
      </c>
      <c r="E27" s="1265"/>
      <c r="F27" s="1265"/>
      <c r="G27" s="1265"/>
      <c r="H27" s="1266" t="e">
        <f>G27/F27*100</f>
        <v>#DIV/0!</v>
      </c>
    </row>
    <row r="28" spans="1:8" s="1316" customFormat="1" ht="15.75" hidden="1" thickTop="1" x14ac:dyDescent="0.2">
      <c r="A28" s="1262">
        <v>3299</v>
      </c>
      <c r="B28" s="1263">
        <v>5139</v>
      </c>
      <c r="C28" s="1309">
        <v>38100880</v>
      </c>
      <c r="D28" s="1264" t="s">
        <v>152</v>
      </c>
      <c r="E28" s="1265"/>
      <c r="F28" s="1265"/>
      <c r="G28" s="1265"/>
      <c r="H28" s="1266" t="e">
        <f>G28/F28*100</f>
        <v>#DIV/0!</v>
      </c>
    </row>
    <row r="29" spans="1:8" s="1316" customFormat="1" ht="15.75" hidden="1" thickTop="1" x14ac:dyDescent="0.2">
      <c r="A29" s="1262">
        <v>3299</v>
      </c>
      <c r="B29" s="1263">
        <v>5139</v>
      </c>
      <c r="C29" s="1309">
        <v>38100882</v>
      </c>
      <c r="D29" s="1264" t="s">
        <v>152</v>
      </c>
      <c r="E29" s="1265"/>
      <c r="F29" s="1265"/>
      <c r="G29" s="1265"/>
      <c r="H29" s="1266">
        <v>0</v>
      </c>
    </row>
    <row r="30" spans="1:8" s="1316" customFormat="1" ht="15.75" hidden="1" thickTop="1" x14ac:dyDescent="0.2">
      <c r="A30" s="1262">
        <v>3299</v>
      </c>
      <c r="B30" s="1263">
        <v>5139</v>
      </c>
      <c r="C30" s="1309">
        <v>38500881</v>
      </c>
      <c r="D30" s="1264" t="s">
        <v>152</v>
      </c>
      <c r="E30" s="1265"/>
      <c r="F30" s="1265"/>
      <c r="G30" s="1265"/>
      <c r="H30" s="1266" t="e">
        <f>G30/F30*100</f>
        <v>#DIV/0!</v>
      </c>
    </row>
    <row r="31" spans="1:8" s="1316" customFormat="1" ht="15.75" hidden="1" thickTop="1" x14ac:dyDescent="0.2">
      <c r="A31" s="1262">
        <v>3299</v>
      </c>
      <c r="B31" s="1263">
        <v>5162</v>
      </c>
      <c r="C31" s="1309">
        <v>38100880</v>
      </c>
      <c r="D31" s="1264" t="s">
        <v>439</v>
      </c>
      <c r="E31" s="1265"/>
      <c r="F31" s="1265"/>
      <c r="G31" s="1265"/>
      <c r="H31" s="1266" t="e">
        <f>G31/F31*100</f>
        <v>#DIV/0!</v>
      </c>
    </row>
    <row r="32" spans="1:8" s="1316" customFormat="1" ht="15.75" hidden="1" thickTop="1" x14ac:dyDescent="0.2">
      <c r="A32" s="1262">
        <v>3299</v>
      </c>
      <c r="B32" s="1263">
        <v>5162</v>
      </c>
      <c r="C32" s="1309">
        <v>38100882</v>
      </c>
      <c r="D32" s="1264" t="s">
        <v>439</v>
      </c>
      <c r="E32" s="1265"/>
      <c r="F32" s="1265"/>
      <c r="G32" s="1265"/>
      <c r="H32" s="1266">
        <v>0</v>
      </c>
    </row>
    <row r="33" spans="1:8" s="1318" customFormat="1" ht="15.75" hidden="1" thickTop="1" x14ac:dyDescent="0.2">
      <c r="A33" s="1262">
        <v>3299</v>
      </c>
      <c r="B33" s="1317">
        <v>5162</v>
      </c>
      <c r="C33" s="1309">
        <v>38500881</v>
      </c>
      <c r="D33" s="1264" t="s">
        <v>439</v>
      </c>
      <c r="E33" s="1265"/>
      <c r="F33" s="1265"/>
      <c r="G33" s="1265"/>
      <c r="H33" s="1266" t="e">
        <f>G33/F33*100</f>
        <v>#DIV/0!</v>
      </c>
    </row>
    <row r="34" spans="1:8" s="1318" customFormat="1" ht="15.75" hidden="1" thickTop="1" x14ac:dyDescent="0.2">
      <c r="A34" s="1262">
        <v>3299</v>
      </c>
      <c r="B34" s="1317">
        <v>5163</v>
      </c>
      <c r="C34" s="1309">
        <v>38100880</v>
      </c>
      <c r="D34" s="1264" t="s">
        <v>452</v>
      </c>
      <c r="E34" s="1265"/>
      <c r="F34" s="1265"/>
      <c r="G34" s="1265"/>
      <c r="H34" s="1266">
        <v>0</v>
      </c>
    </row>
    <row r="35" spans="1:8" ht="17.25" hidden="1" customHeight="1" x14ac:dyDescent="0.2">
      <c r="A35" s="1262">
        <v>3299</v>
      </c>
      <c r="B35" s="1317">
        <v>5163</v>
      </c>
      <c r="C35" s="1309">
        <v>38100882</v>
      </c>
      <c r="D35" s="1264" t="s">
        <v>452</v>
      </c>
      <c r="E35" s="1265"/>
      <c r="F35" s="1265"/>
      <c r="G35" s="1265"/>
      <c r="H35" s="1266">
        <v>0</v>
      </c>
    </row>
    <row r="36" spans="1:8" ht="17.25" hidden="1" customHeight="1" x14ac:dyDescent="0.2">
      <c r="A36" s="1262">
        <v>3299</v>
      </c>
      <c r="B36" s="1317">
        <v>5163</v>
      </c>
      <c r="C36" s="1309">
        <v>38500881</v>
      </c>
      <c r="D36" s="1264" t="s">
        <v>452</v>
      </c>
      <c r="E36" s="1265"/>
      <c r="F36" s="1265"/>
      <c r="G36" s="1265"/>
      <c r="H36" s="1266" t="e">
        <f>G36/F36*100</f>
        <v>#DIV/0!</v>
      </c>
    </row>
    <row r="37" spans="1:8" ht="17.25" hidden="1" customHeight="1" x14ac:dyDescent="0.2">
      <c r="A37" s="1262">
        <v>3299</v>
      </c>
      <c r="B37" s="1317">
        <v>5164</v>
      </c>
      <c r="C37" s="1309">
        <v>38100880</v>
      </c>
      <c r="D37" s="1264" t="s">
        <v>101</v>
      </c>
      <c r="E37" s="1265"/>
      <c r="F37" s="1265"/>
      <c r="G37" s="1265"/>
      <c r="H37" s="1266" t="e">
        <f>G37/F37*100</f>
        <v>#DIV/0!</v>
      </c>
    </row>
    <row r="38" spans="1:8" ht="17.25" hidden="1" customHeight="1" x14ac:dyDescent="0.2">
      <c r="A38" s="1262">
        <v>3299</v>
      </c>
      <c r="B38" s="1317">
        <v>5164</v>
      </c>
      <c r="C38" s="1309">
        <v>38100882</v>
      </c>
      <c r="D38" s="1264" t="s">
        <v>101</v>
      </c>
      <c r="E38" s="1265"/>
      <c r="F38" s="1265"/>
      <c r="G38" s="1265"/>
      <c r="H38" s="1266">
        <v>0</v>
      </c>
    </row>
    <row r="39" spans="1:8" ht="17.25" hidden="1" customHeight="1" x14ac:dyDescent="0.2">
      <c r="A39" s="1262">
        <v>3299</v>
      </c>
      <c r="B39" s="1317">
        <v>5164</v>
      </c>
      <c r="C39" s="1309">
        <v>38500881</v>
      </c>
      <c r="D39" s="1264" t="s">
        <v>101</v>
      </c>
      <c r="E39" s="1265"/>
      <c r="F39" s="1265"/>
      <c r="G39" s="1265"/>
      <c r="H39" s="1266" t="e">
        <f>G39/F39*100</f>
        <v>#DIV/0!</v>
      </c>
    </row>
    <row r="40" spans="1:8" ht="17.25" hidden="1" customHeight="1" x14ac:dyDescent="0.2">
      <c r="A40" s="1262">
        <v>3299</v>
      </c>
      <c r="B40" s="1317">
        <v>5166</v>
      </c>
      <c r="C40" s="1309">
        <v>38100880</v>
      </c>
      <c r="D40" s="1264" t="s">
        <v>317</v>
      </c>
      <c r="E40" s="1265"/>
      <c r="F40" s="1265"/>
      <c r="G40" s="1265"/>
      <c r="H40" s="1266" t="e">
        <f>G40/F40*100</f>
        <v>#DIV/0!</v>
      </c>
    </row>
    <row r="41" spans="1:8" ht="17.25" hidden="1" customHeight="1" x14ac:dyDescent="0.2">
      <c r="A41" s="1262">
        <v>3299</v>
      </c>
      <c r="B41" s="1317">
        <v>5166</v>
      </c>
      <c r="C41" s="1309">
        <v>38100882</v>
      </c>
      <c r="D41" s="1264" t="s">
        <v>317</v>
      </c>
      <c r="E41" s="1265"/>
      <c r="F41" s="1265"/>
      <c r="G41" s="1265"/>
      <c r="H41" s="1266">
        <v>0</v>
      </c>
    </row>
    <row r="42" spans="1:8" ht="17.25" hidden="1" customHeight="1" x14ac:dyDescent="0.2">
      <c r="A42" s="1262">
        <v>3299</v>
      </c>
      <c r="B42" s="1317">
        <v>5166</v>
      </c>
      <c r="C42" s="1309">
        <v>38500881</v>
      </c>
      <c r="D42" s="1264" t="s">
        <v>317</v>
      </c>
      <c r="E42" s="1265"/>
      <c r="F42" s="1265"/>
      <c r="G42" s="1265"/>
      <c r="H42" s="1266" t="e">
        <f>G42/F42*100</f>
        <v>#DIV/0!</v>
      </c>
    </row>
    <row r="43" spans="1:8" ht="17.25" hidden="1" customHeight="1" x14ac:dyDescent="0.2">
      <c r="A43" s="1262">
        <v>3299</v>
      </c>
      <c r="B43" s="1317">
        <v>5167</v>
      </c>
      <c r="C43" s="1309">
        <v>38100880</v>
      </c>
      <c r="D43" s="1264" t="s">
        <v>162</v>
      </c>
      <c r="E43" s="1265"/>
      <c r="F43" s="1265"/>
      <c r="G43" s="1265"/>
      <c r="H43" s="1266" t="e">
        <f>G43/F43*100</f>
        <v>#DIV/0!</v>
      </c>
    </row>
    <row r="44" spans="1:8" ht="17.25" hidden="1" customHeight="1" x14ac:dyDescent="0.2">
      <c r="A44" s="1262">
        <v>3299</v>
      </c>
      <c r="B44" s="1317">
        <v>5167</v>
      </c>
      <c r="C44" s="1309">
        <v>38100882</v>
      </c>
      <c r="D44" s="1264" t="s">
        <v>162</v>
      </c>
      <c r="E44" s="1265"/>
      <c r="F44" s="1265"/>
      <c r="G44" s="1265"/>
      <c r="H44" s="1266">
        <v>0</v>
      </c>
    </row>
    <row r="45" spans="1:8" ht="17.25" hidden="1" customHeight="1" x14ac:dyDescent="0.2">
      <c r="A45" s="1262">
        <v>3299</v>
      </c>
      <c r="B45" s="1317">
        <v>5167</v>
      </c>
      <c r="C45" s="1309">
        <v>38500881</v>
      </c>
      <c r="D45" s="1264" t="s">
        <v>162</v>
      </c>
      <c r="E45" s="1265"/>
      <c r="F45" s="1265"/>
      <c r="G45" s="1265"/>
      <c r="H45" s="1266" t="e">
        <f>G45/F45*100</f>
        <v>#DIV/0!</v>
      </c>
    </row>
    <row r="46" spans="1:8" ht="17.25" hidden="1" customHeight="1" x14ac:dyDescent="0.2">
      <c r="A46" s="1262">
        <v>3299</v>
      </c>
      <c r="B46" s="1317">
        <v>5169</v>
      </c>
      <c r="C46" s="1309">
        <v>38100880</v>
      </c>
      <c r="D46" s="1264" t="s">
        <v>430</v>
      </c>
      <c r="E46" s="1265"/>
      <c r="F46" s="1265"/>
      <c r="G46" s="1265"/>
      <c r="H46" s="1266" t="e">
        <f>G46/F46*100</f>
        <v>#DIV/0!</v>
      </c>
    </row>
    <row r="47" spans="1:8" ht="17.25" hidden="1" customHeight="1" x14ac:dyDescent="0.2">
      <c r="A47" s="1262">
        <v>3299</v>
      </c>
      <c r="B47" s="1317">
        <v>5169</v>
      </c>
      <c r="C47" s="1309">
        <v>38100882</v>
      </c>
      <c r="D47" s="1264" t="s">
        <v>430</v>
      </c>
      <c r="E47" s="1265"/>
      <c r="F47" s="1265"/>
      <c r="G47" s="1265"/>
      <c r="H47" s="1266">
        <v>0</v>
      </c>
    </row>
    <row r="48" spans="1:8" ht="17.25" hidden="1" customHeight="1" x14ac:dyDescent="0.2">
      <c r="A48" s="1262">
        <v>3299</v>
      </c>
      <c r="B48" s="1317">
        <v>5169</v>
      </c>
      <c r="C48" s="1309">
        <v>38500881</v>
      </c>
      <c r="D48" s="1264" t="s">
        <v>430</v>
      </c>
      <c r="E48" s="1265"/>
      <c r="F48" s="1265"/>
      <c r="G48" s="1265"/>
      <c r="H48" s="1266" t="e">
        <f>G48/F48*100</f>
        <v>#DIV/0!</v>
      </c>
    </row>
    <row r="49" spans="1:9" ht="17.25" hidden="1" customHeight="1" x14ac:dyDescent="0.2">
      <c r="A49" s="1262">
        <v>3299</v>
      </c>
      <c r="B49" s="1317">
        <v>5173</v>
      </c>
      <c r="C49" s="1309">
        <v>38100880</v>
      </c>
      <c r="D49" s="1264" t="s">
        <v>541</v>
      </c>
      <c r="E49" s="1265"/>
      <c r="F49" s="1265"/>
      <c r="G49" s="1265"/>
      <c r="H49" s="1266" t="e">
        <f>G49/F49*100</f>
        <v>#DIV/0!</v>
      </c>
    </row>
    <row r="50" spans="1:9" ht="17.25" hidden="1" customHeight="1" x14ac:dyDescent="0.2">
      <c r="A50" s="1262">
        <v>3299</v>
      </c>
      <c r="B50" s="1317">
        <v>5173</v>
      </c>
      <c r="C50" s="1309">
        <v>38100882</v>
      </c>
      <c r="D50" s="1264" t="s">
        <v>541</v>
      </c>
      <c r="E50" s="1265"/>
      <c r="F50" s="1265"/>
      <c r="G50" s="1265"/>
      <c r="H50" s="1266">
        <v>0</v>
      </c>
    </row>
    <row r="51" spans="1:9" ht="17.25" hidden="1" customHeight="1" x14ac:dyDescent="0.2">
      <c r="A51" s="1262">
        <v>3299</v>
      </c>
      <c r="B51" s="1317">
        <v>5173</v>
      </c>
      <c r="C51" s="1309">
        <v>38500881</v>
      </c>
      <c r="D51" s="1264" t="s">
        <v>541</v>
      </c>
      <c r="E51" s="1265"/>
      <c r="F51" s="1265"/>
      <c r="G51" s="1265"/>
      <c r="H51" s="1266" t="e">
        <f>G51/F51*100</f>
        <v>#DIV/0!</v>
      </c>
    </row>
    <row r="52" spans="1:9" ht="17.25" hidden="1" customHeight="1" x14ac:dyDescent="0.2">
      <c r="A52" s="1262">
        <v>3299</v>
      </c>
      <c r="B52" s="1317">
        <v>5175</v>
      </c>
      <c r="C52" s="1309">
        <v>38100880</v>
      </c>
      <c r="D52" s="1264" t="s">
        <v>352</v>
      </c>
      <c r="E52" s="1265"/>
      <c r="F52" s="1265"/>
      <c r="G52" s="1265"/>
      <c r="H52" s="1266" t="e">
        <f>G52/F52*100</f>
        <v>#DIV/0!</v>
      </c>
    </row>
    <row r="53" spans="1:9" ht="15.75" hidden="1" thickTop="1" x14ac:dyDescent="0.2">
      <c r="A53" s="1262">
        <v>3299</v>
      </c>
      <c r="B53" s="1317">
        <v>5175</v>
      </c>
      <c r="C53" s="1309" t="s">
        <v>1051</v>
      </c>
      <c r="D53" s="1264" t="s">
        <v>352</v>
      </c>
      <c r="E53" s="1265">
        <v>0</v>
      </c>
      <c r="F53" s="1265"/>
      <c r="G53" s="1265"/>
      <c r="H53" s="1266">
        <v>0</v>
      </c>
    </row>
    <row r="54" spans="1:9" ht="15.75" hidden="1" thickTop="1" x14ac:dyDescent="0.2">
      <c r="A54" s="1262">
        <v>3299</v>
      </c>
      <c r="B54" s="1317">
        <v>5175</v>
      </c>
      <c r="C54" s="1309" t="s">
        <v>1050</v>
      </c>
      <c r="D54" s="1264" t="s">
        <v>352</v>
      </c>
      <c r="E54" s="1265">
        <v>0</v>
      </c>
      <c r="F54" s="1265"/>
      <c r="G54" s="1265"/>
      <c r="H54" s="1266" t="e">
        <f>G54/F54*100</f>
        <v>#DIV/0!</v>
      </c>
    </row>
    <row r="55" spans="1:9" ht="15.75" hidden="1" thickTop="1" x14ac:dyDescent="0.2">
      <c r="A55" s="1262">
        <v>3636</v>
      </c>
      <c r="B55" s="1263">
        <v>5176</v>
      </c>
      <c r="C55" s="1309">
        <v>38100880</v>
      </c>
      <c r="D55" s="1264" t="s">
        <v>593</v>
      </c>
      <c r="E55" s="1265"/>
      <c r="F55" s="1265"/>
      <c r="G55" s="1265"/>
      <c r="H55" s="1266" t="e">
        <f>G55/F55*100</f>
        <v>#DIV/0!</v>
      </c>
    </row>
    <row r="56" spans="1:9" ht="15.75" hidden="1" thickTop="1" x14ac:dyDescent="0.2">
      <c r="A56" s="1262">
        <v>3636</v>
      </c>
      <c r="B56" s="1263">
        <v>5176</v>
      </c>
      <c r="C56" s="1309">
        <v>38100881</v>
      </c>
      <c r="D56" s="1264" t="s">
        <v>593</v>
      </c>
      <c r="E56" s="1265"/>
      <c r="F56" s="1265"/>
      <c r="G56" s="1265"/>
      <c r="H56" s="1266" t="e">
        <f>G56/F56*100</f>
        <v>#DIV/0!</v>
      </c>
    </row>
    <row r="57" spans="1:9" ht="15.75" hidden="1" thickTop="1" x14ac:dyDescent="0.2">
      <c r="A57" s="1262">
        <v>3636</v>
      </c>
      <c r="B57" s="1263">
        <v>6111</v>
      </c>
      <c r="C57" s="1309">
        <v>38100880</v>
      </c>
      <c r="D57" s="1264" t="s">
        <v>457</v>
      </c>
      <c r="E57" s="1265"/>
      <c r="F57" s="1265"/>
      <c r="G57" s="1265"/>
      <c r="H57" s="1266" t="e">
        <f>G57/F57*100</f>
        <v>#DIV/0!</v>
      </c>
    </row>
    <row r="58" spans="1:9" ht="15.75" hidden="1" thickTop="1" x14ac:dyDescent="0.2">
      <c r="A58" s="1262">
        <v>3636</v>
      </c>
      <c r="B58" s="1263">
        <v>6111</v>
      </c>
      <c r="C58" s="1309">
        <v>38100882</v>
      </c>
      <c r="D58" s="1264" t="s">
        <v>457</v>
      </c>
      <c r="E58" s="1265"/>
      <c r="F58" s="1265"/>
      <c r="G58" s="1265"/>
      <c r="H58" s="1266">
        <v>0</v>
      </c>
    </row>
    <row r="59" spans="1:9" s="1318" customFormat="1" ht="15.75" hidden="1" thickTop="1" x14ac:dyDescent="0.2">
      <c r="A59" s="1262">
        <v>3636</v>
      </c>
      <c r="B59" s="1263">
        <v>6111</v>
      </c>
      <c r="C59" s="1309">
        <v>38500881</v>
      </c>
      <c r="D59" s="1264" t="s">
        <v>457</v>
      </c>
      <c r="E59" s="1265"/>
      <c r="F59" s="1265"/>
      <c r="G59" s="1265"/>
      <c r="H59" s="1266" t="e">
        <f>G59/F59*100</f>
        <v>#DIV/0!</v>
      </c>
    </row>
    <row r="60" spans="1:9" s="1318" customFormat="1" ht="30.75" thickTop="1" x14ac:dyDescent="0.2">
      <c r="A60" s="1262">
        <v>6402</v>
      </c>
      <c r="B60" s="1263">
        <v>5364</v>
      </c>
      <c r="C60" s="1309" t="s">
        <v>882</v>
      </c>
      <c r="D60" s="1264" t="s">
        <v>1022</v>
      </c>
      <c r="E60" s="1265"/>
      <c r="F60" s="1265"/>
      <c r="G60" s="1265"/>
      <c r="H60" s="1266" t="e">
        <f>G60/F60*100</f>
        <v>#DIV/0!</v>
      </c>
    </row>
    <row r="61" spans="1:9" s="1318" customFormat="1" ht="15.75" thickBot="1" x14ac:dyDescent="0.25">
      <c r="A61" s="1262">
        <v>6330</v>
      </c>
      <c r="B61" s="1263">
        <v>5345</v>
      </c>
      <c r="C61" s="1309" t="s">
        <v>871</v>
      </c>
      <c r="D61" s="1264" t="s">
        <v>397</v>
      </c>
      <c r="E61" s="1265"/>
      <c r="F61" s="1265"/>
      <c r="G61" s="1265"/>
      <c r="H61" s="1268">
        <v>0</v>
      </c>
    </row>
    <row r="62" spans="1:9" s="1320" customFormat="1" ht="16.5" thickTop="1" thickBot="1" x14ac:dyDescent="0.3">
      <c r="A62" s="3342" t="s">
        <v>394</v>
      </c>
      <c r="B62" s="3343"/>
      <c r="C62" s="3343"/>
      <c r="D62" s="3343"/>
      <c r="E62" s="1269">
        <f>SUM(E12:E61)</f>
        <v>0</v>
      </c>
      <c r="F62" s="1269">
        <f>SUM(F12:F61)</f>
        <v>0</v>
      </c>
      <c r="G62" s="1269">
        <f>SUM(G12:G61)</f>
        <v>0</v>
      </c>
      <c r="H62" s="1270" t="e">
        <f>G62/F62*100</f>
        <v>#DIV/0!</v>
      </c>
      <c r="I62" s="1319"/>
    </row>
    <row r="63" spans="1:9" ht="13.5" thickTop="1" x14ac:dyDescent="0.2">
      <c r="I63" s="1244"/>
    </row>
    <row r="64" spans="1:9" x14ac:dyDescent="0.2">
      <c r="I64" s="1244"/>
    </row>
    <row r="66" spans="1:12" ht="16.5" x14ac:dyDescent="0.25">
      <c r="A66" s="1285" t="s">
        <v>251</v>
      </c>
      <c r="B66" s="1286"/>
      <c r="C66" s="1287"/>
      <c r="D66" s="1288"/>
      <c r="E66" s="1289">
        <f>SUM(E67:E69)</f>
        <v>0</v>
      </c>
      <c r="F66" s="1289">
        <f>F67+F68+F69+F70</f>
        <v>0</v>
      </c>
      <c r="G66" s="1289">
        <f>G67+G68+G69+G70</f>
        <v>0</v>
      </c>
      <c r="H66" s="1290" t="e">
        <f>G66/F66*100</f>
        <v>#DIV/0!</v>
      </c>
      <c r="J66" s="1291">
        <f>J67+J68+J69</f>
        <v>0</v>
      </c>
      <c r="K66" s="1291">
        <f>K67+K68+K69</f>
        <v>0</v>
      </c>
      <c r="L66" s="1291">
        <f>L67+L68+L69</f>
        <v>0</v>
      </c>
    </row>
    <row r="67" spans="1:12" ht="15" x14ac:dyDescent="0.2">
      <c r="A67" s="1292" t="s">
        <v>147</v>
      </c>
      <c r="B67" s="1293"/>
      <c r="C67" s="1294"/>
      <c r="D67" s="1295"/>
      <c r="E67" s="1296">
        <f>E13+E14+E15+E16+E17+E19+E53+E54+E60</f>
        <v>0</v>
      </c>
      <c r="F67" s="1296">
        <f>F13+F14+F15+F16+F17+F19+F53+F54+F60</f>
        <v>0</v>
      </c>
      <c r="G67" s="1296">
        <f>G13+G14+G15+G16+G17+G19+G53+G54+G60</f>
        <v>0</v>
      </c>
      <c r="H67" s="1297" t="e">
        <f>G67/F67*100</f>
        <v>#DIV/0!</v>
      </c>
      <c r="J67" s="1298">
        <v>0</v>
      </c>
      <c r="K67" s="1298">
        <v>0</v>
      </c>
      <c r="L67" s="1298">
        <v>0</v>
      </c>
    </row>
    <row r="68" spans="1:12" ht="15" x14ac:dyDescent="0.2">
      <c r="A68" s="1292" t="s">
        <v>148</v>
      </c>
      <c r="B68" s="1299"/>
      <c r="C68" s="1294"/>
      <c r="D68" s="1300"/>
      <c r="E68" s="1296">
        <f>E57+E58+E59</f>
        <v>0</v>
      </c>
      <c r="F68" s="1296">
        <f>F57+F58+F59</f>
        <v>0</v>
      </c>
      <c r="G68" s="1296">
        <f>G57+G58+G59</f>
        <v>0</v>
      </c>
      <c r="H68" s="1297">
        <v>0</v>
      </c>
      <c r="J68" s="1298">
        <v>0</v>
      </c>
      <c r="K68" s="1298">
        <v>0</v>
      </c>
      <c r="L68" s="1298">
        <v>0</v>
      </c>
    </row>
    <row r="69" spans="1:12" ht="15" x14ac:dyDescent="0.2">
      <c r="A69" s="1292" t="s">
        <v>252</v>
      </c>
      <c r="B69" s="1299"/>
      <c r="C69" s="1294"/>
      <c r="D69" s="1300"/>
      <c r="E69" s="1296">
        <v>0</v>
      </c>
      <c r="F69" s="1296">
        <v>0</v>
      </c>
      <c r="G69" s="1296">
        <f>G61</f>
        <v>0</v>
      </c>
      <c r="H69" s="1297">
        <v>0</v>
      </c>
      <c r="J69" s="1298">
        <v>0</v>
      </c>
      <c r="K69" s="1298">
        <v>0</v>
      </c>
      <c r="L69" s="1298">
        <v>0</v>
      </c>
    </row>
    <row r="70" spans="1:12" ht="15" x14ac:dyDescent="0.2">
      <c r="A70" s="1292"/>
      <c r="B70" s="1299"/>
      <c r="C70" s="1294"/>
      <c r="D70" s="1300"/>
      <c r="E70" s="1296"/>
      <c r="F70" s="1296"/>
      <c r="G70" s="1296"/>
      <c r="H70" s="1301"/>
    </row>
    <row r="71" spans="1:12" ht="46.5" customHeight="1" thickBot="1" x14ac:dyDescent="0.4">
      <c r="A71" s="3321" t="s">
        <v>751</v>
      </c>
      <c r="B71" s="3322"/>
      <c r="C71" s="3322"/>
      <c r="D71" s="3322"/>
      <c r="E71" s="1302">
        <f>SUM(E66)</f>
        <v>0</v>
      </c>
      <c r="F71" s="1302">
        <f>SUM(F66)</f>
        <v>0</v>
      </c>
      <c r="G71" s="1302">
        <f>SUM(G66)</f>
        <v>0</v>
      </c>
      <c r="H71" s="1303" t="e">
        <f>(G71/F71)*100</f>
        <v>#DIV/0!</v>
      </c>
    </row>
    <row r="72" spans="1:12" ht="13.5" thickTop="1" x14ac:dyDescent="0.2"/>
    <row r="191" spans="1:5" ht="13.5" thickBot="1" x14ac:dyDescent="0.25">
      <c r="A191" s="1321"/>
      <c r="B191" s="1321"/>
      <c r="C191" s="1321"/>
      <c r="D191" s="1322"/>
      <c r="E191" s="1323"/>
    </row>
    <row r="192" spans="1:5" ht="13.5" thickTop="1" x14ac:dyDescent="0.2">
      <c r="A192" s="1324"/>
      <c r="B192" s="1324"/>
      <c r="C192" s="1324"/>
      <c r="D192" s="1325"/>
      <c r="E192" s="1326"/>
    </row>
    <row r="193" spans="4:4" x14ac:dyDescent="0.2">
      <c r="D193" s="1236" t="e">
        <f>#REF!+#REF!</f>
        <v>#REF!</v>
      </c>
    </row>
  </sheetData>
  <mergeCells count="2">
    <mergeCell ref="A62:D62"/>
    <mergeCell ref="A71:D71"/>
  </mergeCells>
  <pageMargins left="0.70866141732283472" right="0.70866141732283472" top="0.78740157480314965" bottom="0.78740157480314965" header="0.31496062992125984" footer="0.31496062992125984"/>
  <pageSetup paperSize="9" scale="70" firstPageNumber="150" orientation="portrait" useFirstPageNumber="1" r:id="rId1"/>
  <headerFooter>
    <oddFooter xml:space="preserve">&amp;L&amp;"Arial,Kurzíva"Zastupitelstvo Olomouckého kraje 19. 6. 2017
5.1. - Rozpočet Olomouckého kraje 2016 - závěrečný účet 
Příloha č. 3: Plnění rozpočtu výdajů Olomouckého kraje k 31. 12. 2016&amp;R&amp;"Arial,Kurzíva"Strana &amp;P (celkem 500)
</oddFooter>
  </headerFooter>
  <colBreaks count="1" manualBreakCount="1">
    <brk id="8" max="1048575" man="1"/>
  </col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FF"/>
  </sheetPr>
  <dimension ref="A1:L181"/>
  <sheetViews>
    <sheetView view="pageBreakPreview" zoomScaleNormal="100" zoomScaleSheetLayoutView="100" workbookViewId="0">
      <selection activeCell="N62" sqref="N62"/>
    </sheetView>
  </sheetViews>
  <sheetFormatPr defaultRowHeight="12.75" x14ac:dyDescent="0.2"/>
  <cols>
    <col min="1" max="1" width="4.7109375" style="1243" customWidth="1"/>
    <col min="2" max="2" width="6.7109375" style="1243" customWidth="1"/>
    <col min="3" max="3" width="9.42578125" style="1243" customWidth="1"/>
    <col min="4" max="4" width="46.42578125" style="1236" customWidth="1"/>
    <col min="5" max="5" width="15.42578125" style="1244" customWidth="1"/>
    <col min="6" max="6" width="15.5703125" style="1244" customWidth="1"/>
    <col min="7" max="7" width="15.85546875" style="1244" customWidth="1"/>
    <col min="8" max="8" width="8.28515625" style="1236" customWidth="1"/>
    <col min="9" max="9" width="14.28515625" style="1236" bestFit="1" customWidth="1"/>
    <col min="10" max="10" width="9.140625" style="1236"/>
    <col min="11" max="11" width="12.7109375" style="1236" bestFit="1" customWidth="1"/>
    <col min="12" max="12" width="13.140625" style="1236" customWidth="1"/>
    <col min="13" max="256" width="9.140625" style="1236"/>
    <col min="257" max="257" width="4.7109375" style="1236" customWidth="1"/>
    <col min="258" max="258" width="6.7109375" style="1236" customWidth="1"/>
    <col min="259" max="259" width="8.85546875" style="1236" customWidth="1"/>
    <col min="260" max="260" width="46.42578125" style="1236" customWidth="1"/>
    <col min="261" max="261" width="12.85546875" style="1236" customWidth="1"/>
    <col min="262" max="262" width="15.5703125" style="1236" customWidth="1"/>
    <col min="263" max="263" width="15.85546875" style="1236" customWidth="1"/>
    <col min="264" max="264" width="6.42578125" style="1236" customWidth="1"/>
    <col min="265" max="265" width="14.28515625" style="1236" bestFit="1" customWidth="1"/>
    <col min="266" max="266" width="9.140625" style="1236"/>
    <col min="267" max="267" width="12.7109375" style="1236" bestFit="1" customWidth="1"/>
    <col min="268" max="268" width="13.140625" style="1236" customWidth="1"/>
    <col min="269" max="512" width="9.140625" style="1236"/>
    <col min="513" max="513" width="4.7109375" style="1236" customWidth="1"/>
    <col min="514" max="514" width="6.7109375" style="1236" customWidth="1"/>
    <col min="515" max="515" width="8.85546875" style="1236" customWidth="1"/>
    <col min="516" max="516" width="46.42578125" style="1236" customWidth="1"/>
    <col min="517" max="517" width="12.85546875" style="1236" customWidth="1"/>
    <col min="518" max="518" width="15.5703125" style="1236" customWidth="1"/>
    <col min="519" max="519" width="15.85546875" style="1236" customWidth="1"/>
    <col min="520" max="520" width="6.42578125" style="1236" customWidth="1"/>
    <col min="521" max="521" width="14.28515625" style="1236" bestFit="1" customWidth="1"/>
    <col min="522" max="522" width="9.140625" style="1236"/>
    <col min="523" max="523" width="12.7109375" style="1236" bestFit="1" customWidth="1"/>
    <col min="524" max="524" width="13.140625" style="1236" customWidth="1"/>
    <col min="525" max="768" width="9.140625" style="1236"/>
    <col min="769" max="769" width="4.7109375" style="1236" customWidth="1"/>
    <col min="770" max="770" width="6.7109375" style="1236" customWidth="1"/>
    <col min="771" max="771" width="8.85546875" style="1236" customWidth="1"/>
    <col min="772" max="772" width="46.42578125" style="1236" customWidth="1"/>
    <col min="773" max="773" width="12.85546875" style="1236" customWidth="1"/>
    <col min="774" max="774" width="15.5703125" style="1236" customWidth="1"/>
    <col min="775" max="775" width="15.85546875" style="1236" customWidth="1"/>
    <col min="776" max="776" width="6.42578125" style="1236" customWidth="1"/>
    <col min="777" max="777" width="14.28515625" style="1236" bestFit="1" customWidth="1"/>
    <col min="778" max="778" width="9.140625" style="1236"/>
    <col min="779" max="779" width="12.7109375" style="1236" bestFit="1" customWidth="1"/>
    <col min="780" max="780" width="13.140625" style="1236" customWidth="1"/>
    <col min="781" max="1024" width="9.140625" style="1236"/>
    <col min="1025" max="1025" width="4.7109375" style="1236" customWidth="1"/>
    <col min="1026" max="1026" width="6.7109375" style="1236" customWidth="1"/>
    <col min="1027" max="1027" width="8.85546875" style="1236" customWidth="1"/>
    <col min="1028" max="1028" width="46.42578125" style="1236" customWidth="1"/>
    <col min="1029" max="1029" width="12.85546875" style="1236" customWidth="1"/>
    <col min="1030" max="1030" width="15.5703125" style="1236" customWidth="1"/>
    <col min="1031" max="1031" width="15.85546875" style="1236" customWidth="1"/>
    <col min="1032" max="1032" width="6.42578125" style="1236" customWidth="1"/>
    <col min="1033" max="1033" width="14.28515625" style="1236" bestFit="1" customWidth="1"/>
    <col min="1034" max="1034" width="9.140625" style="1236"/>
    <col min="1035" max="1035" width="12.7109375" style="1236" bestFit="1" customWidth="1"/>
    <col min="1036" max="1036" width="13.140625" style="1236" customWidth="1"/>
    <col min="1037" max="1280" width="9.140625" style="1236"/>
    <col min="1281" max="1281" width="4.7109375" style="1236" customWidth="1"/>
    <col min="1282" max="1282" width="6.7109375" style="1236" customWidth="1"/>
    <col min="1283" max="1283" width="8.85546875" style="1236" customWidth="1"/>
    <col min="1284" max="1284" width="46.42578125" style="1236" customWidth="1"/>
    <col min="1285" max="1285" width="12.85546875" style="1236" customWidth="1"/>
    <col min="1286" max="1286" width="15.5703125" style="1236" customWidth="1"/>
    <col min="1287" max="1287" width="15.85546875" style="1236" customWidth="1"/>
    <col min="1288" max="1288" width="6.42578125" style="1236" customWidth="1"/>
    <col min="1289" max="1289" width="14.28515625" style="1236" bestFit="1" customWidth="1"/>
    <col min="1290" max="1290" width="9.140625" style="1236"/>
    <col min="1291" max="1291" width="12.7109375" style="1236" bestFit="1" customWidth="1"/>
    <col min="1292" max="1292" width="13.140625" style="1236" customWidth="1"/>
    <col min="1293" max="1536" width="9.140625" style="1236"/>
    <col min="1537" max="1537" width="4.7109375" style="1236" customWidth="1"/>
    <col min="1538" max="1538" width="6.7109375" style="1236" customWidth="1"/>
    <col min="1539" max="1539" width="8.85546875" style="1236" customWidth="1"/>
    <col min="1540" max="1540" width="46.42578125" style="1236" customWidth="1"/>
    <col min="1541" max="1541" width="12.85546875" style="1236" customWidth="1"/>
    <col min="1542" max="1542" width="15.5703125" style="1236" customWidth="1"/>
    <col min="1543" max="1543" width="15.85546875" style="1236" customWidth="1"/>
    <col min="1544" max="1544" width="6.42578125" style="1236" customWidth="1"/>
    <col min="1545" max="1545" width="14.28515625" style="1236" bestFit="1" customWidth="1"/>
    <col min="1546" max="1546" width="9.140625" style="1236"/>
    <col min="1547" max="1547" width="12.7109375" style="1236" bestFit="1" customWidth="1"/>
    <col min="1548" max="1548" width="13.140625" style="1236" customWidth="1"/>
    <col min="1549" max="1792" width="9.140625" style="1236"/>
    <col min="1793" max="1793" width="4.7109375" style="1236" customWidth="1"/>
    <col min="1794" max="1794" width="6.7109375" style="1236" customWidth="1"/>
    <col min="1795" max="1795" width="8.85546875" style="1236" customWidth="1"/>
    <col min="1796" max="1796" width="46.42578125" style="1236" customWidth="1"/>
    <col min="1797" max="1797" width="12.85546875" style="1236" customWidth="1"/>
    <col min="1798" max="1798" width="15.5703125" style="1236" customWidth="1"/>
    <col min="1799" max="1799" width="15.85546875" style="1236" customWidth="1"/>
    <col min="1800" max="1800" width="6.42578125" style="1236" customWidth="1"/>
    <col min="1801" max="1801" width="14.28515625" style="1236" bestFit="1" customWidth="1"/>
    <col min="1802" max="1802" width="9.140625" style="1236"/>
    <col min="1803" max="1803" width="12.7109375" style="1236" bestFit="1" customWidth="1"/>
    <col min="1804" max="1804" width="13.140625" style="1236" customWidth="1"/>
    <col min="1805" max="2048" width="9.140625" style="1236"/>
    <col min="2049" max="2049" width="4.7109375" style="1236" customWidth="1"/>
    <col min="2050" max="2050" width="6.7109375" style="1236" customWidth="1"/>
    <col min="2051" max="2051" width="8.85546875" style="1236" customWidth="1"/>
    <col min="2052" max="2052" width="46.42578125" style="1236" customWidth="1"/>
    <col min="2053" max="2053" width="12.85546875" style="1236" customWidth="1"/>
    <col min="2054" max="2054" width="15.5703125" style="1236" customWidth="1"/>
    <col min="2055" max="2055" width="15.85546875" style="1236" customWidth="1"/>
    <col min="2056" max="2056" width="6.42578125" style="1236" customWidth="1"/>
    <col min="2057" max="2057" width="14.28515625" style="1236" bestFit="1" customWidth="1"/>
    <col min="2058" max="2058" width="9.140625" style="1236"/>
    <col min="2059" max="2059" width="12.7109375" style="1236" bestFit="1" customWidth="1"/>
    <col min="2060" max="2060" width="13.140625" style="1236" customWidth="1"/>
    <col min="2061" max="2304" width="9.140625" style="1236"/>
    <col min="2305" max="2305" width="4.7109375" style="1236" customWidth="1"/>
    <col min="2306" max="2306" width="6.7109375" style="1236" customWidth="1"/>
    <col min="2307" max="2307" width="8.85546875" style="1236" customWidth="1"/>
    <col min="2308" max="2308" width="46.42578125" style="1236" customWidth="1"/>
    <col min="2309" max="2309" width="12.85546875" style="1236" customWidth="1"/>
    <col min="2310" max="2310" width="15.5703125" style="1236" customWidth="1"/>
    <col min="2311" max="2311" width="15.85546875" style="1236" customWidth="1"/>
    <col min="2312" max="2312" width="6.42578125" style="1236" customWidth="1"/>
    <col min="2313" max="2313" width="14.28515625" style="1236" bestFit="1" customWidth="1"/>
    <col min="2314" max="2314" width="9.140625" style="1236"/>
    <col min="2315" max="2315" width="12.7109375" style="1236" bestFit="1" customWidth="1"/>
    <col min="2316" max="2316" width="13.140625" style="1236" customWidth="1"/>
    <col min="2317" max="2560" width="9.140625" style="1236"/>
    <col min="2561" max="2561" width="4.7109375" style="1236" customWidth="1"/>
    <col min="2562" max="2562" width="6.7109375" style="1236" customWidth="1"/>
    <col min="2563" max="2563" width="8.85546875" style="1236" customWidth="1"/>
    <col min="2564" max="2564" width="46.42578125" style="1236" customWidth="1"/>
    <col min="2565" max="2565" width="12.85546875" style="1236" customWidth="1"/>
    <col min="2566" max="2566" width="15.5703125" style="1236" customWidth="1"/>
    <col min="2567" max="2567" width="15.85546875" style="1236" customWidth="1"/>
    <col min="2568" max="2568" width="6.42578125" style="1236" customWidth="1"/>
    <col min="2569" max="2569" width="14.28515625" style="1236" bestFit="1" customWidth="1"/>
    <col min="2570" max="2570" width="9.140625" style="1236"/>
    <col min="2571" max="2571" width="12.7109375" style="1236" bestFit="1" customWidth="1"/>
    <col min="2572" max="2572" width="13.140625" style="1236" customWidth="1"/>
    <col min="2573" max="2816" width="9.140625" style="1236"/>
    <col min="2817" max="2817" width="4.7109375" style="1236" customWidth="1"/>
    <col min="2818" max="2818" width="6.7109375" style="1236" customWidth="1"/>
    <col min="2819" max="2819" width="8.85546875" style="1236" customWidth="1"/>
    <col min="2820" max="2820" width="46.42578125" style="1236" customWidth="1"/>
    <col min="2821" max="2821" width="12.85546875" style="1236" customWidth="1"/>
    <col min="2822" max="2822" width="15.5703125" style="1236" customWidth="1"/>
    <col min="2823" max="2823" width="15.85546875" style="1236" customWidth="1"/>
    <col min="2824" max="2824" width="6.42578125" style="1236" customWidth="1"/>
    <col min="2825" max="2825" width="14.28515625" style="1236" bestFit="1" customWidth="1"/>
    <col min="2826" max="2826" width="9.140625" style="1236"/>
    <col min="2827" max="2827" width="12.7109375" style="1236" bestFit="1" customWidth="1"/>
    <col min="2828" max="2828" width="13.140625" style="1236" customWidth="1"/>
    <col min="2829" max="3072" width="9.140625" style="1236"/>
    <col min="3073" max="3073" width="4.7109375" style="1236" customWidth="1"/>
    <col min="3074" max="3074" width="6.7109375" style="1236" customWidth="1"/>
    <col min="3075" max="3075" width="8.85546875" style="1236" customWidth="1"/>
    <col min="3076" max="3076" width="46.42578125" style="1236" customWidth="1"/>
    <col min="3077" max="3077" width="12.85546875" style="1236" customWidth="1"/>
    <col min="3078" max="3078" width="15.5703125" style="1236" customWidth="1"/>
    <col min="3079" max="3079" width="15.85546875" style="1236" customWidth="1"/>
    <col min="3080" max="3080" width="6.42578125" style="1236" customWidth="1"/>
    <col min="3081" max="3081" width="14.28515625" style="1236" bestFit="1" customWidth="1"/>
    <col min="3082" max="3082" width="9.140625" style="1236"/>
    <col min="3083" max="3083" width="12.7109375" style="1236" bestFit="1" customWidth="1"/>
    <col min="3084" max="3084" width="13.140625" style="1236" customWidth="1"/>
    <col min="3085" max="3328" width="9.140625" style="1236"/>
    <col min="3329" max="3329" width="4.7109375" style="1236" customWidth="1"/>
    <col min="3330" max="3330" width="6.7109375" style="1236" customWidth="1"/>
    <col min="3331" max="3331" width="8.85546875" style="1236" customWidth="1"/>
    <col min="3332" max="3332" width="46.42578125" style="1236" customWidth="1"/>
    <col min="3333" max="3333" width="12.85546875" style="1236" customWidth="1"/>
    <col min="3334" max="3334" width="15.5703125" style="1236" customWidth="1"/>
    <col min="3335" max="3335" width="15.85546875" style="1236" customWidth="1"/>
    <col min="3336" max="3336" width="6.42578125" style="1236" customWidth="1"/>
    <col min="3337" max="3337" width="14.28515625" style="1236" bestFit="1" customWidth="1"/>
    <col min="3338" max="3338" width="9.140625" style="1236"/>
    <col min="3339" max="3339" width="12.7109375" style="1236" bestFit="1" customWidth="1"/>
    <col min="3340" max="3340" width="13.140625" style="1236" customWidth="1"/>
    <col min="3341" max="3584" width="9.140625" style="1236"/>
    <col min="3585" max="3585" width="4.7109375" style="1236" customWidth="1"/>
    <col min="3586" max="3586" width="6.7109375" style="1236" customWidth="1"/>
    <col min="3587" max="3587" width="8.85546875" style="1236" customWidth="1"/>
    <col min="3588" max="3588" width="46.42578125" style="1236" customWidth="1"/>
    <col min="3589" max="3589" width="12.85546875" style="1236" customWidth="1"/>
    <col min="3590" max="3590" width="15.5703125" style="1236" customWidth="1"/>
    <col min="3591" max="3591" width="15.85546875" style="1236" customWidth="1"/>
    <col min="3592" max="3592" width="6.42578125" style="1236" customWidth="1"/>
    <col min="3593" max="3593" width="14.28515625" style="1236" bestFit="1" customWidth="1"/>
    <col min="3594" max="3594" width="9.140625" style="1236"/>
    <col min="3595" max="3595" width="12.7109375" style="1236" bestFit="1" customWidth="1"/>
    <col min="3596" max="3596" width="13.140625" style="1236" customWidth="1"/>
    <col min="3597" max="3840" width="9.140625" style="1236"/>
    <col min="3841" max="3841" width="4.7109375" style="1236" customWidth="1"/>
    <col min="3842" max="3842" width="6.7109375" style="1236" customWidth="1"/>
    <col min="3843" max="3843" width="8.85546875" style="1236" customWidth="1"/>
    <col min="3844" max="3844" width="46.42578125" style="1236" customWidth="1"/>
    <col min="3845" max="3845" width="12.85546875" style="1236" customWidth="1"/>
    <col min="3846" max="3846" width="15.5703125" style="1236" customWidth="1"/>
    <col min="3847" max="3847" width="15.85546875" style="1236" customWidth="1"/>
    <col min="3848" max="3848" width="6.42578125" style="1236" customWidth="1"/>
    <col min="3849" max="3849" width="14.28515625" style="1236" bestFit="1" customWidth="1"/>
    <col min="3850" max="3850" width="9.140625" style="1236"/>
    <col min="3851" max="3851" width="12.7109375" style="1236" bestFit="1" customWidth="1"/>
    <col min="3852" max="3852" width="13.140625" style="1236" customWidth="1"/>
    <col min="3853" max="4096" width="9.140625" style="1236"/>
    <col min="4097" max="4097" width="4.7109375" style="1236" customWidth="1"/>
    <col min="4098" max="4098" width="6.7109375" style="1236" customWidth="1"/>
    <col min="4099" max="4099" width="8.85546875" style="1236" customWidth="1"/>
    <col min="4100" max="4100" width="46.42578125" style="1236" customWidth="1"/>
    <col min="4101" max="4101" width="12.85546875" style="1236" customWidth="1"/>
    <col min="4102" max="4102" width="15.5703125" style="1236" customWidth="1"/>
    <col min="4103" max="4103" width="15.85546875" style="1236" customWidth="1"/>
    <col min="4104" max="4104" width="6.42578125" style="1236" customWidth="1"/>
    <col min="4105" max="4105" width="14.28515625" style="1236" bestFit="1" customWidth="1"/>
    <col min="4106" max="4106" width="9.140625" style="1236"/>
    <col min="4107" max="4107" width="12.7109375" style="1236" bestFit="1" customWidth="1"/>
    <col min="4108" max="4108" width="13.140625" style="1236" customWidth="1"/>
    <col min="4109" max="4352" width="9.140625" style="1236"/>
    <col min="4353" max="4353" width="4.7109375" style="1236" customWidth="1"/>
    <col min="4354" max="4354" width="6.7109375" style="1236" customWidth="1"/>
    <col min="4355" max="4355" width="8.85546875" style="1236" customWidth="1"/>
    <col min="4356" max="4356" width="46.42578125" style="1236" customWidth="1"/>
    <col min="4357" max="4357" width="12.85546875" style="1236" customWidth="1"/>
    <col min="4358" max="4358" width="15.5703125" style="1236" customWidth="1"/>
    <col min="4359" max="4359" width="15.85546875" style="1236" customWidth="1"/>
    <col min="4360" max="4360" width="6.42578125" style="1236" customWidth="1"/>
    <col min="4361" max="4361" width="14.28515625" style="1236" bestFit="1" customWidth="1"/>
    <col min="4362" max="4362" width="9.140625" style="1236"/>
    <col min="4363" max="4363" width="12.7109375" style="1236" bestFit="1" customWidth="1"/>
    <col min="4364" max="4364" width="13.140625" style="1236" customWidth="1"/>
    <col min="4365" max="4608" width="9.140625" style="1236"/>
    <col min="4609" max="4609" width="4.7109375" style="1236" customWidth="1"/>
    <col min="4610" max="4610" width="6.7109375" style="1236" customWidth="1"/>
    <col min="4611" max="4611" width="8.85546875" style="1236" customWidth="1"/>
    <col min="4612" max="4612" width="46.42578125" style="1236" customWidth="1"/>
    <col min="4613" max="4613" width="12.85546875" style="1236" customWidth="1"/>
    <col min="4614" max="4614" width="15.5703125" style="1236" customWidth="1"/>
    <col min="4615" max="4615" width="15.85546875" style="1236" customWidth="1"/>
    <col min="4616" max="4616" width="6.42578125" style="1236" customWidth="1"/>
    <col min="4617" max="4617" width="14.28515625" style="1236" bestFit="1" customWidth="1"/>
    <col min="4618" max="4618" width="9.140625" style="1236"/>
    <col min="4619" max="4619" width="12.7109375" style="1236" bestFit="1" customWidth="1"/>
    <col min="4620" max="4620" width="13.140625" style="1236" customWidth="1"/>
    <col min="4621" max="4864" width="9.140625" style="1236"/>
    <col min="4865" max="4865" width="4.7109375" style="1236" customWidth="1"/>
    <col min="4866" max="4866" width="6.7109375" style="1236" customWidth="1"/>
    <col min="4867" max="4867" width="8.85546875" style="1236" customWidth="1"/>
    <col min="4868" max="4868" width="46.42578125" style="1236" customWidth="1"/>
    <col min="4869" max="4869" width="12.85546875" style="1236" customWidth="1"/>
    <col min="4870" max="4870" width="15.5703125" style="1236" customWidth="1"/>
    <col min="4871" max="4871" width="15.85546875" style="1236" customWidth="1"/>
    <col min="4872" max="4872" width="6.42578125" style="1236" customWidth="1"/>
    <col min="4873" max="4873" width="14.28515625" style="1236" bestFit="1" customWidth="1"/>
    <col min="4874" max="4874" width="9.140625" style="1236"/>
    <col min="4875" max="4875" width="12.7109375" style="1236" bestFit="1" customWidth="1"/>
    <col min="4876" max="4876" width="13.140625" style="1236" customWidth="1"/>
    <col min="4877" max="5120" width="9.140625" style="1236"/>
    <col min="5121" max="5121" width="4.7109375" style="1236" customWidth="1"/>
    <col min="5122" max="5122" width="6.7109375" style="1236" customWidth="1"/>
    <col min="5123" max="5123" width="8.85546875" style="1236" customWidth="1"/>
    <col min="5124" max="5124" width="46.42578125" style="1236" customWidth="1"/>
    <col min="5125" max="5125" width="12.85546875" style="1236" customWidth="1"/>
    <col min="5126" max="5126" width="15.5703125" style="1236" customWidth="1"/>
    <col min="5127" max="5127" width="15.85546875" style="1236" customWidth="1"/>
    <col min="5128" max="5128" width="6.42578125" style="1236" customWidth="1"/>
    <col min="5129" max="5129" width="14.28515625" style="1236" bestFit="1" customWidth="1"/>
    <col min="5130" max="5130" width="9.140625" style="1236"/>
    <col min="5131" max="5131" width="12.7109375" style="1236" bestFit="1" customWidth="1"/>
    <col min="5132" max="5132" width="13.140625" style="1236" customWidth="1"/>
    <col min="5133" max="5376" width="9.140625" style="1236"/>
    <col min="5377" max="5377" width="4.7109375" style="1236" customWidth="1"/>
    <col min="5378" max="5378" width="6.7109375" style="1236" customWidth="1"/>
    <col min="5379" max="5379" width="8.85546875" style="1236" customWidth="1"/>
    <col min="5380" max="5380" width="46.42578125" style="1236" customWidth="1"/>
    <col min="5381" max="5381" width="12.85546875" style="1236" customWidth="1"/>
    <col min="5382" max="5382" width="15.5703125" style="1236" customWidth="1"/>
    <col min="5383" max="5383" width="15.85546875" style="1236" customWidth="1"/>
    <col min="5384" max="5384" width="6.42578125" style="1236" customWidth="1"/>
    <col min="5385" max="5385" width="14.28515625" style="1236" bestFit="1" customWidth="1"/>
    <col min="5386" max="5386" width="9.140625" style="1236"/>
    <col min="5387" max="5387" width="12.7109375" style="1236" bestFit="1" customWidth="1"/>
    <col min="5388" max="5388" width="13.140625" style="1236" customWidth="1"/>
    <col min="5389" max="5632" width="9.140625" style="1236"/>
    <col min="5633" max="5633" width="4.7109375" style="1236" customWidth="1"/>
    <col min="5634" max="5634" width="6.7109375" style="1236" customWidth="1"/>
    <col min="5635" max="5635" width="8.85546875" style="1236" customWidth="1"/>
    <col min="5636" max="5636" width="46.42578125" style="1236" customWidth="1"/>
    <col min="5637" max="5637" width="12.85546875" style="1236" customWidth="1"/>
    <col min="5638" max="5638" width="15.5703125" style="1236" customWidth="1"/>
    <col min="5639" max="5639" width="15.85546875" style="1236" customWidth="1"/>
    <col min="5640" max="5640" width="6.42578125" style="1236" customWidth="1"/>
    <col min="5641" max="5641" width="14.28515625" style="1236" bestFit="1" customWidth="1"/>
    <col min="5642" max="5642" width="9.140625" style="1236"/>
    <col min="5643" max="5643" width="12.7109375" style="1236" bestFit="1" customWidth="1"/>
    <col min="5644" max="5644" width="13.140625" style="1236" customWidth="1"/>
    <col min="5645" max="5888" width="9.140625" style="1236"/>
    <col min="5889" max="5889" width="4.7109375" style="1236" customWidth="1"/>
    <col min="5890" max="5890" width="6.7109375" style="1236" customWidth="1"/>
    <col min="5891" max="5891" width="8.85546875" style="1236" customWidth="1"/>
    <col min="5892" max="5892" width="46.42578125" style="1236" customWidth="1"/>
    <col min="5893" max="5893" width="12.85546875" style="1236" customWidth="1"/>
    <col min="5894" max="5894" width="15.5703125" style="1236" customWidth="1"/>
    <col min="5895" max="5895" width="15.85546875" style="1236" customWidth="1"/>
    <col min="5896" max="5896" width="6.42578125" style="1236" customWidth="1"/>
    <col min="5897" max="5897" width="14.28515625" style="1236" bestFit="1" customWidth="1"/>
    <col min="5898" max="5898" width="9.140625" style="1236"/>
    <col min="5899" max="5899" width="12.7109375" style="1236" bestFit="1" customWidth="1"/>
    <col min="5900" max="5900" width="13.140625" style="1236" customWidth="1"/>
    <col min="5901" max="6144" width="9.140625" style="1236"/>
    <col min="6145" max="6145" width="4.7109375" style="1236" customWidth="1"/>
    <col min="6146" max="6146" width="6.7109375" style="1236" customWidth="1"/>
    <col min="6147" max="6147" width="8.85546875" style="1236" customWidth="1"/>
    <col min="6148" max="6148" width="46.42578125" style="1236" customWidth="1"/>
    <col min="6149" max="6149" width="12.85546875" style="1236" customWidth="1"/>
    <col min="6150" max="6150" width="15.5703125" style="1236" customWidth="1"/>
    <col min="6151" max="6151" width="15.85546875" style="1236" customWidth="1"/>
    <col min="6152" max="6152" width="6.42578125" style="1236" customWidth="1"/>
    <col min="6153" max="6153" width="14.28515625" style="1236" bestFit="1" customWidth="1"/>
    <col min="6154" max="6154" width="9.140625" style="1236"/>
    <col min="6155" max="6155" width="12.7109375" style="1236" bestFit="1" customWidth="1"/>
    <col min="6156" max="6156" width="13.140625" style="1236" customWidth="1"/>
    <col min="6157" max="6400" width="9.140625" style="1236"/>
    <col min="6401" max="6401" width="4.7109375" style="1236" customWidth="1"/>
    <col min="6402" max="6402" width="6.7109375" style="1236" customWidth="1"/>
    <col min="6403" max="6403" width="8.85546875" style="1236" customWidth="1"/>
    <col min="6404" max="6404" width="46.42578125" style="1236" customWidth="1"/>
    <col min="6405" max="6405" width="12.85546875" style="1236" customWidth="1"/>
    <col min="6406" max="6406" width="15.5703125" style="1236" customWidth="1"/>
    <col min="6407" max="6407" width="15.85546875" style="1236" customWidth="1"/>
    <col min="6408" max="6408" width="6.42578125" style="1236" customWidth="1"/>
    <col min="6409" max="6409" width="14.28515625" style="1236" bestFit="1" customWidth="1"/>
    <col min="6410" max="6410" width="9.140625" style="1236"/>
    <col min="6411" max="6411" width="12.7109375" style="1236" bestFit="1" customWidth="1"/>
    <col min="6412" max="6412" width="13.140625" style="1236" customWidth="1"/>
    <col min="6413" max="6656" width="9.140625" style="1236"/>
    <col min="6657" max="6657" width="4.7109375" style="1236" customWidth="1"/>
    <col min="6658" max="6658" width="6.7109375" style="1236" customWidth="1"/>
    <col min="6659" max="6659" width="8.85546875" style="1236" customWidth="1"/>
    <col min="6660" max="6660" width="46.42578125" style="1236" customWidth="1"/>
    <col min="6661" max="6661" width="12.85546875" style="1236" customWidth="1"/>
    <col min="6662" max="6662" width="15.5703125" style="1236" customWidth="1"/>
    <col min="6663" max="6663" width="15.85546875" style="1236" customWidth="1"/>
    <col min="6664" max="6664" width="6.42578125" style="1236" customWidth="1"/>
    <col min="6665" max="6665" width="14.28515625" style="1236" bestFit="1" customWidth="1"/>
    <col min="6666" max="6666" width="9.140625" style="1236"/>
    <col min="6667" max="6667" width="12.7109375" style="1236" bestFit="1" customWidth="1"/>
    <col min="6668" max="6668" width="13.140625" style="1236" customWidth="1"/>
    <col min="6669" max="6912" width="9.140625" style="1236"/>
    <col min="6913" max="6913" width="4.7109375" style="1236" customWidth="1"/>
    <col min="6914" max="6914" width="6.7109375" style="1236" customWidth="1"/>
    <col min="6915" max="6915" width="8.85546875" style="1236" customWidth="1"/>
    <col min="6916" max="6916" width="46.42578125" style="1236" customWidth="1"/>
    <col min="6917" max="6917" width="12.85546875" style="1236" customWidth="1"/>
    <col min="6918" max="6918" width="15.5703125" style="1236" customWidth="1"/>
    <col min="6919" max="6919" width="15.85546875" style="1236" customWidth="1"/>
    <col min="6920" max="6920" width="6.42578125" style="1236" customWidth="1"/>
    <col min="6921" max="6921" width="14.28515625" style="1236" bestFit="1" customWidth="1"/>
    <col min="6922" max="6922" width="9.140625" style="1236"/>
    <col min="6923" max="6923" width="12.7109375" style="1236" bestFit="1" customWidth="1"/>
    <col min="6924" max="6924" width="13.140625" style="1236" customWidth="1"/>
    <col min="6925" max="7168" width="9.140625" style="1236"/>
    <col min="7169" max="7169" width="4.7109375" style="1236" customWidth="1"/>
    <col min="7170" max="7170" width="6.7109375" style="1236" customWidth="1"/>
    <col min="7171" max="7171" width="8.85546875" style="1236" customWidth="1"/>
    <col min="7172" max="7172" width="46.42578125" style="1236" customWidth="1"/>
    <col min="7173" max="7173" width="12.85546875" style="1236" customWidth="1"/>
    <col min="7174" max="7174" width="15.5703125" style="1236" customWidth="1"/>
    <col min="7175" max="7175" width="15.85546875" style="1236" customWidth="1"/>
    <col min="7176" max="7176" width="6.42578125" style="1236" customWidth="1"/>
    <col min="7177" max="7177" width="14.28515625" style="1236" bestFit="1" customWidth="1"/>
    <col min="7178" max="7178" width="9.140625" style="1236"/>
    <col min="7179" max="7179" width="12.7109375" style="1236" bestFit="1" customWidth="1"/>
    <col min="7180" max="7180" width="13.140625" style="1236" customWidth="1"/>
    <col min="7181" max="7424" width="9.140625" style="1236"/>
    <col min="7425" max="7425" width="4.7109375" style="1236" customWidth="1"/>
    <col min="7426" max="7426" width="6.7109375" style="1236" customWidth="1"/>
    <col min="7427" max="7427" width="8.85546875" style="1236" customWidth="1"/>
    <col min="7428" max="7428" width="46.42578125" style="1236" customWidth="1"/>
    <col min="7429" max="7429" width="12.85546875" style="1236" customWidth="1"/>
    <col min="7430" max="7430" width="15.5703125" style="1236" customWidth="1"/>
    <col min="7431" max="7431" width="15.85546875" style="1236" customWidth="1"/>
    <col min="7432" max="7432" width="6.42578125" style="1236" customWidth="1"/>
    <col min="7433" max="7433" width="14.28515625" style="1236" bestFit="1" customWidth="1"/>
    <col min="7434" max="7434" width="9.140625" style="1236"/>
    <col min="7435" max="7435" width="12.7109375" style="1236" bestFit="1" customWidth="1"/>
    <col min="7436" max="7436" width="13.140625" style="1236" customWidth="1"/>
    <col min="7437" max="7680" width="9.140625" style="1236"/>
    <col min="7681" max="7681" width="4.7109375" style="1236" customWidth="1"/>
    <col min="7682" max="7682" width="6.7109375" style="1236" customWidth="1"/>
    <col min="7683" max="7683" width="8.85546875" style="1236" customWidth="1"/>
    <col min="7684" max="7684" width="46.42578125" style="1236" customWidth="1"/>
    <col min="7685" max="7685" width="12.85546875" style="1236" customWidth="1"/>
    <col min="7686" max="7686" width="15.5703125" style="1236" customWidth="1"/>
    <col min="7687" max="7687" width="15.85546875" style="1236" customWidth="1"/>
    <col min="7688" max="7688" width="6.42578125" style="1236" customWidth="1"/>
    <col min="7689" max="7689" width="14.28515625" style="1236" bestFit="1" customWidth="1"/>
    <col min="7690" max="7690" width="9.140625" style="1236"/>
    <col min="7691" max="7691" width="12.7109375" style="1236" bestFit="1" customWidth="1"/>
    <col min="7692" max="7692" width="13.140625" style="1236" customWidth="1"/>
    <col min="7693" max="7936" width="9.140625" style="1236"/>
    <col min="7937" max="7937" width="4.7109375" style="1236" customWidth="1"/>
    <col min="7938" max="7938" width="6.7109375" style="1236" customWidth="1"/>
    <col min="7939" max="7939" width="8.85546875" style="1236" customWidth="1"/>
    <col min="7940" max="7940" width="46.42578125" style="1236" customWidth="1"/>
    <col min="7941" max="7941" width="12.85546875" style="1236" customWidth="1"/>
    <col min="7942" max="7942" width="15.5703125" style="1236" customWidth="1"/>
    <col min="7943" max="7943" width="15.85546875" style="1236" customWidth="1"/>
    <col min="7944" max="7944" width="6.42578125" style="1236" customWidth="1"/>
    <col min="7945" max="7945" width="14.28515625" style="1236" bestFit="1" customWidth="1"/>
    <col min="7946" max="7946" width="9.140625" style="1236"/>
    <col min="7947" max="7947" width="12.7109375" style="1236" bestFit="1" customWidth="1"/>
    <col min="7948" max="7948" width="13.140625" style="1236" customWidth="1"/>
    <col min="7949" max="8192" width="9.140625" style="1236"/>
    <col min="8193" max="8193" width="4.7109375" style="1236" customWidth="1"/>
    <col min="8194" max="8194" width="6.7109375" style="1236" customWidth="1"/>
    <col min="8195" max="8195" width="8.85546875" style="1236" customWidth="1"/>
    <col min="8196" max="8196" width="46.42578125" style="1236" customWidth="1"/>
    <col min="8197" max="8197" width="12.85546875" style="1236" customWidth="1"/>
    <col min="8198" max="8198" width="15.5703125" style="1236" customWidth="1"/>
    <col min="8199" max="8199" width="15.85546875" style="1236" customWidth="1"/>
    <col min="8200" max="8200" width="6.42578125" style="1236" customWidth="1"/>
    <col min="8201" max="8201" width="14.28515625" style="1236" bestFit="1" customWidth="1"/>
    <col min="8202" max="8202" width="9.140625" style="1236"/>
    <col min="8203" max="8203" width="12.7109375" style="1236" bestFit="1" customWidth="1"/>
    <col min="8204" max="8204" width="13.140625" style="1236" customWidth="1"/>
    <col min="8205" max="8448" width="9.140625" style="1236"/>
    <col min="8449" max="8449" width="4.7109375" style="1236" customWidth="1"/>
    <col min="8450" max="8450" width="6.7109375" style="1236" customWidth="1"/>
    <col min="8451" max="8451" width="8.85546875" style="1236" customWidth="1"/>
    <col min="8452" max="8452" width="46.42578125" style="1236" customWidth="1"/>
    <col min="8453" max="8453" width="12.85546875" style="1236" customWidth="1"/>
    <col min="8454" max="8454" width="15.5703125" style="1236" customWidth="1"/>
    <col min="8455" max="8455" width="15.85546875" style="1236" customWidth="1"/>
    <col min="8456" max="8456" width="6.42578125" style="1236" customWidth="1"/>
    <col min="8457" max="8457" width="14.28515625" style="1236" bestFit="1" customWidth="1"/>
    <col min="8458" max="8458" width="9.140625" style="1236"/>
    <col min="8459" max="8459" width="12.7109375" style="1236" bestFit="1" customWidth="1"/>
    <col min="8460" max="8460" width="13.140625" style="1236" customWidth="1"/>
    <col min="8461" max="8704" width="9.140625" style="1236"/>
    <col min="8705" max="8705" width="4.7109375" style="1236" customWidth="1"/>
    <col min="8706" max="8706" width="6.7109375" style="1236" customWidth="1"/>
    <col min="8707" max="8707" width="8.85546875" style="1236" customWidth="1"/>
    <col min="8708" max="8708" width="46.42578125" style="1236" customWidth="1"/>
    <col min="8709" max="8709" width="12.85546875" style="1236" customWidth="1"/>
    <col min="8710" max="8710" width="15.5703125" style="1236" customWidth="1"/>
    <col min="8711" max="8711" width="15.85546875" style="1236" customWidth="1"/>
    <col min="8712" max="8712" width="6.42578125" style="1236" customWidth="1"/>
    <col min="8713" max="8713" width="14.28515625" style="1236" bestFit="1" customWidth="1"/>
    <col min="8714" max="8714" width="9.140625" style="1236"/>
    <col min="8715" max="8715" width="12.7109375" style="1236" bestFit="1" customWidth="1"/>
    <col min="8716" max="8716" width="13.140625" style="1236" customWidth="1"/>
    <col min="8717" max="8960" width="9.140625" style="1236"/>
    <col min="8961" max="8961" width="4.7109375" style="1236" customWidth="1"/>
    <col min="8962" max="8962" width="6.7109375" style="1236" customWidth="1"/>
    <col min="8963" max="8963" width="8.85546875" style="1236" customWidth="1"/>
    <col min="8964" max="8964" width="46.42578125" style="1236" customWidth="1"/>
    <col min="8965" max="8965" width="12.85546875" style="1236" customWidth="1"/>
    <col min="8966" max="8966" width="15.5703125" style="1236" customWidth="1"/>
    <col min="8967" max="8967" width="15.85546875" style="1236" customWidth="1"/>
    <col min="8968" max="8968" width="6.42578125" style="1236" customWidth="1"/>
    <col min="8969" max="8969" width="14.28515625" style="1236" bestFit="1" customWidth="1"/>
    <col min="8970" max="8970" width="9.140625" style="1236"/>
    <col min="8971" max="8971" width="12.7109375" style="1236" bestFit="1" customWidth="1"/>
    <col min="8972" max="8972" width="13.140625" style="1236" customWidth="1"/>
    <col min="8973" max="9216" width="9.140625" style="1236"/>
    <col min="9217" max="9217" width="4.7109375" style="1236" customWidth="1"/>
    <col min="9218" max="9218" width="6.7109375" style="1236" customWidth="1"/>
    <col min="9219" max="9219" width="8.85546875" style="1236" customWidth="1"/>
    <col min="9220" max="9220" width="46.42578125" style="1236" customWidth="1"/>
    <col min="9221" max="9221" width="12.85546875" style="1236" customWidth="1"/>
    <col min="9222" max="9222" width="15.5703125" style="1236" customWidth="1"/>
    <col min="9223" max="9223" width="15.85546875" style="1236" customWidth="1"/>
    <col min="9224" max="9224" width="6.42578125" style="1236" customWidth="1"/>
    <col min="9225" max="9225" width="14.28515625" style="1236" bestFit="1" customWidth="1"/>
    <col min="9226" max="9226" width="9.140625" style="1236"/>
    <col min="9227" max="9227" width="12.7109375" style="1236" bestFit="1" customWidth="1"/>
    <col min="9228" max="9228" width="13.140625" style="1236" customWidth="1"/>
    <col min="9229" max="9472" width="9.140625" style="1236"/>
    <col min="9473" max="9473" width="4.7109375" style="1236" customWidth="1"/>
    <col min="9474" max="9474" width="6.7109375" style="1236" customWidth="1"/>
    <col min="9475" max="9475" width="8.85546875" style="1236" customWidth="1"/>
    <col min="9476" max="9476" width="46.42578125" style="1236" customWidth="1"/>
    <col min="9477" max="9477" width="12.85546875" style="1236" customWidth="1"/>
    <col min="9478" max="9478" width="15.5703125" style="1236" customWidth="1"/>
    <col min="9479" max="9479" width="15.85546875" style="1236" customWidth="1"/>
    <col min="9480" max="9480" width="6.42578125" style="1236" customWidth="1"/>
    <col min="9481" max="9481" width="14.28515625" style="1236" bestFit="1" customWidth="1"/>
    <col min="9482" max="9482" width="9.140625" style="1236"/>
    <col min="9483" max="9483" width="12.7109375" style="1236" bestFit="1" customWidth="1"/>
    <col min="9484" max="9484" width="13.140625" style="1236" customWidth="1"/>
    <col min="9485" max="9728" width="9.140625" style="1236"/>
    <col min="9729" max="9729" width="4.7109375" style="1236" customWidth="1"/>
    <col min="9730" max="9730" width="6.7109375" style="1236" customWidth="1"/>
    <col min="9731" max="9731" width="8.85546875" style="1236" customWidth="1"/>
    <col min="9732" max="9732" width="46.42578125" style="1236" customWidth="1"/>
    <col min="9733" max="9733" width="12.85546875" style="1236" customWidth="1"/>
    <col min="9734" max="9734" width="15.5703125" style="1236" customWidth="1"/>
    <col min="9735" max="9735" width="15.85546875" style="1236" customWidth="1"/>
    <col min="9736" max="9736" width="6.42578125" style="1236" customWidth="1"/>
    <col min="9737" max="9737" width="14.28515625" style="1236" bestFit="1" customWidth="1"/>
    <col min="9738" max="9738" width="9.140625" style="1236"/>
    <col min="9739" max="9739" width="12.7109375" style="1236" bestFit="1" customWidth="1"/>
    <col min="9740" max="9740" width="13.140625" style="1236" customWidth="1"/>
    <col min="9741" max="9984" width="9.140625" style="1236"/>
    <col min="9985" max="9985" width="4.7109375" style="1236" customWidth="1"/>
    <col min="9986" max="9986" width="6.7109375" style="1236" customWidth="1"/>
    <col min="9987" max="9987" width="8.85546875" style="1236" customWidth="1"/>
    <col min="9988" max="9988" width="46.42578125" style="1236" customWidth="1"/>
    <col min="9989" max="9989" width="12.85546875" style="1236" customWidth="1"/>
    <col min="9990" max="9990" width="15.5703125" style="1236" customWidth="1"/>
    <col min="9991" max="9991" width="15.85546875" style="1236" customWidth="1"/>
    <col min="9992" max="9992" width="6.42578125" style="1236" customWidth="1"/>
    <col min="9993" max="9993" width="14.28515625" style="1236" bestFit="1" customWidth="1"/>
    <col min="9994" max="9994" width="9.140625" style="1236"/>
    <col min="9995" max="9995" width="12.7109375" style="1236" bestFit="1" customWidth="1"/>
    <col min="9996" max="9996" width="13.140625" style="1236" customWidth="1"/>
    <col min="9997" max="10240" width="9.140625" style="1236"/>
    <col min="10241" max="10241" width="4.7109375" style="1236" customWidth="1"/>
    <col min="10242" max="10242" width="6.7109375" style="1236" customWidth="1"/>
    <col min="10243" max="10243" width="8.85546875" style="1236" customWidth="1"/>
    <col min="10244" max="10244" width="46.42578125" style="1236" customWidth="1"/>
    <col min="10245" max="10245" width="12.85546875" style="1236" customWidth="1"/>
    <col min="10246" max="10246" width="15.5703125" style="1236" customWidth="1"/>
    <col min="10247" max="10247" width="15.85546875" style="1236" customWidth="1"/>
    <col min="10248" max="10248" width="6.42578125" style="1236" customWidth="1"/>
    <col min="10249" max="10249" width="14.28515625" style="1236" bestFit="1" customWidth="1"/>
    <col min="10250" max="10250" width="9.140625" style="1236"/>
    <col min="10251" max="10251" width="12.7109375" style="1236" bestFit="1" customWidth="1"/>
    <col min="10252" max="10252" width="13.140625" style="1236" customWidth="1"/>
    <col min="10253" max="10496" width="9.140625" style="1236"/>
    <col min="10497" max="10497" width="4.7109375" style="1236" customWidth="1"/>
    <col min="10498" max="10498" width="6.7109375" style="1236" customWidth="1"/>
    <col min="10499" max="10499" width="8.85546875" style="1236" customWidth="1"/>
    <col min="10500" max="10500" width="46.42578125" style="1236" customWidth="1"/>
    <col min="10501" max="10501" width="12.85546875" style="1236" customWidth="1"/>
    <col min="10502" max="10502" width="15.5703125" style="1236" customWidth="1"/>
    <col min="10503" max="10503" width="15.85546875" style="1236" customWidth="1"/>
    <col min="10504" max="10504" width="6.42578125" style="1236" customWidth="1"/>
    <col min="10505" max="10505" width="14.28515625" style="1236" bestFit="1" customWidth="1"/>
    <col min="10506" max="10506" width="9.140625" style="1236"/>
    <col min="10507" max="10507" width="12.7109375" style="1236" bestFit="1" customWidth="1"/>
    <col min="10508" max="10508" width="13.140625" style="1236" customWidth="1"/>
    <col min="10509" max="10752" width="9.140625" style="1236"/>
    <col min="10753" max="10753" width="4.7109375" style="1236" customWidth="1"/>
    <col min="10754" max="10754" width="6.7109375" style="1236" customWidth="1"/>
    <col min="10755" max="10755" width="8.85546875" style="1236" customWidth="1"/>
    <col min="10756" max="10756" width="46.42578125" style="1236" customWidth="1"/>
    <col min="10757" max="10757" width="12.85546875" style="1236" customWidth="1"/>
    <col min="10758" max="10758" width="15.5703125" style="1236" customWidth="1"/>
    <col min="10759" max="10759" width="15.85546875" style="1236" customWidth="1"/>
    <col min="10760" max="10760" width="6.42578125" style="1236" customWidth="1"/>
    <col min="10761" max="10761" width="14.28515625" style="1236" bestFit="1" customWidth="1"/>
    <col min="10762" max="10762" width="9.140625" style="1236"/>
    <col min="10763" max="10763" width="12.7109375" style="1236" bestFit="1" customWidth="1"/>
    <col min="10764" max="10764" width="13.140625" style="1236" customWidth="1"/>
    <col min="10765" max="11008" width="9.140625" style="1236"/>
    <col min="11009" max="11009" width="4.7109375" style="1236" customWidth="1"/>
    <col min="11010" max="11010" width="6.7109375" style="1236" customWidth="1"/>
    <col min="11011" max="11011" width="8.85546875" style="1236" customWidth="1"/>
    <col min="11012" max="11012" width="46.42578125" style="1236" customWidth="1"/>
    <col min="11013" max="11013" width="12.85546875" style="1236" customWidth="1"/>
    <col min="11014" max="11014" width="15.5703125" style="1236" customWidth="1"/>
    <col min="11015" max="11015" width="15.85546875" style="1236" customWidth="1"/>
    <col min="11016" max="11016" width="6.42578125" style="1236" customWidth="1"/>
    <col min="11017" max="11017" width="14.28515625" style="1236" bestFit="1" customWidth="1"/>
    <col min="11018" max="11018" width="9.140625" style="1236"/>
    <col min="11019" max="11019" width="12.7109375" style="1236" bestFit="1" customWidth="1"/>
    <col min="11020" max="11020" width="13.140625" style="1236" customWidth="1"/>
    <col min="11021" max="11264" width="9.140625" style="1236"/>
    <col min="11265" max="11265" width="4.7109375" style="1236" customWidth="1"/>
    <col min="11266" max="11266" width="6.7109375" style="1236" customWidth="1"/>
    <col min="11267" max="11267" width="8.85546875" style="1236" customWidth="1"/>
    <col min="11268" max="11268" width="46.42578125" style="1236" customWidth="1"/>
    <col min="11269" max="11269" width="12.85546875" style="1236" customWidth="1"/>
    <col min="11270" max="11270" width="15.5703125" style="1236" customWidth="1"/>
    <col min="11271" max="11271" width="15.85546875" style="1236" customWidth="1"/>
    <col min="11272" max="11272" width="6.42578125" style="1236" customWidth="1"/>
    <col min="11273" max="11273" width="14.28515625" style="1236" bestFit="1" customWidth="1"/>
    <col min="11274" max="11274" width="9.140625" style="1236"/>
    <col min="11275" max="11275" width="12.7109375" style="1236" bestFit="1" customWidth="1"/>
    <col min="11276" max="11276" width="13.140625" style="1236" customWidth="1"/>
    <col min="11277" max="11520" width="9.140625" style="1236"/>
    <col min="11521" max="11521" width="4.7109375" style="1236" customWidth="1"/>
    <col min="11522" max="11522" width="6.7109375" style="1236" customWidth="1"/>
    <col min="11523" max="11523" width="8.85546875" style="1236" customWidth="1"/>
    <col min="11524" max="11524" width="46.42578125" style="1236" customWidth="1"/>
    <col min="11525" max="11525" width="12.85546875" style="1236" customWidth="1"/>
    <col min="11526" max="11526" width="15.5703125" style="1236" customWidth="1"/>
    <col min="11527" max="11527" width="15.85546875" style="1236" customWidth="1"/>
    <col min="11528" max="11528" width="6.42578125" style="1236" customWidth="1"/>
    <col min="11529" max="11529" width="14.28515625" style="1236" bestFit="1" customWidth="1"/>
    <col min="11530" max="11530" width="9.140625" style="1236"/>
    <col min="11531" max="11531" width="12.7109375" style="1236" bestFit="1" customWidth="1"/>
    <col min="11532" max="11532" width="13.140625" style="1236" customWidth="1"/>
    <col min="11533" max="11776" width="9.140625" style="1236"/>
    <col min="11777" max="11777" width="4.7109375" style="1236" customWidth="1"/>
    <col min="11778" max="11778" width="6.7109375" style="1236" customWidth="1"/>
    <col min="11779" max="11779" width="8.85546875" style="1236" customWidth="1"/>
    <col min="11780" max="11780" width="46.42578125" style="1236" customWidth="1"/>
    <col min="11781" max="11781" width="12.85546875" style="1236" customWidth="1"/>
    <col min="11782" max="11782" width="15.5703125" style="1236" customWidth="1"/>
    <col min="11783" max="11783" width="15.85546875" style="1236" customWidth="1"/>
    <col min="11784" max="11784" width="6.42578125" style="1236" customWidth="1"/>
    <col min="11785" max="11785" width="14.28515625" style="1236" bestFit="1" customWidth="1"/>
    <col min="11786" max="11786" width="9.140625" style="1236"/>
    <col min="11787" max="11787" width="12.7109375" style="1236" bestFit="1" customWidth="1"/>
    <col min="11788" max="11788" width="13.140625" style="1236" customWidth="1"/>
    <col min="11789" max="12032" width="9.140625" style="1236"/>
    <col min="12033" max="12033" width="4.7109375" style="1236" customWidth="1"/>
    <col min="12034" max="12034" width="6.7109375" style="1236" customWidth="1"/>
    <col min="12035" max="12035" width="8.85546875" style="1236" customWidth="1"/>
    <col min="12036" max="12036" width="46.42578125" style="1236" customWidth="1"/>
    <col min="12037" max="12037" width="12.85546875" style="1236" customWidth="1"/>
    <col min="12038" max="12038" width="15.5703125" style="1236" customWidth="1"/>
    <col min="12039" max="12039" width="15.85546875" style="1236" customWidth="1"/>
    <col min="12040" max="12040" width="6.42578125" style="1236" customWidth="1"/>
    <col min="12041" max="12041" width="14.28515625" style="1236" bestFit="1" customWidth="1"/>
    <col min="12042" max="12042" width="9.140625" style="1236"/>
    <col min="12043" max="12043" width="12.7109375" style="1236" bestFit="1" customWidth="1"/>
    <col min="12044" max="12044" width="13.140625" style="1236" customWidth="1"/>
    <col min="12045" max="12288" width="9.140625" style="1236"/>
    <col min="12289" max="12289" width="4.7109375" style="1236" customWidth="1"/>
    <col min="12290" max="12290" width="6.7109375" style="1236" customWidth="1"/>
    <col min="12291" max="12291" width="8.85546875" style="1236" customWidth="1"/>
    <col min="12292" max="12292" width="46.42578125" style="1236" customWidth="1"/>
    <col min="12293" max="12293" width="12.85546875" style="1236" customWidth="1"/>
    <col min="12294" max="12294" width="15.5703125" style="1236" customWidth="1"/>
    <col min="12295" max="12295" width="15.85546875" style="1236" customWidth="1"/>
    <col min="12296" max="12296" width="6.42578125" style="1236" customWidth="1"/>
    <col min="12297" max="12297" width="14.28515625" style="1236" bestFit="1" customWidth="1"/>
    <col min="12298" max="12298" width="9.140625" style="1236"/>
    <col min="12299" max="12299" width="12.7109375" style="1236" bestFit="1" customWidth="1"/>
    <col min="12300" max="12300" width="13.140625" style="1236" customWidth="1"/>
    <col min="12301" max="12544" width="9.140625" style="1236"/>
    <col min="12545" max="12545" width="4.7109375" style="1236" customWidth="1"/>
    <col min="12546" max="12546" width="6.7109375" style="1236" customWidth="1"/>
    <col min="12547" max="12547" width="8.85546875" style="1236" customWidth="1"/>
    <col min="12548" max="12548" width="46.42578125" style="1236" customWidth="1"/>
    <col min="12549" max="12549" width="12.85546875" style="1236" customWidth="1"/>
    <col min="12550" max="12550" width="15.5703125" style="1236" customWidth="1"/>
    <col min="12551" max="12551" width="15.85546875" style="1236" customWidth="1"/>
    <col min="12552" max="12552" width="6.42578125" style="1236" customWidth="1"/>
    <col min="12553" max="12553" width="14.28515625" style="1236" bestFit="1" customWidth="1"/>
    <col min="12554" max="12554" width="9.140625" style="1236"/>
    <col min="12555" max="12555" width="12.7109375" style="1236" bestFit="1" customWidth="1"/>
    <col min="12556" max="12556" width="13.140625" style="1236" customWidth="1"/>
    <col min="12557" max="12800" width="9.140625" style="1236"/>
    <col min="12801" max="12801" width="4.7109375" style="1236" customWidth="1"/>
    <col min="12802" max="12802" width="6.7109375" style="1236" customWidth="1"/>
    <col min="12803" max="12803" width="8.85546875" style="1236" customWidth="1"/>
    <col min="12804" max="12804" width="46.42578125" style="1236" customWidth="1"/>
    <col min="12805" max="12805" width="12.85546875" style="1236" customWidth="1"/>
    <col min="12806" max="12806" width="15.5703125" style="1236" customWidth="1"/>
    <col min="12807" max="12807" width="15.85546875" style="1236" customWidth="1"/>
    <col min="12808" max="12808" width="6.42578125" style="1236" customWidth="1"/>
    <col min="12809" max="12809" width="14.28515625" style="1236" bestFit="1" customWidth="1"/>
    <col min="12810" max="12810" width="9.140625" style="1236"/>
    <col min="12811" max="12811" width="12.7109375" style="1236" bestFit="1" customWidth="1"/>
    <col min="12812" max="12812" width="13.140625" style="1236" customWidth="1"/>
    <col min="12813" max="13056" width="9.140625" style="1236"/>
    <col min="13057" max="13057" width="4.7109375" style="1236" customWidth="1"/>
    <col min="13058" max="13058" width="6.7109375" style="1236" customWidth="1"/>
    <col min="13059" max="13059" width="8.85546875" style="1236" customWidth="1"/>
    <col min="13060" max="13060" width="46.42578125" style="1236" customWidth="1"/>
    <col min="13061" max="13061" width="12.85546875" style="1236" customWidth="1"/>
    <col min="13062" max="13062" width="15.5703125" style="1236" customWidth="1"/>
    <col min="13063" max="13063" width="15.85546875" style="1236" customWidth="1"/>
    <col min="13064" max="13064" width="6.42578125" style="1236" customWidth="1"/>
    <col min="13065" max="13065" width="14.28515625" style="1236" bestFit="1" customWidth="1"/>
    <col min="13066" max="13066" width="9.140625" style="1236"/>
    <col min="13067" max="13067" width="12.7109375" style="1236" bestFit="1" customWidth="1"/>
    <col min="13068" max="13068" width="13.140625" style="1236" customWidth="1"/>
    <col min="13069" max="13312" width="9.140625" style="1236"/>
    <col min="13313" max="13313" width="4.7109375" style="1236" customWidth="1"/>
    <col min="13314" max="13314" width="6.7109375" style="1236" customWidth="1"/>
    <col min="13315" max="13315" width="8.85546875" style="1236" customWidth="1"/>
    <col min="13316" max="13316" width="46.42578125" style="1236" customWidth="1"/>
    <col min="13317" max="13317" width="12.85546875" style="1236" customWidth="1"/>
    <col min="13318" max="13318" width="15.5703125" style="1236" customWidth="1"/>
    <col min="13319" max="13319" width="15.85546875" style="1236" customWidth="1"/>
    <col min="13320" max="13320" width="6.42578125" style="1236" customWidth="1"/>
    <col min="13321" max="13321" width="14.28515625" style="1236" bestFit="1" customWidth="1"/>
    <col min="13322" max="13322" width="9.140625" style="1236"/>
    <col min="13323" max="13323" width="12.7109375" style="1236" bestFit="1" customWidth="1"/>
    <col min="13324" max="13324" width="13.140625" style="1236" customWidth="1"/>
    <col min="13325" max="13568" width="9.140625" style="1236"/>
    <col min="13569" max="13569" width="4.7109375" style="1236" customWidth="1"/>
    <col min="13570" max="13570" width="6.7109375" style="1236" customWidth="1"/>
    <col min="13571" max="13571" width="8.85546875" style="1236" customWidth="1"/>
    <col min="13572" max="13572" width="46.42578125" style="1236" customWidth="1"/>
    <col min="13573" max="13573" width="12.85546875" style="1236" customWidth="1"/>
    <col min="13574" max="13574" width="15.5703125" style="1236" customWidth="1"/>
    <col min="13575" max="13575" width="15.85546875" style="1236" customWidth="1"/>
    <col min="13576" max="13576" width="6.42578125" style="1236" customWidth="1"/>
    <col min="13577" max="13577" width="14.28515625" style="1236" bestFit="1" customWidth="1"/>
    <col min="13578" max="13578" width="9.140625" style="1236"/>
    <col min="13579" max="13579" width="12.7109375" style="1236" bestFit="1" customWidth="1"/>
    <col min="13580" max="13580" width="13.140625" style="1236" customWidth="1"/>
    <col min="13581" max="13824" width="9.140625" style="1236"/>
    <col min="13825" max="13825" width="4.7109375" style="1236" customWidth="1"/>
    <col min="13826" max="13826" width="6.7109375" style="1236" customWidth="1"/>
    <col min="13827" max="13827" width="8.85546875" style="1236" customWidth="1"/>
    <col min="13828" max="13828" width="46.42578125" style="1236" customWidth="1"/>
    <col min="13829" max="13829" width="12.85546875" style="1236" customWidth="1"/>
    <col min="13830" max="13830" width="15.5703125" style="1236" customWidth="1"/>
    <col min="13831" max="13831" width="15.85546875" style="1236" customWidth="1"/>
    <col min="13832" max="13832" width="6.42578125" style="1236" customWidth="1"/>
    <col min="13833" max="13833" width="14.28515625" style="1236" bestFit="1" customWidth="1"/>
    <col min="13834" max="13834" width="9.140625" style="1236"/>
    <col min="13835" max="13835" width="12.7109375" style="1236" bestFit="1" customWidth="1"/>
    <col min="13836" max="13836" width="13.140625" style="1236" customWidth="1"/>
    <col min="13837" max="14080" width="9.140625" style="1236"/>
    <col min="14081" max="14081" width="4.7109375" style="1236" customWidth="1"/>
    <col min="14082" max="14082" width="6.7109375" style="1236" customWidth="1"/>
    <col min="14083" max="14083" width="8.85546875" style="1236" customWidth="1"/>
    <col min="14084" max="14084" width="46.42578125" style="1236" customWidth="1"/>
    <col min="14085" max="14085" width="12.85546875" style="1236" customWidth="1"/>
    <col min="14086" max="14086" width="15.5703125" style="1236" customWidth="1"/>
    <col min="14087" max="14087" width="15.85546875" style="1236" customWidth="1"/>
    <col min="14088" max="14088" width="6.42578125" style="1236" customWidth="1"/>
    <col min="14089" max="14089" width="14.28515625" style="1236" bestFit="1" customWidth="1"/>
    <col min="14090" max="14090" width="9.140625" style="1236"/>
    <col min="14091" max="14091" width="12.7109375" style="1236" bestFit="1" customWidth="1"/>
    <col min="14092" max="14092" width="13.140625" style="1236" customWidth="1"/>
    <col min="14093" max="14336" width="9.140625" style="1236"/>
    <col min="14337" max="14337" width="4.7109375" style="1236" customWidth="1"/>
    <col min="14338" max="14338" width="6.7109375" style="1236" customWidth="1"/>
    <col min="14339" max="14339" width="8.85546875" style="1236" customWidth="1"/>
    <col min="14340" max="14340" width="46.42578125" style="1236" customWidth="1"/>
    <col min="14341" max="14341" width="12.85546875" style="1236" customWidth="1"/>
    <col min="14342" max="14342" width="15.5703125" style="1236" customWidth="1"/>
    <col min="14343" max="14343" width="15.85546875" style="1236" customWidth="1"/>
    <col min="14344" max="14344" width="6.42578125" style="1236" customWidth="1"/>
    <col min="14345" max="14345" width="14.28515625" style="1236" bestFit="1" customWidth="1"/>
    <col min="14346" max="14346" width="9.140625" style="1236"/>
    <col min="14347" max="14347" width="12.7109375" style="1236" bestFit="1" customWidth="1"/>
    <col min="14348" max="14348" width="13.140625" style="1236" customWidth="1"/>
    <col min="14349" max="14592" width="9.140625" style="1236"/>
    <col min="14593" max="14593" width="4.7109375" style="1236" customWidth="1"/>
    <col min="14594" max="14594" width="6.7109375" style="1236" customWidth="1"/>
    <col min="14595" max="14595" width="8.85546875" style="1236" customWidth="1"/>
    <col min="14596" max="14596" width="46.42578125" style="1236" customWidth="1"/>
    <col min="14597" max="14597" width="12.85546875" style="1236" customWidth="1"/>
    <col min="14598" max="14598" width="15.5703125" style="1236" customWidth="1"/>
    <col min="14599" max="14599" width="15.85546875" style="1236" customWidth="1"/>
    <col min="14600" max="14600" width="6.42578125" style="1236" customWidth="1"/>
    <col min="14601" max="14601" width="14.28515625" style="1236" bestFit="1" customWidth="1"/>
    <col min="14602" max="14602" width="9.140625" style="1236"/>
    <col min="14603" max="14603" width="12.7109375" style="1236" bestFit="1" customWidth="1"/>
    <col min="14604" max="14604" width="13.140625" style="1236" customWidth="1"/>
    <col min="14605" max="14848" width="9.140625" style="1236"/>
    <col min="14849" max="14849" width="4.7109375" style="1236" customWidth="1"/>
    <col min="14850" max="14850" width="6.7109375" style="1236" customWidth="1"/>
    <col min="14851" max="14851" width="8.85546875" style="1236" customWidth="1"/>
    <col min="14852" max="14852" width="46.42578125" style="1236" customWidth="1"/>
    <col min="14853" max="14853" width="12.85546875" style="1236" customWidth="1"/>
    <col min="14854" max="14854" width="15.5703125" style="1236" customWidth="1"/>
    <col min="14855" max="14855" width="15.85546875" style="1236" customWidth="1"/>
    <col min="14856" max="14856" width="6.42578125" style="1236" customWidth="1"/>
    <col min="14857" max="14857" width="14.28515625" style="1236" bestFit="1" customWidth="1"/>
    <col min="14858" max="14858" width="9.140625" style="1236"/>
    <col min="14859" max="14859" width="12.7109375" style="1236" bestFit="1" customWidth="1"/>
    <col min="14860" max="14860" width="13.140625" style="1236" customWidth="1"/>
    <col min="14861" max="15104" width="9.140625" style="1236"/>
    <col min="15105" max="15105" width="4.7109375" style="1236" customWidth="1"/>
    <col min="15106" max="15106" width="6.7109375" style="1236" customWidth="1"/>
    <col min="15107" max="15107" width="8.85546875" style="1236" customWidth="1"/>
    <col min="15108" max="15108" width="46.42578125" style="1236" customWidth="1"/>
    <col min="15109" max="15109" width="12.85546875" style="1236" customWidth="1"/>
    <col min="15110" max="15110" width="15.5703125" style="1236" customWidth="1"/>
    <col min="15111" max="15111" width="15.85546875" style="1236" customWidth="1"/>
    <col min="15112" max="15112" width="6.42578125" style="1236" customWidth="1"/>
    <col min="15113" max="15113" width="14.28515625" style="1236" bestFit="1" customWidth="1"/>
    <col min="15114" max="15114" width="9.140625" style="1236"/>
    <col min="15115" max="15115" width="12.7109375" style="1236" bestFit="1" customWidth="1"/>
    <col min="15116" max="15116" width="13.140625" style="1236" customWidth="1"/>
    <col min="15117" max="15360" width="9.140625" style="1236"/>
    <col min="15361" max="15361" width="4.7109375" style="1236" customWidth="1"/>
    <col min="15362" max="15362" width="6.7109375" style="1236" customWidth="1"/>
    <col min="15363" max="15363" width="8.85546875" style="1236" customWidth="1"/>
    <col min="15364" max="15364" width="46.42578125" style="1236" customWidth="1"/>
    <col min="15365" max="15365" width="12.85546875" style="1236" customWidth="1"/>
    <col min="15366" max="15366" width="15.5703125" style="1236" customWidth="1"/>
    <col min="15367" max="15367" width="15.85546875" style="1236" customWidth="1"/>
    <col min="15368" max="15368" width="6.42578125" style="1236" customWidth="1"/>
    <col min="15369" max="15369" width="14.28515625" style="1236" bestFit="1" customWidth="1"/>
    <col min="15370" max="15370" width="9.140625" style="1236"/>
    <col min="15371" max="15371" width="12.7109375" style="1236" bestFit="1" customWidth="1"/>
    <col min="15372" max="15372" width="13.140625" style="1236" customWidth="1"/>
    <col min="15373" max="15616" width="9.140625" style="1236"/>
    <col min="15617" max="15617" width="4.7109375" style="1236" customWidth="1"/>
    <col min="15618" max="15618" width="6.7109375" style="1236" customWidth="1"/>
    <col min="15619" max="15619" width="8.85546875" style="1236" customWidth="1"/>
    <col min="15620" max="15620" width="46.42578125" style="1236" customWidth="1"/>
    <col min="15621" max="15621" width="12.85546875" style="1236" customWidth="1"/>
    <col min="15622" max="15622" width="15.5703125" style="1236" customWidth="1"/>
    <col min="15623" max="15623" width="15.85546875" style="1236" customWidth="1"/>
    <col min="15624" max="15624" width="6.42578125" style="1236" customWidth="1"/>
    <col min="15625" max="15625" width="14.28515625" style="1236" bestFit="1" customWidth="1"/>
    <col min="15626" max="15626" width="9.140625" style="1236"/>
    <col min="15627" max="15627" width="12.7109375" style="1236" bestFit="1" customWidth="1"/>
    <col min="15628" max="15628" width="13.140625" style="1236" customWidth="1"/>
    <col min="15629" max="15872" width="9.140625" style="1236"/>
    <col min="15873" max="15873" width="4.7109375" style="1236" customWidth="1"/>
    <col min="15874" max="15874" width="6.7109375" style="1236" customWidth="1"/>
    <col min="15875" max="15875" width="8.85546875" style="1236" customWidth="1"/>
    <col min="15876" max="15876" width="46.42578125" style="1236" customWidth="1"/>
    <col min="15877" max="15877" width="12.85546875" style="1236" customWidth="1"/>
    <col min="15878" max="15878" width="15.5703125" style="1236" customWidth="1"/>
    <col min="15879" max="15879" width="15.85546875" style="1236" customWidth="1"/>
    <col min="15880" max="15880" width="6.42578125" style="1236" customWidth="1"/>
    <col min="15881" max="15881" width="14.28515625" style="1236" bestFit="1" customWidth="1"/>
    <col min="15882" max="15882" width="9.140625" style="1236"/>
    <col min="15883" max="15883" width="12.7109375" style="1236" bestFit="1" customWidth="1"/>
    <col min="15884" max="15884" width="13.140625" style="1236" customWidth="1"/>
    <col min="15885" max="16128" width="9.140625" style="1236"/>
    <col min="16129" max="16129" width="4.7109375" style="1236" customWidth="1"/>
    <col min="16130" max="16130" width="6.7109375" style="1236" customWidth="1"/>
    <col min="16131" max="16131" width="8.85546875" style="1236" customWidth="1"/>
    <col min="16132" max="16132" width="46.42578125" style="1236" customWidth="1"/>
    <col min="16133" max="16133" width="12.85546875" style="1236" customWidth="1"/>
    <col min="16134" max="16134" width="15.5703125" style="1236" customWidth="1"/>
    <col min="16135" max="16135" width="15.85546875" style="1236" customWidth="1"/>
    <col min="16136" max="16136" width="6.42578125" style="1236" customWidth="1"/>
    <col min="16137" max="16137" width="14.28515625" style="1236" bestFit="1" customWidth="1"/>
    <col min="16138" max="16138" width="9.140625" style="1236"/>
    <col min="16139" max="16139" width="12.7109375" style="1236" bestFit="1" customWidth="1"/>
    <col min="16140" max="16140" width="13.140625" style="1236" customWidth="1"/>
    <col min="16141" max="16384" width="9.140625" style="1236"/>
  </cols>
  <sheetData>
    <row r="1" spans="1:8" ht="19.5" customHeight="1" thickBot="1" x14ac:dyDescent="0.3">
      <c r="A1" s="1230" t="s">
        <v>753</v>
      </c>
      <c r="B1" s="1231"/>
      <c r="C1" s="1232"/>
      <c r="D1" s="1233"/>
      <c r="E1" s="1234"/>
      <c r="F1" s="1233"/>
      <c r="G1" s="1235"/>
      <c r="H1" s="1230"/>
    </row>
    <row r="2" spans="1:8" ht="18" x14ac:dyDescent="0.25">
      <c r="A2" s="1237"/>
      <c r="B2" s="1238"/>
      <c r="C2" s="1238"/>
      <c r="D2" s="1238"/>
      <c r="E2" s="1238"/>
      <c r="F2" s="1238"/>
      <c r="G2" s="1238"/>
      <c r="H2" s="1239" t="s">
        <v>754</v>
      </c>
    </row>
    <row r="3" spans="1:8" ht="18" x14ac:dyDescent="0.25">
      <c r="A3" s="1240" t="s">
        <v>201</v>
      </c>
      <c r="B3" s="1238"/>
      <c r="C3" s="2205" t="s">
        <v>121</v>
      </c>
      <c r="D3" s="1238"/>
      <c r="E3" s="1238"/>
      <c r="F3" s="1238"/>
      <c r="G3" s="1238"/>
      <c r="H3" s="1239"/>
    </row>
    <row r="4" spans="1:8" ht="18" x14ac:dyDescent="0.25">
      <c r="A4" s="1237"/>
      <c r="B4" s="1238"/>
      <c r="C4" s="2205" t="s">
        <v>781</v>
      </c>
      <c r="D4" s="1238"/>
      <c r="E4" s="1238"/>
      <c r="F4" s="1238"/>
      <c r="G4" s="1238"/>
      <c r="H4" s="1239"/>
    </row>
    <row r="5" spans="1:8" ht="18" x14ac:dyDescent="0.25">
      <c r="A5" s="1242" t="s">
        <v>755</v>
      </c>
      <c r="B5" s="1238"/>
      <c r="C5" s="1238"/>
      <c r="D5" s="1238"/>
      <c r="E5" s="1238"/>
      <c r="F5" s="1238"/>
      <c r="G5" s="1238"/>
      <c r="H5" s="1239"/>
    </row>
    <row r="6" spans="1:8" ht="18" x14ac:dyDescent="0.25">
      <c r="A6" s="1242"/>
      <c r="B6" s="1238"/>
      <c r="C6" s="1238"/>
      <c r="D6" s="1238"/>
      <c r="E6" s="1238"/>
      <c r="F6" s="1238"/>
      <c r="G6" s="1238"/>
      <c r="H6" s="1239"/>
    </row>
    <row r="7" spans="1:8" ht="18" x14ac:dyDescent="0.25">
      <c r="A7" s="1242"/>
      <c r="B7" s="1238"/>
      <c r="C7" s="1238"/>
      <c r="D7" s="1238"/>
      <c r="E7" s="1238"/>
      <c r="F7" s="1238"/>
      <c r="G7" s="1238"/>
      <c r="H7" s="1239"/>
    </row>
    <row r="8" spans="1:8" ht="15.75" thickBot="1" x14ac:dyDescent="0.3">
      <c r="A8" s="1229" t="s">
        <v>137</v>
      </c>
      <c r="B8" s="1238"/>
      <c r="C8" s="1238"/>
      <c r="D8" s="1238"/>
      <c r="H8" s="1245" t="s">
        <v>92</v>
      </c>
    </row>
    <row r="9" spans="1:8" ht="15.75" hidden="1" thickBot="1" x14ac:dyDescent="0.3">
      <c r="A9" s="1312" t="s">
        <v>752</v>
      </c>
      <c r="B9" s="1313"/>
      <c r="C9" s="1313"/>
      <c r="H9" s="1245" t="s">
        <v>92</v>
      </c>
    </row>
    <row r="10" spans="1:8" s="1314" customFormat="1" ht="25.5" thickTop="1" thickBot="1" x14ac:dyDescent="0.25">
      <c r="A10" s="1246" t="s">
        <v>93</v>
      </c>
      <c r="B10" s="1247" t="s">
        <v>392</v>
      </c>
      <c r="C10" s="1247" t="s">
        <v>209</v>
      </c>
      <c r="D10" s="1248" t="s">
        <v>95</v>
      </c>
      <c r="E10" s="1249" t="s">
        <v>328</v>
      </c>
      <c r="F10" s="1249" t="s">
        <v>329</v>
      </c>
      <c r="G10" s="1250" t="s">
        <v>448</v>
      </c>
      <c r="H10" s="1251" t="s">
        <v>449</v>
      </c>
    </row>
    <row r="11" spans="1:8" s="1314" customFormat="1" ht="13.5" thickTop="1" thickBot="1" x14ac:dyDescent="0.25">
      <c r="A11" s="1252">
        <v>1</v>
      </c>
      <c r="B11" s="1253">
        <v>2</v>
      </c>
      <c r="C11" s="1253">
        <v>3</v>
      </c>
      <c r="D11" s="1253">
        <v>4</v>
      </c>
      <c r="E11" s="1254">
        <v>5</v>
      </c>
      <c r="F11" s="1254">
        <v>6</v>
      </c>
      <c r="G11" s="1255">
        <v>7</v>
      </c>
      <c r="H11" s="1256" t="s">
        <v>33</v>
      </c>
    </row>
    <row r="12" spans="1:8" s="1316" customFormat="1" ht="15.75" hidden="1" customHeight="1" thickTop="1" x14ac:dyDescent="0.2">
      <c r="A12" s="1262">
        <v>3299</v>
      </c>
      <c r="B12" s="1263">
        <v>5137</v>
      </c>
      <c r="C12" s="1315">
        <v>32133007</v>
      </c>
      <c r="D12" s="1264" t="s">
        <v>88</v>
      </c>
      <c r="E12" s="1265">
        <v>0</v>
      </c>
      <c r="F12" s="1265">
        <v>0</v>
      </c>
      <c r="G12" s="1265">
        <v>0</v>
      </c>
      <c r="H12" s="1266" t="e">
        <f>G12/F12*100</f>
        <v>#DIV/0!</v>
      </c>
    </row>
    <row r="13" spans="1:8" s="1316" customFormat="1" ht="15.75" hidden="1" customHeight="1" thickTop="1" x14ac:dyDescent="0.2">
      <c r="A13" s="1262">
        <v>3299</v>
      </c>
      <c r="B13" s="1263">
        <v>5137</v>
      </c>
      <c r="C13" s="1315">
        <v>32533007</v>
      </c>
      <c r="D13" s="1264" t="s">
        <v>316</v>
      </c>
      <c r="E13" s="1265">
        <v>0</v>
      </c>
      <c r="F13" s="1265">
        <v>0</v>
      </c>
      <c r="G13" s="1265">
        <v>0</v>
      </c>
      <c r="H13" s="1266" t="e">
        <f>G13/F13*100</f>
        <v>#DIV/0!</v>
      </c>
    </row>
    <row r="14" spans="1:8" s="1316" customFormat="1" ht="15.75" hidden="1" customHeight="1" thickTop="1" x14ac:dyDescent="0.2">
      <c r="A14" s="1262">
        <v>3299</v>
      </c>
      <c r="B14" s="1263">
        <v>5139</v>
      </c>
      <c r="C14" s="1315">
        <v>38100880</v>
      </c>
      <c r="D14" s="1264" t="s">
        <v>152</v>
      </c>
      <c r="E14" s="1265"/>
      <c r="F14" s="1265"/>
      <c r="G14" s="1265"/>
      <c r="H14" s="1266" t="e">
        <f>G14/F14*100</f>
        <v>#DIV/0!</v>
      </c>
    </row>
    <row r="15" spans="1:8" s="1316" customFormat="1" ht="15.75" hidden="1" customHeight="1" thickTop="1" x14ac:dyDescent="0.2">
      <c r="A15" s="1262">
        <v>3299</v>
      </c>
      <c r="B15" s="1263">
        <v>5139</v>
      </c>
      <c r="C15" s="1315">
        <v>38100882</v>
      </c>
      <c r="D15" s="1264" t="s">
        <v>152</v>
      </c>
      <c r="E15" s="1265"/>
      <c r="F15" s="1265"/>
      <c r="G15" s="1265"/>
      <c r="H15" s="1266">
        <v>0</v>
      </c>
    </row>
    <row r="16" spans="1:8" s="1316" customFormat="1" ht="15.75" hidden="1" customHeight="1" thickTop="1" x14ac:dyDescent="0.2">
      <c r="A16" s="1262">
        <v>3299</v>
      </c>
      <c r="B16" s="1263">
        <v>5139</v>
      </c>
      <c r="C16" s="1315">
        <v>38500881</v>
      </c>
      <c r="D16" s="1264" t="s">
        <v>152</v>
      </c>
      <c r="E16" s="1265"/>
      <c r="F16" s="1265"/>
      <c r="G16" s="1265"/>
      <c r="H16" s="1266" t="e">
        <f>G16/F16*100</f>
        <v>#DIV/0!</v>
      </c>
    </row>
    <row r="17" spans="1:8" s="1316" customFormat="1" ht="15.75" hidden="1" customHeight="1" thickTop="1" x14ac:dyDescent="0.2">
      <c r="A17" s="1262">
        <v>3299</v>
      </c>
      <c r="B17" s="1263">
        <v>5162</v>
      </c>
      <c r="C17" s="1315">
        <v>38100880</v>
      </c>
      <c r="D17" s="1264" t="s">
        <v>439</v>
      </c>
      <c r="E17" s="1265"/>
      <c r="F17" s="1265"/>
      <c r="G17" s="1265"/>
      <c r="H17" s="1266" t="e">
        <f>G17/F17*100</f>
        <v>#DIV/0!</v>
      </c>
    </row>
    <row r="18" spans="1:8" s="1316" customFormat="1" ht="15.75" hidden="1" customHeight="1" thickTop="1" x14ac:dyDescent="0.2">
      <c r="A18" s="1262">
        <v>3299</v>
      </c>
      <c r="B18" s="1263">
        <v>5162</v>
      </c>
      <c r="C18" s="1315">
        <v>38100882</v>
      </c>
      <c r="D18" s="1264" t="s">
        <v>439</v>
      </c>
      <c r="E18" s="1265"/>
      <c r="F18" s="1265"/>
      <c r="G18" s="1265"/>
      <c r="H18" s="1266">
        <v>0</v>
      </c>
    </row>
    <row r="19" spans="1:8" s="1318" customFormat="1" ht="15.75" hidden="1" customHeight="1" thickTop="1" x14ac:dyDescent="0.2">
      <c r="A19" s="1262">
        <v>3299</v>
      </c>
      <c r="B19" s="1317">
        <v>5162</v>
      </c>
      <c r="C19" s="1315">
        <v>38500881</v>
      </c>
      <c r="D19" s="1264" t="s">
        <v>439</v>
      </c>
      <c r="E19" s="1265"/>
      <c r="F19" s="1265"/>
      <c r="G19" s="1265"/>
      <c r="H19" s="1266" t="e">
        <f>G19/F19*100</f>
        <v>#DIV/0!</v>
      </c>
    </row>
    <row r="20" spans="1:8" s="1318" customFormat="1" ht="15.75" hidden="1" customHeight="1" thickTop="1" x14ac:dyDescent="0.2">
      <c r="A20" s="1262">
        <v>3299</v>
      </c>
      <c r="B20" s="1317">
        <v>5163</v>
      </c>
      <c r="C20" s="1315">
        <v>38100880</v>
      </c>
      <c r="D20" s="1264" t="s">
        <v>452</v>
      </c>
      <c r="E20" s="1265">
        <v>0</v>
      </c>
      <c r="F20" s="1265">
        <v>0</v>
      </c>
      <c r="G20" s="1265">
        <v>0</v>
      </c>
      <c r="H20" s="1266">
        <v>0</v>
      </c>
    </row>
    <row r="21" spans="1:8" ht="15.75" hidden="1" customHeight="1" thickTop="1" x14ac:dyDescent="0.2">
      <c r="A21" s="1262">
        <v>3299</v>
      </c>
      <c r="B21" s="1317">
        <v>5163</v>
      </c>
      <c r="C21" s="1315">
        <v>38100882</v>
      </c>
      <c r="D21" s="1264" t="s">
        <v>452</v>
      </c>
      <c r="E21" s="1265"/>
      <c r="F21" s="1265"/>
      <c r="G21" s="1265"/>
      <c r="H21" s="1266">
        <v>0</v>
      </c>
    </row>
    <row r="22" spans="1:8" ht="15.75" hidden="1" customHeight="1" thickTop="1" x14ac:dyDescent="0.2">
      <c r="A22" s="1262">
        <v>3299</v>
      </c>
      <c r="B22" s="1317">
        <v>5163</v>
      </c>
      <c r="C22" s="1315">
        <v>38500881</v>
      </c>
      <c r="D22" s="1264" t="s">
        <v>452</v>
      </c>
      <c r="E22" s="1265">
        <v>0</v>
      </c>
      <c r="F22" s="1265">
        <v>0</v>
      </c>
      <c r="G22" s="1265">
        <v>0</v>
      </c>
      <c r="H22" s="1266" t="e">
        <f t="shared" ref="H22:H27" si="0">G22/F22*100</f>
        <v>#DIV/0!</v>
      </c>
    </row>
    <row r="23" spans="1:8" ht="15.75" hidden="1" customHeight="1" thickTop="1" x14ac:dyDescent="0.2">
      <c r="A23" s="1262">
        <v>3299</v>
      </c>
      <c r="B23" s="1317">
        <v>5164</v>
      </c>
      <c r="C23" s="1315">
        <v>32133007</v>
      </c>
      <c r="D23" s="1264" t="s">
        <v>101</v>
      </c>
      <c r="E23" s="1265"/>
      <c r="F23" s="1265"/>
      <c r="G23" s="1265"/>
      <c r="H23" s="1266" t="e">
        <f t="shared" si="0"/>
        <v>#DIV/0!</v>
      </c>
    </row>
    <row r="24" spans="1:8" ht="15.75" hidden="1" customHeight="1" thickTop="1" x14ac:dyDescent="0.2">
      <c r="A24" s="1262">
        <v>3299</v>
      </c>
      <c r="B24" s="1317">
        <v>5164</v>
      </c>
      <c r="C24" s="1315">
        <v>32533007</v>
      </c>
      <c r="D24" s="1264" t="s">
        <v>101</v>
      </c>
      <c r="E24" s="1265"/>
      <c r="F24" s="1265"/>
      <c r="G24" s="1265"/>
      <c r="H24" s="1266" t="e">
        <f t="shared" si="0"/>
        <v>#DIV/0!</v>
      </c>
    </row>
    <row r="25" spans="1:8" ht="15.75" hidden="1" customHeight="1" thickTop="1" x14ac:dyDescent="0.2">
      <c r="A25" s="1262">
        <v>3299</v>
      </c>
      <c r="B25" s="1317">
        <v>5164</v>
      </c>
      <c r="C25" s="1315">
        <v>38500881</v>
      </c>
      <c r="D25" s="1264" t="s">
        <v>101</v>
      </c>
      <c r="E25" s="1265"/>
      <c r="F25" s="1265"/>
      <c r="G25" s="1265"/>
      <c r="H25" s="1266" t="e">
        <f t="shared" si="0"/>
        <v>#DIV/0!</v>
      </c>
    </row>
    <row r="26" spans="1:8" ht="15.75" hidden="1" customHeight="1" thickTop="1" x14ac:dyDescent="0.2">
      <c r="A26" s="1262">
        <v>3299</v>
      </c>
      <c r="B26" s="1317">
        <v>5166</v>
      </c>
      <c r="C26" s="1315">
        <v>38100880</v>
      </c>
      <c r="D26" s="1264" t="s">
        <v>317</v>
      </c>
      <c r="E26" s="1265"/>
      <c r="F26" s="1265"/>
      <c r="G26" s="1265"/>
      <c r="H26" s="1266" t="e">
        <f t="shared" si="0"/>
        <v>#DIV/0!</v>
      </c>
    </row>
    <row r="27" spans="1:8" ht="30.75" thickTop="1" x14ac:dyDescent="0.2">
      <c r="A27" s="1262">
        <v>6402</v>
      </c>
      <c r="B27" s="1263">
        <v>5364</v>
      </c>
      <c r="C27" s="1309" t="s">
        <v>882</v>
      </c>
      <c r="D27" s="1264" t="s">
        <v>1022</v>
      </c>
      <c r="E27" s="1265"/>
      <c r="F27" s="1265"/>
      <c r="G27" s="1265"/>
      <c r="H27" s="1266" t="e">
        <f t="shared" si="0"/>
        <v>#DIV/0!</v>
      </c>
    </row>
    <row r="28" spans="1:8" ht="15.75" thickBot="1" x14ac:dyDescent="0.25">
      <c r="A28" s="1262">
        <v>6330</v>
      </c>
      <c r="B28" s="1317">
        <v>5345</v>
      </c>
      <c r="C28" s="1309" t="s">
        <v>871</v>
      </c>
      <c r="D28" s="1264" t="s">
        <v>397</v>
      </c>
      <c r="E28" s="1265"/>
      <c r="F28" s="1265"/>
      <c r="G28" s="1265"/>
      <c r="H28" s="1266">
        <v>0</v>
      </c>
    </row>
    <row r="29" spans="1:8" ht="15.75" hidden="1" customHeight="1" thickBot="1" x14ac:dyDescent="0.25">
      <c r="A29" s="1262">
        <v>3299</v>
      </c>
      <c r="B29" s="1317">
        <v>5167</v>
      </c>
      <c r="C29" s="1315">
        <v>38100880</v>
      </c>
      <c r="D29" s="1264" t="s">
        <v>162</v>
      </c>
      <c r="E29" s="1265"/>
      <c r="F29" s="1265"/>
      <c r="G29" s="1265"/>
      <c r="H29" s="1266" t="e">
        <f t="shared" ref="H29:H38" si="1">G29/F29*100</f>
        <v>#DIV/0!</v>
      </c>
    </row>
    <row r="30" spans="1:8" ht="15.75" hidden="1" customHeight="1" thickBot="1" x14ac:dyDescent="0.25">
      <c r="A30" s="1262">
        <v>3299</v>
      </c>
      <c r="B30" s="1317">
        <v>5167</v>
      </c>
      <c r="C30" s="1315">
        <v>38100882</v>
      </c>
      <c r="D30" s="1264" t="s">
        <v>162</v>
      </c>
      <c r="E30" s="1265"/>
      <c r="F30" s="1265"/>
      <c r="G30" s="1265"/>
      <c r="H30" s="1266" t="e">
        <f t="shared" si="1"/>
        <v>#DIV/0!</v>
      </c>
    </row>
    <row r="31" spans="1:8" ht="15.75" hidden="1" customHeight="1" thickBot="1" x14ac:dyDescent="0.25">
      <c r="A31" s="1262">
        <v>3299</v>
      </c>
      <c r="B31" s="1317">
        <v>5167</v>
      </c>
      <c r="C31" s="1315">
        <v>38500881</v>
      </c>
      <c r="D31" s="1264" t="s">
        <v>162</v>
      </c>
      <c r="E31" s="1265"/>
      <c r="F31" s="1265"/>
      <c r="G31" s="1265"/>
      <c r="H31" s="1266" t="e">
        <f t="shared" si="1"/>
        <v>#DIV/0!</v>
      </c>
    </row>
    <row r="32" spans="1:8" ht="15.75" hidden="1" customHeight="1" thickBot="1" x14ac:dyDescent="0.25">
      <c r="A32" s="1262">
        <v>3299</v>
      </c>
      <c r="B32" s="1317">
        <v>5169</v>
      </c>
      <c r="C32" s="1315">
        <v>38100880</v>
      </c>
      <c r="D32" s="1264" t="s">
        <v>430</v>
      </c>
      <c r="E32" s="1265"/>
      <c r="F32" s="1265"/>
      <c r="G32" s="1265"/>
      <c r="H32" s="1266" t="e">
        <f t="shared" si="1"/>
        <v>#DIV/0!</v>
      </c>
    </row>
    <row r="33" spans="1:9" ht="15.75" hidden="1" customHeight="1" thickBot="1" x14ac:dyDescent="0.25">
      <c r="A33" s="1262">
        <v>3299</v>
      </c>
      <c r="B33" s="1317">
        <v>5169</v>
      </c>
      <c r="C33" s="1315">
        <v>38100882</v>
      </c>
      <c r="D33" s="1264" t="s">
        <v>430</v>
      </c>
      <c r="E33" s="1265"/>
      <c r="F33" s="1265"/>
      <c r="G33" s="1265"/>
      <c r="H33" s="1266" t="e">
        <f t="shared" si="1"/>
        <v>#DIV/0!</v>
      </c>
    </row>
    <row r="34" spans="1:9" ht="15.75" hidden="1" customHeight="1" thickBot="1" x14ac:dyDescent="0.25">
      <c r="A34" s="1262">
        <v>3299</v>
      </c>
      <c r="B34" s="1317">
        <v>5169</v>
      </c>
      <c r="C34" s="1315">
        <v>38500881</v>
      </c>
      <c r="D34" s="1264" t="s">
        <v>430</v>
      </c>
      <c r="E34" s="1265"/>
      <c r="F34" s="1265"/>
      <c r="G34" s="1265"/>
      <c r="H34" s="1266" t="e">
        <f t="shared" si="1"/>
        <v>#DIV/0!</v>
      </c>
    </row>
    <row r="35" spans="1:9" ht="15.75" hidden="1" customHeight="1" thickBot="1" x14ac:dyDescent="0.25">
      <c r="A35" s="1262">
        <v>3299</v>
      </c>
      <c r="B35" s="1317">
        <v>5173</v>
      </c>
      <c r="C35" s="1315">
        <v>38100880</v>
      </c>
      <c r="D35" s="1264" t="s">
        <v>541</v>
      </c>
      <c r="E35" s="1265"/>
      <c r="F35" s="1265"/>
      <c r="G35" s="1265"/>
      <c r="H35" s="1266" t="e">
        <f t="shared" si="1"/>
        <v>#DIV/0!</v>
      </c>
    </row>
    <row r="36" spans="1:9" ht="15.75" hidden="1" customHeight="1" thickBot="1" x14ac:dyDescent="0.25">
      <c r="A36" s="1262">
        <v>3299</v>
      </c>
      <c r="B36" s="1317">
        <v>5173</v>
      </c>
      <c r="C36" s="1315">
        <v>38100882</v>
      </c>
      <c r="D36" s="1264" t="s">
        <v>541</v>
      </c>
      <c r="E36" s="1265"/>
      <c r="F36" s="1265"/>
      <c r="G36" s="1265"/>
      <c r="H36" s="1266" t="e">
        <f t="shared" si="1"/>
        <v>#DIV/0!</v>
      </c>
    </row>
    <row r="37" spans="1:9" ht="15.75" hidden="1" customHeight="1" thickBot="1" x14ac:dyDescent="0.25">
      <c r="A37" s="1262">
        <v>3299</v>
      </c>
      <c r="B37" s="1317">
        <v>5173</v>
      </c>
      <c r="C37" s="1315">
        <v>38500881</v>
      </c>
      <c r="D37" s="1264" t="s">
        <v>541</v>
      </c>
      <c r="E37" s="1265"/>
      <c r="F37" s="1265"/>
      <c r="G37" s="1265"/>
      <c r="H37" s="1266" t="e">
        <f t="shared" si="1"/>
        <v>#DIV/0!</v>
      </c>
    </row>
    <row r="38" spans="1:9" ht="15.75" hidden="1" customHeight="1" thickBot="1" x14ac:dyDescent="0.25">
      <c r="A38" s="1262">
        <v>3299</v>
      </c>
      <c r="B38" s="1317">
        <v>5175</v>
      </c>
      <c r="C38" s="1315">
        <v>32133007</v>
      </c>
      <c r="D38" s="1264" t="s">
        <v>352</v>
      </c>
      <c r="E38" s="1265"/>
      <c r="F38" s="1265"/>
      <c r="G38" s="1265"/>
      <c r="H38" s="1266" t="e">
        <f t="shared" si="1"/>
        <v>#DIV/0!</v>
      </c>
    </row>
    <row r="39" spans="1:9" ht="15.75" hidden="1" customHeight="1" thickBot="1" x14ac:dyDescent="0.25">
      <c r="A39" s="1262">
        <v>3299</v>
      </c>
      <c r="B39" s="1317">
        <v>5175</v>
      </c>
      <c r="C39" s="1315">
        <v>38100882</v>
      </c>
      <c r="D39" s="1264" t="s">
        <v>352</v>
      </c>
      <c r="E39" s="1265"/>
      <c r="F39" s="1265"/>
      <c r="G39" s="1265"/>
      <c r="H39" s="1266">
        <v>0</v>
      </c>
    </row>
    <row r="40" spans="1:9" ht="15.75" hidden="1" customHeight="1" thickBot="1" x14ac:dyDescent="0.25">
      <c r="A40" s="1262">
        <v>3299</v>
      </c>
      <c r="B40" s="1317">
        <v>5175</v>
      </c>
      <c r="C40" s="1315">
        <v>32533007</v>
      </c>
      <c r="D40" s="1264" t="s">
        <v>352</v>
      </c>
      <c r="E40" s="1265"/>
      <c r="F40" s="1265"/>
      <c r="G40" s="1265"/>
      <c r="H40" s="1266" t="e">
        <f>G40/F40*100</f>
        <v>#DIV/0!</v>
      </c>
    </row>
    <row r="41" spans="1:9" ht="15.75" hidden="1" customHeight="1" thickBot="1" x14ac:dyDescent="0.25">
      <c r="A41" s="1262">
        <v>3299</v>
      </c>
      <c r="B41" s="1263">
        <v>5176</v>
      </c>
      <c r="C41" s="1315">
        <v>38100880</v>
      </c>
      <c r="D41" s="1264" t="s">
        <v>593</v>
      </c>
      <c r="E41" s="1265"/>
      <c r="F41" s="1265"/>
      <c r="G41" s="1265"/>
      <c r="H41" s="1266" t="e">
        <f>G41/F41*100</f>
        <v>#DIV/0!</v>
      </c>
    </row>
    <row r="42" spans="1:9" ht="15.75" hidden="1" customHeight="1" thickBot="1" x14ac:dyDescent="0.25">
      <c r="A42" s="1262">
        <v>3299</v>
      </c>
      <c r="B42" s="1263">
        <v>5176</v>
      </c>
      <c r="C42" s="1315">
        <v>38100881</v>
      </c>
      <c r="D42" s="1264" t="s">
        <v>593</v>
      </c>
      <c r="E42" s="1265"/>
      <c r="F42" s="1265"/>
      <c r="G42" s="1265"/>
      <c r="H42" s="1266" t="e">
        <f>G42/F42*100</f>
        <v>#DIV/0!</v>
      </c>
    </row>
    <row r="43" spans="1:9" ht="15.75" hidden="1" customHeight="1" thickBot="1" x14ac:dyDescent="0.25">
      <c r="A43" s="1262">
        <v>3299</v>
      </c>
      <c r="B43" s="1263">
        <v>6111</v>
      </c>
      <c r="C43" s="1315">
        <v>38100880</v>
      </c>
      <c r="D43" s="1264" t="s">
        <v>457</v>
      </c>
      <c r="E43" s="1265"/>
      <c r="F43" s="1265"/>
      <c r="G43" s="1265"/>
      <c r="H43" s="1266" t="e">
        <f>G43/F43*100</f>
        <v>#DIV/0!</v>
      </c>
    </row>
    <row r="44" spans="1:9" ht="15.75" hidden="1" customHeight="1" thickBot="1" x14ac:dyDescent="0.25">
      <c r="A44" s="1262">
        <v>3299</v>
      </c>
      <c r="B44" s="1263">
        <v>6111</v>
      </c>
      <c r="C44" s="1315">
        <v>38100882</v>
      </c>
      <c r="D44" s="1264" t="s">
        <v>457</v>
      </c>
      <c r="E44" s="1265"/>
      <c r="F44" s="1265"/>
      <c r="G44" s="1265"/>
      <c r="H44" s="1266">
        <v>0</v>
      </c>
    </row>
    <row r="45" spans="1:9" s="1318" customFormat="1" ht="15.75" hidden="1" customHeight="1" thickBot="1" x14ac:dyDescent="0.25">
      <c r="A45" s="1262">
        <v>3299</v>
      </c>
      <c r="B45" s="1263">
        <v>6111</v>
      </c>
      <c r="C45" s="1315">
        <v>38500881</v>
      </c>
      <c r="D45" s="1264" t="s">
        <v>457</v>
      </c>
      <c r="E45" s="1265"/>
      <c r="F45" s="1265"/>
      <c r="G45" s="1265"/>
      <c r="H45" s="1266" t="e">
        <f>G45/F45*100</f>
        <v>#DIV/0!</v>
      </c>
    </row>
    <row r="46" spans="1:9" s="1318" customFormat="1" ht="15.75" hidden="1" customHeight="1" thickBot="1" x14ac:dyDescent="0.25">
      <c r="A46" s="1262">
        <v>6409</v>
      </c>
      <c r="B46" s="1263">
        <v>5909</v>
      </c>
      <c r="C46" s="1315">
        <v>0</v>
      </c>
      <c r="D46" s="1264"/>
      <c r="E46" s="1265"/>
      <c r="F46" s="1265"/>
      <c r="G46" s="1265"/>
      <c r="H46" s="1266"/>
    </row>
    <row r="47" spans="1:9" s="1318" customFormat="1" ht="15.75" hidden="1" customHeight="1" thickBot="1" x14ac:dyDescent="0.25">
      <c r="A47" s="1262">
        <v>6330</v>
      </c>
      <c r="B47" s="1263">
        <v>5345</v>
      </c>
      <c r="C47" s="1315">
        <v>0</v>
      </c>
      <c r="D47" s="1264" t="s">
        <v>397</v>
      </c>
      <c r="E47" s="1265"/>
      <c r="F47" s="1265"/>
      <c r="G47" s="1265"/>
      <c r="H47" s="1268">
        <v>0</v>
      </c>
    </row>
    <row r="48" spans="1:9" s="1320" customFormat="1" ht="16.5" thickTop="1" thickBot="1" x14ac:dyDescent="0.3">
      <c r="A48" s="3344" t="s">
        <v>394</v>
      </c>
      <c r="B48" s="3345"/>
      <c r="C48" s="3345"/>
      <c r="D48" s="3346"/>
      <c r="E48" s="1269">
        <f>SUM(E12:E47)</f>
        <v>0</v>
      </c>
      <c r="F48" s="1269">
        <f>SUM(F12:F47)</f>
        <v>0</v>
      </c>
      <c r="G48" s="1269">
        <f>SUM(G12:G47)</f>
        <v>0</v>
      </c>
      <c r="H48" s="1270" t="e">
        <f>G48/F48*100</f>
        <v>#DIV/0!</v>
      </c>
      <c r="I48" s="1319"/>
    </row>
    <row r="49" spans="1:12" ht="13.5" thickTop="1" x14ac:dyDescent="0.2">
      <c r="I49" s="1244"/>
    </row>
    <row r="50" spans="1:12" x14ac:dyDescent="0.2">
      <c r="I50" s="1244"/>
    </row>
    <row r="51" spans="1:12" x14ac:dyDescent="0.2">
      <c r="I51" s="1244"/>
    </row>
    <row r="52" spans="1:12" x14ac:dyDescent="0.2">
      <c r="I52" s="1244"/>
    </row>
    <row r="54" spans="1:12" ht="16.5" x14ac:dyDescent="0.25">
      <c r="A54" s="1285" t="s">
        <v>251</v>
      </c>
      <c r="B54" s="1286"/>
      <c r="C54" s="1287"/>
      <c r="D54" s="1288"/>
      <c r="E54" s="1289">
        <f>SUM(E55:E57)</f>
        <v>0</v>
      </c>
      <c r="F54" s="1289">
        <f>F55+F56+F57+F58</f>
        <v>0</v>
      </c>
      <c r="G54" s="1289">
        <f>G55+G56+G57+G58</f>
        <v>0</v>
      </c>
      <c r="H54" s="1290" t="e">
        <f>G54/F54*100</f>
        <v>#DIV/0!</v>
      </c>
      <c r="J54" s="1291">
        <f>J55+J56+J57</f>
        <v>0</v>
      </c>
      <c r="K54" s="1291">
        <f>K55+K56+K57</f>
        <v>0</v>
      </c>
      <c r="L54" s="1291">
        <f>L55+L56+L57</f>
        <v>0</v>
      </c>
    </row>
    <row r="55" spans="1:12" ht="15" x14ac:dyDescent="0.2">
      <c r="A55" s="1292" t="s">
        <v>147</v>
      </c>
      <c r="B55" s="1293"/>
      <c r="C55" s="1294"/>
      <c r="D55" s="1295"/>
      <c r="E55" s="1296">
        <f>E23+E24+E27+E28+E38+E40</f>
        <v>0</v>
      </c>
      <c r="F55" s="1296">
        <f>F23+F24+F27+F28+F38+F40</f>
        <v>0</v>
      </c>
      <c r="G55" s="1296">
        <f>G27</f>
        <v>0</v>
      </c>
      <c r="H55" s="1297" t="e">
        <f>G55/F55*100</f>
        <v>#DIV/0!</v>
      </c>
      <c r="J55" s="1298">
        <v>0</v>
      </c>
      <c r="K55" s="1298">
        <v>0</v>
      </c>
      <c r="L55" s="1298">
        <v>0</v>
      </c>
    </row>
    <row r="56" spans="1:12" ht="15" x14ac:dyDescent="0.2">
      <c r="A56" s="1292" t="s">
        <v>148</v>
      </c>
      <c r="B56" s="1299"/>
      <c r="C56" s="1294"/>
      <c r="D56" s="1300"/>
      <c r="E56" s="1296">
        <v>0</v>
      </c>
      <c r="F56" s="1296">
        <v>0</v>
      </c>
      <c r="G56" s="1296">
        <v>0</v>
      </c>
      <c r="H56" s="1297">
        <v>0</v>
      </c>
      <c r="J56" s="1298">
        <v>0</v>
      </c>
      <c r="K56" s="1298">
        <v>0</v>
      </c>
      <c r="L56" s="1298">
        <v>0</v>
      </c>
    </row>
    <row r="57" spans="1:12" ht="15" x14ac:dyDescent="0.2">
      <c r="A57" s="1292" t="s">
        <v>252</v>
      </c>
      <c r="B57" s="1299"/>
      <c r="C57" s="1294"/>
      <c r="D57" s="1300"/>
      <c r="E57" s="1296">
        <f>E47</f>
        <v>0</v>
      </c>
      <c r="F57" s="1296">
        <f>F47</f>
        <v>0</v>
      </c>
      <c r="G57" s="1296">
        <f>G28</f>
        <v>0</v>
      </c>
      <c r="H57" s="1297">
        <v>0</v>
      </c>
      <c r="J57" s="1298">
        <v>0</v>
      </c>
      <c r="K57" s="1298">
        <v>0</v>
      </c>
      <c r="L57" s="1298">
        <v>0</v>
      </c>
    </row>
    <row r="58" spans="1:12" ht="15" x14ac:dyDescent="0.2">
      <c r="A58" s="1292"/>
      <c r="B58" s="1299"/>
      <c r="C58" s="1294"/>
      <c r="D58" s="1300"/>
      <c r="E58" s="1296"/>
      <c r="F58" s="1296"/>
      <c r="G58" s="1296"/>
      <c r="H58" s="1301"/>
    </row>
    <row r="59" spans="1:12" ht="46.5" customHeight="1" thickBot="1" x14ac:dyDescent="0.4">
      <c r="A59" s="3321" t="s">
        <v>756</v>
      </c>
      <c r="B59" s="3321"/>
      <c r="C59" s="3321"/>
      <c r="D59" s="3321"/>
      <c r="E59" s="1302">
        <f>SUM(E54)</f>
        <v>0</v>
      </c>
      <c r="F59" s="1302">
        <f>SUM(F54)</f>
        <v>0</v>
      </c>
      <c r="G59" s="1302">
        <f>SUM(G54)</f>
        <v>0</v>
      </c>
      <c r="H59" s="1303" t="e">
        <f>(G59/F59)*100</f>
        <v>#DIV/0!</v>
      </c>
    </row>
    <row r="60" spans="1:12" ht="13.5" thickTop="1" x14ac:dyDescent="0.2"/>
    <row r="179" spans="1:5" ht="13.5" thickBot="1" x14ac:dyDescent="0.25">
      <c r="A179" s="1321"/>
      <c r="B179" s="1321"/>
      <c r="C179" s="1321"/>
      <c r="D179" s="1322"/>
      <c r="E179" s="1323"/>
    </row>
    <row r="180" spans="1:5" ht="13.5" thickTop="1" x14ac:dyDescent="0.2">
      <c r="A180" s="1324"/>
      <c r="B180" s="1324"/>
      <c r="C180" s="1324"/>
      <c r="D180" s="1325"/>
      <c r="E180" s="1326"/>
    </row>
    <row r="181" spans="1:5" x14ac:dyDescent="0.2">
      <c r="D181" s="1236" t="e">
        <f>#REF!+#REF!</f>
        <v>#REF!</v>
      </c>
    </row>
  </sheetData>
  <mergeCells count="2">
    <mergeCell ref="A48:D48"/>
    <mergeCell ref="A59:D59"/>
  </mergeCells>
  <pageMargins left="0.70866141732283472" right="0.70866141732283472" top="0.78740157480314965" bottom="0.78740157480314965" header="0.31496062992125984" footer="0.31496062992125984"/>
  <pageSetup paperSize="9" scale="70" firstPageNumber="151" orientation="portrait" useFirstPageNumber="1" r:id="rId1"/>
  <headerFooter>
    <oddFooter xml:space="preserve">&amp;L&amp;"Arial,Kurzíva"Zastupitelstvo Olomouckého kraje 19. 6. 2017
5.1. - Rozpočet Olomouckého kraje 2016 - závěrečný účet 
Příloha č. 3: Plnění rozpočtu výdajů Olomouckého kraje k 31. 12. 2016&amp;R&amp;"Arial,Kurzíva"Strana &amp;P (celkem 500)
</oddFooter>
  </headerFooter>
  <colBreaks count="1" manualBreakCount="1">
    <brk id="9" max="1048575" man="1"/>
  </col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FF"/>
  </sheetPr>
  <dimension ref="A1:L289"/>
  <sheetViews>
    <sheetView view="pageBreakPreview" topLeftCell="A272" zoomScaleNormal="100" zoomScaleSheetLayoutView="100" workbookViewId="0">
      <selection activeCell="A289" sqref="A289"/>
    </sheetView>
  </sheetViews>
  <sheetFormatPr defaultRowHeight="12.75" x14ac:dyDescent="0.2"/>
  <cols>
    <col min="1" max="1" width="5.5703125" style="1236" customWidth="1"/>
    <col min="2" max="2" width="6.7109375" style="1236" customWidth="1"/>
    <col min="3" max="3" width="10.140625" style="1236" customWidth="1"/>
    <col min="4" max="4" width="47.85546875" style="1236" customWidth="1"/>
    <col min="5" max="5" width="15.42578125" style="1236" customWidth="1"/>
    <col min="6" max="6" width="15.5703125" style="1236" customWidth="1"/>
    <col min="7" max="7" width="15.85546875" style="1236" customWidth="1"/>
    <col min="8" max="8" width="8.7109375" style="1236" customWidth="1"/>
    <col min="9" max="9" width="9.140625" style="1236"/>
    <col min="10" max="11" width="16" style="1236" bestFit="1" customWidth="1"/>
    <col min="12" max="12" width="16.42578125" style="1236" customWidth="1"/>
    <col min="13" max="256" width="9.140625" style="1236"/>
    <col min="257" max="257" width="5.5703125" style="1236" customWidth="1"/>
    <col min="258" max="258" width="6.7109375" style="1236" customWidth="1"/>
    <col min="259" max="259" width="8.85546875" style="1236" customWidth="1"/>
    <col min="260" max="260" width="47.85546875" style="1236" customWidth="1"/>
    <col min="261" max="261" width="12.85546875" style="1236" customWidth="1"/>
    <col min="262" max="262" width="15.5703125" style="1236" customWidth="1"/>
    <col min="263" max="263" width="15.85546875" style="1236" customWidth="1"/>
    <col min="264" max="264" width="6.42578125" style="1236" customWidth="1"/>
    <col min="265" max="266" width="9.140625" style="1236"/>
    <col min="267" max="268" width="14.7109375" style="1236" bestFit="1" customWidth="1"/>
    <col min="269" max="512" width="9.140625" style="1236"/>
    <col min="513" max="513" width="5.5703125" style="1236" customWidth="1"/>
    <col min="514" max="514" width="6.7109375" style="1236" customWidth="1"/>
    <col min="515" max="515" width="8.85546875" style="1236" customWidth="1"/>
    <col min="516" max="516" width="47.85546875" style="1236" customWidth="1"/>
    <col min="517" max="517" width="12.85546875" style="1236" customWidth="1"/>
    <col min="518" max="518" width="15.5703125" style="1236" customWidth="1"/>
    <col min="519" max="519" width="15.85546875" style="1236" customWidth="1"/>
    <col min="520" max="520" width="6.42578125" style="1236" customWidth="1"/>
    <col min="521" max="522" width="9.140625" style="1236"/>
    <col min="523" max="524" width="14.7109375" style="1236" bestFit="1" customWidth="1"/>
    <col min="525" max="768" width="9.140625" style="1236"/>
    <col min="769" max="769" width="5.5703125" style="1236" customWidth="1"/>
    <col min="770" max="770" width="6.7109375" style="1236" customWidth="1"/>
    <col min="771" max="771" width="8.85546875" style="1236" customWidth="1"/>
    <col min="772" max="772" width="47.85546875" style="1236" customWidth="1"/>
    <col min="773" max="773" width="12.85546875" style="1236" customWidth="1"/>
    <col min="774" max="774" width="15.5703125" style="1236" customWidth="1"/>
    <col min="775" max="775" width="15.85546875" style="1236" customWidth="1"/>
    <col min="776" max="776" width="6.42578125" style="1236" customWidth="1"/>
    <col min="777" max="778" width="9.140625" style="1236"/>
    <col min="779" max="780" width="14.7109375" style="1236" bestFit="1" customWidth="1"/>
    <col min="781" max="1024" width="9.140625" style="1236"/>
    <col min="1025" max="1025" width="5.5703125" style="1236" customWidth="1"/>
    <col min="1026" max="1026" width="6.7109375" style="1236" customWidth="1"/>
    <col min="1027" max="1027" width="8.85546875" style="1236" customWidth="1"/>
    <col min="1028" max="1028" width="47.85546875" style="1236" customWidth="1"/>
    <col min="1029" max="1029" width="12.85546875" style="1236" customWidth="1"/>
    <col min="1030" max="1030" width="15.5703125" style="1236" customWidth="1"/>
    <col min="1031" max="1031" width="15.85546875" style="1236" customWidth="1"/>
    <col min="1032" max="1032" width="6.42578125" style="1236" customWidth="1"/>
    <col min="1033" max="1034" width="9.140625" style="1236"/>
    <col min="1035" max="1036" width="14.7109375" style="1236" bestFit="1" customWidth="1"/>
    <col min="1037" max="1280" width="9.140625" style="1236"/>
    <col min="1281" max="1281" width="5.5703125" style="1236" customWidth="1"/>
    <col min="1282" max="1282" width="6.7109375" style="1236" customWidth="1"/>
    <col min="1283" max="1283" width="8.85546875" style="1236" customWidth="1"/>
    <col min="1284" max="1284" width="47.85546875" style="1236" customWidth="1"/>
    <col min="1285" max="1285" width="12.85546875" style="1236" customWidth="1"/>
    <col min="1286" max="1286" width="15.5703125" style="1236" customWidth="1"/>
    <col min="1287" max="1287" width="15.85546875" style="1236" customWidth="1"/>
    <col min="1288" max="1288" width="6.42578125" style="1236" customWidth="1"/>
    <col min="1289" max="1290" width="9.140625" style="1236"/>
    <col min="1291" max="1292" width="14.7109375" style="1236" bestFit="1" customWidth="1"/>
    <col min="1293" max="1536" width="9.140625" style="1236"/>
    <col min="1537" max="1537" width="5.5703125" style="1236" customWidth="1"/>
    <col min="1538" max="1538" width="6.7109375" style="1236" customWidth="1"/>
    <col min="1539" max="1539" width="8.85546875" style="1236" customWidth="1"/>
    <col min="1540" max="1540" width="47.85546875" style="1236" customWidth="1"/>
    <col min="1541" max="1541" width="12.85546875" style="1236" customWidth="1"/>
    <col min="1542" max="1542" width="15.5703125" style="1236" customWidth="1"/>
    <col min="1543" max="1543" width="15.85546875" style="1236" customWidth="1"/>
    <col min="1544" max="1544" width="6.42578125" style="1236" customWidth="1"/>
    <col min="1545" max="1546" width="9.140625" style="1236"/>
    <col min="1547" max="1548" width="14.7109375" style="1236" bestFit="1" customWidth="1"/>
    <col min="1549" max="1792" width="9.140625" style="1236"/>
    <col min="1793" max="1793" width="5.5703125" style="1236" customWidth="1"/>
    <col min="1794" max="1794" width="6.7109375" style="1236" customWidth="1"/>
    <col min="1795" max="1795" width="8.85546875" style="1236" customWidth="1"/>
    <col min="1796" max="1796" width="47.85546875" style="1236" customWidth="1"/>
    <col min="1797" max="1797" width="12.85546875" style="1236" customWidth="1"/>
    <col min="1798" max="1798" width="15.5703125" style="1236" customWidth="1"/>
    <col min="1799" max="1799" width="15.85546875" style="1236" customWidth="1"/>
    <col min="1800" max="1800" width="6.42578125" style="1236" customWidth="1"/>
    <col min="1801" max="1802" width="9.140625" style="1236"/>
    <col min="1803" max="1804" width="14.7109375" style="1236" bestFit="1" customWidth="1"/>
    <col min="1805" max="2048" width="9.140625" style="1236"/>
    <col min="2049" max="2049" width="5.5703125" style="1236" customWidth="1"/>
    <col min="2050" max="2050" width="6.7109375" style="1236" customWidth="1"/>
    <col min="2051" max="2051" width="8.85546875" style="1236" customWidth="1"/>
    <col min="2052" max="2052" width="47.85546875" style="1236" customWidth="1"/>
    <col min="2053" max="2053" width="12.85546875" style="1236" customWidth="1"/>
    <col min="2054" max="2054" width="15.5703125" style="1236" customWidth="1"/>
    <col min="2055" max="2055" width="15.85546875" style="1236" customWidth="1"/>
    <col min="2056" max="2056" width="6.42578125" style="1236" customWidth="1"/>
    <col min="2057" max="2058" width="9.140625" style="1236"/>
    <col min="2059" max="2060" width="14.7109375" style="1236" bestFit="1" customWidth="1"/>
    <col min="2061" max="2304" width="9.140625" style="1236"/>
    <col min="2305" max="2305" width="5.5703125" style="1236" customWidth="1"/>
    <col min="2306" max="2306" width="6.7109375" style="1236" customWidth="1"/>
    <col min="2307" max="2307" width="8.85546875" style="1236" customWidth="1"/>
    <col min="2308" max="2308" width="47.85546875" style="1236" customWidth="1"/>
    <col min="2309" max="2309" width="12.85546875" style="1236" customWidth="1"/>
    <col min="2310" max="2310" width="15.5703125" style="1236" customWidth="1"/>
    <col min="2311" max="2311" width="15.85546875" style="1236" customWidth="1"/>
    <col min="2312" max="2312" width="6.42578125" style="1236" customWidth="1"/>
    <col min="2313" max="2314" width="9.140625" style="1236"/>
    <col min="2315" max="2316" width="14.7109375" style="1236" bestFit="1" customWidth="1"/>
    <col min="2317" max="2560" width="9.140625" style="1236"/>
    <col min="2561" max="2561" width="5.5703125" style="1236" customWidth="1"/>
    <col min="2562" max="2562" width="6.7109375" style="1236" customWidth="1"/>
    <col min="2563" max="2563" width="8.85546875" style="1236" customWidth="1"/>
    <col min="2564" max="2564" width="47.85546875" style="1236" customWidth="1"/>
    <col min="2565" max="2565" width="12.85546875" style="1236" customWidth="1"/>
    <col min="2566" max="2566" width="15.5703125" style="1236" customWidth="1"/>
    <col min="2567" max="2567" width="15.85546875" style="1236" customWidth="1"/>
    <col min="2568" max="2568" width="6.42578125" style="1236" customWidth="1"/>
    <col min="2569" max="2570" width="9.140625" style="1236"/>
    <col min="2571" max="2572" width="14.7109375" style="1236" bestFit="1" customWidth="1"/>
    <col min="2573" max="2816" width="9.140625" style="1236"/>
    <col min="2817" max="2817" width="5.5703125" style="1236" customWidth="1"/>
    <col min="2818" max="2818" width="6.7109375" style="1236" customWidth="1"/>
    <col min="2819" max="2819" width="8.85546875" style="1236" customWidth="1"/>
    <col min="2820" max="2820" width="47.85546875" style="1236" customWidth="1"/>
    <col min="2821" max="2821" width="12.85546875" style="1236" customWidth="1"/>
    <col min="2822" max="2822" width="15.5703125" style="1236" customWidth="1"/>
    <col min="2823" max="2823" width="15.85546875" style="1236" customWidth="1"/>
    <col min="2824" max="2824" width="6.42578125" style="1236" customWidth="1"/>
    <col min="2825" max="2826" width="9.140625" style="1236"/>
    <col min="2827" max="2828" width="14.7109375" style="1236" bestFit="1" customWidth="1"/>
    <col min="2829" max="3072" width="9.140625" style="1236"/>
    <col min="3073" max="3073" width="5.5703125" style="1236" customWidth="1"/>
    <col min="3074" max="3074" width="6.7109375" style="1236" customWidth="1"/>
    <col min="3075" max="3075" width="8.85546875" style="1236" customWidth="1"/>
    <col min="3076" max="3076" width="47.85546875" style="1236" customWidth="1"/>
    <col min="3077" max="3077" width="12.85546875" style="1236" customWidth="1"/>
    <col min="3078" max="3078" width="15.5703125" style="1236" customWidth="1"/>
    <col min="3079" max="3079" width="15.85546875" style="1236" customWidth="1"/>
    <col min="3080" max="3080" width="6.42578125" style="1236" customWidth="1"/>
    <col min="3081" max="3082" width="9.140625" style="1236"/>
    <col min="3083" max="3084" width="14.7109375" style="1236" bestFit="1" customWidth="1"/>
    <col min="3085" max="3328" width="9.140625" style="1236"/>
    <col min="3329" max="3329" width="5.5703125" style="1236" customWidth="1"/>
    <col min="3330" max="3330" width="6.7109375" style="1236" customWidth="1"/>
    <col min="3331" max="3331" width="8.85546875" style="1236" customWidth="1"/>
    <col min="3332" max="3332" width="47.85546875" style="1236" customWidth="1"/>
    <col min="3333" max="3333" width="12.85546875" style="1236" customWidth="1"/>
    <col min="3334" max="3334" width="15.5703125" style="1236" customWidth="1"/>
    <col min="3335" max="3335" width="15.85546875" style="1236" customWidth="1"/>
    <col min="3336" max="3336" width="6.42578125" style="1236" customWidth="1"/>
    <col min="3337" max="3338" width="9.140625" style="1236"/>
    <col min="3339" max="3340" width="14.7109375" style="1236" bestFit="1" customWidth="1"/>
    <col min="3341" max="3584" width="9.140625" style="1236"/>
    <col min="3585" max="3585" width="5.5703125" style="1236" customWidth="1"/>
    <col min="3586" max="3586" width="6.7109375" style="1236" customWidth="1"/>
    <col min="3587" max="3587" width="8.85546875" style="1236" customWidth="1"/>
    <col min="3588" max="3588" width="47.85546875" style="1236" customWidth="1"/>
    <col min="3589" max="3589" width="12.85546875" style="1236" customWidth="1"/>
    <col min="3590" max="3590" width="15.5703125" style="1236" customWidth="1"/>
    <col min="3591" max="3591" width="15.85546875" style="1236" customWidth="1"/>
    <col min="3592" max="3592" width="6.42578125" style="1236" customWidth="1"/>
    <col min="3593" max="3594" width="9.140625" style="1236"/>
    <col min="3595" max="3596" width="14.7109375" style="1236" bestFit="1" customWidth="1"/>
    <col min="3597" max="3840" width="9.140625" style="1236"/>
    <col min="3841" max="3841" width="5.5703125" style="1236" customWidth="1"/>
    <col min="3842" max="3842" width="6.7109375" style="1236" customWidth="1"/>
    <col min="3843" max="3843" width="8.85546875" style="1236" customWidth="1"/>
    <col min="3844" max="3844" width="47.85546875" style="1236" customWidth="1"/>
    <col min="3845" max="3845" width="12.85546875" style="1236" customWidth="1"/>
    <col min="3846" max="3846" width="15.5703125" style="1236" customWidth="1"/>
    <col min="3847" max="3847" width="15.85546875" style="1236" customWidth="1"/>
    <col min="3848" max="3848" width="6.42578125" style="1236" customWidth="1"/>
    <col min="3849" max="3850" width="9.140625" style="1236"/>
    <col min="3851" max="3852" width="14.7109375" style="1236" bestFit="1" customWidth="1"/>
    <col min="3853" max="4096" width="9.140625" style="1236"/>
    <col min="4097" max="4097" width="5.5703125" style="1236" customWidth="1"/>
    <col min="4098" max="4098" width="6.7109375" style="1236" customWidth="1"/>
    <col min="4099" max="4099" width="8.85546875" style="1236" customWidth="1"/>
    <col min="4100" max="4100" width="47.85546875" style="1236" customWidth="1"/>
    <col min="4101" max="4101" width="12.85546875" style="1236" customWidth="1"/>
    <col min="4102" max="4102" width="15.5703125" style="1236" customWidth="1"/>
    <col min="4103" max="4103" width="15.85546875" style="1236" customWidth="1"/>
    <col min="4104" max="4104" width="6.42578125" style="1236" customWidth="1"/>
    <col min="4105" max="4106" width="9.140625" style="1236"/>
    <col min="4107" max="4108" width="14.7109375" style="1236" bestFit="1" customWidth="1"/>
    <col min="4109" max="4352" width="9.140625" style="1236"/>
    <col min="4353" max="4353" width="5.5703125" style="1236" customWidth="1"/>
    <col min="4354" max="4354" width="6.7109375" style="1236" customWidth="1"/>
    <col min="4355" max="4355" width="8.85546875" style="1236" customWidth="1"/>
    <col min="4356" max="4356" width="47.85546875" style="1236" customWidth="1"/>
    <col min="4357" max="4357" width="12.85546875" style="1236" customWidth="1"/>
    <col min="4358" max="4358" width="15.5703125" style="1236" customWidth="1"/>
    <col min="4359" max="4359" width="15.85546875" style="1236" customWidth="1"/>
    <col min="4360" max="4360" width="6.42578125" style="1236" customWidth="1"/>
    <col min="4361" max="4362" width="9.140625" style="1236"/>
    <col min="4363" max="4364" width="14.7109375" style="1236" bestFit="1" customWidth="1"/>
    <col min="4365" max="4608" width="9.140625" style="1236"/>
    <col min="4609" max="4609" width="5.5703125" style="1236" customWidth="1"/>
    <col min="4610" max="4610" width="6.7109375" style="1236" customWidth="1"/>
    <col min="4611" max="4611" width="8.85546875" style="1236" customWidth="1"/>
    <col min="4612" max="4612" width="47.85546875" style="1236" customWidth="1"/>
    <col min="4613" max="4613" width="12.85546875" style="1236" customWidth="1"/>
    <col min="4614" max="4614" width="15.5703125" style="1236" customWidth="1"/>
    <col min="4615" max="4615" width="15.85546875" style="1236" customWidth="1"/>
    <col min="4616" max="4616" width="6.42578125" style="1236" customWidth="1"/>
    <col min="4617" max="4618" width="9.140625" style="1236"/>
    <col min="4619" max="4620" width="14.7109375" style="1236" bestFit="1" customWidth="1"/>
    <col min="4621" max="4864" width="9.140625" style="1236"/>
    <col min="4865" max="4865" width="5.5703125" style="1236" customWidth="1"/>
    <col min="4866" max="4866" width="6.7109375" style="1236" customWidth="1"/>
    <col min="4867" max="4867" width="8.85546875" style="1236" customWidth="1"/>
    <col min="4868" max="4868" width="47.85546875" style="1236" customWidth="1"/>
    <col min="4869" max="4869" width="12.85546875" style="1236" customWidth="1"/>
    <col min="4870" max="4870" width="15.5703125" style="1236" customWidth="1"/>
    <col min="4871" max="4871" width="15.85546875" style="1236" customWidth="1"/>
    <col min="4872" max="4872" width="6.42578125" style="1236" customWidth="1"/>
    <col min="4873" max="4874" width="9.140625" style="1236"/>
    <col min="4875" max="4876" width="14.7109375" style="1236" bestFit="1" customWidth="1"/>
    <col min="4877" max="5120" width="9.140625" style="1236"/>
    <col min="5121" max="5121" width="5.5703125" style="1236" customWidth="1"/>
    <col min="5122" max="5122" width="6.7109375" style="1236" customWidth="1"/>
    <col min="5123" max="5123" width="8.85546875" style="1236" customWidth="1"/>
    <col min="5124" max="5124" width="47.85546875" style="1236" customWidth="1"/>
    <col min="5125" max="5125" width="12.85546875" style="1236" customWidth="1"/>
    <col min="5126" max="5126" width="15.5703125" style="1236" customWidth="1"/>
    <col min="5127" max="5127" width="15.85546875" style="1236" customWidth="1"/>
    <col min="5128" max="5128" width="6.42578125" style="1236" customWidth="1"/>
    <col min="5129" max="5130" width="9.140625" style="1236"/>
    <col min="5131" max="5132" width="14.7109375" style="1236" bestFit="1" customWidth="1"/>
    <col min="5133" max="5376" width="9.140625" style="1236"/>
    <col min="5377" max="5377" width="5.5703125" style="1236" customWidth="1"/>
    <col min="5378" max="5378" width="6.7109375" style="1236" customWidth="1"/>
    <col min="5379" max="5379" width="8.85546875" style="1236" customWidth="1"/>
    <col min="5380" max="5380" width="47.85546875" style="1236" customWidth="1"/>
    <col min="5381" max="5381" width="12.85546875" style="1236" customWidth="1"/>
    <col min="5382" max="5382" width="15.5703125" style="1236" customWidth="1"/>
    <col min="5383" max="5383" width="15.85546875" style="1236" customWidth="1"/>
    <col min="5384" max="5384" width="6.42578125" style="1236" customWidth="1"/>
    <col min="5385" max="5386" width="9.140625" style="1236"/>
    <col min="5387" max="5388" width="14.7109375" style="1236" bestFit="1" customWidth="1"/>
    <col min="5389" max="5632" width="9.140625" style="1236"/>
    <col min="5633" max="5633" width="5.5703125" style="1236" customWidth="1"/>
    <col min="5634" max="5634" width="6.7109375" style="1236" customWidth="1"/>
    <col min="5635" max="5635" width="8.85546875" style="1236" customWidth="1"/>
    <col min="5636" max="5636" width="47.85546875" style="1236" customWidth="1"/>
    <col min="5637" max="5637" width="12.85546875" style="1236" customWidth="1"/>
    <col min="5638" max="5638" width="15.5703125" style="1236" customWidth="1"/>
    <col min="5639" max="5639" width="15.85546875" style="1236" customWidth="1"/>
    <col min="5640" max="5640" width="6.42578125" style="1236" customWidth="1"/>
    <col min="5641" max="5642" width="9.140625" style="1236"/>
    <col min="5643" max="5644" width="14.7109375" style="1236" bestFit="1" customWidth="1"/>
    <col min="5645" max="5888" width="9.140625" style="1236"/>
    <col min="5889" max="5889" width="5.5703125" style="1236" customWidth="1"/>
    <col min="5890" max="5890" width="6.7109375" style="1236" customWidth="1"/>
    <col min="5891" max="5891" width="8.85546875" style="1236" customWidth="1"/>
    <col min="5892" max="5892" width="47.85546875" style="1236" customWidth="1"/>
    <col min="5893" max="5893" width="12.85546875" style="1236" customWidth="1"/>
    <col min="5894" max="5894" width="15.5703125" style="1236" customWidth="1"/>
    <col min="5895" max="5895" width="15.85546875" style="1236" customWidth="1"/>
    <col min="5896" max="5896" width="6.42578125" style="1236" customWidth="1"/>
    <col min="5897" max="5898" width="9.140625" style="1236"/>
    <col min="5899" max="5900" width="14.7109375" style="1236" bestFit="1" customWidth="1"/>
    <col min="5901" max="6144" width="9.140625" style="1236"/>
    <col min="6145" max="6145" width="5.5703125" style="1236" customWidth="1"/>
    <col min="6146" max="6146" width="6.7109375" style="1236" customWidth="1"/>
    <col min="6147" max="6147" width="8.85546875" style="1236" customWidth="1"/>
    <col min="6148" max="6148" width="47.85546875" style="1236" customWidth="1"/>
    <col min="6149" max="6149" width="12.85546875" style="1236" customWidth="1"/>
    <col min="6150" max="6150" width="15.5703125" style="1236" customWidth="1"/>
    <col min="6151" max="6151" width="15.85546875" style="1236" customWidth="1"/>
    <col min="6152" max="6152" width="6.42578125" style="1236" customWidth="1"/>
    <col min="6153" max="6154" width="9.140625" style="1236"/>
    <col min="6155" max="6156" width="14.7109375" style="1236" bestFit="1" customWidth="1"/>
    <col min="6157" max="6400" width="9.140625" style="1236"/>
    <col min="6401" max="6401" width="5.5703125" style="1236" customWidth="1"/>
    <col min="6402" max="6402" width="6.7109375" style="1236" customWidth="1"/>
    <col min="6403" max="6403" width="8.85546875" style="1236" customWidth="1"/>
    <col min="6404" max="6404" width="47.85546875" style="1236" customWidth="1"/>
    <col min="6405" max="6405" width="12.85546875" style="1236" customWidth="1"/>
    <col min="6406" max="6406" width="15.5703125" style="1236" customWidth="1"/>
    <col min="6407" max="6407" width="15.85546875" style="1236" customWidth="1"/>
    <col min="6408" max="6408" width="6.42578125" style="1236" customWidth="1"/>
    <col min="6409" max="6410" width="9.140625" style="1236"/>
    <col min="6411" max="6412" width="14.7109375" style="1236" bestFit="1" customWidth="1"/>
    <col min="6413" max="6656" width="9.140625" style="1236"/>
    <col min="6657" max="6657" width="5.5703125" style="1236" customWidth="1"/>
    <col min="6658" max="6658" width="6.7109375" style="1236" customWidth="1"/>
    <col min="6659" max="6659" width="8.85546875" style="1236" customWidth="1"/>
    <col min="6660" max="6660" width="47.85546875" style="1236" customWidth="1"/>
    <col min="6661" max="6661" width="12.85546875" style="1236" customWidth="1"/>
    <col min="6662" max="6662" width="15.5703125" style="1236" customWidth="1"/>
    <col min="6663" max="6663" width="15.85546875" style="1236" customWidth="1"/>
    <col min="6664" max="6664" width="6.42578125" style="1236" customWidth="1"/>
    <col min="6665" max="6666" width="9.140625" style="1236"/>
    <col min="6667" max="6668" width="14.7109375" style="1236" bestFit="1" customWidth="1"/>
    <col min="6669" max="6912" width="9.140625" style="1236"/>
    <col min="6913" max="6913" width="5.5703125" style="1236" customWidth="1"/>
    <col min="6914" max="6914" width="6.7109375" style="1236" customWidth="1"/>
    <col min="6915" max="6915" width="8.85546875" style="1236" customWidth="1"/>
    <col min="6916" max="6916" width="47.85546875" style="1236" customWidth="1"/>
    <col min="6917" max="6917" width="12.85546875" style="1236" customWidth="1"/>
    <col min="6918" max="6918" width="15.5703125" style="1236" customWidth="1"/>
    <col min="6919" max="6919" width="15.85546875" style="1236" customWidth="1"/>
    <col min="6920" max="6920" width="6.42578125" style="1236" customWidth="1"/>
    <col min="6921" max="6922" width="9.140625" style="1236"/>
    <col min="6923" max="6924" width="14.7109375" style="1236" bestFit="1" customWidth="1"/>
    <col min="6925" max="7168" width="9.140625" style="1236"/>
    <col min="7169" max="7169" width="5.5703125" style="1236" customWidth="1"/>
    <col min="7170" max="7170" width="6.7109375" style="1236" customWidth="1"/>
    <col min="7171" max="7171" width="8.85546875" style="1236" customWidth="1"/>
    <col min="7172" max="7172" width="47.85546875" style="1236" customWidth="1"/>
    <col min="7173" max="7173" width="12.85546875" style="1236" customWidth="1"/>
    <col min="7174" max="7174" width="15.5703125" style="1236" customWidth="1"/>
    <col min="7175" max="7175" width="15.85546875" style="1236" customWidth="1"/>
    <col min="7176" max="7176" width="6.42578125" style="1236" customWidth="1"/>
    <col min="7177" max="7178" width="9.140625" style="1236"/>
    <col min="7179" max="7180" width="14.7109375" style="1236" bestFit="1" customWidth="1"/>
    <col min="7181" max="7424" width="9.140625" style="1236"/>
    <col min="7425" max="7425" width="5.5703125" style="1236" customWidth="1"/>
    <col min="7426" max="7426" width="6.7109375" style="1236" customWidth="1"/>
    <col min="7427" max="7427" width="8.85546875" style="1236" customWidth="1"/>
    <col min="7428" max="7428" width="47.85546875" style="1236" customWidth="1"/>
    <col min="7429" max="7429" width="12.85546875" style="1236" customWidth="1"/>
    <col min="7430" max="7430" width="15.5703125" style="1236" customWidth="1"/>
    <col min="7431" max="7431" width="15.85546875" style="1236" customWidth="1"/>
    <col min="7432" max="7432" width="6.42578125" style="1236" customWidth="1"/>
    <col min="7433" max="7434" width="9.140625" style="1236"/>
    <col min="7435" max="7436" width="14.7109375" style="1236" bestFit="1" customWidth="1"/>
    <col min="7437" max="7680" width="9.140625" style="1236"/>
    <col min="7681" max="7681" width="5.5703125" style="1236" customWidth="1"/>
    <col min="7682" max="7682" width="6.7109375" style="1236" customWidth="1"/>
    <col min="7683" max="7683" width="8.85546875" style="1236" customWidth="1"/>
    <col min="7684" max="7684" width="47.85546875" style="1236" customWidth="1"/>
    <col min="7685" max="7685" width="12.85546875" style="1236" customWidth="1"/>
    <col min="7686" max="7686" width="15.5703125" style="1236" customWidth="1"/>
    <col min="7687" max="7687" width="15.85546875" style="1236" customWidth="1"/>
    <col min="7688" max="7688" width="6.42578125" style="1236" customWidth="1"/>
    <col min="7689" max="7690" width="9.140625" style="1236"/>
    <col min="7691" max="7692" width="14.7109375" style="1236" bestFit="1" customWidth="1"/>
    <col min="7693" max="7936" width="9.140625" style="1236"/>
    <col min="7937" max="7937" width="5.5703125" style="1236" customWidth="1"/>
    <col min="7938" max="7938" width="6.7109375" style="1236" customWidth="1"/>
    <col min="7939" max="7939" width="8.85546875" style="1236" customWidth="1"/>
    <col min="7940" max="7940" width="47.85546875" style="1236" customWidth="1"/>
    <col min="7941" max="7941" width="12.85546875" style="1236" customWidth="1"/>
    <col min="7942" max="7942" width="15.5703125" style="1236" customWidth="1"/>
    <col min="7943" max="7943" width="15.85546875" style="1236" customWidth="1"/>
    <col min="7944" max="7944" width="6.42578125" style="1236" customWidth="1"/>
    <col min="7945" max="7946" width="9.140625" style="1236"/>
    <col min="7947" max="7948" width="14.7109375" style="1236" bestFit="1" customWidth="1"/>
    <col min="7949" max="8192" width="9.140625" style="1236"/>
    <col min="8193" max="8193" width="5.5703125" style="1236" customWidth="1"/>
    <col min="8194" max="8194" width="6.7109375" style="1236" customWidth="1"/>
    <col min="8195" max="8195" width="8.85546875" style="1236" customWidth="1"/>
    <col min="8196" max="8196" width="47.85546875" style="1236" customWidth="1"/>
    <col min="8197" max="8197" width="12.85546875" style="1236" customWidth="1"/>
    <col min="8198" max="8198" width="15.5703125" style="1236" customWidth="1"/>
    <col min="8199" max="8199" width="15.85546875" style="1236" customWidth="1"/>
    <col min="8200" max="8200" width="6.42578125" style="1236" customWidth="1"/>
    <col min="8201" max="8202" width="9.140625" style="1236"/>
    <col min="8203" max="8204" width="14.7109375" style="1236" bestFit="1" customWidth="1"/>
    <col min="8205" max="8448" width="9.140625" style="1236"/>
    <col min="8449" max="8449" width="5.5703125" style="1236" customWidth="1"/>
    <col min="8450" max="8450" width="6.7109375" style="1236" customWidth="1"/>
    <col min="8451" max="8451" width="8.85546875" style="1236" customWidth="1"/>
    <col min="8452" max="8452" width="47.85546875" style="1236" customWidth="1"/>
    <col min="8453" max="8453" width="12.85546875" style="1236" customWidth="1"/>
    <col min="8454" max="8454" width="15.5703125" style="1236" customWidth="1"/>
    <col min="8455" max="8455" width="15.85546875" style="1236" customWidth="1"/>
    <col min="8456" max="8456" width="6.42578125" style="1236" customWidth="1"/>
    <col min="8457" max="8458" width="9.140625" style="1236"/>
    <col min="8459" max="8460" width="14.7109375" style="1236" bestFit="1" customWidth="1"/>
    <col min="8461" max="8704" width="9.140625" style="1236"/>
    <col min="8705" max="8705" width="5.5703125" style="1236" customWidth="1"/>
    <col min="8706" max="8706" width="6.7109375" style="1236" customWidth="1"/>
    <col min="8707" max="8707" width="8.85546875" style="1236" customWidth="1"/>
    <col min="8708" max="8708" width="47.85546875" style="1236" customWidth="1"/>
    <col min="8709" max="8709" width="12.85546875" style="1236" customWidth="1"/>
    <col min="8710" max="8710" width="15.5703125" style="1236" customWidth="1"/>
    <col min="8711" max="8711" width="15.85546875" style="1236" customWidth="1"/>
    <col min="8712" max="8712" width="6.42578125" style="1236" customWidth="1"/>
    <col min="8713" max="8714" width="9.140625" style="1236"/>
    <col min="8715" max="8716" width="14.7109375" style="1236" bestFit="1" customWidth="1"/>
    <col min="8717" max="8960" width="9.140625" style="1236"/>
    <col min="8961" max="8961" width="5.5703125" style="1236" customWidth="1"/>
    <col min="8962" max="8962" width="6.7109375" style="1236" customWidth="1"/>
    <col min="8963" max="8963" width="8.85546875" style="1236" customWidth="1"/>
    <col min="8964" max="8964" width="47.85546875" style="1236" customWidth="1"/>
    <col min="8965" max="8965" width="12.85546875" style="1236" customWidth="1"/>
    <col min="8966" max="8966" width="15.5703125" style="1236" customWidth="1"/>
    <col min="8967" max="8967" width="15.85546875" style="1236" customWidth="1"/>
    <col min="8968" max="8968" width="6.42578125" style="1236" customWidth="1"/>
    <col min="8969" max="8970" width="9.140625" style="1236"/>
    <col min="8971" max="8972" width="14.7109375" style="1236" bestFit="1" customWidth="1"/>
    <col min="8973" max="9216" width="9.140625" style="1236"/>
    <col min="9217" max="9217" width="5.5703125" style="1236" customWidth="1"/>
    <col min="9218" max="9218" width="6.7109375" style="1236" customWidth="1"/>
    <col min="9219" max="9219" width="8.85546875" style="1236" customWidth="1"/>
    <col min="9220" max="9220" width="47.85546875" style="1236" customWidth="1"/>
    <col min="9221" max="9221" width="12.85546875" style="1236" customWidth="1"/>
    <col min="9222" max="9222" width="15.5703125" style="1236" customWidth="1"/>
    <col min="9223" max="9223" width="15.85546875" style="1236" customWidth="1"/>
    <col min="9224" max="9224" width="6.42578125" style="1236" customWidth="1"/>
    <col min="9225" max="9226" width="9.140625" style="1236"/>
    <col min="9227" max="9228" width="14.7109375" style="1236" bestFit="1" customWidth="1"/>
    <col min="9229" max="9472" width="9.140625" style="1236"/>
    <col min="9473" max="9473" width="5.5703125" style="1236" customWidth="1"/>
    <col min="9474" max="9474" width="6.7109375" style="1236" customWidth="1"/>
    <col min="9475" max="9475" width="8.85546875" style="1236" customWidth="1"/>
    <col min="9476" max="9476" width="47.85546875" style="1236" customWidth="1"/>
    <col min="9477" max="9477" width="12.85546875" style="1236" customWidth="1"/>
    <col min="9478" max="9478" width="15.5703125" style="1236" customWidth="1"/>
    <col min="9479" max="9479" width="15.85546875" style="1236" customWidth="1"/>
    <col min="9480" max="9480" width="6.42578125" style="1236" customWidth="1"/>
    <col min="9481" max="9482" width="9.140625" style="1236"/>
    <col min="9483" max="9484" width="14.7109375" style="1236" bestFit="1" customWidth="1"/>
    <col min="9485" max="9728" width="9.140625" style="1236"/>
    <col min="9729" max="9729" width="5.5703125" style="1236" customWidth="1"/>
    <col min="9730" max="9730" width="6.7109375" style="1236" customWidth="1"/>
    <col min="9731" max="9731" width="8.85546875" style="1236" customWidth="1"/>
    <col min="9732" max="9732" width="47.85546875" style="1236" customWidth="1"/>
    <col min="9733" max="9733" width="12.85546875" style="1236" customWidth="1"/>
    <col min="9734" max="9734" width="15.5703125" style="1236" customWidth="1"/>
    <col min="9735" max="9735" width="15.85546875" style="1236" customWidth="1"/>
    <col min="9736" max="9736" width="6.42578125" style="1236" customWidth="1"/>
    <col min="9737" max="9738" width="9.140625" style="1236"/>
    <col min="9739" max="9740" width="14.7109375" style="1236" bestFit="1" customWidth="1"/>
    <col min="9741" max="9984" width="9.140625" style="1236"/>
    <col min="9985" max="9985" width="5.5703125" style="1236" customWidth="1"/>
    <col min="9986" max="9986" width="6.7109375" style="1236" customWidth="1"/>
    <col min="9987" max="9987" width="8.85546875" style="1236" customWidth="1"/>
    <col min="9988" max="9988" width="47.85546875" style="1236" customWidth="1"/>
    <col min="9989" max="9989" width="12.85546875" style="1236" customWidth="1"/>
    <col min="9990" max="9990" width="15.5703125" style="1236" customWidth="1"/>
    <col min="9991" max="9991" width="15.85546875" style="1236" customWidth="1"/>
    <col min="9992" max="9992" width="6.42578125" style="1236" customWidth="1"/>
    <col min="9993" max="9994" width="9.140625" style="1236"/>
    <col min="9995" max="9996" width="14.7109375" style="1236" bestFit="1" customWidth="1"/>
    <col min="9997" max="10240" width="9.140625" style="1236"/>
    <col min="10241" max="10241" width="5.5703125" style="1236" customWidth="1"/>
    <col min="10242" max="10242" width="6.7109375" style="1236" customWidth="1"/>
    <col min="10243" max="10243" width="8.85546875" style="1236" customWidth="1"/>
    <col min="10244" max="10244" width="47.85546875" style="1236" customWidth="1"/>
    <col min="10245" max="10245" width="12.85546875" style="1236" customWidth="1"/>
    <col min="10246" max="10246" width="15.5703125" style="1236" customWidth="1"/>
    <col min="10247" max="10247" width="15.85546875" style="1236" customWidth="1"/>
    <col min="10248" max="10248" width="6.42578125" style="1236" customWidth="1"/>
    <col min="10249" max="10250" width="9.140625" style="1236"/>
    <col min="10251" max="10252" width="14.7109375" style="1236" bestFit="1" customWidth="1"/>
    <col min="10253" max="10496" width="9.140625" style="1236"/>
    <col min="10497" max="10497" width="5.5703125" style="1236" customWidth="1"/>
    <col min="10498" max="10498" width="6.7109375" style="1236" customWidth="1"/>
    <col min="10499" max="10499" width="8.85546875" style="1236" customWidth="1"/>
    <col min="10500" max="10500" width="47.85546875" style="1236" customWidth="1"/>
    <col min="10501" max="10501" width="12.85546875" style="1236" customWidth="1"/>
    <col min="10502" max="10502" width="15.5703125" style="1236" customWidth="1"/>
    <col min="10503" max="10503" width="15.85546875" style="1236" customWidth="1"/>
    <col min="10504" max="10504" width="6.42578125" style="1236" customWidth="1"/>
    <col min="10505" max="10506" width="9.140625" style="1236"/>
    <col min="10507" max="10508" width="14.7109375" style="1236" bestFit="1" customWidth="1"/>
    <col min="10509" max="10752" width="9.140625" style="1236"/>
    <col min="10753" max="10753" width="5.5703125" style="1236" customWidth="1"/>
    <col min="10754" max="10754" width="6.7109375" style="1236" customWidth="1"/>
    <col min="10755" max="10755" width="8.85546875" style="1236" customWidth="1"/>
    <col min="10756" max="10756" width="47.85546875" style="1236" customWidth="1"/>
    <col min="10757" max="10757" width="12.85546875" style="1236" customWidth="1"/>
    <col min="10758" max="10758" width="15.5703125" style="1236" customWidth="1"/>
    <col min="10759" max="10759" width="15.85546875" style="1236" customWidth="1"/>
    <col min="10760" max="10760" width="6.42578125" style="1236" customWidth="1"/>
    <col min="10761" max="10762" width="9.140625" style="1236"/>
    <col min="10763" max="10764" width="14.7109375" style="1236" bestFit="1" customWidth="1"/>
    <col min="10765" max="11008" width="9.140625" style="1236"/>
    <col min="11009" max="11009" width="5.5703125" style="1236" customWidth="1"/>
    <col min="11010" max="11010" width="6.7109375" style="1236" customWidth="1"/>
    <col min="11011" max="11011" width="8.85546875" style="1236" customWidth="1"/>
    <col min="11012" max="11012" width="47.85546875" style="1236" customWidth="1"/>
    <col min="11013" max="11013" width="12.85546875" style="1236" customWidth="1"/>
    <col min="11014" max="11014" width="15.5703125" style="1236" customWidth="1"/>
    <col min="11015" max="11015" width="15.85546875" style="1236" customWidth="1"/>
    <col min="11016" max="11016" width="6.42578125" style="1236" customWidth="1"/>
    <col min="11017" max="11018" width="9.140625" style="1236"/>
    <col min="11019" max="11020" width="14.7109375" style="1236" bestFit="1" customWidth="1"/>
    <col min="11021" max="11264" width="9.140625" style="1236"/>
    <col min="11265" max="11265" width="5.5703125" style="1236" customWidth="1"/>
    <col min="11266" max="11266" width="6.7109375" style="1236" customWidth="1"/>
    <col min="11267" max="11267" width="8.85546875" style="1236" customWidth="1"/>
    <col min="11268" max="11268" width="47.85546875" style="1236" customWidth="1"/>
    <col min="11269" max="11269" width="12.85546875" style="1236" customWidth="1"/>
    <col min="11270" max="11270" width="15.5703125" style="1236" customWidth="1"/>
    <col min="11271" max="11271" width="15.85546875" style="1236" customWidth="1"/>
    <col min="11272" max="11272" width="6.42578125" style="1236" customWidth="1"/>
    <col min="11273" max="11274" width="9.140625" style="1236"/>
    <col min="11275" max="11276" width="14.7109375" style="1236" bestFit="1" customWidth="1"/>
    <col min="11277" max="11520" width="9.140625" style="1236"/>
    <col min="11521" max="11521" width="5.5703125" style="1236" customWidth="1"/>
    <col min="11522" max="11522" width="6.7109375" style="1236" customWidth="1"/>
    <col min="11523" max="11523" width="8.85546875" style="1236" customWidth="1"/>
    <col min="11524" max="11524" width="47.85546875" style="1236" customWidth="1"/>
    <col min="11525" max="11525" width="12.85546875" style="1236" customWidth="1"/>
    <col min="11526" max="11526" width="15.5703125" style="1236" customWidth="1"/>
    <col min="11527" max="11527" width="15.85546875" style="1236" customWidth="1"/>
    <col min="11528" max="11528" width="6.42578125" style="1236" customWidth="1"/>
    <col min="11529" max="11530" width="9.140625" style="1236"/>
    <col min="11531" max="11532" width="14.7109375" style="1236" bestFit="1" customWidth="1"/>
    <col min="11533" max="11776" width="9.140625" style="1236"/>
    <col min="11777" max="11777" width="5.5703125" style="1236" customWidth="1"/>
    <col min="11778" max="11778" width="6.7109375" style="1236" customWidth="1"/>
    <col min="11779" max="11779" width="8.85546875" style="1236" customWidth="1"/>
    <col min="11780" max="11780" width="47.85546875" style="1236" customWidth="1"/>
    <col min="11781" max="11781" width="12.85546875" style="1236" customWidth="1"/>
    <col min="11782" max="11782" width="15.5703125" style="1236" customWidth="1"/>
    <col min="11783" max="11783" width="15.85546875" style="1236" customWidth="1"/>
    <col min="11784" max="11784" width="6.42578125" style="1236" customWidth="1"/>
    <col min="11785" max="11786" width="9.140625" style="1236"/>
    <col min="11787" max="11788" width="14.7109375" style="1236" bestFit="1" customWidth="1"/>
    <col min="11789" max="12032" width="9.140625" style="1236"/>
    <col min="12033" max="12033" width="5.5703125" style="1236" customWidth="1"/>
    <col min="12034" max="12034" width="6.7109375" style="1236" customWidth="1"/>
    <col min="12035" max="12035" width="8.85546875" style="1236" customWidth="1"/>
    <col min="12036" max="12036" width="47.85546875" style="1236" customWidth="1"/>
    <col min="12037" max="12037" width="12.85546875" style="1236" customWidth="1"/>
    <col min="12038" max="12038" width="15.5703125" style="1236" customWidth="1"/>
    <col min="12039" max="12039" width="15.85546875" style="1236" customWidth="1"/>
    <col min="12040" max="12040" width="6.42578125" style="1236" customWidth="1"/>
    <col min="12041" max="12042" width="9.140625" style="1236"/>
    <col min="12043" max="12044" width="14.7109375" style="1236" bestFit="1" customWidth="1"/>
    <col min="12045" max="12288" width="9.140625" style="1236"/>
    <col min="12289" max="12289" width="5.5703125" style="1236" customWidth="1"/>
    <col min="12290" max="12290" width="6.7109375" style="1236" customWidth="1"/>
    <col min="12291" max="12291" width="8.85546875" style="1236" customWidth="1"/>
    <col min="12292" max="12292" width="47.85546875" style="1236" customWidth="1"/>
    <col min="12293" max="12293" width="12.85546875" style="1236" customWidth="1"/>
    <col min="12294" max="12294" width="15.5703125" style="1236" customWidth="1"/>
    <col min="12295" max="12295" width="15.85546875" style="1236" customWidth="1"/>
    <col min="12296" max="12296" width="6.42578125" style="1236" customWidth="1"/>
    <col min="12297" max="12298" width="9.140625" style="1236"/>
    <col min="12299" max="12300" width="14.7109375" style="1236" bestFit="1" customWidth="1"/>
    <col min="12301" max="12544" width="9.140625" style="1236"/>
    <col min="12545" max="12545" width="5.5703125" style="1236" customWidth="1"/>
    <col min="12546" max="12546" width="6.7109375" style="1236" customWidth="1"/>
    <col min="12547" max="12547" width="8.85546875" style="1236" customWidth="1"/>
    <col min="12548" max="12548" width="47.85546875" style="1236" customWidth="1"/>
    <col min="12549" max="12549" width="12.85546875" style="1236" customWidth="1"/>
    <col min="12550" max="12550" width="15.5703125" style="1236" customWidth="1"/>
    <col min="12551" max="12551" width="15.85546875" style="1236" customWidth="1"/>
    <col min="12552" max="12552" width="6.42578125" style="1236" customWidth="1"/>
    <col min="12553" max="12554" width="9.140625" style="1236"/>
    <col min="12555" max="12556" width="14.7109375" style="1236" bestFit="1" customWidth="1"/>
    <col min="12557" max="12800" width="9.140625" style="1236"/>
    <col min="12801" max="12801" width="5.5703125" style="1236" customWidth="1"/>
    <col min="12802" max="12802" width="6.7109375" style="1236" customWidth="1"/>
    <col min="12803" max="12803" width="8.85546875" style="1236" customWidth="1"/>
    <col min="12804" max="12804" width="47.85546875" style="1236" customWidth="1"/>
    <col min="12805" max="12805" width="12.85546875" style="1236" customWidth="1"/>
    <col min="12806" max="12806" width="15.5703125" style="1236" customWidth="1"/>
    <col min="12807" max="12807" width="15.85546875" style="1236" customWidth="1"/>
    <col min="12808" max="12808" width="6.42578125" style="1236" customWidth="1"/>
    <col min="12809" max="12810" width="9.140625" style="1236"/>
    <col min="12811" max="12812" width="14.7109375" style="1236" bestFit="1" customWidth="1"/>
    <col min="12813" max="13056" width="9.140625" style="1236"/>
    <col min="13057" max="13057" width="5.5703125" style="1236" customWidth="1"/>
    <col min="13058" max="13058" width="6.7109375" style="1236" customWidth="1"/>
    <col min="13059" max="13059" width="8.85546875" style="1236" customWidth="1"/>
    <col min="13060" max="13060" width="47.85546875" style="1236" customWidth="1"/>
    <col min="13061" max="13061" width="12.85546875" style="1236" customWidth="1"/>
    <col min="13062" max="13062" width="15.5703125" style="1236" customWidth="1"/>
    <col min="13063" max="13063" width="15.85546875" style="1236" customWidth="1"/>
    <col min="13064" max="13064" width="6.42578125" style="1236" customWidth="1"/>
    <col min="13065" max="13066" width="9.140625" style="1236"/>
    <col min="13067" max="13068" width="14.7109375" style="1236" bestFit="1" customWidth="1"/>
    <col min="13069" max="13312" width="9.140625" style="1236"/>
    <col min="13313" max="13313" width="5.5703125" style="1236" customWidth="1"/>
    <col min="13314" max="13314" width="6.7109375" style="1236" customWidth="1"/>
    <col min="13315" max="13315" width="8.85546875" style="1236" customWidth="1"/>
    <col min="13316" max="13316" width="47.85546875" style="1236" customWidth="1"/>
    <col min="13317" max="13317" width="12.85546875" style="1236" customWidth="1"/>
    <col min="13318" max="13318" width="15.5703125" style="1236" customWidth="1"/>
    <col min="13319" max="13319" width="15.85546875" style="1236" customWidth="1"/>
    <col min="13320" max="13320" width="6.42578125" style="1236" customWidth="1"/>
    <col min="13321" max="13322" width="9.140625" style="1236"/>
    <col min="13323" max="13324" width="14.7109375" style="1236" bestFit="1" customWidth="1"/>
    <col min="13325" max="13568" width="9.140625" style="1236"/>
    <col min="13569" max="13569" width="5.5703125" style="1236" customWidth="1"/>
    <col min="13570" max="13570" width="6.7109375" style="1236" customWidth="1"/>
    <col min="13571" max="13571" width="8.85546875" style="1236" customWidth="1"/>
    <col min="13572" max="13572" width="47.85546875" style="1236" customWidth="1"/>
    <col min="13573" max="13573" width="12.85546875" style="1236" customWidth="1"/>
    <col min="13574" max="13574" width="15.5703125" style="1236" customWidth="1"/>
    <col min="13575" max="13575" width="15.85546875" style="1236" customWidth="1"/>
    <col min="13576" max="13576" width="6.42578125" style="1236" customWidth="1"/>
    <col min="13577" max="13578" width="9.140625" style="1236"/>
    <col min="13579" max="13580" width="14.7109375" style="1236" bestFit="1" customWidth="1"/>
    <col min="13581" max="13824" width="9.140625" style="1236"/>
    <col min="13825" max="13825" width="5.5703125" style="1236" customWidth="1"/>
    <col min="13826" max="13826" width="6.7109375" style="1236" customWidth="1"/>
    <col min="13827" max="13827" width="8.85546875" style="1236" customWidth="1"/>
    <col min="13828" max="13828" width="47.85546875" style="1236" customWidth="1"/>
    <col min="13829" max="13829" width="12.85546875" style="1236" customWidth="1"/>
    <col min="13830" max="13830" width="15.5703125" style="1236" customWidth="1"/>
    <col min="13831" max="13831" width="15.85546875" style="1236" customWidth="1"/>
    <col min="13832" max="13832" width="6.42578125" style="1236" customWidth="1"/>
    <col min="13833" max="13834" width="9.140625" style="1236"/>
    <col min="13835" max="13836" width="14.7109375" style="1236" bestFit="1" customWidth="1"/>
    <col min="13837" max="14080" width="9.140625" style="1236"/>
    <col min="14081" max="14081" width="5.5703125" style="1236" customWidth="1"/>
    <col min="14082" max="14082" width="6.7109375" style="1236" customWidth="1"/>
    <col min="14083" max="14083" width="8.85546875" style="1236" customWidth="1"/>
    <col min="14084" max="14084" width="47.85546875" style="1236" customWidth="1"/>
    <col min="14085" max="14085" width="12.85546875" style="1236" customWidth="1"/>
    <col min="14086" max="14086" width="15.5703125" style="1236" customWidth="1"/>
    <col min="14087" max="14087" width="15.85546875" style="1236" customWidth="1"/>
    <col min="14088" max="14088" width="6.42578125" style="1236" customWidth="1"/>
    <col min="14089" max="14090" width="9.140625" style="1236"/>
    <col min="14091" max="14092" width="14.7109375" style="1236" bestFit="1" customWidth="1"/>
    <col min="14093" max="14336" width="9.140625" style="1236"/>
    <col min="14337" max="14337" width="5.5703125" style="1236" customWidth="1"/>
    <col min="14338" max="14338" width="6.7109375" style="1236" customWidth="1"/>
    <col min="14339" max="14339" width="8.85546875" style="1236" customWidth="1"/>
    <col min="14340" max="14340" width="47.85546875" style="1236" customWidth="1"/>
    <col min="14341" max="14341" width="12.85546875" style="1236" customWidth="1"/>
    <col min="14342" max="14342" width="15.5703125" style="1236" customWidth="1"/>
    <col min="14343" max="14343" width="15.85546875" style="1236" customWidth="1"/>
    <col min="14344" max="14344" width="6.42578125" style="1236" customWidth="1"/>
    <col min="14345" max="14346" width="9.140625" style="1236"/>
    <col min="14347" max="14348" width="14.7109375" style="1236" bestFit="1" customWidth="1"/>
    <col min="14349" max="14592" width="9.140625" style="1236"/>
    <col min="14593" max="14593" width="5.5703125" style="1236" customWidth="1"/>
    <col min="14594" max="14594" width="6.7109375" style="1236" customWidth="1"/>
    <col min="14595" max="14595" width="8.85546875" style="1236" customWidth="1"/>
    <col min="14596" max="14596" width="47.85546875" style="1236" customWidth="1"/>
    <col min="14597" max="14597" width="12.85546875" style="1236" customWidth="1"/>
    <col min="14598" max="14598" width="15.5703125" style="1236" customWidth="1"/>
    <col min="14599" max="14599" width="15.85546875" style="1236" customWidth="1"/>
    <col min="14600" max="14600" width="6.42578125" style="1236" customWidth="1"/>
    <col min="14601" max="14602" width="9.140625" style="1236"/>
    <col min="14603" max="14604" width="14.7109375" style="1236" bestFit="1" customWidth="1"/>
    <col min="14605" max="14848" width="9.140625" style="1236"/>
    <col min="14849" max="14849" width="5.5703125" style="1236" customWidth="1"/>
    <col min="14850" max="14850" width="6.7109375" style="1236" customWidth="1"/>
    <col min="14851" max="14851" width="8.85546875" style="1236" customWidth="1"/>
    <col min="14852" max="14852" width="47.85546875" style="1236" customWidth="1"/>
    <col min="14853" max="14853" width="12.85546875" style="1236" customWidth="1"/>
    <col min="14854" max="14854" width="15.5703125" style="1236" customWidth="1"/>
    <col min="14855" max="14855" width="15.85546875" style="1236" customWidth="1"/>
    <col min="14856" max="14856" width="6.42578125" style="1236" customWidth="1"/>
    <col min="14857" max="14858" width="9.140625" style="1236"/>
    <col min="14859" max="14860" width="14.7109375" style="1236" bestFit="1" customWidth="1"/>
    <col min="14861" max="15104" width="9.140625" style="1236"/>
    <col min="15105" max="15105" width="5.5703125" style="1236" customWidth="1"/>
    <col min="15106" max="15106" width="6.7109375" style="1236" customWidth="1"/>
    <col min="15107" max="15107" width="8.85546875" style="1236" customWidth="1"/>
    <col min="15108" max="15108" width="47.85546875" style="1236" customWidth="1"/>
    <col min="15109" max="15109" width="12.85546875" style="1236" customWidth="1"/>
    <col min="15110" max="15110" width="15.5703125" style="1236" customWidth="1"/>
    <col min="15111" max="15111" width="15.85546875" style="1236" customWidth="1"/>
    <col min="15112" max="15112" width="6.42578125" style="1236" customWidth="1"/>
    <col min="15113" max="15114" width="9.140625" style="1236"/>
    <col min="15115" max="15116" width="14.7109375" style="1236" bestFit="1" customWidth="1"/>
    <col min="15117" max="15360" width="9.140625" style="1236"/>
    <col min="15361" max="15361" width="5.5703125" style="1236" customWidth="1"/>
    <col min="15362" max="15362" width="6.7109375" style="1236" customWidth="1"/>
    <col min="15363" max="15363" width="8.85546875" style="1236" customWidth="1"/>
    <col min="15364" max="15364" width="47.85546875" style="1236" customWidth="1"/>
    <col min="15365" max="15365" width="12.85546875" style="1236" customWidth="1"/>
    <col min="15366" max="15366" width="15.5703125" style="1236" customWidth="1"/>
    <col min="15367" max="15367" width="15.85546875" style="1236" customWidth="1"/>
    <col min="15368" max="15368" width="6.42578125" style="1236" customWidth="1"/>
    <col min="15369" max="15370" width="9.140625" style="1236"/>
    <col min="15371" max="15372" width="14.7109375" style="1236" bestFit="1" customWidth="1"/>
    <col min="15373" max="15616" width="9.140625" style="1236"/>
    <col min="15617" max="15617" width="5.5703125" style="1236" customWidth="1"/>
    <col min="15618" max="15618" width="6.7109375" style="1236" customWidth="1"/>
    <col min="15619" max="15619" width="8.85546875" style="1236" customWidth="1"/>
    <col min="15620" max="15620" width="47.85546875" style="1236" customWidth="1"/>
    <col min="15621" max="15621" width="12.85546875" style="1236" customWidth="1"/>
    <col min="15622" max="15622" width="15.5703125" style="1236" customWidth="1"/>
    <col min="15623" max="15623" width="15.85546875" style="1236" customWidth="1"/>
    <col min="15624" max="15624" width="6.42578125" style="1236" customWidth="1"/>
    <col min="15625" max="15626" width="9.140625" style="1236"/>
    <col min="15627" max="15628" width="14.7109375" style="1236" bestFit="1" customWidth="1"/>
    <col min="15629" max="15872" width="9.140625" style="1236"/>
    <col min="15873" max="15873" width="5.5703125" style="1236" customWidth="1"/>
    <col min="15874" max="15874" width="6.7109375" style="1236" customWidth="1"/>
    <col min="15875" max="15875" width="8.85546875" style="1236" customWidth="1"/>
    <col min="15876" max="15876" width="47.85546875" style="1236" customWidth="1"/>
    <col min="15877" max="15877" width="12.85546875" style="1236" customWidth="1"/>
    <col min="15878" max="15878" width="15.5703125" style="1236" customWidth="1"/>
    <col min="15879" max="15879" width="15.85546875" style="1236" customWidth="1"/>
    <col min="15880" max="15880" width="6.42578125" style="1236" customWidth="1"/>
    <col min="15881" max="15882" width="9.140625" style="1236"/>
    <col min="15883" max="15884" width="14.7109375" style="1236" bestFit="1" customWidth="1"/>
    <col min="15885" max="16128" width="9.140625" style="1236"/>
    <col min="16129" max="16129" width="5.5703125" style="1236" customWidth="1"/>
    <col min="16130" max="16130" width="6.7109375" style="1236" customWidth="1"/>
    <col min="16131" max="16131" width="8.85546875" style="1236" customWidth="1"/>
    <col min="16132" max="16132" width="47.85546875" style="1236" customWidth="1"/>
    <col min="16133" max="16133" width="12.85546875" style="1236" customWidth="1"/>
    <col min="16134" max="16134" width="15.5703125" style="1236" customWidth="1"/>
    <col min="16135" max="16135" width="15.85546875" style="1236" customWidth="1"/>
    <col min="16136" max="16136" width="6.42578125" style="1236" customWidth="1"/>
    <col min="16137" max="16138" width="9.140625" style="1236"/>
    <col min="16139" max="16140" width="14.7109375" style="1236" bestFit="1" customWidth="1"/>
    <col min="16141" max="16384" width="9.140625" style="1236"/>
  </cols>
  <sheetData>
    <row r="1" spans="1:11" ht="18.75" thickBot="1" x14ac:dyDescent="0.3">
      <c r="A1" s="1230" t="s">
        <v>757</v>
      </c>
      <c r="B1" s="1231"/>
      <c r="C1" s="1232"/>
      <c r="D1" s="1233"/>
      <c r="E1" s="1234"/>
      <c r="F1" s="1233"/>
      <c r="G1" s="1235"/>
      <c r="H1" s="1230"/>
    </row>
    <row r="2" spans="1:11" ht="18" x14ac:dyDescent="0.25">
      <c r="A2" s="1237"/>
      <c r="B2" s="1238"/>
      <c r="C2" s="1238"/>
      <c r="D2" s="1238"/>
      <c r="E2" s="1238"/>
      <c r="F2" s="1238"/>
      <c r="G2" s="1238"/>
      <c r="H2" s="1239" t="s">
        <v>758</v>
      </c>
    </row>
    <row r="3" spans="1:11" ht="18" x14ac:dyDescent="0.25">
      <c r="A3" s="1240" t="s">
        <v>201</v>
      </c>
      <c r="B3" s="1238"/>
      <c r="C3" s="2205" t="s">
        <v>121</v>
      </c>
      <c r="D3" s="1238"/>
      <c r="E3" s="1238"/>
      <c r="F3" s="1238"/>
      <c r="G3" s="1238"/>
      <c r="H3" s="1239"/>
    </row>
    <row r="4" spans="1:11" ht="18" x14ac:dyDescent="0.25">
      <c r="A4" s="1237"/>
      <c r="B4" s="1238"/>
      <c r="C4" s="1374" t="s">
        <v>781</v>
      </c>
      <c r="D4" s="1238"/>
      <c r="E4" s="1238"/>
      <c r="F4" s="1238"/>
      <c r="G4" s="1238"/>
      <c r="H4" s="1239"/>
    </row>
    <row r="5" spans="1:11" ht="18" x14ac:dyDescent="0.25">
      <c r="A5" s="1242" t="s">
        <v>759</v>
      </c>
      <c r="B5" s="1238"/>
      <c r="C5" s="1238"/>
      <c r="D5" s="1238"/>
      <c r="E5" s="1238"/>
      <c r="F5" s="1238"/>
      <c r="G5" s="1238"/>
      <c r="H5" s="1239"/>
    </row>
    <row r="6" spans="1:11" x14ac:dyDescent="0.2">
      <c r="A6" s="1243"/>
      <c r="B6" s="1243"/>
      <c r="C6" s="1243"/>
      <c r="E6" s="1244"/>
      <c r="F6" s="1244"/>
      <c r="G6" s="1244"/>
    </row>
    <row r="7" spans="1:11" x14ac:dyDescent="0.2">
      <c r="A7" s="1243"/>
      <c r="B7" s="1243"/>
      <c r="C7" s="1243"/>
      <c r="E7" s="1244"/>
      <c r="F7" s="1244"/>
      <c r="G7" s="1244"/>
    </row>
    <row r="8" spans="1:11" ht="27" customHeight="1" x14ac:dyDescent="0.25">
      <c r="A8" s="3333" t="s">
        <v>1493</v>
      </c>
      <c r="B8" s="3334"/>
      <c r="C8" s="3334"/>
      <c r="D8" s="3334"/>
      <c r="E8" s="3334"/>
      <c r="F8" s="3334"/>
      <c r="G8" s="3334"/>
      <c r="H8" s="3334"/>
      <c r="K8" s="1325"/>
    </row>
    <row r="9" spans="1:11" ht="15.75" thickBot="1" x14ac:dyDescent="0.3">
      <c r="A9" s="1229" t="s">
        <v>1492</v>
      </c>
      <c r="B9" s="1243"/>
      <c r="C9" s="1243"/>
      <c r="E9" s="1244"/>
      <c r="F9" s="1244"/>
      <c r="G9" s="1244"/>
      <c r="H9" s="1245" t="s">
        <v>92</v>
      </c>
    </row>
    <row r="10" spans="1:11" ht="25.5" thickTop="1" thickBot="1" x14ac:dyDescent="0.25">
      <c r="A10" s="1104" t="s">
        <v>93</v>
      </c>
      <c r="B10" s="1105" t="s">
        <v>392</v>
      </c>
      <c r="C10" s="1105" t="s">
        <v>209</v>
      </c>
      <c r="D10" s="1106" t="s">
        <v>95</v>
      </c>
      <c r="E10" s="1127" t="s">
        <v>328</v>
      </c>
      <c r="F10" s="1127" t="s">
        <v>329</v>
      </c>
      <c r="G10" s="1128" t="s">
        <v>448</v>
      </c>
      <c r="H10" s="1129" t="s">
        <v>449</v>
      </c>
    </row>
    <row r="11" spans="1:11" ht="14.25" thickTop="1" thickBot="1" x14ac:dyDescent="0.25">
      <c r="A11" s="1042">
        <v>1</v>
      </c>
      <c r="B11" s="1041">
        <v>2</v>
      </c>
      <c r="C11" s="1041">
        <v>3</v>
      </c>
      <c r="D11" s="1041">
        <v>4</v>
      </c>
      <c r="E11" s="1040">
        <v>5</v>
      </c>
      <c r="F11" s="1040">
        <v>6</v>
      </c>
      <c r="G11" s="1164">
        <v>7</v>
      </c>
      <c r="H11" s="1186" t="s">
        <v>33</v>
      </c>
    </row>
    <row r="12" spans="1:11" ht="15.75" hidden="1" thickTop="1" x14ac:dyDescent="0.2">
      <c r="A12" s="1257">
        <v>3636</v>
      </c>
      <c r="B12" s="1258">
        <v>5011</v>
      </c>
      <c r="C12" s="2204" t="s">
        <v>871</v>
      </c>
      <c r="D12" s="1259" t="s">
        <v>117</v>
      </c>
      <c r="E12" s="1260"/>
      <c r="F12" s="1260"/>
      <c r="G12" s="1260"/>
      <c r="H12" s="1261">
        <v>0</v>
      </c>
    </row>
    <row r="13" spans="1:11" ht="15.75" thickTop="1" x14ac:dyDescent="0.2">
      <c r="A13" s="1262">
        <v>3636</v>
      </c>
      <c r="B13" s="1263">
        <v>5011</v>
      </c>
      <c r="C13" s="1309" t="s">
        <v>1484</v>
      </c>
      <c r="D13" s="1264" t="s">
        <v>117</v>
      </c>
      <c r="E13" s="1265">
        <v>211</v>
      </c>
      <c r="F13" s="1265">
        <v>211</v>
      </c>
      <c r="G13" s="1265">
        <v>161</v>
      </c>
      <c r="H13" s="3065">
        <f>G13/F13*100</f>
        <v>76.30331753554502</v>
      </c>
    </row>
    <row r="14" spans="1:11" ht="15" x14ac:dyDescent="0.2">
      <c r="A14" s="1262">
        <v>3636</v>
      </c>
      <c r="B14" s="1263">
        <v>5011</v>
      </c>
      <c r="C14" s="1309" t="s">
        <v>1483</v>
      </c>
      <c r="D14" s="1264" t="s">
        <v>117</v>
      </c>
      <c r="E14" s="1265">
        <v>1194</v>
      </c>
      <c r="F14" s="1265">
        <v>1194</v>
      </c>
      <c r="G14" s="1265">
        <v>915</v>
      </c>
      <c r="H14" s="3065">
        <f>G14/F14*100</f>
        <v>76.633165829145739</v>
      </c>
    </row>
    <row r="15" spans="1:11" ht="15" hidden="1" x14ac:dyDescent="0.2">
      <c r="A15" s="1262">
        <v>3636</v>
      </c>
      <c r="B15" s="1263">
        <v>5021</v>
      </c>
      <c r="C15" s="1309">
        <v>38500881</v>
      </c>
      <c r="D15" s="1264" t="s">
        <v>217</v>
      </c>
      <c r="E15" s="1265"/>
      <c r="F15" s="1265"/>
      <c r="G15" s="1265"/>
      <c r="H15" s="3065" t="e">
        <f>G15/F15*100</f>
        <v>#DIV/0!</v>
      </c>
    </row>
    <row r="16" spans="1:11" ht="30" hidden="1" x14ac:dyDescent="0.2">
      <c r="A16" s="1262">
        <v>3636</v>
      </c>
      <c r="B16" s="1263">
        <v>5031</v>
      </c>
      <c r="C16" s="1309" t="s">
        <v>871</v>
      </c>
      <c r="D16" s="1307" t="s">
        <v>621</v>
      </c>
      <c r="E16" s="1265"/>
      <c r="F16" s="1265"/>
      <c r="G16" s="1265"/>
      <c r="H16" s="3065">
        <v>0</v>
      </c>
    </row>
    <row r="17" spans="1:8" ht="30" x14ac:dyDescent="0.2">
      <c r="A17" s="3071">
        <v>3636</v>
      </c>
      <c r="B17" s="3072">
        <v>5031</v>
      </c>
      <c r="C17" s="3064" t="s">
        <v>1484</v>
      </c>
      <c r="D17" s="1307" t="s">
        <v>621</v>
      </c>
      <c r="E17" s="1265">
        <v>54</v>
      </c>
      <c r="F17" s="1265">
        <v>54</v>
      </c>
      <c r="G17" s="1265">
        <v>40</v>
      </c>
      <c r="H17" s="3065">
        <f>G17/F17*100</f>
        <v>74.074074074074076</v>
      </c>
    </row>
    <row r="18" spans="1:8" ht="30" x14ac:dyDescent="0.2">
      <c r="A18" s="3071">
        <v>3636</v>
      </c>
      <c r="B18" s="3072">
        <v>5031</v>
      </c>
      <c r="C18" s="3064" t="s">
        <v>1483</v>
      </c>
      <c r="D18" s="1307" t="s">
        <v>621</v>
      </c>
      <c r="E18" s="1265">
        <v>306</v>
      </c>
      <c r="F18" s="1265">
        <v>306</v>
      </c>
      <c r="G18" s="1265">
        <v>229</v>
      </c>
      <c r="H18" s="3065">
        <f>G18/F18*100</f>
        <v>74.83660130718954</v>
      </c>
    </row>
    <row r="19" spans="1:8" ht="30" hidden="1" x14ac:dyDescent="0.2">
      <c r="A19" s="3071">
        <v>3636</v>
      </c>
      <c r="B19" s="3072">
        <v>5032</v>
      </c>
      <c r="C19" s="3064" t="s">
        <v>871</v>
      </c>
      <c r="D19" s="1264" t="s">
        <v>553</v>
      </c>
      <c r="E19" s="1265"/>
      <c r="F19" s="1265"/>
      <c r="G19" s="1265"/>
      <c r="H19" s="3065">
        <v>0</v>
      </c>
    </row>
    <row r="20" spans="1:8" ht="30" x14ac:dyDescent="0.2">
      <c r="A20" s="3071">
        <v>3636</v>
      </c>
      <c r="B20" s="3072">
        <v>5032</v>
      </c>
      <c r="C20" s="3064" t="s">
        <v>1484</v>
      </c>
      <c r="D20" s="1264" t="s">
        <v>553</v>
      </c>
      <c r="E20" s="1265">
        <v>20</v>
      </c>
      <c r="F20" s="1265">
        <v>20</v>
      </c>
      <c r="G20" s="1265">
        <v>15</v>
      </c>
      <c r="H20" s="3065">
        <f>G20/F20*100</f>
        <v>75</v>
      </c>
    </row>
    <row r="21" spans="1:8" ht="30" x14ac:dyDescent="0.2">
      <c r="A21" s="3071">
        <v>3636</v>
      </c>
      <c r="B21" s="3072">
        <v>5032</v>
      </c>
      <c r="C21" s="3064" t="s">
        <v>1483</v>
      </c>
      <c r="D21" s="1264" t="s">
        <v>553</v>
      </c>
      <c r="E21" s="1265">
        <v>110</v>
      </c>
      <c r="F21" s="1265">
        <v>110</v>
      </c>
      <c r="G21" s="1265">
        <v>82</v>
      </c>
      <c r="H21" s="3065">
        <f>G21/F21*100</f>
        <v>74.545454545454547</v>
      </c>
    </row>
    <row r="22" spans="1:8" ht="15" hidden="1" x14ac:dyDescent="0.2">
      <c r="A22" s="1262">
        <v>3636</v>
      </c>
      <c r="B22" s="1263">
        <v>5137</v>
      </c>
      <c r="C22" s="2203" t="s">
        <v>871</v>
      </c>
      <c r="D22" s="1264" t="s">
        <v>88</v>
      </c>
      <c r="E22" s="1265"/>
      <c r="F22" s="1265"/>
      <c r="G22" s="1265"/>
      <c r="H22" s="3065">
        <v>0</v>
      </c>
    </row>
    <row r="23" spans="1:8" ht="15" hidden="1" x14ac:dyDescent="0.2">
      <c r="A23" s="1262">
        <v>3636</v>
      </c>
      <c r="B23" s="1263">
        <v>5137</v>
      </c>
      <c r="C23" s="2203">
        <v>32533019</v>
      </c>
      <c r="D23" s="1264" t="s">
        <v>88</v>
      </c>
      <c r="E23" s="1265"/>
      <c r="F23" s="1265"/>
      <c r="G23" s="1265"/>
      <c r="H23" s="3065" t="e">
        <f>G23/F23*100</f>
        <v>#DIV/0!</v>
      </c>
    </row>
    <row r="24" spans="1:8" ht="15" hidden="1" x14ac:dyDescent="0.2">
      <c r="A24" s="1262">
        <v>3636</v>
      </c>
      <c r="B24" s="1263">
        <v>5139</v>
      </c>
      <c r="C24" s="1309" t="s">
        <v>871</v>
      </c>
      <c r="D24" s="1264" t="s">
        <v>396</v>
      </c>
      <c r="E24" s="1265"/>
      <c r="F24" s="1265"/>
      <c r="G24" s="1265"/>
      <c r="H24" s="3065">
        <v>0</v>
      </c>
    </row>
    <row r="25" spans="1:8" ht="15" x14ac:dyDescent="0.2">
      <c r="A25" s="1262">
        <v>3636</v>
      </c>
      <c r="B25" s="1263">
        <v>5139</v>
      </c>
      <c r="C25" s="1309" t="s">
        <v>1484</v>
      </c>
      <c r="D25" s="1264" t="s">
        <v>396</v>
      </c>
      <c r="E25" s="1265">
        <v>9</v>
      </c>
      <c r="F25" s="1265">
        <v>9</v>
      </c>
      <c r="G25" s="1265">
        <v>0</v>
      </c>
      <c r="H25" s="3065">
        <f>G25/F25*100</f>
        <v>0</v>
      </c>
    </row>
    <row r="26" spans="1:8" ht="15" x14ac:dyDescent="0.2">
      <c r="A26" s="1262">
        <v>3636</v>
      </c>
      <c r="B26" s="1263">
        <v>5139</v>
      </c>
      <c r="C26" s="1309" t="s">
        <v>1483</v>
      </c>
      <c r="D26" s="1264" t="s">
        <v>396</v>
      </c>
      <c r="E26" s="1265">
        <v>51</v>
      </c>
      <c r="F26" s="1265">
        <v>51</v>
      </c>
      <c r="G26" s="1265">
        <v>0</v>
      </c>
      <c r="H26" s="3065">
        <f>G26/F26*100</f>
        <v>0</v>
      </c>
    </row>
    <row r="27" spans="1:8" ht="15" hidden="1" x14ac:dyDescent="0.2">
      <c r="A27" s="1262">
        <v>3636</v>
      </c>
      <c r="B27" s="1263">
        <v>5162</v>
      </c>
      <c r="C27" s="1309" t="s">
        <v>871</v>
      </c>
      <c r="D27" s="1264" t="s">
        <v>439</v>
      </c>
      <c r="E27" s="1265"/>
      <c r="F27" s="1265"/>
      <c r="G27" s="1265"/>
      <c r="H27" s="3065" t="e">
        <f>G27/F27*100</f>
        <v>#DIV/0!</v>
      </c>
    </row>
    <row r="28" spans="1:8" ht="15" hidden="1" x14ac:dyDescent="0.2">
      <c r="A28" s="1262">
        <v>3636</v>
      </c>
      <c r="B28" s="1263">
        <v>5162</v>
      </c>
      <c r="C28" s="1309" t="s">
        <v>1005</v>
      </c>
      <c r="D28" s="1264" t="s">
        <v>439</v>
      </c>
      <c r="E28" s="1265"/>
      <c r="F28" s="1265"/>
      <c r="G28" s="1265"/>
      <c r="H28" s="3065" t="e">
        <f>G28/F28*100</f>
        <v>#DIV/0!</v>
      </c>
    </row>
    <row r="29" spans="1:8" ht="15" hidden="1" x14ac:dyDescent="0.2">
      <c r="A29" s="1262">
        <v>3636</v>
      </c>
      <c r="B29" s="1263">
        <v>5164</v>
      </c>
      <c r="C29" s="1309" t="s">
        <v>871</v>
      </c>
      <c r="D29" s="1264" t="s">
        <v>101</v>
      </c>
      <c r="E29" s="1265"/>
      <c r="F29" s="1265"/>
      <c r="G29" s="1265"/>
      <c r="H29" s="3065">
        <v>0</v>
      </c>
    </row>
    <row r="30" spans="1:8" ht="15" x14ac:dyDescent="0.2">
      <c r="A30" s="1262">
        <v>3636</v>
      </c>
      <c r="B30" s="1263">
        <v>5164</v>
      </c>
      <c r="C30" s="1309" t="s">
        <v>1484</v>
      </c>
      <c r="D30" s="1264" t="s">
        <v>101</v>
      </c>
      <c r="E30" s="1265">
        <v>15</v>
      </c>
      <c r="F30" s="1265">
        <v>15</v>
      </c>
      <c r="G30" s="1265">
        <v>3</v>
      </c>
      <c r="H30" s="3065">
        <f>G30/F30*100</f>
        <v>20</v>
      </c>
    </row>
    <row r="31" spans="1:8" ht="15" x14ac:dyDescent="0.2">
      <c r="A31" s="1262">
        <v>3636</v>
      </c>
      <c r="B31" s="1263">
        <v>5164</v>
      </c>
      <c r="C31" s="1309" t="s">
        <v>1483</v>
      </c>
      <c r="D31" s="1264" t="s">
        <v>101</v>
      </c>
      <c r="E31" s="1265">
        <v>85</v>
      </c>
      <c r="F31" s="1265">
        <v>85</v>
      </c>
      <c r="G31" s="1265">
        <v>19</v>
      </c>
      <c r="H31" s="3065">
        <f>G31/F31*100</f>
        <v>22.352941176470591</v>
      </c>
    </row>
    <row r="32" spans="1:8" ht="15" hidden="1" x14ac:dyDescent="0.2">
      <c r="A32" s="1262">
        <v>3636</v>
      </c>
      <c r="B32" s="1263">
        <v>5166</v>
      </c>
      <c r="C32" s="1309" t="s">
        <v>871</v>
      </c>
      <c r="D32" s="1264" t="s">
        <v>317</v>
      </c>
      <c r="E32" s="1265"/>
      <c r="F32" s="1265"/>
      <c r="G32" s="1265"/>
      <c r="H32" s="3065">
        <v>0</v>
      </c>
    </row>
    <row r="33" spans="1:8" ht="15" x14ac:dyDescent="0.2">
      <c r="A33" s="1262">
        <v>3636</v>
      </c>
      <c r="B33" s="1263">
        <v>5166</v>
      </c>
      <c r="C33" s="1309" t="s">
        <v>1484</v>
      </c>
      <c r="D33" s="1264" t="s">
        <v>317</v>
      </c>
      <c r="E33" s="1265">
        <v>8</v>
      </c>
      <c r="F33" s="1265">
        <v>8</v>
      </c>
      <c r="G33" s="1265">
        <v>0</v>
      </c>
      <c r="H33" s="3065">
        <f>G33/F33*100</f>
        <v>0</v>
      </c>
    </row>
    <row r="34" spans="1:8" ht="15" x14ac:dyDescent="0.2">
      <c r="A34" s="1262">
        <v>3636</v>
      </c>
      <c r="B34" s="1263">
        <v>5166</v>
      </c>
      <c r="C34" s="1309" t="s">
        <v>1483</v>
      </c>
      <c r="D34" s="1264" t="s">
        <v>317</v>
      </c>
      <c r="E34" s="1265">
        <v>42</v>
      </c>
      <c r="F34" s="1265">
        <v>42</v>
      </c>
      <c r="G34" s="1265">
        <v>0</v>
      </c>
      <c r="H34" s="3065">
        <f>G34/F34*100</f>
        <v>0</v>
      </c>
    </row>
    <row r="35" spans="1:8" ht="15" hidden="1" x14ac:dyDescent="0.2">
      <c r="A35" s="1262">
        <v>3636</v>
      </c>
      <c r="B35" s="1263">
        <v>5167</v>
      </c>
      <c r="C35" s="1309" t="s">
        <v>871</v>
      </c>
      <c r="D35" s="1264" t="s">
        <v>455</v>
      </c>
      <c r="E35" s="1265"/>
      <c r="F35" s="1265"/>
      <c r="G35" s="1265"/>
      <c r="H35" s="3065">
        <v>0</v>
      </c>
    </row>
    <row r="36" spans="1:8" ht="15" x14ac:dyDescent="0.2">
      <c r="A36" s="1262">
        <v>3636</v>
      </c>
      <c r="B36" s="1263">
        <v>5167</v>
      </c>
      <c r="C36" s="1309" t="s">
        <v>1484</v>
      </c>
      <c r="D36" s="1264" t="s">
        <v>455</v>
      </c>
      <c r="E36" s="1265">
        <v>4</v>
      </c>
      <c r="F36" s="1265">
        <v>4</v>
      </c>
      <c r="G36" s="1265">
        <v>0</v>
      </c>
      <c r="H36" s="3065">
        <f>G36/F36*100</f>
        <v>0</v>
      </c>
    </row>
    <row r="37" spans="1:8" ht="15" x14ac:dyDescent="0.2">
      <c r="A37" s="1262">
        <v>3636</v>
      </c>
      <c r="B37" s="1263">
        <v>5167</v>
      </c>
      <c r="C37" s="1309" t="s">
        <v>1483</v>
      </c>
      <c r="D37" s="1264" t="s">
        <v>455</v>
      </c>
      <c r="E37" s="1265">
        <v>21</v>
      </c>
      <c r="F37" s="1265">
        <v>21</v>
      </c>
      <c r="G37" s="1265">
        <v>0</v>
      </c>
      <c r="H37" s="3065">
        <f>G37/F37*100</f>
        <v>0</v>
      </c>
    </row>
    <row r="38" spans="1:8" ht="15" hidden="1" x14ac:dyDescent="0.2">
      <c r="A38" s="1262">
        <v>3636</v>
      </c>
      <c r="B38" s="1263">
        <v>5169</v>
      </c>
      <c r="C38" s="1309" t="s">
        <v>871</v>
      </c>
      <c r="D38" s="1264" t="s">
        <v>430</v>
      </c>
      <c r="E38" s="1265"/>
      <c r="F38" s="1265"/>
      <c r="G38" s="1265"/>
      <c r="H38" s="3065">
        <v>0</v>
      </c>
    </row>
    <row r="39" spans="1:8" ht="15" x14ac:dyDescent="0.2">
      <c r="A39" s="1262">
        <v>3636</v>
      </c>
      <c r="B39" s="1263">
        <v>5169</v>
      </c>
      <c r="C39" s="1309" t="s">
        <v>1484</v>
      </c>
      <c r="D39" s="1264" t="s">
        <v>430</v>
      </c>
      <c r="E39" s="1265">
        <v>12</v>
      </c>
      <c r="F39" s="1265">
        <v>12</v>
      </c>
      <c r="G39" s="1265">
        <v>0</v>
      </c>
      <c r="H39" s="3065">
        <f>G39/F39*100</f>
        <v>0</v>
      </c>
    </row>
    <row r="40" spans="1:8" ht="15" x14ac:dyDescent="0.2">
      <c r="A40" s="1262">
        <v>3636</v>
      </c>
      <c r="B40" s="1263">
        <v>5169</v>
      </c>
      <c r="C40" s="1309" t="s">
        <v>1483</v>
      </c>
      <c r="D40" s="1264" t="s">
        <v>430</v>
      </c>
      <c r="E40" s="1265">
        <v>68</v>
      </c>
      <c r="F40" s="1265">
        <v>68</v>
      </c>
      <c r="G40" s="1265">
        <v>1</v>
      </c>
      <c r="H40" s="3065">
        <f>G40/F40*100</f>
        <v>1.4705882352941175</v>
      </c>
    </row>
    <row r="41" spans="1:8" ht="15" hidden="1" x14ac:dyDescent="0.2">
      <c r="A41" s="1262">
        <v>3636</v>
      </c>
      <c r="B41" s="1263">
        <v>5173</v>
      </c>
      <c r="C41" s="1309" t="s">
        <v>871</v>
      </c>
      <c r="D41" s="1264" t="s">
        <v>541</v>
      </c>
      <c r="E41" s="1265"/>
      <c r="F41" s="1265"/>
      <c r="G41" s="1265"/>
      <c r="H41" s="3065">
        <v>0</v>
      </c>
    </row>
    <row r="42" spans="1:8" ht="15" x14ac:dyDescent="0.2">
      <c r="A42" s="1262">
        <v>3636</v>
      </c>
      <c r="B42" s="1263">
        <v>5173</v>
      </c>
      <c r="C42" s="1309" t="s">
        <v>1484</v>
      </c>
      <c r="D42" s="1264" t="s">
        <v>541</v>
      </c>
      <c r="E42" s="1265">
        <v>3</v>
      </c>
      <c r="F42" s="1265">
        <v>3</v>
      </c>
      <c r="G42" s="1265">
        <v>2</v>
      </c>
      <c r="H42" s="3065">
        <f>G42/F42*100</f>
        <v>66.666666666666657</v>
      </c>
    </row>
    <row r="43" spans="1:8" ht="15" x14ac:dyDescent="0.2">
      <c r="A43" s="1262">
        <v>3636</v>
      </c>
      <c r="B43" s="1263">
        <v>5173</v>
      </c>
      <c r="C43" s="1309" t="s">
        <v>1483</v>
      </c>
      <c r="D43" s="1264" t="s">
        <v>541</v>
      </c>
      <c r="E43" s="1265">
        <v>13</v>
      </c>
      <c r="F43" s="1265">
        <v>13</v>
      </c>
      <c r="G43" s="1265">
        <v>9</v>
      </c>
      <c r="H43" s="3065">
        <f>G43/F43*100</f>
        <v>69.230769230769226</v>
      </c>
    </row>
    <row r="44" spans="1:8" ht="15" hidden="1" x14ac:dyDescent="0.2">
      <c r="A44" s="1262">
        <v>3636</v>
      </c>
      <c r="B44" s="1263">
        <v>5175</v>
      </c>
      <c r="C44" s="1309" t="s">
        <v>871</v>
      </c>
      <c r="D44" s="1264" t="s">
        <v>352</v>
      </c>
      <c r="E44" s="1265"/>
      <c r="F44" s="1265"/>
      <c r="G44" s="1265"/>
      <c r="H44" s="3065">
        <v>0</v>
      </c>
    </row>
    <row r="45" spans="1:8" ht="15" x14ac:dyDescent="0.2">
      <c r="A45" s="1262">
        <v>3636</v>
      </c>
      <c r="B45" s="1263">
        <v>5175</v>
      </c>
      <c r="C45" s="1309" t="s">
        <v>1484</v>
      </c>
      <c r="D45" s="1264" t="s">
        <v>352</v>
      </c>
      <c r="E45" s="1265">
        <v>23</v>
      </c>
      <c r="F45" s="1265">
        <v>23</v>
      </c>
      <c r="G45" s="1265">
        <v>11</v>
      </c>
      <c r="H45" s="3065">
        <f>G45/F45*100</f>
        <v>47.826086956521742</v>
      </c>
    </row>
    <row r="46" spans="1:8" ht="15" x14ac:dyDescent="0.2">
      <c r="A46" s="1262">
        <v>3636</v>
      </c>
      <c r="B46" s="1263">
        <v>5175</v>
      </c>
      <c r="C46" s="1309" t="s">
        <v>1483</v>
      </c>
      <c r="D46" s="1264" t="s">
        <v>352</v>
      </c>
      <c r="E46" s="1265">
        <v>129</v>
      </c>
      <c r="F46" s="1265">
        <v>129</v>
      </c>
      <c r="G46" s="1265">
        <v>60</v>
      </c>
      <c r="H46" s="3065">
        <f>G46/F46*100</f>
        <v>46.511627906976742</v>
      </c>
    </row>
    <row r="47" spans="1:8" ht="15" hidden="1" x14ac:dyDescent="0.2">
      <c r="A47" s="1262">
        <v>3636</v>
      </c>
      <c r="B47" s="1263">
        <v>5176</v>
      </c>
      <c r="C47" s="1309" t="s">
        <v>871</v>
      </c>
      <c r="D47" s="1264" t="s">
        <v>593</v>
      </c>
      <c r="E47" s="1265"/>
      <c r="F47" s="1265"/>
      <c r="G47" s="1265"/>
      <c r="H47" s="3065">
        <v>0</v>
      </c>
    </row>
    <row r="48" spans="1:8" ht="15" hidden="1" x14ac:dyDescent="0.2">
      <c r="A48" s="1262">
        <v>3636</v>
      </c>
      <c r="B48" s="1263">
        <v>5176</v>
      </c>
      <c r="C48" s="1309" t="s">
        <v>1484</v>
      </c>
      <c r="D48" s="1264" t="s">
        <v>593</v>
      </c>
      <c r="E48" s="1265"/>
      <c r="F48" s="1265"/>
      <c r="G48" s="1265"/>
      <c r="H48" s="3065" t="e">
        <f t="shared" ref="H48:H53" si="0">G48/F48*100</f>
        <v>#DIV/0!</v>
      </c>
    </row>
    <row r="49" spans="1:8" ht="15" hidden="1" x14ac:dyDescent="0.2">
      <c r="A49" s="1262">
        <v>3636</v>
      </c>
      <c r="B49" s="1263">
        <v>5176</v>
      </c>
      <c r="C49" s="1309" t="s">
        <v>1483</v>
      </c>
      <c r="D49" s="1264" t="s">
        <v>593</v>
      </c>
      <c r="E49" s="1265"/>
      <c r="F49" s="1265"/>
      <c r="G49" s="1265"/>
      <c r="H49" s="3065" t="e">
        <f t="shared" si="0"/>
        <v>#DIV/0!</v>
      </c>
    </row>
    <row r="50" spans="1:8" ht="15" hidden="1" x14ac:dyDescent="0.2">
      <c r="A50" s="1262">
        <v>3299</v>
      </c>
      <c r="B50" s="1263">
        <v>5901</v>
      </c>
      <c r="C50" s="2203">
        <v>32533019</v>
      </c>
      <c r="D50" s="1264" t="s">
        <v>311</v>
      </c>
      <c r="E50" s="1265"/>
      <c r="F50" s="1265"/>
      <c r="G50" s="1265"/>
      <c r="H50" s="3065" t="e">
        <f t="shared" si="0"/>
        <v>#DIV/0!</v>
      </c>
    </row>
    <row r="51" spans="1:8" ht="15" x14ac:dyDescent="0.2">
      <c r="A51" s="1262">
        <v>3299</v>
      </c>
      <c r="B51" s="1263">
        <v>5424</v>
      </c>
      <c r="C51" s="2203" t="s">
        <v>1484</v>
      </c>
      <c r="D51" s="1264" t="s">
        <v>343</v>
      </c>
      <c r="E51" s="1265">
        <v>6</v>
      </c>
      <c r="F51" s="1265">
        <v>5</v>
      </c>
      <c r="G51" s="1265">
        <v>1</v>
      </c>
      <c r="H51" s="3065">
        <f t="shared" si="0"/>
        <v>20</v>
      </c>
    </row>
    <row r="52" spans="1:8" ht="15" x14ac:dyDescent="0.2">
      <c r="A52" s="1262">
        <v>3636</v>
      </c>
      <c r="B52" s="1263">
        <v>5424</v>
      </c>
      <c r="C52" s="2203" t="s">
        <v>1483</v>
      </c>
      <c r="D52" s="1264" t="s">
        <v>343</v>
      </c>
      <c r="E52" s="1265">
        <v>29</v>
      </c>
      <c r="F52" s="1265">
        <v>23</v>
      </c>
      <c r="G52" s="1265">
        <v>4</v>
      </c>
      <c r="H52" s="3065">
        <f t="shared" si="0"/>
        <v>17.391304347826086</v>
      </c>
    </row>
    <row r="53" spans="1:8" ht="15" hidden="1" x14ac:dyDescent="0.2">
      <c r="A53" s="1262">
        <v>3636</v>
      </c>
      <c r="B53" s="1263">
        <v>6901</v>
      </c>
      <c r="C53" s="2203">
        <v>32533926</v>
      </c>
      <c r="D53" s="1264" t="s">
        <v>239</v>
      </c>
      <c r="E53" s="1265"/>
      <c r="F53" s="1265"/>
      <c r="G53" s="1265"/>
      <c r="H53" s="3065" t="e">
        <f t="shared" si="0"/>
        <v>#DIV/0!</v>
      </c>
    </row>
    <row r="54" spans="1:8" ht="15.75" thickBot="1" x14ac:dyDescent="0.25">
      <c r="A54" s="1262">
        <v>6330</v>
      </c>
      <c r="B54" s="1263">
        <v>5345</v>
      </c>
      <c r="C54" s="2203" t="s">
        <v>871</v>
      </c>
      <c r="D54" s="1264" t="s">
        <v>397</v>
      </c>
      <c r="E54" s="1265">
        <v>0</v>
      </c>
      <c r="F54" s="1265">
        <v>0</v>
      </c>
      <c r="G54" s="1265">
        <v>1475</v>
      </c>
      <c r="H54" s="3066">
        <v>0</v>
      </c>
    </row>
    <row r="55" spans="1:8" ht="16.5" thickTop="1" thickBot="1" x14ac:dyDescent="0.3">
      <c r="A55" s="3317" t="s">
        <v>394</v>
      </c>
      <c r="B55" s="3318"/>
      <c r="C55" s="3318"/>
      <c r="D55" s="3318"/>
      <c r="E55" s="1113">
        <f>SUM(E12:E53)</f>
        <v>2413</v>
      </c>
      <c r="F55" s="1113">
        <f>SUM(F12:F54)</f>
        <v>2406</v>
      </c>
      <c r="G55" s="1113">
        <f>SUM(G12:G54)</f>
        <v>3027</v>
      </c>
      <c r="H55" s="1381">
        <f>G55/F55*100</f>
        <v>125.81047381546135</v>
      </c>
    </row>
    <row r="56" spans="1:8" ht="13.5" thickTop="1" x14ac:dyDescent="0.2"/>
    <row r="57" spans="1:8" ht="13.5" x14ac:dyDescent="0.25">
      <c r="A57" s="3333" t="s">
        <v>1053</v>
      </c>
      <c r="B57" s="3334"/>
      <c r="C57" s="3334"/>
      <c r="D57" s="3334"/>
      <c r="E57" s="3334"/>
      <c r="F57" s="3334"/>
      <c r="G57" s="3334"/>
      <c r="H57" s="3334"/>
    </row>
    <row r="58" spans="1:8" ht="15.75" thickBot="1" x14ac:dyDescent="0.3">
      <c r="A58" s="1229" t="s">
        <v>1052</v>
      </c>
      <c r="B58" s="1243"/>
      <c r="C58" s="1243"/>
      <c r="E58" s="1244"/>
      <c r="F58" s="1244"/>
      <c r="G58" s="1244"/>
      <c r="H58" s="1245" t="s">
        <v>92</v>
      </c>
    </row>
    <row r="59" spans="1:8" ht="25.5" thickTop="1" thickBot="1" x14ac:dyDescent="0.25">
      <c r="A59" s="1104" t="s">
        <v>93</v>
      </c>
      <c r="B59" s="1105" t="s">
        <v>392</v>
      </c>
      <c r="C59" s="1105" t="s">
        <v>209</v>
      </c>
      <c r="D59" s="1106" t="s">
        <v>95</v>
      </c>
      <c r="E59" s="1127" t="s">
        <v>328</v>
      </c>
      <c r="F59" s="1127" t="s">
        <v>329</v>
      </c>
      <c r="G59" s="1128" t="s">
        <v>448</v>
      </c>
      <c r="H59" s="1129" t="s">
        <v>449</v>
      </c>
    </row>
    <row r="60" spans="1:8" ht="14.25" thickTop="1" thickBot="1" x14ac:dyDescent="0.25">
      <c r="A60" s="1042">
        <v>1</v>
      </c>
      <c r="B60" s="1041">
        <v>2</v>
      </c>
      <c r="C60" s="1041">
        <v>3</v>
      </c>
      <c r="D60" s="1041">
        <v>4</v>
      </c>
      <c r="E60" s="1040">
        <v>5</v>
      </c>
      <c r="F60" s="1040">
        <v>6</v>
      </c>
      <c r="G60" s="1164">
        <v>7</v>
      </c>
      <c r="H60" s="1186" t="s">
        <v>33</v>
      </c>
    </row>
    <row r="61" spans="1:8" ht="15.75" thickTop="1" x14ac:dyDescent="0.2">
      <c r="A61" s="1257">
        <v>3636</v>
      </c>
      <c r="B61" s="1258">
        <v>5011</v>
      </c>
      <c r="C61" s="2204" t="s">
        <v>878</v>
      </c>
      <c r="D61" s="1259" t="s">
        <v>117</v>
      </c>
      <c r="E61" s="1260">
        <v>34</v>
      </c>
      <c r="F61" s="1260">
        <v>0</v>
      </c>
      <c r="G61" s="1260">
        <v>0</v>
      </c>
      <c r="H61" s="3067">
        <v>0</v>
      </c>
    </row>
    <row r="62" spans="1:8" ht="15" x14ac:dyDescent="0.2">
      <c r="A62" s="1262">
        <v>3636</v>
      </c>
      <c r="B62" s="1263">
        <v>5011</v>
      </c>
      <c r="C62" s="1309" t="s">
        <v>879</v>
      </c>
      <c r="D62" s="1264" t="s">
        <v>117</v>
      </c>
      <c r="E62" s="1265">
        <v>17</v>
      </c>
      <c r="F62" s="1265">
        <v>0</v>
      </c>
      <c r="G62" s="1265">
        <v>0</v>
      </c>
      <c r="H62" s="3065">
        <v>0</v>
      </c>
    </row>
    <row r="63" spans="1:8" ht="15" x14ac:dyDescent="0.2">
      <c r="A63" s="1262">
        <v>3636</v>
      </c>
      <c r="B63" s="1263">
        <v>5011</v>
      </c>
      <c r="C63" s="1309" t="s">
        <v>880</v>
      </c>
      <c r="D63" s="1264" t="s">
        <v>117</v>
      </c>
      <c r="E63" s="1265">
        <v>289</v>
      </c>
      <c r="F63" s="1265">
        <v>0</v>
      </c>
      <c r="G63" s="1265">
        <v>0</v>
      </c>
      <c r="H63" s="3065">
        <v>0</v>
      </c>
    </row>
    <row r="64" spans="1:8" ht="15" hidden="1" x14ac:dyDescent="0.2">
      <c r="A64" s="1262">
        <v>3636</v>
      </c>
      <c r="B64" s="1263">
        <v>5021</v>
      </c>
      <c r="C64" s="1309" t="s">
        <v>878</v>
      </c>
      <c r="D64" s="1264" t="s">
        <v>217</v>
      </c>
      <c r="E64" s="1265"/>
      <c r="F64" s="1265"/>
      <c r="G64" s="1265"/>
      <c r="H64" s="3065" t="e">
        <f>G64/F64*100</f>
        <v>#DIV/0!</v>
      </c>
    </row>
    <row r="65" spans="1:8" ht="15" hidden="1" x14ac:dyDescent="0.2">
      <c r="A65" s="1262">
        <v>3636</v>
      </c>
      <c r="B65" s="1263">
        <v>5021</v>
      </c>
      <c r="C65" s="1309" t="s">
        <v>879</v>
      </c>
      <c r="D65" s="1264" t="s">
        <v>217</v>
      </c>
      <c r="E65" s="1265"/>
      <c r="F65" s="1265"/>
      <c r="G65" s="1265"/>
      <c r="H65" s="3065" t="e">
        <f>G65/F65*100</f>
        <v>#DIV/0!</v>
      </c>
    </row>
    <row r="66" spans="1:8" ht="15" hidden="1" x14ac:dyDescent="0.2">
      <c r="A66" s="1262">
        <v>3636</v>
      </c>
      <c r="B66" s="1263">
        <v>5021</v>
      </c>
      <c r="C66" s="1309" t="s">
        <v>880</v>
      </c>
      <c r="D66" s="1264" t="s">
        <v>217</v>
      </c>
      <c r="E66" s="1265"/>
      <c r="F66" s="1265"/>
      <c r="G66" s="1265"/>
      <c r="H66" s="3065" t="e">
        <f>G66/F66*100</f>
        <v>#DIV/0!</v>
      </c>
    </row>
    <row r="67" spans="1:8" ht="30" x14ac:dyDescent="0.2">
      <c r="A67" s="3071">
        <v>3636</v>
      </c>
      <c r="B67" s="3072">
        <v>5031</v>
      </c>
      <c r="C67" s="3064" t="s">
        <v>878</v>
      </c>
      <c r="D67" s="1307" t="s">
        <v>621</v>
      </c>
      <c r="E67" s="3068">
        <v>9</v>
      </c>
      <c r="F67" s="3068">
        <v>0</v>
      </c>
      <c r="G67" s="3068">
        <v>0</v>
      </c>
      <c r="H67" s="3069">
        <v>0</v>
      </c>
    </row>
    <row r="68" spans="1:8" ht="30" x14ac:dyDescent="0.2">
      <c r="A68" s="3071">
        <v>3636</v>
      </c>
      <c r="B68" s="3072">
        <v>5031</v>
      </c>
      <c r="C68" s="3064" t="s">
        <v>879</v>
      </c>
      <c r="D68" s="1307" t="s">
        <v>621</v>
      </c>
      <c r="E68" s="3068">
        <v>5</v>
      </c>
      <c r="F68" s="3068">
        <v>0</v>
      </c>
      <c r="G68" s="3068">
        <v>0</v>
      </c>
      <c r="H68" s="3069">
        <v>0</v>
      </c>
    </row>
    <row r="69" spans="1:8" ht="30" x14ac:dyDescent="0.2">
      <c r="A69" s="3071">
        <v>3636</v>
      </c>
      <c r="B69" s="3072">
        <v>5031</v>
      </c>
      <c r="C69" s="3064" t="s">
        <v>880</v>
      </c>
      <c r="D69" s="1307" t="s">
        <v>621</v>
      </c>
      <c r="E69" s="3068">
        <v>76</v>
      </c>
      <c r="F69" s="3068">
        <v>0</v>
      </c>
      <c r="G69" s="3068">
        <v>0</v>
      </c>
      <c r="H69" s="3069">
        <v>0</v>
      </c>
    </row>
    <row r="70" spans="1:8" ht="30" x14ac:dyDescent="0.2">
      <c r="A70" s="3071">
        <v>3636</v>
      </c>
      <c r="B70" s="3072">
        <v>5032</v>
      </c>
      <c r="C70" s="3064" t="s">
        <v>878</v>
      </c>
      <c r="D70" s="1264" t="s">
        <v>553</v>
      </c>
      <c r="E70" s="3068">
        <v>3</v>
      </c>
      <c r="F70" s="3068">
        <v>0</v>
      </c>
      <c r="G70" s="3068">
        <v>0</v>
      </c>
      <c r="H70" s="3069">
        <v>0</v>
      </c>
    </row>
    <row r="71" spans="1:8" ht="30" x14ac:dyDescent="0.2">
      <c r="A71" s="3071">
        <v>3636</v>
      </c>
      <c r="B71" s="3072">
        <v>5032</v>
      </c>
      <c r="C71" s="3064" t="s">
        <v>879</v>
      </c>
      <c r="D71" s="1264" t="s">
        <v>553</v>
      </c>
      <c r="E71" s="3068">
        <v>2</v>
      </c>
      <c r="F71" s="3068">
        <v>0</v>
      </c>
      <c r="G71" s="3068">
        <v>0</v>
      </c>
      <c r="H71" s="3069">
        <v>0</v>
      </c>
    </row>
    <row r="72" spans="1:8" ht="30" x14ac:dyDescent="0.2">
      <c r="A72" s="3071">
        <v>3636</v>
      </c>
      <c r="B72" s="3072">
        <v>5032</v>
      </c>
      <c r="C72" s="3064" t="s">
        <v>880</v>
      </c>
      <c r="D72" s="1264" t="s">
        <v>553</v>
      </c>
      <c r="E72" s="3068">
        <v>25</v>
      </c>
      <c r="F72" s="3068">
        <v>0</v>
      </c>
      <c r="G72" s="3068">
        <v>0</v>
      </c>
      <c r="H72" s="3069">
        <v>0</v>
      </c>
    </row>
    <row r="73" spans="1:8" ht="15" hidden="1" x14ac:dyDescent="0.2">
      <c r="A73" s="1262">
        <v>3636</v>
      </c>
      <c r="B73" s="1263">
        <v>5137</v>
      </c>
      <c r="C73" s="1309" t="s">
        <v>878</v>
      </c>
      <c r="D73" s="1264" t="s">
        <v>88</v>
      </c>
      <c r="E73" s="1265"/>
      <c r="F73" s="1265"/>
      <c r="G73" s="1265"/>
      <c r="H73" s="3065" t="e">
        <f>G73/F73*100</f>
        <v>#DIV/0!</v>
      </c>
    </row>
    <row r="74" spans="1:8" ht="15" hidden="1" x14ac:dyDescent="0.2">
      <c r="A74" s="1262">
        <v>3636</v>
      </c>
      <c r="B74" s="1263">
        <v>5137</v>
      </c>
      <c r="C74" s="1309" t="s">
        <v>879</v>
      </c>
      <c r="D74" s="1264" t="s">
        <v>88</v>
      </c>
      <c r="E74" s="1265"/>
      <c r="F74" s="1265"/>
      <c r="G74" s="1265"/>
      <c r="H74" s="3065" t="e">
        <f>G74/F74*100</f>
        <v>#DIV/0!</v>
      </c>
    </row>
    <row r="75" spans="1:8" ht="15" hidden="1" x14ac:dyDescent="0.2">
      <c r="A75" s="1262">
        <v>3636</v>
      </c>
      <c r="B75" s="1263">
        <v>5137</v>
      </c>
      <c r="C75" s="1309" t="s">
        <v>880</v>
      </c>
      <c r="D75" s="1264" t="s">
        <v>88</v>
      </c>
      <c r="E75" s="1265"/>
      <c r="F75" s="1265"/>
      <c r="G75" s="1265"/>
      <c r="H75" s="3065" t="e">
        <f>G75/F75*100</f>
        <v>#DIV/0!</v>
      </c>
    </row>
    <row r="76" spans="1:8" ht="15" x14ac:dyDescent="0.2">
      <c r="A76" s="1262">
        <v>3636</v>
      </c>
      <c r="B76" s="1263">
        <v>5139</v>
      </c>
      <c r="C76" s="1309" t="s">
        <v>878</v>
      </c>
      <c r="D76" s="1264" t="s">
        <v>396</v>
      </c>
      <c r="E76" s="1265">
        <v>11</v>
      </c>
      <c r="F76" s="1265">
        <v>11</v>
      </c>
      <c r="G76" s="1265">
        <v>0</v>
      </c>
      <c r="H76" s="3065">
        <f>G76/F76*100</f>
        <v>0</v>
      </c>
    </row>
    <row r="77" spans="1:8" ht="15" x14ac:dyDescent="0.2">
      <c r="A77" s="1262">
        <v>3636</v>
      </c>
      <c r="B77" s="1263">
        <v>5139</v>
      </c>
      <c r="C77" s="1309" t="s">
        <v>879</v>
      </c>
      <c r="D77" s="1264" t="s">
        <v>396</v>
      </c>
      <c r="E77" s="1265">
        <v>6</v>
      </c>
      <c r="F77" s="1265">
        <v>6</v>
      </c>
      <c r="G77" s="1265">
        <v>0</v>
      </c>
      <c r="H77" s="3065">
        <f>G77/F77*100</f>
        <v>0</v>
      </c>
    </row>
    <row r="78" spans="1:8" ht="15" x14ac:dyDescent="0.2">
      <c r="A78" s="1262">
        <v>3636</v>
      </c>
      <c r="B78" s="1263">
        <v>5139</v>
      </c>
      <c r="C78" s="1309" t="s">
        <v>880</v>
      </c>
      <c r="D78" s="1264" t="s">
        <v>396</v>
      </c>
      <c r="E78" s="1265">
        <v>98</v>
      </c>
      <c r="F78" s="1265">
        <v>98</v>
      </c>
      <c r="G78" s="1265">
        <v>0</v>
      </c>
      <c r="H78" s="3065">
        <v>0</v>
      </c>
    </row>
    <row r="79" spans="1:8" ht="15" x14ac:dyDescent="0.2">
      <c r="A79" s="1262">
        <v>3636</v>
      </c>
      <c r="B79" s="1263">
        <v>5156</v>
      </c>
      <c r="C79" s="1309" t="s">
        <v>878</v>
      </c>
      <c r="D79" s="1264" t="s">
        <v>160</v>
      </c>
      <c r="E79" s="1265">
        <v>2</v>
      </c>
      <c r="F79" s="1265">
        <v>0</v>
      </c>
      <c r="G79" s="1265">
        <v>0</v>
      </c>
      <c r="H79" s="3065">
        <v>0</v>
      </c>
    </row>
    <row r="80" spans="1:8" ht="15" x14ac:dyDescent="0.2">
      <c r="A80" s="1262">
        <v>3636</v>
      </c>
      <c r="B80" s="1263">
        <v>5156</v>
      </c>
      <c r="C80" s="1309" t="s">
        <v>879</v>
      </c>
      <c r="D80" s="1264" t="s">
        <v>160</v>
      </c>
      <c r="E80" s="1265">
        <v>1</v>
      </c>
      <c r="F80" s="1265">
        <v>0</v>
      </c>
      <c r="G80" s="1265">
        <v>0</v>
      </c>
      <c r="H80" s="3065">
        <v>0</v>
      </c>
    </row>
    <row r="81" spans="1:8" ht="15" x14ac:dyDescent="0.2">
      <c r="A81" s="1262">
        <v>3636</v>
      </c>
      <c r="B81" s="1263">
        <v>5156</v>
      </c>
      <c r="C81" s="1309" t="s">
        <v>880</v>
      </c>
      <c r="D81" s="1264" t="s">
        <v>160</v>
      </c>
      <c r="E81" s="1265">
        <v>12</v>
      </c>
      <c r="F81" s="1265">
        <v>0</v>
      </c>
      <c r="G81" s="1265">
        <v>0</v>
      </c>
      <c r="H81" s="3065">
        <v>0</v>
      </c>
    </row>
    <row r="82" spans="1:8" ht="15" x14ac:dyDescent="0.2">
      <c r="A82" s="1262">
        <v>3636</v>
      </c>
      <c r="B82" s="1263">
        <v>5164</v>
      </c>
      <c r="C82" s="1309" t="s">
        <v>878</v>
      </c>
      <c r="D82" s="1264" t="s">
        <v>101</v>
      </c>
      <c r="E82" s="1265">
        <v>3</v>
      </c>
      <c r="F82" s="1265">
        <v>3</v>
      </c>
      <c r="G82" s="1265">
        <v>1</v>
      </c>
      <c r="H82" s="3065">
        <f t="shared" ref="H82:H83" si="1">G82/F82*100</f>
        <v>33.333333333333329</v>
      </c>
    </row>
    <row r="83" spans="1:8" ht="15" x14ac:dyDescent="0.2">
      <c r="A83" s="1262">
        <v>3636</v>
      </c>
      <c r="B83" s="1263">
        <v>5164</v>
      </c>
      <c r="C83" s="1309" t="s">
        <v>879</v>
      </c>
      <c r="D83" s="1264" t="s">
        <v>101</v>
      </c>
      <c r="E83" s="1265">
        <v>2</v>
      </c>
      <c r="F83" s="1265">
        <v>2</v>
      </c>
      <c r="G83" s="1265">
        <v>0</v>
      </c>
      <c r="H83" s="3065">
        <f t="shared" si="1"/>
        <v>0</v>
      </c>
    </row>
    <row r="84" spans="1:8" ht="15" x14ac:dyDescent="0.2">
      <c r="A84" s="1262">
        <v>3636</v>
      </c>
      <c r="B84" s="1263">
        <v>5164</v>
      </c>
      <c r="C84" s="1309" t="s">
        <v>880</v>
      </c>
      <c r="D84" s="1264" t="s">
        <v>101</v>
      </c>
      <c r="E84" s="1265">
        <v>25</v>
      </c>
      <c r="F84" s="1265">
        <v>25</v>
      </c>
      <c r="G84" s="1265">
        <v>5</v>
      </c>
      <c r="H84" s="3065">
        <f>G84/F84*100</f>
        <v>20</v>
      </c>
    </row>
    <row r="85" spans="1:8" ht="15" hidden="1" x14ac:dyDescent="0.2">
      <c r="A85" s="1262">
        <v>3636</v>
      </c>
      <c r="B85" s="1263">
        <v>5166</v>
      </c>
      <c r="C85" s="1309" t="s">
        <v>871</v>
      </c>
      <c r="D85" s="1264" t="s">
        <v>317</v>
      </c>
      <c r="E85" s="1265"/>
      <c r="F85" s="1265"/>
      <c r="G85" s="1265"/>
      <c r="H85" s="3065">
        <v>0</v>
      </c>
    </row>
    <row r="86" spans="1:8" ht="15" hidden="1" x14ac:dyDescent="0.2">
      <c r="A86" s="1262">
        <v>3636</v>
      </c>
      <c r="B86" s="1263">
        <v>5166</v>
      </c>
      <c r="C86" s="1309" t="s">
        <v>1484</v>
      </c>
      <c r="D86" s="1264" t="s">
        <v>317</v>
      </c>
      <c r="E86" s="1265"/>
      <c r="F86" s="1265"/>
      <c r="G86" s="1265"/>
      <c r="H86" s="3065" t="e">
        <f>G86/F86*100</f>
        <v>#DIV/0!</v>
      </c>
    </row>
    <row r="87" spans="1:8" ht="15" hidden="1" x14ac:dyDescent="0.2">
      <c r="A87" s="1262">
        <v>3636</v>
      </c>
      <c r="B87" s="1263">
        <v>5166</v>
      </c>
      <c r="C87" s="1309" t="s">
        <v>1483</v>
      </c>
      <c r="D87" s="1264" t="s">
        <v>317</v>
      </c>
      <c r="E87" s="1265"/>
      <c r="F87" s="1265"/>
      <c r="G87" s="1265"/>
      <c r="H87" s="3065" t="e">
        <f>G87/F87*100</f>
        <v>#DIV/0!</v>
      </c>
    </row>
    <row r="88" spans="1:8" ht="15" x14ac:dyDescent="0.2">
      <c r="A88" s="1262">
        <v>3636</v>
      </c>
      <c r="B88" s="1263">
        <v>5167</v>
      </c>
      <c r="C88" s="1309" t="s">
        <v>878</v>
      </c>
      <c r="D88" s="1264" t="s">
        <v>455</v>
      </c>
      <c r="E88" s="1265">
        <v>1</v>
      </c>
      <c r="F88" s="1265">
        <v>1</v>
      </c>
      <c r="G88" s="1265">
        <v>0</v>
      </c>
      <c r="H88" s="3065">
        <v>0</v>
      </c>
    </row>
    <row r="89" spans="1:8" ht="15" x14ac:dyDescent="0.2">
      <c r="A89" s="1262">
        <v>3636</v>
      </c>
      <c r="B89" s="1263">
        <v>5167</v>
      </c>
      <c r="C89" s="1309" t="s">
        <v>879</v>
      </c>
      <c r="D89" s="1264" t="s">
        <v>455</v>
      </c>
      <c r="E89" s="1265">
        <v>1</v>
      </c>
      <c r="F89" s="1265">
        <v>1</v>
      </c>
      <c r="G89" s="1265">
        <v>0</v>
      </c>
      <c r="H89" s="3065">
        <f>G89/F89*100</f>
        <v>0</v>
      </c>
    </row>
    <row r="90" spans="1:8" ht="15" x14ac:dyDescent="0.2">
      <c r="A90" s="1262">
        <v>3636</v>
      </c>
      <c r="B90" s="1263">
        <v>5167</v>
      </c>
      <c r="C90" s="1309" t="s">
        <v>880</v>
      </c>
      <c r="D90" s="1264" t="s">
        <v>455</v>
      </c>
      <c r="E90" s="1265">
        <v>3</v>
      </c>
      <c r="F90" s="1265">
        <v>3</v>
      </c>
      <c r="G90" s="1265">
        <v>0</v>
      </c>
      <c r="H90" s="3065">
        <f>G90/F90*100</f>
        <v>0</v>
      </c>
    </row>
    <row r="91" spans="1:8" ht="15" x14ac:dyDescent="0.2">
      <c r="A91" s="1262">
        <v>3636</v>
      </c>
      <c r="B91" s="1263">
        <v>5169</v>
      </c>
      <c r="C91" s="1309" t="s">
        <v>878</v>
      </c>
      <c r="D91" s="1264" t="s">
        <v>430</v>
      </c>
      <c r="E91" s="1265">
        <v>13</v>
      </c>
      <c r="F91" s="1265">
        <v>13</v>
      </c>
      <c r="G91" s="1265">
        <v>0</v>
      </c>
      <c r="H91" s="3065">
        <v>0</v>
      </c>
    </row>
    <row r="92" spans="1:8" ht="15" x14ac:dyDescent="0.2">
      <c r="A92" s="1262">
        <v>3636</v>
      </c>
      <c r="B92" s="1263">
        <v>5169</v>
      </c>
      <c r="C92" s="1309" t="s">
        <v>879</v>
      </c>
      <c r="D92" s="1264" t="s">
        <v>430</v>
      </c>
      <c r="E92" s="1265">
        <v>6</v>
      </c>
      <c r="F92" s="1265">
        <v>6</v>
      </c>
      <c r="G92" s="1265">
        <v>0</v>
      </c>
      <c r="H92" s="3065">
        <f>G92/F92*100</f>
        <v>0</v>
      </c>
    </row>
    <row r="93" spans="1:8" ht="15" x14ac:dyDescent="0.2">
      <c r="A93" s="1262">
        <v>3636</v>
      </c>
      <c r="B93" s="1263">
        <v>5169</v>
      </c>
      <c r="C93" s="1309" t="s">
        <v>880</v>
      </c>
      <c r="D93" s="1264" t="s">
        <v>430</v>
      </c>
      <c r="E93" s="1265">
        <v>106</v>
      </c>
      <c r="F93" s="1265">
        <v>106</v>
      </c>
      <c r="G93" s="1265">
        <v>4</v>
      </c>
      <c r="H93" s="3065">
        <f>G93/F93*100</f>
        <v>3.7735849056603774</v>
      </c>
    </row>
    <row r="94" spans="1:8" ht="15" x14ac:dyDescent="0.2">
      <c r="A94" s="1262">
        <v>3636</v>
      </c>
      <c r="B94" s="1263">
        <v>5173</v>
      </c>
      <c r="C94" s="1309" t="s">
        <v>878</v>
      </c>
      <c r="D94" s="1264" t="s">
        <v>541</v>
      </c>
      <c r="E94" s="1265">
        <v>3</v>
      </c>
      <c r="F94" s="1265">
        <v>0</v>
      </c>
      <c r="G94" s="1265">
        <v>0</v>
      </c>
      <c r="H94" s="3065">
        <v>0</v>
      </c>
    </row>
    <row r="95" spans="1:8" ht="15" x14ac:dyDescent="0.2">
      <c r="A95" s="1262">
        <v>3636</v>
      </c>
      <c r="B95" s="1263">
        <v>5173</v>
      </c>
      <c r="C95" s="1309" t="s">
        <v>879</v>
      </c>
      <c r="D95" s="1264" t="s">
        <v>541</v>
      </c>
      <c r="E95" s="1265">
        <v>2</v>
      </c>
      <c r="F95" s="1265">
        <v>0</v>
      </c>
      <c r="G95" s="1265">
        <v>0</v>
      </c>
      <c r="H95" s="3065">
        <v>0</v>
      </c>
    </row>
    <row r="96" spans="1:8" ht="15" x14ac:dyDescent="0.2">
      <c r="A96" s="1262">
        <v>3636</v>
      </c>
      <c r="B96" s="1263">
        <v>5173</v>
      </c>
      <c r="C96" s="1309" t="s">
        <v>880</v>
      </c>
      <c r="D96" s="1264" t="s">
        <v>541</v>
      </c>
      <c r="E96" s="1265">
        <v>25</v>
      </c>
      <c r="F96" s="1265">
        <v>0</v>
      </c>
      <c r="G96" s="1265">
        <v>0</v>
      </c>
      <c r="H96" s="3065">
        <v>0</v>
      </c>
    </row>
    <row r="97" spans="1:8" ht="15" x14ac:dyDescent="0.2">
      <c r="A97" s="1262">
        <v>3636</v>
      </c>
      <c r="B97" s="1263">
        <v>5175</v>
      </c>
      <c r="C97" s="1309" t="s">
        <v>878</v>
      </c>
      <c r="D97" s="1264" t="s">
        <v>352</v>
      </c>
      <c r="E97" s="1265">
        <v>5</v>
      </c>
      <c r="F97" s="1265">
        <v>5</v>
      </c>
      <c r="G97" s="1265">
        <v>1</v>
      </c>
      <c r="H97" s="3065">
        <f>G97/F97*100</f>
        <v>20</v>
      </c>
    </row>
    <row r="98" spans="1:8" ht="15" x14ac:dyDescent="0.2">
      <c r="A98" s="1262">
        <v>3636</v>
      </c>
      <c r="B98" s="1263">
        <v>5175</v>
      </c>
      <c r="C98" s="1309" t="s">
        <v>879</v>
      </c>
      <c r="D98" s="1264" t="s">
        <v>352</v>
      </c>
      <c r="E98" s="1265">
        <v>3</v>
      </c>
      <c r="F98" s="1265">
        <v>3</v>
      </c>
      <c r="G98" s="1265">
        <v>1</v>
      </c>
      <c r="H98" s="3065">
        <f>G98/F98*100</f>
        <v>33.333333333333329</v>
      </c>
    </row>
    <row r="99" spans="1:8" ht="15" x14ac:dyDescent="0.2">
      <c r="A99" s="1262">
        <v>3636</v>
      </c>
      <c r="B99" s="1263">
        <v>5175</v>
      </c>
      <c r="C99" s="1309" t="s">
        <v>880</v>
      </c>
      <c r="D99" s="1264" t="s">
        <v>352</v>
      </c>
      <c r="E99" s="1265">
        <v>42</v>
      </c>
      <c r="F99" s="1265">
        <v>42</v>
      </c>
      <c r="G99" s="1265">
        <v>9</v>
      </c>
      <c r="H99" s="3065">
        <f>G99/F99*100</f>
        <v>21.428571428571427</v>
      </c>
    </row>
    <row r="100" spans="1:8" ht="15" x14ac:dyDescent="0.2">
      <c r="A100" s="1262">
        <v>3636</v>
      </c>
      <c r="B100" s="1263">
        <v>5176</v>
      </c>
      <c r="C100" s="1309" t="s">
        <v>878</v>
      </c>
      <c r="D100" s="1264" t="s">
        <v>593</v>
      </c>
      <c r="E100" s="1265">
        <v>5</v>
      </c>
      <c r="F100" s="1265">
        <v>5</v>
      </c>
      <c r="G100" s="1265">
        <v>0</v>
      </c>
      <c r="H100" s="3065">
        <v>0</v>
      </c>
    </row>
    <row r="101" spans="1:8" ht="15" x14ac:dyDescent="0.2">
      <c r="A101" s="1262">
        <v>3636</v>
      </c>
      <c r="B101" s="1263">
        <v>5176</v>
      </c>
      <c r="C101" s="1309" t="s">
        <v>879</v>
      </c>
      <c r="D101" s="1264" t="s">
        <v>593</v>
      </c>
      <c r="E101" s="1265">
        <v>3</v>
      </c>
      <c r="F101" s="1265">
        <v>3</v>
      </c>
      <c r="G101" s="1265">
        <v>0</v>
      </c>
      <c r="H101" s="3065">
        <f t="shared" ref="H101:H103" si="2">G101/F101*100</f>
        <v>0</v>
      </c>
    </row>
    <row r="102" spans="1:8" ht="15" x14ac:dyDescent="0.2">
      <c r="A102" s="1262">
        <v>3636</v>
      </c>
      <c r="B102" s="1263">
        <v>5176</v>
      </c>
      <c r="C102" s="1309" t="s">
        <v>880</v>
      </c>
      <c r="D102" s="1264" t="s">
        <v>593</v>
      </c>
      <c r="E102" s="1265">
        <v>42</v>
      </c>
      <c r="F102" s="1265">
        <v>42</v>
      </c>
      <c r="G102" s="1265">
        <v>0</v>
      </c>
      <c r="H102" s="3065">
        <f t="shared" si="2"/>
        <v>0</v>
      </c>
    </row>
    <row r="103" spans="1:8" ht="15" hidden="1" x14ac:dyDescent="0.2">
      <c r="A103" s="1262">
        <v>3299</v>
      </c>
      <c r="B103" s="1263">
        <v>5901</v>
      </c>
      <c r="C103" s="2203">
        <v>32533019</v>
      </c>
      <c r="D103" s="1264" t="s">
        <v>311</v>
      </c>
      <c r="E103" s="1265"/>
      <c r="F103" s="1265"/>
      <c r="G103" s="1265"/>
      <c r="H103" s="3065" t="e">
        <f t="shared" si="2"/>
        <v>#DIV/0!</v>
      </c>
    </row>
    <row r="104" spans="1:8" ht="15" x14ac:dyDescent="0.2">
      <c r="A104" s="1262">
        <v>3299</v>
      </c>
      <c r="B104" s="1263">
        <v>5424</v>
      </c>
      <c r="C104" s="1309" t="s">
        <v>878</v>
      </c>
      <c r="D104" s="1264" t="s">
        <v>343</v>
      </c>
      <c r="E104" s="1265">
        <v>2</v>
      </c>
      <c r="F104" s="1265">
        <v>0</v>
      </c>
      <c r="G104" s="1265">
        <v>0</v>
      </c>
      <c r="H104" s="3065">
        <v>0</v>
      </c>
    </row>
    <row r="105" spans="1:8" ht="15" x14ac:dyDescent="0.2">
      <c r="A105" s="1262">
        <v>3636</v>
      </c>
      <c r="B105" s="1263">
        <v>5424</v>
      </c>
      <c r="C105" s="1309" t="s">
        <v>879</v>
      </c>
      <c r="D105" s="1264" t="s">
        <v>343</v>
      </c>
      <c r="E105" s="1265">
        <v>1</v>
      </c>
      <c r="F105" s="1265">
        <v>0</v>
      </c>
      <c r="G105" s="1265">
        <v>0</v>
      </c>
      <c r="H105" s="3065">
        <v>0</v>
      </c>
    </row>
    <row r="106" spans="1:8" ht="15" x14ac:dyDescent="0.2">
      <c r="A106" s="1262">
        <v>3636</v>
      </c>
      <c r="B106" s="1263">
        <v>5424</v>
      </c>
      <c r="C106" s="1309" t="s">
        <v>880</v>
      </c>
      <c r="D106" s="1264" t="s">
        <v>343</v>
      </c>
      <c r="E106" s="1265">
        <v>17</v>
      </c>
      <c r="F106" s="1265">
        <v>0</v>
      </c>
      <c r="G106" s="1265">
        <v>0</v>
      </c>
      <c r="H106" s="3065">
        <v>0</v>
      </c>
    </row>
    <row r="107" spans="1:8" ht="15.75" thickBot="1" x14ac:dyDescent="0.25">
      <c r="A107" s="1262">
        <v>6330</v>
      </c>
      <c r="B107" s="1263">
        <v>5345</v>
      </c>
      <c r="C107" s="2203" t="s">
        <v>871</v>
      </c>
      <c r="D107" s="1264" t="s">
        <v>397</v>
      </c>
      <c r="E107" s="1265">
        <v>0</v>
      </c>
      <c r="F107" s="1265">
        <v>0</v>
      </c>
      <c r="G107" s="1265">
        <v>588</v>
      </c>
      <c r="H107" s="3066">
        <v>0</v>
      </c>
    </row>
    <row r="108" spans="1:8" ht="16.5" thickTop="1" thickBot="1" x14ac:dyDescent="0.3">
      <c r="A108" s="3317" t="s">
        <v>394</v>
      </c>
      <c r="B108" s="3318"/>
      <c r="C108" s="3318"/>
      <c r="D108" s="3318"/>
      <c r="E108" s="1113">
        <f>SUM(E61:E106)</f>
        <v>900</v>
      </c>
      <c r="F108" s="1113">
        <f>SUM(F61:F107)</f>
        <v>375</v>
      </c>
      <c r="G108" s="1113">
        <f>SUM(G61:G107)</f>
        <v>609</v>
      </c>
      <c r="H108" s="1381">
        <f>G108/F108*100</f>
        <v>162.4</v>
      </c>
    </row>
    <row r="109" spans="1:8" ht="13.5" thickTop="1" x14ac:dyDescent="0.2"/>
    <row r="111" spans="1:8" ht="13.5" x14ac:dyDescent="0.25">
      <c r="A111" s="3333" t="s">
        <v>1491</v>
      </c>
      <c r="B111" s="3334"/>
      <c r="C111" s="3334"/>
      <c r="D111" s="3334"/>
      <c r="E111" s="3334"/>
      <c r="F111" s="3334"/>
      <c r="G111" s="3334"/>
      <c r="H111" s="3334"/>
    </row>
    <row r="112" spans="1:8" ht="15.75" thickBot="1" x14ac:dyDescent="0.3">
      <c r="A112" s="1229" t="s">
        <v>1490</v>
      </c>
      <c r="B112" s="1243"/>
      <c r="C112" s="1243"/>
      <c r="E112" s="1244"/>
      <c r="F112" s="1244"/>
      <c r="G112" s="1244"/>
      <c r="H112" s="1245" t="s">
        <v>92</v>
      </c>
    </row>
    <row r="113" spans="1:8" ht="25.5" thickTop="1" thickBot="1" x14ac:dyDescent="0.25">
      <c r="A113" s="1104" t="s">
        <v>93</v>
      </c>
      <c r="B113" s="1105" t="s">
        <v>392</v>
      </c>
      <c r="C113" s="1105" t="s">
        <v>209</v>
      </c>
      <c r="D113" s="1106" t="s">
        <v>95</v>
      </c>
      <c r="E113" s="1127" t="s">
        <v>328</v>
      </c>
      <c r="F113" s="1127" t="s">
        <v>329</v>
      </c>
      <c r="G113" s="1128" t="s">
        <v>448</v>
      </c>
      <c r="H113" s="1129" t="s">
        <v>449</v>
      </c>
    </row>
    <row r="114" spans="1:8" ht="14.25" thickTop="1" thickBot="1" x14ac:dyDescent="0.25">
      <c r="A114" s="1042">
        <v>1</v>
      </c>
      <c r="B114" s="1041">
        <v>2</v>
      </c>
      <c r="C114" s="1041">
        <v>3</v>
      </c>
      <c r="D114" s="1041">
        <v>4</v>
      </c>
      <c r="E114" s="1040">
        <v>5</v>
      </c>
      <c r="F114" s="1040">
        <v>6</v>
      </c>
      <c r="G114" s="1164">
        <v>7</v>
      </c>
      <c r="H114" s="1186" t="s">
        <v>33</v>
      </c>
    </row>
    <row r="115" spans="1:8" ht="30.75" thickTop="1" x14ac:dyDescent="0.2">
      <c r="A115" s="3071">
        <v>2125</v>
      </c>
      <c r="B115" s="3072">
        <v>5221</v>
      </c>
      <c r="C115" s="3064" t="s">
        <v>1807</v>
      </c>
      <c r="D115" s="1264" t="s">
        <v>636</v>
      </c>
      <c r="E115" s="3068">
        <v>0</v>
      </c>
      <c r="F115" s="3068">
        <v>361</v>
      </c>
      <c r="G115" s="3068">
        <v>0</v>
      </c>
      <c r="H115" s="3069">
        <v>0</v>
      </c>
    </row>
    <row r="116" spans="1:8" ht="15" x14ac:dyDescent="0.2">
      <c r="A116" s="3071">
        <v>2125</v>
      </c>
      <c r="B116" s="3072">
        <v>5222</v>
      </c>
      <c r="C116" s="3064" t="s">
        <v>1486</v>
      </c>
      <c r="D116" s="1264" t="s">
        <v>800</v>
      </c>
      <c r="E116" s="3068">
        <v>1632</v>
      </c>
      <c r="F116" s="3068">
        <v>0</v>
      </c>
      <c r="G116" s="3068">
        <v>0</v>
      </c>
      <c r="H116" s="3069">
        <v>0</v>
      </c>
    </row>
    <row r="117" spans="1:8" ht="30" x14ac:dyDescent="0.2">
      <c r="A117" s="3071">
        <v>2125</v>
      </c>
      <c r="B117" s="3072">
        <v>5229</v>
      </c>
      <c r="C117" s="3064" t="s">
        <v>1486</v>
      </c>
      <c r="D117" s="1264" t="s">
        <v>484</v>
      </c>
      <c r="E117" s="3068">
        <v>0</v>
      </c>
      <c r="F117" s="3068">
        <v>1632</v>
      </c>
      <c r="G117" s="3068">
        <v>1289</v>
      </c>
      <c r="H117" s="3069">
        <f>G117/F117*100</f>
        <v>78.982843137254903</v>
      </c>
    </row>
    <row r="118" spans="1:8" ht="30" x14ac:dyDescent="0.2">
      <c r="A118" s="3071">
        <v>2125</v>
      </c>
      <c r="B118" s="3072">
        <v>5229</v>
      </c>
      <c r="C118" s="3064" t="s">
        <v>1807</v>
      </c>
      <c r="D118" s="1264" t="s">
        <v>484</v>
      </c>
      <c r="E118" s="3068">
        <v>0</v>
      </c>
      <c r="F118" s="3068">
        <v>7304</v>
      </c>
      <c r="G118" s="3068">
        <v>7304</v>
      </c>
      <c r="H118" s="3069">
        <f>G118/F118*100</f>
        <v>100</v>
      </c>
    </row>
    <row r="119" spans="1:8" ht="15" x14ac:dyDescent="0.2">
      <c r="A119" s="3071">
        <v>2125</v>
      </c>
      <c r="B119" s="3072">
        <v>5332</v>
      </c>
      <c r="C119" s="3064" t="s">
        <v>1486</v>
      </c>
      <c r="D119" s="1264" t="s">
        <v>319</v>
      </c>
      <c r="E119" s="3068">
        <v>225</v>
      </c>
      <c r="F119" s="3068">
        <v>225</v>
      </c>
      <c r="G119" s="3068">
        <v>0</v>
      </c>
      <c r="H119" s="3069">
        <v>0</v>
      </c>
    </row>
    <row r="120" spans="1:8" ht="15" x14ac:dyDescent="0.2">
      <c r="A120" s="3071">
        <v>2125</v>
      </c>
      <c r="B120" s="3072">
        <v>5332</v>
      </c>
      <c r="C120" s="3064" t="s">
        <v>1485</v>
      </c>
      <c r="D120" s="1264" t="s">
        <v>319</v>
      </c>
      <c r="E120" s="3068">
        <v>1275</v>
      </c>
      <c r="F120" s="3068">
        <v>1275</v>
      </c>
      <c r="G120" s="3068">
        <v>0</v>
      </c>
      <c r="H120" s="3069">
        <v>0</v>
      </c>
    </row>
    <row r="121" spans="1:8" ht="15" x14ac:dyDescent="0.2">
      <c r="A121" s="1262">
        <v>3636</v>
      </c>
      <c r="B121" s="1263">
        <v>5011</v>
      </c>
      <c r="C121" s="3064" t="s">
        <v>1486</v>
      </c>
      <c r="D121" s="1264" t="s">
        <v>117</v>
      </c>
      <c r="E121" s="3068">
        <v>90</v>
      </c>
      <c r="F121" s="3068">
        <v>90</v>
      </c>
      <c r="G121" s="3068">
        <v>90</v>
      </c>
      <c r="H121" s="3069">
        <f t="shared" ref="H121:H137" si="3">G121/F121*100</f>
        <v>100</v>
      </c>
    </row>
    <row r="122" spans="1:8" ht="15" x14ac:dyDescent="0.2">
      <c r="A122" s="1262">
        <v>3636</v>
      </c>
      <c r="B122" s="1263">
        <v>5011</v>
      </c>
      <c r="C122" s="3064" t="s">
        <v>1485</v>
      </c>
      <c r="D122" s="1264" t="s">
        <v>117</v>
      </c>
      <c r="E122" s="3068">
        <v>125</v>
      </c>
      <c r="F122" s="3068">
        <v>122</v>
      </c>
      <c r="G122" s="3068">
        <v>0</v>
      </c>
      <c r="H122" s="3069">
        <f t="shared" si="3"/>
        <v>0</v>
      </c>
    </row>
    <row r="123" spans="1:8" ht="15" x14ac:dyDescent="0.2">
      <c r="A123" s="1262">
        <v>3636</v>
      </c>
      <c r="B123" s="1263">
        <v>5011</v>
      </c>
      <c r="C123" s="3064" t="s">
        <v>1807</v>
      </c>
      <c r="D123" s="1264" t="s">
        <v>117</v>
      </c>
      <c r="E123" s="3068">
        <v>0</v>
      </c>
      <c r="F123" s="3068">
        <v>1261</v>
      </c>
      <c r="G123" s="3068">
        <v>510</v>
      </c>
      <c r="H123" s="3069">
        <f t="shared" si="3"/>
        <v>40.444091990483741</v>
      </c>
    </row>
    <row r="124" spans="1:8" ht="15" hidden="1" x14ac:dyDescent="0.2">
      <c r="A124" s="1262">
        <v>3636</v>
      </c>
      <c r="B124" s="1263">
        <v>5021</v>
      </c>
      <c r="C124" s="3064" t="s">
        <v>1486</v>
      </c>
      <c r="D124" s="1264" t="s">
        <v>217</v>
      </c>
      <c r="E124" s="3068"/>
      <c r="F124" s="3068"/>
      <c r="G124" s="3068"/>
      <c r="H124" s="3069" t="e">
        <f t="shared" si="3"/>
        <v>#DIV/0!</v>
      </c>
    </row>
    <row r="125" spans="1:8" ht="15" hidden="1" x14ac:dyDescent="0.2">
      <c r="A125" s="1262">
        <v>3636</v>
      </c>
      <c r="B125" s="1263">
        <v>5021</v>
      </c>
      <c r="C125" s="3064" t="s">
        <v>1485</v>
      </c>
      <c r="D125" s="1264" t="s">
        <v>217</v>
      </c>
      <c r="E125" s="3068"/>
      <c r="F125" s="3068"/>
      <c r="G125" s="3068"/>
      <c r="H125" s="3069" t="e">
        <f t="shared" si="3"/>
        <v>#DIV/0!</v>
      </c>
    </row>
    <row r="126" spans="1:8" ht="15" hidden="1" x14ac:dyDescent="0.2">
      <c r="A126" s="1262">
        <v>3636</v>
      </c>
      <c r="B126" s="1263">
        <v>5021</v>
      </c>
      <c r="C126" s="3064" t="s">
        <v>880</v>
      </c>
      <c r="D126" s="1264" t="s">
        <v>217</v>
      </c>
      <c r="E126" s="3068"/>
      <c r="F126" s="3068"/>
      <c r="G126" s="3068"/>
      <c r="H126" s="3069" t="e">
        <f t="shared" si="3"/>
        <v>#DIV/0!</v>
      </c>
    </row>
    <row r="127" spans="1:8" ht="30" x14ac:dyDescent="0.2">
      <c r="A127" s="3071">
        <v>3636</v>
      </c>
      <c r="B127" s="3072">
        <v>5031</v>
      </c>
      <c r="C127" s="3064" t="s">
        <v>1486</v>
      </c>
      <c r="D127" s="1307" t="s">
        <v>621</v>
      </c>
      <c r="E127" s="3068">
        <v>23</v>
      </c>
      <c r="F127" s="3068">
        <v>23</v>
      </c>
      <c r="G127" s="3068">
        <v>23</v>
      </c>
      <c r="H127" s="3069">
        <f t="shared" si="3"/>
        <v>100</v>
      </c>
    </row>
    <row r="128" spans="1:8" ht="30" x14ac:dyDescent="0.2">
      <c r="A128" s="3071">
        <v>3636</v>
      </c>
      <c r="B128" s="3072">
        <v>5031</v>
      </c>
      <c r="C128" s="3064" t="s">
        <v>1485</v>
      </c>
      <c r="D128" s="1307" t="s">
        <v>621</v>
      </c>
      <c r="E128" s="3068">
        <v>32</v>
      </c>
      <c r="F128" s="3068">
        <v>32</v>
      </c>
      <c r="G128" s="3068">
        <v>0</v>
      </c>
      <c r="H128" s="3069">
        <f t="shared" si="3"/>
        <v>0</v>
      </c>
    </row>
    <row r="129" spans="1:8" ht="30" x14ac:dyDescent="0.2">
      <c r="A129" s="3071">
        <v>3636</v>
      </c>
      <c r="B129" s="3072">
        <v>5031</v>
      </c>
      <c r="C129" s="3064" t="s">
        <v>1807</v>
      </c>
      <c r="D129" s="1307" t="s">
        <v>621</v>
      </c>
      <c r="E129" s="3068">
        <v>0</v>
      </c>
      <c r="F129" s="3068">
        <v>318</v>
      </c>
      <c r="G129" s="3068">
        <v>128</v>
      </c>
      <c r="H129" s="3069">
        <f t="shared" si="3"/>
        <v>40.25157232704403</v>
      </c>
    </row>
    <row r="130" spans="1:8" ht="30" x14ac:dyDescent="0.2">
      <c r="A130" s="3071">
        <v>3636</v>
      </c>
      <c r="B130" s="3072">
        <v>5032</v>
      </c>
      <c r="C130" s="3064" t="s">
        <v>1486</v>
      </c>
      <c r="D130" s="1264" t="s">
        <v>553</v>
      </c>
      <c r="E130" s="3068">
        <v>9</v>
      </c>
      <c r="F130" s="3068">
        <v>9</v>
      </c>
      <c r="G130" s="3068">
        <v>8</v>
      </c>
      <c r="H130" s="3069">
        <f t="shared" si="3"/>
        <v>88.888888888888886</v>
      </c>
    </row>
    <row r="131" spans="1:8" ht="30" x14ac:dyDescent="0.2">
      <c r="A131" s="3071">
        <v>3636</v>
      </c>
      <c r="B131" s="3072">
        <v>5032</v>
      </c>
      <c r="C131" s="3064" t="s">
        <v>1485</v>
      </c>
      <c r="D131" s="1264" t="s">
        <v>553</v>
      </c>
      <c r="E131" s="3068">
        <v>11</v>
      </c>
      <c r="F131" s="3068">
        <v>11</v>
      </c>
      <c r="G131" s="3068">
        <v>0</v>
      </c>
      <c r="H131" s="3069">
        <f t="shared" si="3"/>
        <v>0</v>
      </c>
    </row>
    <row r="132" spans="1:8" ht="30" x14ac:dyDescent="0.2">
      <c r="A132" s="3071">
        <v>3636</v>
      </c>
      <c r="B132" s="3072">
        <v>5032</v>
      </c>
      <c r="C132" s="3064" t="s">
        <v>1807</v>
      </c>
      <c r="D132" s="1264" t="s">
        <v>553</v>
      </c>
      <c r="E132" s="3068">
        <v>0</v>
      </c>
      <c r="F132" s="3068">
        <v>114</v>
      </c>
      <c r="G132" s="3068">
        <v>46</v>
      </c>
      <c r="H132" s="3069">
        <f t="shared" si="3"/>
        <v>40.350877192982452</v>
      </c>
    </row>
    <row r="133" spans="1:8" ht="15" x14ac:dyDescent="0.2">
      <c r="A133" s="1262">
        <v>3636</v>
      </c>
      <c r="B133" s="1263">
        <v>5137</v>
      </c>
      <c r="C133" s="1309" t="s">
        <v>1486</v>
      </c>
      <c r="D133" s="1264" t="s">
        <v>88</v>
      </c>
      <c r="E133" s="1265">
        <v>0</v>
      </c>
      <c r="F133" s="1265">
        <v>12</v>
      </c>
      <c r="G133" s="1265">
        <v>11</v>
      </c>
      <c r="H133" s="3065">
        <f t="shared" si="3"/>
        <v>91.666666666666657</v>
      </c>
    </row>
    <row r="134" spans="1:8" ht="15" x14ac:dyDescent="0.2">
      <c r="A134" s="1262">
        <v>3636</v>
      </c>
      <c r="B134" s="1263">
        <v>5137</v>
      </c>
      <c r="C134" s="1309" t="s">
        <v>1485</v>
      </c>
      <c r="D134" s="1264" t="s">
        <v>88</v>
      </c>
      <c r="E134" s="1265">
        <v>0</v>
      </c>
      <c r="F134" s="1265">
        <v>21</v>
      </c>
      <c r="G134" s="1265">
        <v>0</v>
      </c>
      <c r="H134" s="3065">
        <f t="shared" si="3"/>
        <v>0</v>
      </c>
    </row>
    <row r="135" spans="1:8" ht="15" x14ac:dyDescent="0.2">
      <c r="A135" s="1262">
        <v>3636</v>
      </c>
      <c r="B135" s="1263">
        <v>5137</v>
      </c>
      <c r="C135" s="1309" t="s">
        <v>1807</v>
      </c>
      <c r="D135" s="1264" t="s">
        <v>88</v>
      </c>
      <c r="E135" s="1265">
        <v>0</v>
      </c>
      <c r="F135" s="1265">
        <v>69</v>
      </c>
      <c r="G135" s="1265">
        <v>61</v>
      </c>
      <c r="H135" s="3065">
        <f t="shared" si="3"/>
        <v>88.405797101449281</v>
      </c>
    </row>
    <row r="136" spans="1:8" ht="15" hidden="1" x14ac:dyDescent="0.2">
      <c r="A136" s="1262">
        <v>3636</v>
      </c>
      <c r="B136" s="1263">
        <v>5139</v>
      </c>
      <c r="C136" s="1309" t="s">
        <v>1486</v>
      </c>
      <c r="D136" s="1264" t="s">
        <v>396</v>
      </c>
      <c r="E136" s="1265"/>
      <c r="F136" s="1265"/>
      <c r="G136" s="1265"/>
      <c r="H136" s="3065" t="e">
        <f t="shared" si="3"/>
        <v>#DIV/0!</v>
      </c>
    </row>
    <row r="137" spans="1:8" ht="15" hidden="1" x14ac:dyDescent="0.2">
      <c r="A137" s="1262">
        <v>3636</v>
      </c>
      <c r="B137" s="1263">
        <v>5139</v>
      </c>
      <c r="C137" s="1309" t="s">
        <v>1485</v>
      </c>
      <c r="D137" s="1264" t="s">
        <v>396</v>
      </c>
      <c r="E137" s="1265"/>
      <c r="F137" s="1265"/>
      <c r="G137" s="1265"/>
      <c r="H137" s="3065" t="e">
        <f t="shared" si="3"/>
        <v>#DIV/0!</v>
      </c>
    </row>
    <row r="138" spans="1:8" ht="15" hidden="1" x14ac:dyDescent="0.2">
      <c r="A138" s="1262">
        <v>3636</v>
      </c>
      <c r="B138" s="1263">
        <v>5139</v>
      </c>
      <c r="C138" s="1309" t="s">
        <v>880</v>
      </c>
      <c r="D138" s="1264" t="s">
        <v>152</v>
      </c>
      <c r="E138" s="1265"/>
      <c r="F138" s="1265"/>
      <c r="G138" s="1265"/>
      <c r="H138" s="3065">
        <v>0</v>
      </c>
    </row>
    <row r="139" spans="1:8" ht="15" x14ac:dyDescent="0.2">
      <c r="A139" s="1262">
        <v>3636</v>
      </c>
      <c r="B139" s="1263">
        <v>5156</v>
      </c>
      <c r="C139" s="1309" t="s">
        <v>1486</v>
      </c>
      <c r="D139" s="1264" t="s">
        <v>160</v>
      </c>
      <c r="E139" s="1265">
        <v>0</v>
      </c>
      <c r="F139" s="1265">
        <v>1</v>
      </c>
      <c r="G139" s="1265">
        <v>0</v>
      </c>
      <c r="H139" s="3065">
        <f>G139/F139*100</f>
        <v>0</v>
      </c>
    </row>
    <row r="140" spans="1:8" ht="15" hidden="1" x14ac:dyDescent="0.2">
      <c r="A140" s="1262">
        <v>3636</v>
      </c>
      <c r="B140" s="1263">
        <v>5162</v>
      </c>
      <c r="C140" s="1309" t="s">
        <v>1005</v>
      </c>
      <c r="D140" s="1264" t="s">
        <v>160</v>
      </c>
      <c r="E140" s="1265"/>
      <c r="F140" s="1265"/>
      <c r="G140" s="1265"/>
      <c r="H140" s="3065" t="e">
        <f>G140/F140*100</f>
        <v>#DIV/0!</v>
      </c>
    </row>
    <row r="141" spans="1:8" ht="15" x14ac:dyDescent="0.2">
      <c r="A141" s="1262">
        <v>3636</v>
      </c>
      <c r="B141" s="1263">
        <v>5156</v>
      </c>
      <c r="C141" s="1309" t="s">
        <v>1807</v>
      </c>
      <c r="D141" s="1264" t="s">
        <v>160</v>
      </c>
      <c r="E141" s="1265">
        <v>0</v>
      </c>
      <c r="F141" s="1265">
        <v>9</v>
      </c>
      <c r="G141" s="1265">
        <v>2</v>
      </c>
      <c r="H141" s="3065">
        <f t="shared" ref="H141:H142" si="4">G141/F141*100</f>
        <v>22.222222222222221</v>
      </c>
    </row>
    <row r="142" spans="1:8" ht="15" hidden="1" x14ac:dyDescent="0.2">
      <c r="A142" s="1262">
        <v>3636</v>
      </c>
      <c r="B142" s="1263">
        <v>5163</v>
      </c>
      <c r="C142" s="1309" t="s">
        <v>1485</v>
      </c>
      <c r="D142" s="1264" t="s">
        <v>452</v>
      </c>
      <c r="E142" s="1265"/>
      <c r="F142" s="1265"/>
      <c r="G142" s="1265"/>
      <c r="H142" s="3065" t="e">
        <f t="shared" si="4"/>
        <v>#DIV/0!</v>
      </c>
    </row>
    <row r="143" spans="1:8" ht="15" x14ac:dyDescent="0.2">
      <c r="A143" s="1262">
        <v>3636</v>
      </c>
      <c r="B143" s="1263">
        <v>5164</v>
      </c>
      <c r="C143" s="1309" t="s">
        <v>1486</v>
      </c>
      <c r="D143" s="1264" t="s">
        <v>101</v>
      </c>
      <c r="E143" s="1265">
        <v>2</v>
      </c>
      <c r="F143" s="1265">
        <v>2</v>
      </c>
      <c r="G143" s="1265">
        <v>0</v>
      </c>
      <c r="H143" s="3065">
        <f>G143/F143*100</f>
        <v>0</v>
      </c>
    </row>
    <row r="144" spans="1:8" ht="15" x14ac:dyDescent="0.2">
      <c r="A144" s="1262">
        <v>3636</v>
      </c>
      <c r="B144" s="1263">
        <v>5164</v>
      </c>
      <c r="C144" s="1309" t="s">
        <v>1485</v>
      </c>
      <c r="D144" s="1264" t="s">
        <v>101</v>
      </c>
      <c r="E144" s="1265">
        <v>8</v>
      </c>
      <c r="F144" s="1265">
        <v>8</v>
      </c>
      <c r="G144" s="1265">
        <v>0</v>
      </c>
      <c r="H144" s="3065">
        <f>G144/F144*100</f>
        <v>0</v>
      </c>
    </row>
    <row r="145" spans="1:8" ht="15" x14ac:dyDescent="0.2">
      <c r="A145" s="1262">
        <v>3636</v>
      </c>
      <c r="B145" s="1263">
        <v>5164</v>
      </c>
      <c r="C145" s="1309" t="s">
        <v>1807</v>
      </c>
      <c r="D145" s="1264" t="s">
        <v>101</v>
      </c>
      <c r="E145" s="1265">
        <v>0</v>
      </c>
      <c r="F145" s="1265">
        <v>11</v>
      </c>
      <c r="G145" s="1265">
        <v>0</v>
      </c>
      <c r="H145" s="3065">
        <f>G145/F145*100</f>
        <v>0</v>
      </c>
    </row>
    <row r="146" spans="1:8" ht="15" x14ac:dyDescent="0.2">
      <c r="A146" s="1262">
        <v>3636</v>
      </c>
      <c r="B146" s="1263">
        <v>5166</v>
      </c>
      <c r="C146" s="1309" t="s">
        <v>1486</v>
      </c>
      <c r="D146" s="1264" t="s">
        <v>317</v>
      </c>
      <c r="E146" s="1265">
        <v>5</v>
      </c>
      <c r="F146" s="1265">
        <v>2</v>
      </c>
      <c r="G146" s="1265">
        <v>0</v>
      </c>
      <c r="H146" s="3065">
        <v>0</v>
      </c>
    </row>
    <row r="147" spans="1:8" ht="15" x14ac:dyDescent="0.2">
      <c r="A147" s="1262">
        <v>3636</v>
      </c>
      <c r="B147" s="1263">
        <v>5166</v>
      </c>
      <c r="C147" s="1309" t="s">
        <v>1485</v>
      </c>
      <c r="D147" s="1264" t="s">
        <v>317</v>
      </c>
      <c r="E147" s="1265">
        <v>25</v>
      </c>
      <c r="F147" s="1265">
        <v>25</v>
      </c>
      <c r="G147" s="1265">
        <v>0</v>
      </c>
      <c r="H147" s="3065">
        <f>G147/F147*100</f>
        <v>0</v>
      </c>
    </row>
    <row r="148" spans="1:8" ht="15" hidden="1" x14ac:dyDescent="0.2">
      <c r="A148" s="1262">
        <v>3636</v>
      </c>
      <c r="B148" s="1263">
        <v>5166</v>
      </c>
      <c r="C148" s="1309" t="s">
        <v>1483</v>
      </c>
      <c r="D148" s="1264" t="s">
        <v>317</v>
      </c>
      <c r="E148" s="1265"/>
      <c r="F148" s="1265"/>
      <c r="G148" s="1265"/>
      <c r="H148" s="3065" t="e">
        <f>G148/F148*100</f>
        <v>#DIV/0!</v>
      </c>
    </row>
    <row r="149" spans="1:8" ht="15" x14ac:dyDescent="0.2">
      <c r="A149" s="1262">
        <v>3636</v>
      </c>
      <c r="B149" s="1263">
        <v>5167</v>
      </c>
      <c r="C149" s="1309" t="s">
        <v>1486</v>
      </c>
      <c r="D149" s="1264" t="s">
        <v>455</v>
      </c>
      <c r="E149" s="1265">
        <v>2</v>
      </c>
      <c r="F149" s="1265">
        <v>7</v>
      </c>
      <c r="G149" s="1265">
        <v>0</v>
      </c>
      <c r="H149" s="3065">
        <v>0</v>
      </c>
    </row>
    <row r="150" spans="1:8" ht="15" x14ac:dyDescent="0.2">
      <c r="A150" s="1262">
        <v>3636</v>
      </c>
      <c r="B150" s="1263">
        <v>5167</v>
      </c>
      <c r="C150" s="1309" t="s">
        <v>1485</v>
      </c>
      <c r="D150" s="1264" t="s">
        <v>455</v>
      </c>
      <c r="E150" s="1265">
        <v>8</v>
      </c>
      <c r="F150" s="1265">
        <v>8</v>
      </c>
      <c r="G150" s="1265">
        <v>0</v>
      </c>
      <c r="H150" s="3065">
        <f>G150/F150*100</f>
        <v>0</v>
      </c>
    </row>
    <row r="151" spans="1:8" ht="15" x14ac:dyDescent="0.2">
      <c r="A151" s="1262">
        <v>3636</v>
      </c>
      <c r="B151" s="1263">
        <v>5167</v>
      </c>
      <c r="C151" s="1309" t="s">
        <v>1807</v>
      </c>
      <c r="D151" s="1264" t="s">
        <v>455</v>
      </c>
      <c r="E151" s="1265">
        <v>0</v>
      </c>
      <c r="F151" s="1265">
        <v>43</v>
      </c>
      <c r="G151" s="1265">
        <v>1</v>
      </c>
      <c r="H151" s="3065">
        <f>G151/F151*100</f>
        <v>2.3255813953488373</v>
      </c>
    </row>
    <row r="152" spans="1:8" ht="30" x14ac:dyDescent="0.2">
      <c r="A152" s="3071">
        <v>3636</v>
      </c>
      <c r="B152" s="3072">
        <v>5168</v>
      </c>
      <c r="C152" s="3064" t="s">
        <v>1486</v>
      </c>
      <c r="D152" s="1264" t="s">
        <v>838</v>
      </c>
      <c r="E152" s="3068">
        <v>0</v>
      </c>
      <c r="F152" s="3068">
        <v>4</v>
      </c>
      <c r="G152" s="3068">
        <v>4</v>
      </c>
      <c r="H152" s="3069">
        <f>G152/F152*100</f>
        <v>100</v>
      </c>
    </row>
    <row r="153" spans="1:8" ht="30" x14ac:dyDescent="0.2">
      <c r="A153" s="3071">
        <v>3636</v>
      </c>
      <c r="B153" s="3072">
        <v>5168</v>
      </c>
      <c r="C153" s="3064" t="s">
        <v>1807</v>
      </c>
      <c r="D153" s="1264" t="s">
        <v>838</v>
      </c>
      <c r="E153" s="3068">
        <v>0</v>
      </c>
      <c r="F153" s="3068">
        <v>24</v>
      </c>
      <c r="G153" s="3068">
        <v>24</v>
      </c>
      <c r="H153" s="3069">
        <f>G153/F153*100</f>
        <v>100</v>
      </c>
    </row>
    <row r="154" spans="1:8" ht="15" x14ac:dyDescent="0.2">
      <c r="A154" s="1262">
        <v>3636</v>
      </c>
      <c r="B154" s="1263">
        <v>5169</v>
      </c>
      <c r="C154" s="1309" t="s">
        <v>1486</v>
      </c>
      <c r="D154" s="1264" t="s">
        <v>430</v>
      </c>
      <c r="E154" s="1265">
        <v>8</v>
      </c>
      <c r="F154" s="1265">
        <v>4</v>
      </c>
      <c r="G154" s="1265">
        <v>0</v>
      </c>
      <c r="H154" s="3065">
        <v>0</v>
      </c>
    </row>
    <row r="155" spans="1:8" ht="15" x14ac:dyDescent="0.2">
      <c r="A155" s="1262">
        <v>3636</v>
      </c>
      <c r="B155" s="1263">
        <v>5169</v>
      </c>
      <c r="C155" s="1309" t="s">
        <v>1485</v>
      </c>
      <c r="D155" s="1264" t="s">
        <v>430</v>
      </c>
      <c r="E155" s="1265">
        <v>42</v>
      </c>
      <c r="F155" s="1265">
        <v>17</v>
      </c>
      <c r="G155" s="1265">
        <v>0</v>
      </c>
      <c r="H155" s="3065">
        <f t="shared" ref="H155:H160" si="5">G155/F155*100</f>
        <v>0</v>
      </c>
    </row>
    <row r="156" spans="1:8" ht="15" x14ac:dyDescent="0.2">
      <c r="A156" s="1262">
        <v>3636</v>
      </c>
      <c r="B156" s="1263">
        <v>5169</v>
      </c>
      <c r="C156" s="1309" t="s">
        <v>1807</v>
      </c>
      <c r="D156" s="1264" t="s">
        <v>430</v>
      </c>
      <c r="E156" s="1265">
        <v>0</v>
      </c>
      <c r="F156" s="1265">
        <v>16</v>
      </c>
      <c r="G156" s="1265">
        <v>0</v>
      </c>
      <c r="H156" s="3065">
        <f t="shared" si="5"/>
        <v>0</v>
      </c>
    </row>
    <row r="157" spans="1:8" ht="15" hidden="1" x14ac:dyDescent="0.2">
      <c r="A157" s="1262">
        <v>3636</v>
      </c>
      <c r="B157" s="1263">
        <v>5172</v>
      </c>
      <c r="C157" s="1309" t="s">
        <v>1486</v>
      </c>
      <c r="D157" s="1264" t="s">
        <v>457</v>
      </c>
      <c r="E157" s="1265"/>
      <c r="F157" s="1265"/>
      <c r="G157" s="1265"/>
      <c r="H157" s="3065" t="e">
        <f t="shared" si="5"/>
        <v>#DIV/0!</v>
      </c>
    </row>
    <row r="158" spans="1:8" ht="15" x14ac:dyDescent="0.2">
      <c r="A158" s="1262">
        <v>3636</v>
      </c>
      <c r="B158" s="1263">
        <v>5173</v>
      </c>
      <c r="C158" s="1309" t="s">
        <v>1486</v>
      </c>
      <c r="D158" s="1264" t="s">
        <v>541</v>
      </c>
      <c r="E158" s="1265">
        <v>11</v>
      </c>
      <c r="F158" s="1265">
        <v>11</v>
      </c>
      <c r="G158" s="1265">
        <v>1</v>
      </c>
      <c r="H158" s="3065">
        <f t="shared" si="5"/>
        <v>9.0909090909090917</v>
      </c>
    </row>
    <row r="159" spans="1:8" ht="15" hidden="1" x14ac:dyDescent="0.2">
      <c r="A159" s="1262">
        <v>3636</v>
      </c>
      <c r="B159" s="1263">
        <v>5173</v>
      </c>
      <c r="C159" s="1309" t="s">
        <v>1485</v>
      </c>
      <c r="D159" s="1264" t="s">
        <v>541</v>
      </c>
      <c r="E159" s="1265"/>
      <c r="F159" s="1265"/>
      <c r="G159" s="1265"/>
      <c r="H159" s="3065" t="e">
        <f t="shared" si="5"/>
        <v>#DIV/0!</v>
      </c>
    </row>
    <row r="160" spans="1:8" ht="15" x14ac:dyDescent="0.2">
      <c r="A160" s="1262">
        <v>3636</v>
      </c>
      <c r="B160" s="1263">
        <v>5173</v>
      </c>
      <c r="C160" s="1309" t="s">
        <v>1807</v>
      </c>
      <c r="D160" s="1264" t="s">
        <v>541</v>
      </c>
      <c r="E160" s="1265">
        <v>0</v>
      </c>
      <c r="F160" s="1265">
        <v>55</v>
      </c>
      <c r="G160" s="1265">
        <v>3</v>
      </c>
      <c r="H160" s="3065">
        <f t="shared" si="5"/>
        <v>5.4545454545454541</v>
      </c>
    </row>
    <row r="161" spans="1:8" ht="15" x14ac:dyDescent="0.2">
      <c r="A161" s="1262">
        <v>3636</v>
      </c>
      <c r="B161" s="1263">
        <v>5175</v>
      </c>
      <c r="C161" s="1309" t="s">
        <v>1486</v>
      </c>
      <c r="D161" s="1264" t="s">
        <v>352</v>
      </c>
      <c r="E161" s="1265">
        <v>3</v>
      </c>
      <c r="F161" s="1265">
        <v>0</v>
      </c>
      <c r="G161" s="1265">
        <v>0</v>
      </c>
      <c r="H161" s="3065">
        <v>0</v>
      </c>
    </row>
    <row r="162" spans="1:8" ht="15" x14ac:dyDescent="0.2">
      <c r="A162" s="1262">
        <v>3636</v>
      </c>
      <c r="B162" s="1263">
        <v>5175</v>
      </c>
      <c r="C162" s="1309" t="s">
        <v>1485</v>
      </c>
      <c r="D162" s="1264" t="s">
        <v>352</v>
      </c>
      <c r="E162" s="1265">
        <v>17</v>
      </c>
      <c r="F162" s="1265">
        <v>17</v>
      </c>
      <c r="G162" s="1265">
        <v>0</v>
      </c>
      <c r="H162" s="3065">
        <f>G162/F162*100</f>
        <v>0</v>
      </c>
    </row>
    <row r="163" spans="1:8" ht="15" x14ac:dyDescent="0.2">
      <c r="A163" s="1262">
        <v>3636</v>
      </c>
      <c r="B163" s="1263">
        <v>5175</v>
      </c>
      <c r="C163" s="1309" t="s">
        <v>1807</v>
      </c>
      <c r="D163" s="1264" t="s">
        <v>352</v>
      </c>
      <c r="E163" s="1265">
        <v>0</v>
      </c>
      <c r="F163" s="1265">
        <v>1</v>
      </c>
      <c r="G163" s="1265">
        <v>0</v>
      </c>
      <c r="H163" s="3065">
        <f>G163/F163*100</f>
        <v>0</v>
      </c>
    </row>
    <row r="164" spans="1:8" ht="15" x14ac:dyDescent="0.2">
      <c r="A164" s="1262">
        <v>3636</v>
      </c>
      <c r="B164" s="1263">
        <v>5176</v>
      </c>
      <c r="C164" s="1309" t="s">
        <v>1486</v>
      </c>
      <c r="D164" s="1264" t="s">
        <v>593</v>
      </c>
      <c r="E164" s="1265">
        <v>9</v>
      </c>
      <c r="F164" s="1265">
        <v>0</v>
      </c>
      <c r="G164" s="1265">
        <v>0</v>
      </c>
      <c r="H164" s="3065">
        <v>0</v>
      </c>
    </row>
    <row r="165" spans="1:8" ht="15" hidden="1" x14ac:dyDescent="0.2">
      <c r="A165" s="1262">
        <v>3636</v>
      </c>
      <c r="B165" s="1263">
        <v>5176</v>
      </c>
      <c r="C165" s="1309" t="s">
        <v>879</v>
      </c>
      <c r="D165" s="1264" t="s">
        <v>593</v>
      </c>
      <c r="E165" s="1265"/>
      <c r="F165" s="1265"/>
      <c r="G165" s="1265"/>
      <c r="H165" s="3065" t="e">
        <f t="shared" ref="H165:H170" si="6">G165/F165*100</f>
        <v>#DIV/0!</v>
      </c>
    </row>
    <row r="166" spans="1:8" ht="15" x14ac:dyDescent="0.2">
      <c r="A166" s="1262">
        <v>3636</v>
      </c>
      <c r="B166" s="1263">
        <v>5176</v>
      </c>
      <c r="C166" s="1309" t="s">
        <v>1485</v>
      </c>
      <c r="D166" s="1264" t="s">
        <v>593</v>
      </c>
      <c r="E166" s="1265">
        <v>51</v>
      </c>
      <c r="F166" s="1265">
        <v>51</v>
      </c>
      <c r="G166" s="1265">
        <v>0</v>
      </c>
      <c r="H166" s="3065">
        <f t="shared" si="6"/>
        <v>0</v>
      </c>
    </row>
    <row r="167" spans="1:8" ht="15" hidden="1" x14ac:dyDescent="0.2">
      <c r="A167" s="1262">
        <v>3299</v>
      </c>
      <c r="B167" s="1263">
        <v>5901</v>
      </c>
      <c r="C167" s="2203">
        <v>32533019</v>
      </c>
      <c r="D167" s="1264" t="s">
        <v>311</v>
      </c>
      <c r="E167" s="1265"/>
      <c r="F167" s="1265"/>
      <c r="G167" s="1265"/>
      <c r="H167" s="3065" t="e">
        <f t="shared" si="6"/>
        <v>#DIV/0!</v>
      </c>
    </row>
    <row r="168" spans="1:8" ht="15" x14ac:dyDescent="0.2">
      <c r="A168" s="1262">
        <v>3299</v>
      </c>
      <c r="B168" s="1263">
        <v>5424</v>
      </c>
      <c r="C168" s="1309" t="s">
        <v>1486</v>
      </c>
      <c r="D168" s="1264" t="s">
        <v>343</v>
      </c>
      <c r="E168" s="1265">
        <v>0</v>
      </c>
      <c r="F168" s="1265">
        <v>1</v>
      </c>
      <c r="G168" s="1265">
        <v>0</v>
      </c>
      <c r="H168" s="3065">
        <f t="shared" si="6"/>
        <v>0</v>
      </c>
    </row>
    <row r="169" spans="1:8" ht="15" x14ac:dyDescent="0.2">
      <c r="A169" s="1262">
        <v>3636</v>
      </c>
      <c r="B169" s="1263">
        <v>5424</v>
      </c>
      <c r="C169" s="1309" t="s">
        <v>1485</v>
      </c>
      <c r="D169" s="1264" t="s">
        <v>343</v>
      </c>
      <c r="E169" s="1265">
        <v>0</v>
      </c>
      <c r="F169" s="1265">
        <v>6</v>
      </c>
      <c r="G169" s="1265">
        <v>2</v>
      </c>
      <c r="H169" s="3065">
        <f t="shared" si="6"/>
        <v>33.333333333333329</v>
      </c>
    </row>
    <row r="170" spans="1:8" ht="15" x14ac:dyDescent="0.2">
      <c r="A170" s="1262">
        <v>3636</v>
      </c>
      <c r="B170" s="1263">
        <v>5424</v>
      </c>
      <c r="C170" s="1309" t="s">
        <v>1807</v>
      </c>
      <c r="D170" s="1264" t="s">
        <v>239</v>
      </c>
      <c r="E170" s="1265">
        <v>0</v>
      </c>
      <c r="F170" s="1265">
        <v>9</v>
      </c>
      <c r="G170" s="1265">
        <v>0</v>
      </c>
      <c r="H170" s="3065">
        <f t="shared" si="6"/>
        <v>0</v>
      </c>
    </row>
    <row r="171" spans="1:8" ht="15.75" thickBot="1" x14ac:dyDescent="0.25">
      <c r="A171" s="1262">
        <v>6330</v>
      </c>
      <c r="B171" s="1263">
        <v>5345</v>
      </c>
      <c r="C171" s="2203" t="s">
        <v>871</v>
      </c>
      <c r="D171" s="1264" t="s">
        <v>397</v>
      </c>
      <c r="E171" s="1265">
        <v>0</v>
      </c>
      <c r="F171" s="1265">
        <v>0</v>
      </c>
      <c r="G171" s="1265">
        <v>10292</v>
      </c>
      <c r="H171" s="3066">
        <v>0</v>
      </c>
    </row>
    <row r="172" spans="1:8" ht="16.5" thickTop="1" thickBot="1" x14ac:dyDescent="0.3">
      <c r="A172" s="3317" t="s">
        <v>394</v>
      </c>
      <c r="B172" s="3318"/>
      <c r="C172" s="3318"/>
      <c r="D172" s="3318"/>
      <c r="E172" s="1113">
        <f>SUM(E115:E171)</f>
        <v>3613</v>
      </c>
      <c r="F172" s="1113">
        <f t="shared" ref="F172:G172" si="7">SUM(F115:F171)</f>
        <v>13211</v>
      </c>
      <c r="G172" s="1113">
        <f t="shared" si="7"/>
        <v>19799</v>
      </c>
      <c r="H172" s="1381">
        <f>G172/F172*100</f>
        <v>149.8675346302324</v>
      </c>
    </row>
    <row r="173" spans="1:8" ht="13.5" thickTop="1" x14ac:dyDescent="0.2"/>
    <row r="174" spans="1:8" ht="30" hidden="1" customHeight="1" x14ac:dyDescent="0.25">
      <c r="A174" s="3333" t="s">
        <v>1489</v>
      </c>
      <c r="B174" s="3334"/>
      <c r="C174" s="3334"/>
      <c r="D174" s="3334"/>
      <c r="E174" s="3334"/>
      <c r="F174" s="3334"/>
      <c r="G174" s="3334"/>
      <c r="H174" s="3334"/>
    </row>
    <row r="175" spans="1:8" ht="15.75" hidden="1" thickBot="1" x14ac:dyDescent="0.3">
      <c r="A175" s="1229" t="s">
        <v>1481</v>
      </c>
      <c r="B175" s="1243"/>
      <c r="C175" s="1243"/>
      <c r="E175" s="1244"/>
      <c r="F175" s="1244"/>
      <c r="G175" s="1244"/>
      <c r="H175" s="1245" t="s">
        <v>92</v>
      </c>
    </row>
    <row r="176" spans="1:8" ht="25.5" hidden="1" thickTop="1" thickBot="1" x14ac:dyDescent="0.25">
      <c r="A176" s="1104" t="s">
        <v>93</v>
      </c>
      <c r="B176" s="1105" t="s">
        <v>392</v>
      </c>
      <c r="C176" s="1105" t="s">
        <v>209</v>
      </c>
      <c r="D176" s="1106" t="s">
        <v>95</v>
      </c>
      <c r="E176" s="1127" t="s">
        <v>328</v>
      </c>
      <c r="F176" s="1127" t="s">
        <v>329</v>
      </c>
      <c r="G176" s="1128" t="s">
        <v>448</v>
      </c>
      <c r="H176" s="1129" t="s">
        <v>449</v>
      </c>
    </row>
    <row r="177" spans="1:8" ht="14.25" hidden="1" thickTop="1" thickBot="1" x14ac:dyDescent="0.25">
      <c r="A177" s="1042">
        <v>1</v>
      </c>
      <c r="B177" s="1041">
        <v>2</v>
      </c>
      <c r="C177" s="1041">
        <v>3</v>
      </c>
      <c r="D177" s="1041">
        <v>4</v>
      </c>
      <c r="E177" s="1040">
        <v>5</v>
      </c>
      <c r="F177" s="1040">
        <v>6</v>
      </c>
      <c r="G177" s="1164">
        <v>7</v>
      </c>
      <c r="H177" s="1186" t="s">
        <v>33</v>
      </c>
    </row>
    <row r="178" spans="1:8" ht="30.75" hidden="1" thickTop="1" x14ac:dyDescent="0.2">
      <c r="A178" s="1262">
        <v>2125</v>
      </c>
      <c r="B178" s="1263">
        <v>5229</v>
      </c>
      <c r="C178" s="1309">
        <v>103100880</v>
      </c>
      <c r="D178" s="1264" t="s">
        <v>484</v>
      </c>
      <c r="E178" s="1265"/>
      <c r="F178" s="1265"/>
      <c r="G178" s="1265"/>
      <c r="H178" s="1266">
        <v>0</v>
      </c>
    </row>
    <row r="179" spans="1:8" ht="15.75" hidden="1" thickTop="1" x14ac:dyDescent="0.2">
      <c r="A179" s="1262">
        <v>3636</v>
      </c>
      <c r="B179" s="1263">
        <v>5011</v>
      </c>
      <c r="C179" s="1309" t="s">
        <v>1486</v>
      </c>
      <c r="D179" s="1264" t="s">
        <v>117</v>
      </c>
      <c r="E179" s="1265"/>
      <c r="F179" s="1265"/>
      <c r="G179" s="1265"/>
      <c r="H179" s="1266" t="e">
        <f t="shared" ref="H179:H195" si="8">G179/F179*100</f>
        <v>#DIV/0!</v>
      </c>
    </row>
    <row r="180" spans="1:8" ht="15.75" hidden="1" thickTop="1" x14ac:dyDescent="0.2">
      <c r="A180" s="1262">
        <v>3636</v>
      </c>
      <c r="B180" s="1263">
        <v>5011</v>
      </c>
      <c r="C180" s="1309" t="s">
        <v>1485</v>
      </c>
      <c r="D180" s="1264" t="s">
        <v>117</v>
      </c>
      <c r="E180" s="1265"/>
      <c r="F180" s="1265"/>
      <c r="G180" s="1265"/>
      <c r="H180" s="1266" t="e">
        <f t="shared" si="8"/>
        <v>#DIV/0!</v>
      </c>
    </row>
    <row r="181" spans="1:8" ht="15.75" hidden="1" thickTop="1" x14ac:dyDescent="0.2">
      <c r="A181" s="1262">
        <v>3636</v>
      </c>
      <c r="B181" s="1263">
        <v>5011</v>
      </c>
      <c r="C181" s="1309" t="s">
        <v>880</v>
      </c>
      <c r="D181" s="1264" t="s">
        <v>117</v>
      </c>
      <c r="E181" s="1265"/>
      <c r="F181" s="1265"/>
      <c r="G181" s="1265"/>
      <c r="H181" s="1266" t="e">
        <f t="shared" si="8"/>
        <v>#DIV/0!</v>
      </c>
    </row>
    <row r="182" spans="1:8" ht="15.75" hidden="1" thickTop="1" x14ac:dyDescent="0.2">
      <c r="A182" s="1262">
        <v>6223</v>
      </c>
      <c r="B182" s="1263">
        <v>5021</v>
      </c>
      <c r="C182" s="1309" t="s">
        <v>1488</v>
      </c>
      <c r="D182" s="1264" t="s">
        <v>217</v>
      </c>
      <c r="E182" s="1265"/>
      <c r="F182" s="1265"/>
      <c r="G182" s="1265"/>
      <c r="H182" s="1266" t="e">
        <f t="shared" si="8"/>
        <v>#DIV/0!</v>
      </c>
    </row>
    <row r="183" spans="1:8" ht="15" hidden="1" x14ac:dyDescent="0.2">
      <c r="A183" s="1262">
        <v>6223</v>
      </c>
      <c r="B183" s="1263">
        <v>5021</v>
      </c>
      <c r="C183" s="1309" t="s">
        <v>1487</v>
      </c>
      <c r="D183" s="1264" t="s">
        <v>217</v>
      </c>
      <c r="E183" s="1265"/>
      <c r="F183" s="1265"/>
      <c r="G183" s="1265"/>
      <c r="H183" s="1266" t="e">
        <f t="shared" si="8"/>
        <v>#DIV/0!</v>
      </c>
    </row>
    <row r="184" spans="1:8" ht="15" hidden="1" x14ac:dyDescent="0.2">
      <c r="A184" s="1262">
        <v>3636</v>
      </c>
      <c r="B184" s="1263">
        <v>5021</v>
      </c>
      <c r="C184" s="1309" t="s">
        <v>880</v>
      </c>
      <c r="D184" s="1264" t="s">
        <v>217</v>
      </c>
      <c r="E184" s="1265"/>
      <c r="F184" s="1265"/>
      <c r="G184" s="1265"/>
      <c r="H184" s="1266" t="e">
        <f t="shared" si="8"/>
        <v>#DIV/0!</v>
      </c>
    </row>
    <row r="185" spans="1:8" ht="30" hidden="1" x14ac:dyDescent="0.2">
      <c r="A185" s="1262">
        <v>3636</v>
      </c>
      <c r="B185" s="1263">
        <v>5031</v>
      </c>
      <c r="C185" s="1309" t="s">
        <v>1486</v>
      </c>
      <c r="D185" s="1307" t="s">
        <v>621</v>
      </c>
      <c r="E185" s="1265"/>
      <c r="F185" s="1265"/>
      <c r="G185" s="1265"/>
      <c r="H185" s="1266" t="e">
        <f t="shared" si="8"/>
        <v>#DIV/0!</v>
      </c>
    </row>
    <row r="186" spans="1:8" ht="30" hidden="1" x14ac:dyDescent="0.2">
      <c r="A186" s="1262">
        <v>3636</v>
      </c>
      <c r="B186" s="1263">
        <v>5031</v>
      </c>
      <c r="C186" s="1309" t="s">
        <v>1485</v>
      </c>
      <c r="D186" s="1307" t="s">
        <v>621</v>
      </c>
      <c r="E186" s="1265"/>
      <c r="F186" s="1265"/>
      <c r="G186" s="1265"/>
      <c r="H186" s="1266" t="e">
        <f t="shared" si="8"/>
        <v>#DIV/0!</v>
      </c>
    </row>
    <row r="187" spans="1:8" ht="30" hidden="1" x14ac:dyDescent="0.2">
      <c r="A187" s="1262">
        <v>3636</v>
      </c>
      <c r="B187" s="1263">
        <v>5031</v>
      </c>
      <c r="C187" s="1309" t="s">
        <v>880</v>
      </c>
      <c r="D187" s="1307" t="s">
        <v>621</v>
      </c>
      <c r="E187" s="1265"/>
      <c r="F187" s="1265"/>
      <c r="G187" s="1265"/>
      <c r="H187" s="1266" t="e">
        <f t="shared" si="8"/>
        <v>#DIV/0!</v>
      </c>
    </row>
    <row r="188" spans="1:8" ht="30" hidden="1" x14ac:dyDescent="0.2">
      <c r="A188" s="1262">
        <v>3636</v>
      </c>
      <c r="B188" s="1263">
        <v>5032</v>
      </c>
      <c r="C188" s="1309" t="s">
        <v>1486</v>
      </c>
      <c r="D188" s="1264" t="s">
        <v>553</v>
      </c>
      <c r="E188" s="1265"/>
      <c r="F188" s="1265"/>
      <c r="G188" s="1265"/>
      <c r="H188" s="1266" t="e">
        <f t="shared" si="8"/>
        <v>#DIV/0!</v>
      </c>
    </row>
    <row r="189" spans="1:8" ht="30" hidden="1" x14ac:dyDescent="0.2">
      <c r="A189" s="1262">
        <v>3636</v>
      </c>
      <c r="B189" s="1263">
        <v>5032</v>
      </c>
      <c r="C189" s="1309" t="s">
        <v>1485</v>
      </c>
      <c r="D189" s="1264" t="s">
        <v>553</v>
      </c>
      <c r="E189" s="1265"/>
      <c r="F189" s="1265"/>
      <c r="G189" s="1265"/>
      <c r="H189" s="1266" t="e">
        <f t="shared" si="8"/>
        <v>#DIV/0!</v>
      </c>
    </row>
    <row r="190" spans="1:8" ht="30" hidden="1" x14ac:dyDescent="0.2">
      <c r="A190" s="1262">
        <v>3636</v>
      </c>
      <c r="B190" s="1263">
        <v>5032</v>
      </c>
      <c r="C190" s="1309" t="s">
        <v>880</v>
      </c>
      <c r="D190" s="1264" t="s">
        <v>553</v>
      </c>
      <c r="E190" s="1265"/>
      <c r="F190" s="1265"/>
      <c r="G190" s="1265"/>
      <c r="H190" s="1266" t="e">
        <f t="shared" si="8"/>
        <v>#DIV/0!</v>
      </c>
    </row>
    <row r="191" spans="1:8" ht="15" hidden="1" x14ac:dyDescent="0.2">
      <c r="A191" s="1262">
        <v>3636</v>
      </c>
      <c r="B191" s="1263">
        <v>5137</v>
      </c>
      <c r="C191" s="1309" t="s">
        <v>1486</v>
      </c>
      <c r="D191" s="1264" t="s">
        <v>88</v>
      </c>
      <c r="E191" s="1265"/>
      <c r="F191" s="1265"/>
      <c r="G191" s="1265"/>
      <c r="H191" s="1266" t="e">
        <f t="shared" si="8"/>
        <v>#DIV/0!</v>
      </c>
    </row>
    <row r="192" spans="1:8" ht="15" hidden="1" x14ac:dyDescent="0.2">
      <c r="A192" s="1262">
        <v>3636</v>
      </c>
      <c r="B192" s="1263">
        <v>5137</v>
      </c>
      <c r="C192" s="1309" t="s">
        <v>879</v>
      </c>
      <c r="D192" s="1264" t="s">
        <v>88</v>
      </c>
      <c r="E192" s="1265"/>
      <c r="F192" s="1265"/>
      <c r="G192" s="1265"/>
      <c r="H192" s="1266" t="e">
        <f t="shared" si="8"/>
        <v>#DIV/0!</v>
      </c>
    </row>
    <row r="193" spans="1:8" ht="15" hidden="1" x14ac:dyDescent="0.2">
      <c r="A193" s="1262">
        <v>3636</v>
      </c>
      <c r="B193" s="1263">
        <v>5137</v>
      </c>
      <c r="C193" s="1309" t="s">
        <v>880</v>
      </c>
      <c r="D193" s="1264" t="s">
        <v>88</v>
      </c>
      <c r="E193" s="1265"/>
      <c r="F193" s="1265"/>
      <c r="G193" s="1265"/>
      <c r="H193" s="1266" t="e">
        <f t="shared" si="8"/>
        <v>#DIV/0!</v>
      </c>
    </row>
    <row r="194" spans="1:8" ht="15" hidden="1" x14ac:dyDescent="0.2">
      <c r="A194" s="1262">
        <v>3636</v>
      </c>
      <c r="B194" s="1263">
        <v>5139</v>
      </c>
      <c r="C194" s="1309" t="s">
        <v>1486</v>
      </c>
      <c r="D194" s="1264" t="s">
        <v>152</v>
      </c>
      <c r="E194" s="1265"/>
      <c r="F194" s="1265"/>
      <c r="G194" s="1265"/>
      <c r="H194" s="1266" t="e">
        <f t="shared" si="8"/>
        <v>#DIV/0!</v>
      </c>
    </row>
    <row r="195" spans="1:8" ht="15" hidden="1" x14ac:dyDescent="0.2">
      <c r="A195" s="1262">
        <v>3636</v>
      </c>
      <c r="B195" s="1263">
        <v>5139</v>
      </c>
      <c r="C195" s="1309" t="s">
        <v>1485</v>
      </c>
      <c r="D195" s="1264" t="s">
        <v>152</v>
      </c>
      <c r="E195" s="1265"/>
      <c r="F195" s="1265"/>
      <c r="G195" s="1265"/>
      <c r="H195" s="1266" t="e">
        <f t="shared" si="8"/>
        <v>#DIV/0!</v>
      </c>
    </row>
    <row r="196" spans="1:8" ht="15" hidden="1" x14ac:dyDescent="0.2">
      <c r="A196" s="1262">
        <v>3636</v>
      </c>
      <c r="B196" s="1263">
        <v>5139</v>
      </c>
      <c r="C196" s="1309" t="s">
        <v>880</v>
      </c>
      <c r="D196" s="1264" t="s">
        <v>152</v>
      </c>
      <c r="E196" s="1265"/>
      <c r="F196" s="1265"/>
      <c r="G196" s="1265"/>
      <c r="H196" s="1266">
        <v>0</v>
      </c>
    </row>
    <row r="197" spans="1:8" ht="15" hidden="1" x14ac:dyDescent="0.2">
      <c r="A197" s="1262">
        <v>3636</v>
      </c>
      <c r="B197" s="1263">
        <v>5162</v>
      </c>
      <c r="C197" s="1309" t="s">
        <v>1486</v>
      </c>
      <c r="D197" s="1264" t="s">
        <v>439</v>
      </c>
      <c r="E197" s="1265"/>
      <c r="F197" s="1265"/>
      <c r="G197" s="1265"/>
      <c r="H197" s="1266" t="e">
        <f>G197/F197*100</f>
        <v>#DIV/0!</v>
      </c>
    </row>
    <row r="198" spans="1:8" ht="15" hidden="1" x14ac:dyDescent="0.2">
      <c r="A198" s="1262">
        <v>3636</v>
      </c>
      <c r="B198" s="1263">
        <v>5162</v>
      </c>
      <c r="C198" s="1309" t="s">
        <v>1005</v>
      </c>
      <c r="D198" s="1264" t="s">
        <v>439</v>
      </c>
      <c r="E198" s="1265"/>
      <c r="F198" s="1265"/>
      <c r="G198" s="1265"/>
      <c r="H198" s="1266" t="e">
        <f>G198/F198*100</f>
        <v>#DIV/0!</v>
      </c>
    </row>
    <row r="199" spans="1:8" ht="15" hidden="1" x14ac:dyDescent="0.2">
      <c r="A199" s="1262">
        <v>3636</v>
      </c>
      <c r="B199" s="1263">
        <v>5163</v>
      </c>
      <c r="C199" s="1309" t="s">
        <v>1486</v>
      </c>
      <c r="D199" s="1264" t="s">
        <v>452</v>
      </c>
      <c r="E199" s="1265"/>
      <c r="F199" s="1265"/>
      <c r="G199" s="1265"/>
      <c r="H199" s="1266">
        <v>0</v>
      </c>
    </row>
    <row r="200" spans="1:8" ht="15" hidden="1" x14ac:dyDescent="0.2">
      <c r="A200" s="1262">
        <v>3636</v>
      </c>
      <c r="B200" s="1263">
        <v>5163</v>
      </c>
      <c r="C200" s="1309" t="s">
        <v>1485</v>
      </c>
      <c r="D200" s="1264" t="s">
        <v>452</v>
      </c>
      <c r="E200" s="1265"/>
      <c r="F200" s="1265"/>
      <c r="G200" s="1265"/>
      <c r="H200" s="1266">
        <v>0</v>
      </c>
    </row>
    <row r="201" spans="1:8" ht="15" hidden="1" x14ac:dyDescent="0.2">
      <c r="A201" s="1262">
        <v>6223</v>
      </c>
      <c r="B201" s="1263">
        <v>5164</v>
      </c>
      <c r="C201" s="1309" t="s">
        <v>1488</v>
      </c>
      <c r="D201" s="1264" t="s">
        <v>101</v>
      </c>
      <c r="E201" s="1265"/>
      <c r="F201" s="1265"/>
      <c r="G201" s="1265"/>
      <c r="H201" s="1266" t="e">
        <f>G201/F201*100</f>
        <v>#DIV/0!</v>
      </c>
    </row>
    <row r="202" spans="1:8" ht="15" hidden="1" x14ac:dyDescent="0.2">
      <c r="A202" s="1262">
        <v>6223</v>
      </c>
      <c r="B202" s="1263">
        <v>5164</v>
      </c>
      <c r="C202" s="1309" t="s">
        <v>1487</v>
      </c>
      <c r="D202" s="1264" t="s">
        <v>101</v>
      </c>
      <c r="E202" s="1265"/>
      <c r="F202" s="1265"/>
      <c r="G202" s="1265"/>
      <c r="H202" s="1266" t="e">
        <f>G202/F202*100</f>
        <v>#DIV/0!</v>
      </c>
    </row>
    <row r="203" spans="1:8" ht="15" hidden="1" x14ac:dyDescent="0.2">
      <c r="A203" s="1262">
        <v>3636</v>
      </c>
      <c r="B203" s="1263">
        <v>5166</v>
      </c>
      <c r="C203" s="1309" t="s">
        <v>1486</v>
      </c>
      <c r="D203" s="1264" t="s">
        <v>317</v>
      </c>
      <c r="E203" s="1265"/>
      <c r="F203" s="1265"/>
      <c r="G203" s="1265"/>
      <c r="H203" s="1266">
        <v>0</v>
      </c>
    </row>
    <row r="204" spans="1:8" ht="15" hidden="1" x14ac:dyDescent="0.2">
      <c r="A204" s="1262">
        <v>3636</v>
      </c>
      <c r="B204" s="1263">
        <v>5166</v>
      </c>
      <c r="C204" s="1309" t="s">
        <v>1484</v>
      </c>
      <c r="D204" s="1264" t="s">
        <v>317</v>
      </c>
      <c r="E204" s="1265"/>
      <c r="F204" s="1265"/>
      <c r="G204" s="1265"/>
      <c r="H204" s="1266" t="e">
        <f>G204/F204*100</f>
        <v>#DIV/0!</v>
      </c>
    </row>
    <row r="205" spans="1:8" ht="15" hidden="1" x14ac:dyDescent="0.2">
      <c r="A205" s="1262">
        <v>3636</v>
      </c>
      <c r="B205" s="1263">
        <v>5166</v>
      </c>
      <c r="C205" s="1309" t="s">
        <v>1483</v>
      </c>
      <c r="D205" s="1264" t="s">
        <v>317</v>
      </c>
      <c r="E205" s="1265"/>
      <c r="F205" s="1265"/>
      <c r="G205" s="1265"/>
      <c r="H205" s="1266" t="e">
        <f>G205/F205*100</f>
        <v>#DIV/0!</v>
      </c>
    </row>
    <row r="206" spans="1:8" ht="15" hidden="1" x14ac:dyDescent="0.2">
      <c r="A206" s="1262">
        <v>3636</v>
      </c>
      <c r="B206" s="1263">
        <v>5167</v>
      </c>
      <c r="C206" s="1309" t="s">
        <v>1486</v>
      </c>
      <c r="D206" s="1264" t="s">
        <v>455</v>
      </c>
      <c r="E206" s="1265"/>
      <c r="F206" s="1265"/>
      <c r="G206" s="1265"/>
      <c r="H206" s="1266">
        <v>0</v>
      </c>
    </row>
    <row r="207" spans="1:8" ht="15" hidden="1" x14ac:dyDescent="0.2">
      <c r="A207" s="1262">
        <v>3636</v>
      </c>
      <c r="B207" s="1263">
        <v>5167</v>
      </c>
      <c r="C207" s="1309" t="s">
        <v>1485</v>
      </c>
      <c r="D207" s="1264" t="s">
        <v>455</v>
      </c>
      <c r="E207" s="1265"/>
      <c r="F207" s="1265"/>
      <c r="G207" s="1265"/>
      <c r="H207" s="1266" t="e">
        <f>G207/F207*100</f>
        <v>#DIV/0!</v>
      </c>
    </row>
    <row r="208" spans="1:8" ht="15" hidden="1" x14ac:dyDescent="0.2">
      <c r="A208" s="1262">
        <v>3636</v>
      </c>
      <c r="B208" s="1263">
        <v>5167</v>
      </c>
      <c r="C208" s="1309" t="s">
        <v>880</v>
      </c>
      <c r="D208" s="1264" t="s">
        <v>455</v>
      </c>
      <c r="E208" s="1265"/>
      <c r="F208" s="1265"/>
      <c r="G208" s="1265"/>
      <c r="H208" s="1266" t="e">
        <f>G208/F208*100</f>
        <v>#DIV/0!</v>
      </c>
    </row>
    <row r="209" spans="1:8" ht="15" hidden="1" x14ac:dyDescent="0.2">
      <c r="A209" s="1262">
        <v>6223</v>
      </c>
      <c r="B209" s="1263">
        <v>5169</v>
      </c>
      <c r="C209" s="1309" t="s">
        <v>1488</v>
      </c>
      <c r="D209" s="1264" t="s">
        <v>430</v>
      </c>
      <c r="E209" s="1265"/>
      <c r="F209" s="1265"/>
      <c r="G209" s="1265"/>
      <c r="H209" s="1266">
        <v>0</v>
      </c>
    </row>
    <row r="210" spans="1:8" ht="15" hidden="1" x14ac:dyDescent="0.2">
      <c r="A210" s="1262">
        <v>6223</v>
      </c>
      <c r="B210" s="1263">
        <v>5169</v>
      </c>
      <c r="C210" s="1309" t="s">
        <v>1487</v>
      </c>
      <c r="D210" s="1264" t="s">
        <v>430</v>
      </c>
      <c r="E210" s="1265"/>
      <c r="F210" s="1265"/>
      <c r="G210" s="1265"/>
      <c r="H210" s="1266" t="e">
        <f t="shared" ref="H210:H215" si="9">G210/F210*100</f>
        <v>#DIV/0!</v>
      </c>
    </row>
    <row r="211" spans="1:8" ht="15" hidden="1" x14ac:dyDescent="0.2">
      <c r="A211" s="1262">
        <v>6223</v>
      </c>
      <c r="B211" s="1263">
        <v>5169</v>
      </c>
      <c r="C211" s="1309" t="s">
        <v>1485</v>
      </c>
      <c r="D211" s="1264" t="s">
        <v>430</v>
      </c>
      <c r="E211" s="1265"/>
      <c r="F211" s="1265"/>
      <c r="G211" s="1265"/>
      <c r="H211" s="1266" t="e">
        <f t="shared" si="9"/>
        <v>#DIV/0!</v>
      </c>
    </row>
    <row r="212" spans="1:8" ht="15" hidden="1" x14ac:dyDescent="0.2">
      <c r="A212" s="1262">
        <v>6223</v>
      </c>
      <c r="B212" s="1263">
        <v>5172</v>
      </c>
      <c r="C212" s="1309" t="s">
        <v>1486</v>
      </c>
      <c r="D212" s="1264" t="s">
        <v>457</v>
      </c>
      <c r="E212" s="1265"/>
      <c r="F212" s="1265"/>
      <c r="G212" s="1265"/>
      <c r="H212" s="1266" t="e">
        <f t="shared" si="9"/>
        <v>#DIV/0!</v>
      </c>
    </row>
    <row r="213" spans="1:8" ht="15" hidden="1" x14ac:dyDescent="0.2">
      <c r="A213" s="1262">
        <v>6223</v>
      </c>
      <c r="B213" s="1263">
        <v>5173</v>
      </c>
      <c r="C213" s="1309" t="s">
        <v>1488</v>
      </c>
      <c r="D213" s="1264" t="s">
        <v>541</v>
      </c>
      <c r="E213" s="1265"/>
      <c r="F213" s="1265"/>
      <c r="G213" s="1265"/>
      <c r="H213" s="1266" t="e">
        <f t="shared" si="9"/>
        <v>#DIV/0!</v>
      </c>
    </row>
    <row r="214" spans="1:8" ht="15" hidden="1" x14ac:dyDescent="0.2">
      <c r="A214" s="1262">
        <v>6223</v>
      </c>
      <c r="B214" s="1263">
        <v>5173</v>
      </c>
      <c r="C214" s="1309" t="s">
        <v>1487</v>
      </c>
      <c r="D214" s="1264" t="s">
        <v>541</v>
      </c>
      <c r="E214" s="1265"/>
      <c r="F214" s="1265"/>
      <c r="G214" s="1265"/>
      <c r="H214" s="1266" t="e">
        <f t="shared" si="9"/>
        <v>#DIV/0!</v>
      </c>
    </row>
    <row r="215" spans="1:8" ht="15" hidden="1" x14ac:dyDescent="0.2">
      <c r="A215" s="1262">
        <v>6223</v>
      </c>
      <c r="B215" s="1263">
        <v>5173</v>
      </c>
      <c r="C215" s="1309" t="s">
        <v>880</v>
      </c>
      <c r="D215" s="1264" t="s">
        <v>541</v>
      </c>
      <c r="E215" s="1265"/>
      <c r="F215" s="1265"/>
      <c r="G215" s="1265"/>
      <c r="H215" s="1266" t="e">
        <f t="shared" si="9"/>
        <v>#DIV/0!</v>
      </c>
    </row>
    <row r="216" spans="1:8" ht="15" hidden="1" x14ac:dyDescent="0.2">
      <c r="A216" s="1262">
        <v>6223</v>
      </c>
      <c r="B216" s="1263">
        <v>5175</v>
      </c>
      <c r="C216" s="1309" t="s">
        <v>1488</v>
      </c>
      <c r="D216" s="1264" t="s">
        <v>352</v>
      </c>
      <c r="E216" s="1265"/>
      <c r="F216" s="1265"/>
      <c r="G216" s="1265"/>
      <c r="H216" s="1266">
        <v>0</v>
      </c>
    </row>
    <row r="217" spans="1:8" ht="15.75" hidden="1" thickBot="1" x14ac:dyDescent="0.25">
      <c r="A217" s="1262">
        <v>6223</v>
      </c>
      <c r="B217" s="1263">
        <v>5175</v>
      </c>
      <c r="C217" s="1309" t="s">
        <v>1487</v>
      </c>
      <c r="D217" s="1264" t="s">
        <v>352</v>
      </c>
      <c r="E217" s="1265"/>
      <c r="F217" s="1265"/>
      <c r="G217" s="1265"/>
      <c r="H217" s="1266" t="e">
        <f>G217/F217*100</f>
        <v>#DIV/0!</v>
      </c>
    </row>
    <row r="218" spans="1:8" ht="15.75" hidden="1" thickBot="1" x14ac:dyDescent="0.25">
      <c r="A218" s="1262">
        <v>3636</v>
      </c>
      <c r="B218" s="1263">
        <v>5175</v>
      </c>
      <c r="C218" s="1309" t="s">
        <v>880</v>
      </c>
      <c r="D218" s="1264" t="s">
        <v>352</v>
      </c>
      <c r="E218" s="1265"/>
      <c r="F218" s="1265"/>
      <c r="G218" s="1265"/>
      <c r="H218" s="1266" t="e">
        <f>G218/F218*100</f>
        <v>#DIV/0!</v>
      </c>
    </row>
    <row r="219" spans="1:8" ht="15.75" hidden="1" thickBot="1" x14ac:dyDescent="0.25">
      <c r="A219" s="1262">
        <v>3636</v>
      </c>
      <c r="B219" s="1263">
        <v>5176</v>
      </c>
      <c r="C219" s="1309" t="s">
        <v>1486</v>
      </c>
      <c r="D219" s="1264" t="s">
        <v>593</v>
      </c>
      <c r="E219" s="1265"/>
      <c r="F219" s="1265"/>
      <c r="G219" s="1265"/>
      <c r="H219" s="1266">
        <v>0</v>
      </c>
    </row>
    <row r="220" spans="1:8" ht="15.75" hidden="1" thickBot="1" x14ac:dyDescent="0.25">
      <c r="A220" s="1262">
        <v>3636</v>
      </c>
      <c r="B220" s="1263">
        <v>5176</v>
      </c>
      <c r="C220" s="1309" t="s">
        <v>879</v>
      </c>
      <c r="D220" s="1264" t="s">
        <v>593</v>
      </c>
      <c r="E220" s="1265"/>
      <c r="F220" s="1265"/>
      <c r="G220" s="1265"/>
      <c r="H220" s="1266" t="e">
        <f t="shared" ref="H220:H225" si="10">G220/F220*100</f>
        <v>#DIV/0!</v>
      </c>
    </row>
    <row r="221" spans="1:8" ht="15.75" hidden="1" thickBot="1" x14ac:dyDescent="0.25">
      <c r="A221" s="1262">
        <v>3636</v>
      </c>
      <c r="B221" s="1263">
        <v>5176</v>
      </c>
      <c r="C221" s="1309" t="s">
        <v>1485</v>
      </c>
      <c r="D221" s="1264" t="s">
        <v>593</v>
      </c>
      <c r="E221" s="1265"/>
      <c r="F221" s="1265"/>
      <c r="G221" s="1265"/>
      <c r="H221" s="1266" t="e">
        <f t="shared" si="10"/>
        <v>#DIV/0!</v>
      </c>
    </row>
    <row r="222" spans="1:8" ht="15.75" hidden="1" thickBot="1" x14ac:dyDescent="0.25">
      <c r="A222" s="1262">
        <v>3299</v>
      </c>
      <c r="B222" s="1263">
        <v>5901</v>
      </c>
      <c r="C222" s="2203">
        <v>32533019</v>
      </c>
      <c r="D222" s="1264" t="s">
        <v>311</v>
      </c>
      <c r="E222" s="1265"/>
      <c r="F222" s="1265"/>
      <c r="G222" s="1265"/>
      <c r="H222" s="1266" t="e">
        <f t="shared" si="10"/>
        <v>#DIV/0!</v>
      </c>
    </row>
    <row r="223" spans="1:8" ht="15.75" hidden="1" thickBot="1" x14ac:dyDescent="0.25">
      <c r="A223" s="1262">
        <v>3299</v>
      </c>
      <c r="B223" s="1263">
        <v>5424</v>
      </c>
      <c r="C223" s="2203" t="s">
        <v>1484</v>
      </c>
      <c r="D223" s="1264" t="s">
        <v>343</v>
      </c>
      <c r="E223" s="1265"/>
      <c r="F223" s="1265"/>
      <c r="G223" s="1265"/>
      <c r="H223" s="1266" t="e">
        <f t="shared" si="10"/>
        <v>#DIV/0!</v>
      </c>
    </row>
    <row r="224" spans="1:8" ht="15.75" hidden="1" thickBot="1" x14ac:dyDescent="0.25">
      <c r="A224" s="1262">
        <v>3636</v>
      </c>
      <c r="B224" s="1263">
        <v>5424</v>
      </c>
      <c r="C224" s="2203" t="s">
        <v>1483</v>
      </c>
      <c r="D224" s="1264" t="s">
        <v>343</v>
      </c>
      <c r="E224" s="1265"/>
      <c r="F224" s="1265"/>
      <c r="G224" s="1265"/>
      <c r="H224" s="1266" t="e">
        <f t="shared" si="10"/>
        <v>#DIV/0!</v>
      </c>
    </row>
    <row r="225" spans="1:8" ht="15.75" hidden="1" thickBot="1" x14ac:dyDescent="0.25">
      <c r="A225" s="1262">
        <v>3636</v>
      </c>
      <c r="B225" s="1263">
        <v>6901</v>
      </c>
      <c r="C225" s="2203">
        <v>32533926</v>
      </c>
      <c r="D225" s="1264" t="s">
        <v>239</v>
      </c>
      <c r="E225" s="1265"/>
      <c r="F225" s="1265"/>
      <c r="G225" s="1265"/>
      <c r="H225" s="1266" t="e">
        <f t="shared" si="10"/>
        <v>#DIV/0!</v>
      </c>
    </row>
    <row r="226" spans="1:8" ht="15.75" hidden="1" thickBot="1" x14ac:dyDescent="0.25">
      <c r="A226" s="1262">
        <v>6330</v>
      </c>
      <c r="B226" s="1263">
        <v>5345</v>
      </c>
      <c r="C226" s="2203" t="s">
        <v>871</v>
      </c>
      <c r="D226" s="1264" t="s">
        <v>397</v>
      </c>
      <c r="E226" s="1265"/>
      <c r="F226" s="1265"/>
      <c r="G226" s="1265"/>
      <c r="H226" s="1268">
        <v>0</v>
      </c>
    </row>
    <row r="227" spans="1:8" ht="16.5" hidden="1" thickTop="1" thickBot="1" x14ac:dyDescent="0.3">
      <c r="A227" s="3317" t="s">
        <v>394</v>
      </c>
      <c r="B227" s="3318"/>
      <c r="C227" s="3318"/>
      <c r="D227" s="3318"/>
      <c r="E227" s="1113">
        <f>SUM(E178:E225)</f>
        <v>0</v>
      </c>
      <c r="F227" s="1113">
        <f>SUM(F178:F225)</f>
        <v>0</v>
      </c>
      <c r="G227" s="1113">
        <f>SUM(G178:G225)</f>
        <v>0</v>
      </c>
      <c r="H227" s="1117" t="e">
        <f>G227/F227*100</f>
        <v>#DIV/0!</v>
      </c>
    </row>
    <row r="230" spans="1:8" ht="13.5" x14ac:dyDescent="0.25">
      <c r="A230" s="3333" t="s">
        <v>1482</v>
      </c>
      <c r="B230" s="3334"/>
      <c r="C230" s="3334"/>
      <c r="D230" s="3334"/>
      <c r="E230" s="3334"/>
      <c r="F230" s="3334"/>
      <c r="G230" s="3334"/>
      <c r="H230" s="3334"/>
    </row>
    <row r="231" spans="1:8" ht="15.75" thickBot="1" x14ac:dyDescent="0.3">
      <c r="A231" s="1229" t="s">
        <v>1481</v>
      </c>
      <c r="B231" s="1243"/>
      <c r="C231" s="1243"/>
      <c r="E231" s="1244"/>
      <c r="F231" s="1244"/>
      <c r="G231" s="1244"/>
      <c r="H231" s="1245" t="s">
        <v>92</v>
      </c>
    </row>
    <row r="232" spans="1:8" ht="25.5" thickTop="1" thickBot="1" x14ac:dyDescent="0.25">
      <c r="A232" s="1104" t="s">
        <v>93</v>
      </c>
      <c r="B232" s="1105" t="s">
        <v>392</v>
      </c>
      <c r="C232" s="1105" t="s">
        <v>209</v>
      </c>
      <c r="D232" s="1106" t="s">
        <v>95</v>
      </c>
      <c r="E232" s="1127" t="s">
        <v>328</v>
      </c>
      <c r="F232" s="1127" t="s">
        <v>329</v>
      </c>
      <c r="G232" s="1128" t="s">
        <v>448</v>
      </c>
      <c r="H232" s="1129" t="s">
        <v>449</v>
      </c>
    </row>
    <row r="233" spans="1:8" ht="14.25" thickTop="1" thickBot="1" x14ac:dyDescent="0.25">
      <c r="A233" s="1042">
        <v>1</v>
      </c>
      <c r="B233" s="1041">
        <v>2</v>
      </c>
      <c r="C233" s="1041">
        <v>3</v>
      </c>
      <c r="D233" s="1041">
        <v>4</v>
      </c>
      <c r="E233" s="1040">
        <v>5</v>
      </c>
      <c r="F233" s="1040">
        <v>6</v>
      </c>
      <c r="G233" s="1164">
        <v>7</v>
      </c>
      <c r="H233" s="1186" t="s">
        <v>33</v>
      </c>
    </row>
    <row r="234" spans="1:8" ht="15.75" thickTop="1" x14ac:dyDescent="0.2">
      <c r="A234" s="1257">
        <v>3636</v>
      </c>
      <c r="B234" s="1258">
        <v>5011</v>
      </c>
      <c r="C234" s="2204" t="s">
        <v>1480</v>
      </c>
      <c r="D234" s="1259" t="s">
        <v>117</v>
      </c>
      <c r="E234" s="1260">
        <v>0</v>
      </c>
      <c r="F234" s="1260">
        <v>3</v>
      </c>
      <c r="G234" s="1260">
        <v>3</v>
      </c>
      <c r="H234" s="3067">
        <f t="shared" ref="H234:H242" si="11">G234/F234*100</f>
        <v>100</v>
      </c>
    </row>
    <row r="235" spans="1:8" ht="15.75" thickBot="1" x14ac:dyDescent="0.25">
      <c r="A235" s="1262">
        <v>3636</v>
      </c>
      <c r="B235" s="1263">
        <v>5011</v>
      </c>
      <c r="C235" s="1309" t="s">
        <v>1478</v>
      </c>
      <c r="D235" s="1264" t="s">
        <v>117</v>
      </c>
      <c r="E235" s="1265">
        <v>0</v>
      </c>
      <c r="F235" s="1265">
        <v>3</v>
      </c>
      <c r="G235" s="1265">
        <v>3</v>
      </c>
      <c r="H235" s="3065">
        <f t="shared" si="11"/>
        <v>100</v>
      </c>
    </row>
    <row r="236" spans="1:8" ht="30.75" hidden="1" thickBot="1" x14ac:dyDescent="0.25">
      <c r="A236" s="1262">
        <v>3636</v>
      </c>
      <c r="B236" s="1263">
        <v>5031</v>
      </c>
      <c r="C236" s="1309" t="s">
        <v>660</v>
      </c>
      <c r="D236" s="1264" t="s">
        <v>1055</v>
      </c>
      <c r="E236" s="1265"/>
      <c r="F236" s="1265"/>
      <c r="G236" s="1265"/>
      <c r="H236" s="3065" t="e">
        <f t="shared" si="11"/>
        <v>#DIV/0!</v>
      </c>
    </row>
    <row r="237" spans="1:8" ht="30.75" hidden="1" thickBot="1" x14ac:dyDescent="0.25">
      <c r="A237" s="1262">
        <v>3636</v>
      </c>
      <c r="B237" s="1263">
        <v>5031</v>
      </c>
      <c r="C237" s="1309" t="s">
        <v>659</v>
      </c>
      <c r="D237" s="1264" t="s">
        <v>1055</v>
      </c>
      <c r="E237" s="1265"/>
      <c r="F237" s="1265"/>
      <c r="G237" s="1265"/>
      <c r="H237" s="3065" t="e">
        <f t="shared" si="11"/>
        <v>#DIV/0!</v>
      </c>
    </row>
    <row r="238" spans="1:8" ht="30.75" hidden="1" thickBot="1" x14ac:dyDescent="0.25">
      <c r="A238" s="1262">
        <v>3636</v>
      </c>
      <c r="B238" s="1263">
        <v>5032</v>
      </c>
      <c r="C238" s="1309" t="s">
        <v>660</v>
      </c>
      <c r="D238" s="1264" t="s">
        <v>553</v>
      </c>
      <c r="E238" s="1265"/>
      <c r="F238" s="1265"/>
      <c r="G238" s="1265"/>
      <c r="H238" s="3065" t="e">
        <f t="shared" si="11"/>
        <v>#DIV/0!</v>
      </c>
    </row>
    <row r="239" spans="1:8" ht="30.75" hidden="1" thickBot="1" x14ac:dyDescent="0.25">
      <c r="A239" s="1262">
        <v>3636</v>
      </c>
      <c r="B239" s="1263">
        <v>5032</v>
      </c>
      <c r="C239" s="1309" t="s">
        <v>659</v>
      </c>
      <c r="D239" s="1264" t="s">
        <v>553</v>
      </c>
      <c r="E239" s="1265"/>
      <c r="F239" s="1265"/>
      <c r="G239" s="1265"/>
      <c r="H239" s="3065" t="e">
        <f t="shared" si="11"/>
        <v>#DIV/0!</v>
      </c>
    </row>
    <row r="240" spans="1:8" ht="15.75" hidden="1" thickBot="1" x14ac:dyDescent="0.25">
      <c r="A240" s="1262">
        <v>3636</v>
      </c>
      <c r="B240" s="1263">
        <v>5139</v>
      </c>
      <c r="C240" s="1309" t="s">
        <v>660</v>
      </c>
      <c r="D240" s="1307" t="s">
        <v>152</v>
      </c>
      <c r="E240" s="1265"/>
      <c r="F240" s="1265"/>
      <c r="G240" s="1265"/>
      <c r="H240" s="3065" t="e">
        <f t="shared" si="11"/>
        <v>#DIV/0!</v>
      </c>
    </row>
    <row r="241" spans="1:8" ht="15.75" hidden="1" thickBot="1" x14ac:dyDescent="0.25">
      <c r="A241" s="1262">
        <v>3636</v>
      </c>
      <c r="B241" s="1263">
        <v>5139</v>
      </c>
      <c r="C241" s="1309" t="s">
        <v>659</v>
      </c>
      <c r="D241" s="1307" t="s">
        <v>152</v>
      </c>
      <c r="E241" s="1265"/>
      <c r="F241" s="1265"/>
      <c r="G241" s="1265"/>
      <c r="H241" s="3065" t="e">
        <f t="shared" si="11"/>
        <v>#DIV/0!</v>
      </c>
    </row>
    <row r="242" spans="1:8" ht="15.75" hidden="1" thickBot="1" x14ac:dyDescent="0.25">
      <c r="A242" s="1262">
        <v>3636</v>
      </c>
      <c r="B242" s="1263">
        <v>5162</v>
      </c>
      <c r="C242" s="1309" t="s">
        <v>660</v>
      </c>
      <c r="D242" s="1264" t="s">
        <v>439</v>
      </c>
      <c r="E242" s="1265"/>
      <c r="F242" s="1265"/>
      <c r="G242" s="1265"/>
      <c r="H242" s="3065" t="e">
        <f t="shared" si="11"/>
        <v>#DIV/0!</v>
      </c>
    </row>
    <row r="243" spans="1:8" ht="15.75" hidden="1" thickBot="1" x14ac:dyDescent="0.25">
      <c r="A243" s="1262">
        <v>3636</v>
      </c>
      <c r="B243" s="1263">
        <v>5162</v>
      </c>
      <c r="C243" s="1309" t="s">
        <v>659</v>
      </c>
      <c r="D243" s="1264" t="s">
        <v>439</v>
      </c>
      <c r="E243" s="1265"/>
      <c r="F243" s="1265"/>
      <c r="G243" s="1265"/>
      <c r="H243" s="3065">
        <v>0</v>
      </c>
    </row>
    <row r="244" spans="1:8" ht="15.75" hidden="1" thickBot="1" x14ac:dyDescent="0.25">
      <c r="A244" s="1262">
        <v>3636</v>
      </c>
      <c r="B244" s="1263">
        <v>5164</v>
      </c>
      <c r="C244" s="1309" t="s">
        <v>660</v>
      </c>
      <c r="D244" s="1264" t="s">
        <v>101</v>
      </c>
      <c r="E244" s="1265"/>
      <c r="F244" s="1265"/>
      <c r="G244" s="1265"/>
      <c r="H244" s="3065" t="e">
        <f t="shared" ref="H244:H260" si="12">G244/F244*100</f>
        <v>#DIV/0!</v>
      </c>
    </row>
    <row r="245" spans="1:8" ht="15.75" hidden="1" thickBot="1" x14ac:dyDescent="0.25">
      <c r="A245" s="1262">
        <v>3636</v>
      </c>
      <c r="B245" s="1263">
        <v>5164</v>
      </c>
      <c r="C245" s="1309" t="s">
        <v>659</v>
      </c>
      <c r="D245" s="1264" t="s">
        <v>101</v>
      </c>
      <c r="E245" s="1265"/>
      <c r="F245" s="1265"/>
      <c r="G245" s="1265"/>
      <c r="H245" s="3065" t="e">
        <f t="shared" si="12"/>
        <v>#DIV/0!</v>
      </c>
    </row>
    <row r="246" spans="1:8" ht="15.75" hidden="1" thickBot="1" x14ac:dyDescent="0.25">
      <c r="A246" s="1262">
        <v>3636</v>
      </c>
      <c r="B246" s="1263">
        <v>5166</v>
      </c>
      <c r="C246" s="1309" t="s">
        <v>660</v>
      </c>
      <c r="D246" s="1264" t="s">
        <v>317</v>
      </c>
      <c r="E246" s="1265"/>
      <c r="F246" s="1265"/>
      <c r="G246" s="1265"/>
      <c r="H246" s="3065" t="e">
        <f t="shared" si="12"/>
        <v>#DIV/0!</v>
      </c>
    </row>
    <row r="247" spans="1:8" ht="15.75" hidden="1" thickBot="1" x14ac:dyDescent="0.25">
      <c r="A247" s="1262">
        <v>3636</v>
      </c>
      <c r="B247" s="1263">
        <v>5166</v>
      </c>
      <c r="C247" s="1309" t="s">
        <v>659</v>
      </c>
      <c r="D247" s="1264" t="s">
        <v>317</v>
      </c>
      <c r="E247" s="1265"/>
      <c r="F247" s="1265"/>
      <c r="G247" s="1265"/>
      <c r="H247" s="3065" t="e">
        <f t="shared" si="12"/>
        <v>#DIV/0!</v>
      </c>
    </row>
    <row r="248" spans="1:8" ht="15.75" hidden="1" thickBot="1" x14ac:dyDescent="0.25">
      <c r="A248" s="1262">
        <v>3636</v>
      </c>
      <c r="B248" s="1263">
        <v>5167</v>
      </c>
      <c r="C248" s="1309" t="s">
        <v>660</v>
      </c>
      <c r="D248" s="1264" t="s">
        <v>455</v>
      </c>
      <c r="E248" s="1265"/>
      <c r="F248" s="1265"/>
      <c r="G248" s="1265"/>
      <c r="H248" s="3065" t="e">
        <f t="shared" si="12"/>
        <v>#DIV/0!</v>
      </c>
    </row>
    <row r="249" spans="1:8" ht="15.75" hidden="1" thickBot="1" x14ac:dyDescent="0.25">
      <c r="A249" s="1262">
        <v>3636</v>
      </c>
      <c r="B249" s="1263">
        <v>5167</v>
      </c>
      <c r="C249" s="1309" t="s">
        <v>659</v>
      </c>
      <c r="D249" s="1264" t="s">
        <v>455</v>
      </c>
      <c r="E249" s="1265"/>
      <c r="F249" s="1265"/>
      <c r="G249" s="1265"/>
      <c r="H249" s="3065" t="e">
        <f t="shared" si="12"/>
        <v>#DIV/0!</v>
      </c>
    </row>
    <row r="250" spans="1:8" ht="15.75" hidden="1" thickBot="1" x14ac:dyDescent="0.25">
      <c r="A250" s="1262">
        <v>3636</v>
      </c>
      <c r="B250" s="1263">
        <v>5169</v>
      </c>
      <c r="C250" s="1309" t="s">
        <v>1480</v>
      </c>
      <c r="D250" s="1264" t="s">
        <v>430</v>
      </c>
      <c r="E250" s="1265"/>
      <c r="F250" s="1265"/>
      <c r="G250" s="1265"/>
      <c r="H250" s="3065" t="e">
        <f t="shared" si="12"/>
        <v>#DIV/0!</v>
      </c>
    </row>
    <row r="251" spans="1:8" ht="15.75" hidden="1" thickBot="1" x14ac:dyDescent="0.25">
      <c r="A251" s="1262">
        <v>3636</v>
      </c>
      <c r="B251" s="1263">
        <v>5169</v>
      </c>
      <c r="C251" s="1309" t="s">
        <v>1479</v>
      </c>
      <c r="D251" s="1264" t="s">
        <v>430</v>
      </c>
      <c r="E251" s="1265"/>
      <c r="F251" s="1265"/>
      <c r="G251" s="1265"/>
      <c r="H251" s="3065" t="e">
        <f t="shared" si="12"/>
        <v>#DIV/0!</v>
      </c>
    </row>
    <row r="252" spans="1:8" ht="15.75" hidden="1" thickBot="1" x14ac:dyDescent="0.25">
      <c r="A252" s="1262">
        <v>3636</v>
      </c>
      <c r="B252" s="1263">
        <v>5169</v>
      </c>
      <c r="C252" s="1309" t="s">
        <v>1478</v>
      </c>
      <c r="D252" s="1264" t="s">
        <v>430</v>
      </c>
      <c r="E252" s="1265"/>
      <c r="F252" s="1265"/>
      <c r="G252" s="1265"/>
      <c r="H252" s="3065" t="e">
        <f t="shared" si="12"/>
        <v>#DIV/0!</v>
      </c>
    </row>
    <row r="253" spans="1:8" ht="15.75" hidden="1" thickBot="1" x14ac:dyDescent="0.25">
      <c r="A253" s="1262">
        <v>3636</v>
      </c>
      <c r="B253" s="1263">
        <v>5173</v>
      </c>
      <c r="C253" s="1309" t="s">
        <v>660</v>
      </c>
      <c r="D253" s="1264" t="s">
        <v>541</v>
      </c>
      <c r="E253" s="1265"/>
      <c r="F253" s="1265"/>
      <c r="G253" s="1265"/>
      <c r="H253" s="3065" t="e">
        <f t="shared" si="12"/>
        <v>#DIV/0!</v>
      </c>
    </row>
    <row r="254" spans="1:8" ht="15.75" hidden="1" thickBot="1" x14ac:dyDescent="0.25">
      <c r="A254" s="1262">
        <v>3636</v>
      </c>
      <c r="B254" s="1263">
        <v>5173</v>
      </c>
      <c r="C254" s="1309" t="s">
        <v>659</v>
      </c>
      <c r="D254" s="1264" t="s">
        <v>541</v>
      </c>
      <c r="E254" s="1265"/>
      <c r="F254" s="1265"/>
      <c r="G254" s="1265"/>
      <c r="H254" s="3065" t="e">
        <f t="shared" si="12"/>
        <v>#DIV/0!</v>
      </c>
    </row>
    <row r="255" spans="1:8" ht="15.75" hidden="1" thickBot="1" x14ac:dyDescent="0.25">
      <c r="A255" s="1262">
        <v>3636</v>
      </c>
      <c r="B255" s="1263">
        <v>5175</v>
      </c>
      <c r="C255" s="1309" t="s">
        <v>660</v>
      </c>
      <c r="D255" s="1264" t="s">
        <v>352</v>
      </c>
      <c r="E255" s="1265"/>
      <c r="F255" s="1265"/>
      <c r="G255" s="1265"/>
      <c r="H255" s="3065" t="e">
        <f t="shared" si="12"/>
        <v>#DIV/0!</v>
      </c>
    </row>
    <row r="256" spans="1:8" ht="15.75" hidden="1" thickBot="1" x14ac:dyDescent="0.25">
      <c r="A256" s="1262">
        <v>3636</v>
      </c>
      <c r="B256" s="1263">
        <v>5175</v>
      </c>
      <c r="C256" s="1309" t="s">
        <v>659</v>
      </c>
      <c r="D256" s="1264" t="s">
        <v>352</v>
      </c>
      <c r="E256" s="1265"/>
      <c r="F256" s="1265"/>
      <c r="G256" s="1265"/>
      <c r="H256" s="3065" t="e">
        <f t="shared" si="12"/>
        <v>#DIV/0!</v>
      </c>
    </row>
    <row r="257" spans="1:9" ht="15.75" hidden="1" thickBot="1" x14ac:dyDescent="0.25">
      <c r="A257" s="1262">
        <v>3636</v>
      </c>
      <c r="B257" s="1263">
        <v>5176</v>
      </c>
      <c r="C257" s="1309" t="s">
        <v>660</v>
      </c>
      <c r="D257" s="1264" t="s">
        <v>593</v>
      </c>
      <c r="E257" s="1265"/>
      <c r="F257" s="1265"/>
      <c r="G257" s="1265"/>
      <c r="H257" s="3065" t="e">
        <f t="shared" si="12"/>
        <v>#DIV/0!</v>
      </c>
    </row>
    <row r="258" spans="1:9" ht="15.75" hidden="1" thickBot="1" x14ac:dyDescent="0.25">
      <c r="A258" s="1262">
        <v>3636</v>
      </c>
      <c r="B258" s="1263">
        <v>5176</v>
      </c>
      <c r="C258" s="1309" t="s">
        <v>659</v>
      </c>
      <c r="D258" s="1264" t="s">
        <v>593</v>
      </c>
      <c r="E258" s="1265"/>
      <c r="F258" s="1265"/>
      <c r="G258" s="1265"/>
      <c r="H258" s="3065" t="e">
        <f t="shared" si="12"/>
        <v>#DIV/0!</v>
      </c>
    </row>
    <row r="259" spans="1:9" ht="15.75" hidden="1" thickBot="1" x14ac:dyDescent="0.25">
      <c r="A259" s="1262">
        <v>3636</v>
      </c>
      <c r="B259" s="1263">
        <v>6901</v>
      </c>
      <c r="C259" s="2203">
        <v>32533926</v>
      </c>
      <c r="D259" s="1264" t="s">
        <v>239</v>
      </c>
      <c r="E259" s="1265"/>
      <c r="F259" s="1265"/>
      <c r="G259" s="1265"/>
      <c r="H259" s="3065" t="e">
        <f t="shared" si="12"/>
        <v>#DIV/0!</v>
      </c>
    </row>
    <row r="260" spans="1:9" ht="15.75" hidden="1" thickBot="1" x14ac:dyDescent="0.25">
      <c r="A260" s="1262">
        <v>3636</v>
      </c>
      <c r="B260" s="1263">
        <v>5363</v>
      </c>
      <c r="C260" s="2203">
        <v>19</v>
      </c>
      <c r="D260" s="1264" t="s">
        <v>294</v>
      </c>
      <c r="E260" s="1265"/>
      <c r="F260" s="1265"/>
      <c r="G260" s="1265"/>
      <c r="H260" s="3065" t="e">
        <f t="shared" si="12"/>
        <v>#DIV/0!</v>
      </c>
    </row>
    <row r="261" spans="1:9" ht="15.75" hidden="1" thickBot="1" x14ac:dyDescent="0.25">
      <c r="A261" s="1262">
        <v>6330</v>
      </c>
      <c r="B261" s="1263">
        <v>5345</v>
      </c>
      <c r="C261" s="2203" t="s">
        <v>871</v>
      </c>
      <c r="D261" s="1264" t="s">
        <v>397</v>
      </c>
      <c r="E261" s="1265"/>
      <c r="F261" s="1265"/>
      <c r="G261" s="1265"/>
      <c r="H261" s="3066">
        <v>0</v>
      </c>
    </row>
    <row r="262" spans="1:9" ht="16.5" thickTop="1" thickBot="1" x14ac:dyDescent="0.3">
      <c r="A262" s="3317" t="s">
        <v>394</v>
      </c>
      <c r="B262" s="3318"/>
      <c r="C262" s="3318"/>
      <c r="D262" s="3318"/>
      <c r="E262" s="1113">
        <f>SUM(E234:E261)</f>
        <v>0</v>
      </c>
      <c r="F262" s="1113">
        <f>SUM(F234:F261)</f>
        <v>6</v>
      </c>
      <c r="G262" s="1113">
        <f>SUM(G234:G261)</f>
        <v>6</v>
      </c>
      <c r="H262" s="1381">
        <f>G262/F262*100</f>
        <v>100</v>
      </c>
    </row>
    <row r="263" spans="1:9" ht="13.5" thickTop="1" x14ac:dyDescent="0.2"/>
    <row r="268" spans="1:9" ht="15.75" thickBot="1" x14ac:dyDescent="0.3">
      <c r="A268" s="1229" t="s">
        <v>137</v>
      </c>
      <c r="B268" s="1243"/>
      <c r="C268" s="1243"/>
      <c r="D268" s="1243"/>
      <c r="F268" s="1244"/>
      <c r="G268" s="1244"/>
      <c r="H268" s="1245" t="s">
        <v>92</v>
      </c>
      <c r="I268" s="1311"/>
    </row>
    <row r="269" spans="1:9" ht="25.5" thickTop="1" thickBot="1" x14ac:dyDescent="0.25">
      <c r="A269" s="1246" t="s">
        <v>93</v>
      </c>
      <c r="B269" s="1247" t="s">
        <v>392</v>
      </c>
      <c r="C269" s="1247" t="s">
        <v>209</v>
      </c>
      <c r="D269" s="1248" t="s">
        <v>95</v>
      </c>
      <c r="E269" s="1249" t="s">
        <v>328</v>
      </c>
      <c r="F269" s="1249" t="s">
        <v>329</v>
      </c>
      <c r="G269" s="1250" t="s">
        <v>448</v>
      </c>
      <c r="H269" s="1251" t="s">
        <v>449</v>
      </c>
    </row>
    <row r="270" spans="1:9" ht="14.25" thickTop="1" thickBot="1" x14ac:dyDescent="0.25">
      <c r="A270" s="1252">
        <v>1</v>
      </c>
      <c r="B270" s="1253">
        <v>2</v>
      </c>
      <c r="C270" s="1253">
        <v>3</v>
      </c>
      <c r="D270" s="1253">
        <v>5</v>
      </c>
      <c r="E270" s="1254">
        <v>6</v>
      </c>
      <c r="F270" s="1254">
        <v>7</v>
      </c>
      <c r="G270" s="1255">
        <v>8</v>
      </c>
      <c r="H270" s="1271" t="s">
        <v>393</v>
      </c>
    </row>
    <row r="271" spans="1:9" s="1238" customFormat="1" ht="15.75" hidden="1" thickTop="1" x14ac:dyDescent="0.25">
      <c r="A271" s="1308">
        <v>2125</v>
      </c>
      <c r="B271" s="1279">
        <v>5169</v>
      </c>
      <c r="C271" s="2206" t="s">
        <v>871</v>
      </c>
      <c r="D271" s="1280" t="s">
        <v>540</v>
      </c>
      <c r="E271" s="1265"/>
      <c r="F271" s="1265"/>
      <c r="G271" s="1273"/>
      <c r="H271" s="1266" t="e">
        <f>G271/F271*100</f>
        <v>#DIV/0!</v>
      </c>
    </row>
    <row r="272" spans="1:9" s="1318" customFormat="1" ht="30.75" thickTop="1" x14ac:dyDescent="0.2">
      <c r="A272" s="3074">
        <v>2125</v>
      </c>
      <c r="B272" s="3072">
        <v>5213</v>
      </c>
      <c r="C272" s="3075" t="s">
        <v>871</v>
      </c>
      <c r="D272" s="1264" t="s">
        <v>1054</v>
      </c>
      <c r="E272" s="3068">
        <v>2000</v>
      </c>
      <c r="F272" s="3068">
        <v>2000</v>
      </c>
      <c r="G272" s="3076">
        <v>0</v>
      </c>
      <c r="H272" s="3069">
        <f>G272/F272*100</f>
        <v>0</v>
      </c>
    </row>
    <row r="273" spans="1:12" s="1238" customFormat="1" ht="15" hidden="1" x14ac:dyDescent="0.25">
      <c r="A273" s="1308">
        <v>3636</v>
      </c>
      <c r="B273" s="1279">
        <v>5011</v>
      </c>
      <c r="C273" s="2206" t="s">
        <v>871</v>
      </c>
      <c r="D273" s="1280" t="s">
        <v>117</v>
      </c>
      <c r="E273" s="1265"/>
      <c r="F273" s="1265"/>
      <c r="G273" s="1273"/>
      <c r="H273" s="3065" t="e">
        <f>G273/F273*100</f>
        <v>#DIV/0!</v>
      </c>
    </row>
    <row r="274" spans="1:12" s="1238" customFormat="1" ht="15" x14ac:dyDescent="0.25">
      <c r="A274" s="1278">
        <v>6330</v>
      </c>
      <c r="B274" s="1279">
        <v>5345</v>
      </c>
      <c r="C274" s="2206" t="s">
        <v>871</v>
      </c>
      <c r="D274" s="1280" t="s">
        <v>397</v>
      </c>
      <c r="E274" s="1265">
        <v>0</v>
      </c>
      <c r="F274" s="1265">
        <v>0</v>
      </c>
      <c r="G274" s="1273">
        <v>2550</v>
      </c>
      <c r="H274" s="3065">
        <v>0</v>
      </c>
    </row>
    <row r="275" spans="1:12" s="1238" customFormat="1" ht="15.75" thickBot="1" x14ac:dyDescent="0.3">
      <c r="A275" s="1262">
        <v>6409</v>
      </c>
      <c r="B275" s="1263">
        <v>5909</v>
      </c>
      <c r="C275" s="2202" t="s">
        <v>871</v>
      </c>
      <c r="D275" s="1284" t="s">
        <v>344</v>
      </c>
      <c r="E275" s="1265">
        <v>0</v>
      </c>
      <c r="F275" s="1265">
        <v>0</v>
      </c>
      <c r="G275" s="1265">
        <v>0</v>
      </c>
      <c r="H275" s="3065">
        <v>0</v>
      </c>
    </row>
    <row r="276" spans="1:12" ht="16.5" thickTop="1" thickBot="1" x14ac:dyDescent="0.3">
      <c r="A276" s="1274" t="s">
        <v>394</v>
      </c>
      <c r="B276" s="1275"/>
      <c r="C276" s="1275"/>
      <c r="D276" s="1276"/>
      <c r="E276" s="1269">
        <f>SUM(E271:E275)</f>
        <v>2000</v>
      </c>
      <c r="F276" s="1269">
        <f>SUM(F271:F275)</f>
        <v>2000</v>
      </c>
      <c r="G276" s="1269">
        <f>SUM(G271:G275)</f>
        <v>2550</v>
      </c>
      <c r="H276" s="1381">
        <f>G276/F276*100</f>
        <v>127.49999999999999</v>
      </c>
    </row>
    <row r="277" spans="1:12" ht="13.5" thickTop="1" x14ac:dyDescent="0.2"/>
    <row r="283" spans="1:12" ht="16.5" x14ac:dyDescent="0.25">
      <c r="A283" s="1285" t="s">
        <v>251</v>
      </c>
      <c r="B283" s="1286"/>
      <c r="C283" s="1287"/>
      <c r="D283" s="1288"/>
      <c r="E283" s="1289">
        <f>SUM(E284:E286)</f>
        <v>8926</v>
      </c>
      <c r="F283" s="1289">
        <f>F284+F285+F286+F287</f>
        <v>17997</v>
      </c>
      <c r="G283" s="1289">
        <f>G284+G285+G286+G287</f>
        <v>25991</v>
      </c>
      <c r="H283" s="1290">
        <f>G283/F283*100</f>
        <v>144.41851419681058</v>
      </c>
      <c r="J283" s="1291">
        <f>J284+J285+J286</f>
        <v>8926000</v>
      </c>
      <c r="K283" s="1291">
        <f>K284+K285+K286</f>
        <v>17996679.280000001</v>
      </c>
      <c r="L283" s="1291">
        <f>L284+L285+L286</f>
        <v>25990580.379999999</v>
      </c>
    </row>
    <row r="284" spans="1:12" ht="15" x14ac:dyDescent="0.2">
      <c r="A284" s="1292" t="s">
        <v>147</v>
      </c>
      <c r="B284" s="1293"/>
      <c r="C284" s="1294"/>
      <c r="D284" s="1295"/>
      <c r="E284" s="1296">
        <f>E12+E13+E14+E16+E17+E18+E19+E20+E21+E22+E24+E25+E26+E27+E29+E30+E31+E32+E33+E34+E35+E36+E37+E38+E39+E40+E41+E42+E43+E44+E45+E46+E47+E48+E49+E51+E52+E61+E62+E63+E64+E65+E66+E67+E68+E69+E71+E72+E73+E74+E75+E76+E77+E78+E82+E83+E84+E88+E89+E90+E91+E92+E93+E94+E95+E96+E97+E98+E99+E100+E101+E102+E120+E121+E122+E124+E125+E127+E128+E130+E131+E133+E136+E137+E139+E141+E142+E143+E146+E149+E150+E154+E156+E157+E158+E159+E161+E162+E164+E166+E182+E183+E201+E202+E209+E210+E213+E214+E216+E217+E234+E235+E250+E251+E252+E275+E70+E272+E79+E80+E81+E104+E105+E106+E115+E116+E117+E118+E119+E123+E129+E132+E134+E135+E151+E144+E145+E147+E152+E153+E155+E160+E168+E169+E170</f>
        <v>8926</v>
      </c>
      <c r="F284" s="1296">
        <f t="shared" ref="F284" si="13">F12+F13+F14+F16+F17+F18+F19+F20+F21+F22+F24+F25+F26+F27+F29+F30+F31+F32+F33+F34+F35+F36+F37+F38+F39+F40+F41+F42+F43+F44+F45+F46+F47+F48+F49+F51+F52+F61+F62+F63+F64+F65+F66+F67+F68+F69+F71+F72+F73+F74+F75+F76+F77+F78+F82+F83+F84+F88+F89+F90+F91+F92+F93+F94+F95+F96+F97+F98+F99+F100+F101+F102+F120+F121+F122+F124+F125+F127+F128+F130+F131+F133+F136+F137+F139+F141+F142+F143+F146+F149+F150+F154+F156+F157+F158+F159+F161+F162+F164+F166+F182+F183+F201+F202+F209+F210+F213+F214+F216+F217+F234+F235+F250+F251+F252+F275+F70+F272+F79+F80+F81+F104+F105+F106+F115+F116+F117+F118+F119+F123+F129+F132+F134+F135+F151+F144+F145+F147+F152+F153+F155+F160+F168+F169+F170</f>
        <v>17997</v>
      </c>
      <c r="G284" s="1296">
        <f>G12+G13+G14+G16+G17+G18+G19+G20+G21+G22+G24+G25+G26+G27+G29+G30+G31+G32+G33+G34+G35+G36+G37+G38+G39+G40+G41+G42+G43+G44+G45+G46+G47+G48+G49+G51+G52+G61+G62+G63+G64+G65+G66+G67+G68+G69+G71+G72+G73+G74+G75+G76+G77+G78+G82+G83+G84+G88+G89+G90+G91+G92+G93+G94+G95+G96+G97+G98+G99+G100+G101+G102+G120+G121+G122+G124+G125+G127+G128+G130+G131+G133+G136+G137+G139+G141+G142+G143+G146+G149+G150+G154+G156+G157+G158+G159+G161+G162+G164+G166+G182+G183+G201+G202+G209+G210+G213+G214+G216+G217+G234+G235+G250+G251+G252+G275+G70+G272+G79+G80+G81+G104+G105+G106+G115+G116+G117+G118+G119+G123+G129+G132+G134+G135+G151+G144+G145+G147+G152+G153+G155+G160+G168+G169+G170</f>
        <v>11086</v>
      </c>
      <c r="H284" s="1297">
        <f>G284/F284*100</f>
        <v>61.599155414791355</v>
      </c>
      <c r="J284" s="1298">
        <v>8926000</v>
      </c>
      <c r="K284" s="1298">
        <v>17996679.280000001</v>
      </c>
      <c r="L284" s="1298">
        <f>25990580.38-L286</f>
        <v>11085928.219999999</v>
      </c>
    </row>
    <row r="285" spans="1:12" ht="15" x14ac:dyDescent="0.2">
      <c r="A285" s="1292" t="s">
        <v>148</v>
      </c>
      <c r="B285" s="1299"/>
      <c r="C285" s="1294"/>
      <c r="D285" s="1300"/>
      <c r="E285" s="1296">
        <v>0</v>
      </c>
      <c r="F285" s="1296">
        <v>0</v>
      </c>
      <c r="G285" s="1296">
        <v>0</v>
      </c>
      <c r="H285" s="1297">
        <v>0</v>
      </c>
      <c r="J285" s="1298">
        <v>0</v>
      </c>
      <c r="K285" s="1298">
        <v>0</v>
      </c>
      <c r="L285" s="1298">
        <v>0</v>
      </c>
    </row>
    <row r="286" spans="1:12" ht="15" x14ac:dyDescent="0.2">
      <c r="A286" s="1292" t="s">
        <v>252</v>
      </c>
      <c r="B286" s="1299"/>
      <c r="C286" s="1294"/>
      <c r="D286" s="1300"/>
      <c r="E286" s="1296">
        <f>E54+E261+E274</f>
        <v>0</v>
      </c>
      <c r="F286" s="1296">
        <f>F54+F261+F274</f>
        <v>0</v>
      </c>
      <c r="G286" s="1296">
        <f>G54+G261+G274+G107+G171</f>
        <v>14905</v>
      </c>
      <c r="H286" s="1297">
        <v>0</v>
      </c>
      <c r="J286" s="1298">
        <v>0</v>
      </c>
      <c r="K286" s="1298">
        <v>0</v>
      </c>
      <c r="L286" s="1298">
        <v>14904652.16</v>
      </c>
    </row>
    <row r="287" spans="1:12" ht="16.5" customHeight="1" x14ac:dyDescent="0.2">
      <c r="A287" s="1292"/>
      <c r="B287" s="1299"/>
      <c r="C287" s="1294"/>
      <c r="D287" s="1300"/>
      <c r="E287" s="1296"/>
      <c r="F287" s="1296"/>
      <c r="G287" s="1296"/>
      <c r="H287" s="1301"/>
    </row>
    <row r="288" spans="1:12" ht="57.75" customHeight="1" thickBot="1" x14ac:dyDescent="0.4">
      <c r="A288" s="3321" t="s">
        <v>2021</v>
      </c>
      <c r="B288" s="3287"/>
      <c r="C288" s="3287"/>
      <c r="D288" s="3287"/>
      <c r="E288" s="1302">
        <f>SUM(E283)</f>
        <v>8926</v>
      </c>
      <c r="F288" s="1302">
        <f>SUM(F283)</f>
        <v>17997</v>
      </c>
      <c r="G288" s="1302">
        <f>SUM(G283)</f>
        <v>25991</v>
      </c>
      <c r="H288" s="1303">
        <f>G288/F288*100</f>
        <v>144.41851419681058</v>
      </c>
    </row>
    <row r="289" ht="13.5" thickTop="1" x14ac:dyDescent="0.2"/>
  </sheetData>
  <mergeCells count="11">
    <mergeCell ref="A288:D288"/>
    <mergeCell ref="A8:H8"/>
    <mergeCell ref="A55:D55"/>
    <mergeCell ref="A57:H57"/>
    <mergeCell ref="A108:D108"/>
    <mergeCell ref="A111:H111"/>
    <mergeCell ref="A172:D172"/>
    <mergeCell ref="A174:H174"/>
    <mergeCell ref="A227:D227"/>
    <mergeCell ref="A230:H230"/>
    <mergeCell ref="A262:D262"/>
  </mergeCells>
  <pageMargins left="0.70866141732283472" right="0.70866141732283472" top="0.78740157480314965" bottom="0.78740157480314965" header="0.31496062992125984" footer="0.31496062992125984"/>
  <pageSetup paperSize="9" scale="65" firstPageNumber="151" orientation="portrait" useFirstPageNumber="1" r:id="rId1"/>
  <headerFooter>
    <oddFooter>&amp;L&amp;"Arial,Kurzíva"Zastupitelstvo Olomouckého kraje 25. 6. 2018
5. - Rozpočet Olomouckého kraje 2017 - závěrečný  účet 
Příloha č. 3: Plnění rozpočtu výdajů Olomouckého kraje k 31. 12. 2017&amp;R&amp;"Arial,Kurzíva"Strana &amp;P (celkem 478)</oddFooter>
  </headerFooter>
  <rowBreaks count="3" manualBreakCount="3">
    <brk id="55" max="7" man="1"/>
    <brk id="110" max="7" man="1"/>
    <brk id="262" max="7" man="1"/>
  </rowBreaks>
  <colBreaks count="1" manualBreakCount="1">
    <brk id="8" max="1048575" man="1"/>
  </col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FF"/>
  </sheetPr>
  <dimension ref="A1:L31"/>
  <sheetViews>
    <sheetView view="pageBreakPreview" zoomScaleNormal="100" zoomScaleSheetLayoutView="100" workbookViewId="0">
      <selection activeCell="A31" sqref="A31"/>
    </sheetView>
  </sheetViews>
  <sheetFormatPr defaultRowHeight="12.75" x14ac:dyDescent="0.2"/>
  <cols>
    <col min="1" max="1" width="5.5703125" style="1236" customWidth="1"/>
    <col min="2" max="2" width="6.7109375" style="1236" customWidth="1"/>
    <col min="3" max="3" width="9.85546875" style="1236" customWidth="1"/>
    <col min="4" max="4" width="47.85546875" style="1236" customWidth="1"/>
    <col min="5" max="5" width="15.42578125" style="1236" customWidth="1"/>
    <col min="6" max="6" width="15.5703125" style="1236" customWidth="1"/>
    <col min="7" max="7" width="15.85546875" style="1236" customWidth="1"/>
    <col min="8" max="8" width="8.7109375" style="1236" customWidth="1"/>
    <col min="9" max="10" width="9.140625" style="1236"/>
    <col min="11" max="11" width="16" style="1236" bestFit="1" customWidth="1"/>
    <col min="12" max="12" width="17" style="1236" customWidth="1"/>
    <col min="13" max="256" width="9.140625" style="1236"/>
    <col min="257" max="257" width="5.5703125" style="1236" customWidth="1"/>
    <col min="258" max="258" width="6.7109375" style="1236" customWidth="1"/>
    <col min="259" max="259" width="8.85546875" style="1236" customWidth="1"/>
    <col min="260" max="260" width="47.85546875" style="1236" customWidth="1"/>
    <col min="261" max="261" width="12.85546875" style="1236" customWidth="1"/>
    <col min="262" max="262" width="15.5703125" style="1236" customWidth="1"/>
    <col min="263" max="263" width="15.85546875" style="1236" customWidth="1"/>
    <col min="264" max="264" width="6.42578125" style="1236" customWidth="1"/>
    <col min="265" max="266" width="9.140625" style="1236"/>
    <col min="267" max="268" width="14.7109375" style="1236" bestFit="1" customWidth="1"/>
    <col min="269" max="512" width="9.140625" style="1236"/>
    <col min="513" max="513" width="5.5703125" style="1236" customWidth="1"/>
    <col min="514" max="514" width="6.7109375" style="1236" customWidth="1"/>
    <col min="515" max="515" width="8.85546875" style="1236" customWidth="1"/>
    <col min="516" max="516" width="47.85546875" style="1236" customWidth="1"/>
    <col min="517" max="517" width="12.85546875" style="1236" customWidth="1"/>
    <col min="518" max="518" width="15.5703125" style="1236" customWidth="1"/>
    <col min="519" max="519" width="15.85546875" style="1236" customWidth="1"/>
    <col min="520" max="520" width="6.42578125" style="1236" customWidth="1"/>
    <col min="521" max="522" width="9.140625" style="1236"/>
    <col min="523" max="524" width="14.7109375" style="1236" bestFit="1" customWidth="1"/>
    <col min="525" max="768" width="9.140625" style="1236"/>
    <col min="769" max="769" width="5.5703125" style="1236" customWidth="1"/>
    <col min="770" max="770" width="6.7109375" style="1236" customWidth="1"/>
    <col min="771" max="771" width="8.85546875" style="1236" customWidth="1"/>
    <col min="772" max="772" width="47.85546875" style="1236" customWidth="1"/>
    <col min="773" max="773" width="12.85546875" style="1236" customWidth="1"/>
    <col min="774" max="774" width="15.5703125" style="1236" customWidth="1"/>
    <col min="775" max="775" width="15.85546875" style="1236" customWidth="1"/>
    <col min="776" max="776" width="6.42578125" style="1236" customWidth="1"/>
    <col min="777" max="778" width="9.140625" style="1236"/>
    <col min="779" max="780" width="14.7109375" style="1236" bestFit="1" customWidth="1"/>
    <col min="781" max="1024" width="9.140625" style="1236"/>
    <col min="1025" max="1025" width="5.5703125" style="1236" customWidth="1"/>
    <col min="1026" max="1026" width="6.7109375" style="1236" customWidth="1"/>
    <col min="1027" max="1027" width="8.85546875" style="1236" customWidth="1"/>
    <col min="1028" max="1028" width="47.85546875" style="1236" customWidth="1"/>
    <col min="1029" max="1029" width="12.85546875" style="1236" customWidth="1"/>
    <col min="1030" max="1030" width="15.5703125" style="1236" customWidth="1"/>
    <col min="1031" max="1031" width="15.85546875" style="1236" customWidth="1"/>
    <col min="1032" max="1032" width="6.42578125" style="1236" customWidth="1"/>
    <col min="1033" max="1034" width="9.140625" style="1236"/>
    <col min="1035" max="1036" width="14.7109375" style="1236" bestFit="1" customWidth="1"/>
    <col min="1037" max="1280" width="9.140625" style="1236"/>
    <col min="1281" max="1281" width="5.5703125" style="1236" customWidth="1"/>
    <col min="1282" max="1282" width="6.7109375" style="1236" customWidth="1"/>
    <col min="1283" max="1283" width="8.85546875" style="1236" customWidth="1"/>
    <col min="1284" max="1284" width="47.85546875" style="1236" customWidth="1"/>
    <col min="1285" max="1285" width="12.85546875" style="1236" customWidth="1"/>
    <col min="1286" max="1286" width="15.5703125" style="1236" customWidth="1"/>
    <col min="1287" max="1287" width="15.85546875" style="1236" customWidth="1"/>
    <col min="1288" max="1288" width="6.42578125" style="1236" customWidth="1"/>
    <col min="1289" max="1290" width="9.140625" style="1236"/>
    <col min="1291" max="1292" width="14.7109375" style="1236" bestFit="1" customWidth="1"/>
    <col min="1293" max="1536" width="9.140625" style="1236"/>
    <col min="1537" max="1537" width="5.5703125" style="1236" customWidth="1"/>
    <col min="1538" max="1538" width="6.7109375" style="1236" customWidth="1"/>
    <col min="1539" max="1539" width="8.85546875" style="1236" customWidth="1"/>
    <col min="1540" max="1540" width="47.85546875" style="1236" customWidth="1"/>
    <col min="1541" max="1541" width="12.85546875" style="1236" customWidth="1"/>
    <col min="1542" max="1542" width="15.5703125" style="1236" customWidth="1"/>
    <col min="1543" max="1543" width="15.85546875" style="1236" customWidth="1"/>
    <col min="1544" max="1544" width="6.42578125" style="1236" customWidth="1"/>
    <col min="1545" max="1546" width="9.140625" style="1236"/>
    <col min="1547" max="1548" width="14.7109375" style="1236" bestFit="1" customWidth="1"/>
    <col min="1549" max="1792" width="9.140625" style="1236"/>
    <col min="1793" max="1793" width="5.5703125" style="1236" customWidth="1"/>
    <col min="1794" max="1794" width="6.7109375" style="1236" customWidth="1"/>
    <col min="1795" max="1795" width="8.85546875" style="1236" customWidth="1"/>
    <col min="1796" max="1796" width="47.85546875" style="1236" customWidth="1"/>
    <col min="1797" max="1797" width="12.85546875" style="1236" customWidth="1"/>
    <col min="1798" max="1798" width="15.5703125" style="1236" customWidth="1"/>
    <col min="1799" max="1799" width="15.85546875" style="1236" customWidth="1"/>
    <col min="1800" max="1800" width="6.42578125" style="1236" customWidth="1"/>
    <col min="1801" max="1802" width="9.140625" style="1236"/>
    <col min="1803" max="1804" width="14.7109375" style="1236" bestFit="1" customWidth="1"/>
    <col min="1805" max="2048" width="9.140625" style="1236"/>
    <col min="2049" max="2049" width="5.5703125" style="1236" customWidth="1"/>
    <col min="2050" max="2050" width="6.7109375" style="1236" customWidth="1"/>
    <col min="2051" max="2051" width="8.85546875" style="1236" customWidth="1"/>
    <col min="2052" max="2052" width="47.85546875" style="1236" customWidth="1"/>
    <col min="2053" max="2053" width="12.85546875" style="1236" customWidth="1"/>
    <col min="2054" max="2054" width="15.5703125" style="1236" customWidth="1"/>
    <col min="2055" max="2055" width="15.85546875" style="1236" customWidth="1"/>
    <col min="2056" max="2056" width="6.42578125" style="1236" customWidth="1"/>
    <col min="2057" max="2058" width="9.140625" style="1236"/>
    <col min="2059" max="2060" width="14.7109375" style="1236" bestFit="1" customWidth="1"/>
    <col min="2061" max="2304" width="9.140625" style="1236"/>
    <col min="2305" max="2305" width="5.5703125" style="1236" customWidth="1"/>
    <col min="2306" max="2306" width="6.7109375" style="1236" customWidth="1"/>
    <col min="2307" max="2307" width="8.85546875" style="1236" customWidth="1"/>
    <col min="2308" max="2308" width="47.85546875" style="1236" customWidth="1"/>
    <col min="2309" max="2309" width="12.85546875" style="1236" customWidth="1"/>
    <col min="2310" max="2310" width="15.5703125" style="1236" customWidth="1"/>
    <col min="2311" max="2311" width="15.85546875" style="1236" customWidth="1"/>
    <col min="2312" max="2312" width="6.42578125" style="1236" customWidth="1"/>
    <col min="2313" max="2314" width="9.140625" style="1236"/>
    <col min="2315" max="2316" width="14.7109375" style="1236" bestFit="1" customWidth="1"/>
    <col min="2317" max="2560" width="9.140625" style="1236"/>
    <col min="2561" max="2561" width="5.5703125" style="1236" customWidth="1"/>
    <col min="2562" max="2562" width="6.7109375" style="1236" customWidth="1"/>
    <col min="2563" max="2563" width="8.85546875" style="1236" customWidth="1"/>
    <col min="2564" max="2564" width="47.85546875" style="1236" customWidth="1"/>
    <col min="2565" max="2565" width="12.85546875" style="1236" customWidth="1"/>
    <col min="2566" max="2566" width="15.5703125" style="1236" customWidth="1"/>
    <col min="2567" max="2567" width="15.85546875" style="1236" customWidth="1"/>
    <col min="2568" max="2568" width="6.42578125" style="1236" customWidth="1"/>
    <col min="2569" max="2570" width="9.140625" style="1236"/>
    <col min="2571" max="2572" width="14.7109375" style="1236" bestFit="1" customWidth="1"/>
    <col min="2573" max="2816" width="9.140625" style="1236"/>
    <col min="2817" max="2817" width="5.5703125" style="1236" customWidth="1"/>
    <col min="2818" max="2818" width="6.7109375" style="1236" customWidth="1"/>
    <col min="2819" max="2819" width="8.85546875" style="1236" customWidth="1"/>
    <col min="2820" max="2820" width="47.85546875" style="1236" customWidth="1"/>
    <col min="2821" max="2821" width="12.85546875" style="1236" customWidth="1"/>
    <col min="2822" max="2822" width="15.5703125" style="1236" customWidth="1"/>
    <col min="2823" max="2823" width="15.85546875" style="1236" customWidth="1"/>
    <col min="2824" max="2824" width="6.42578125" style="1236" customWidth="1"/>
    <col min="2825" max="2826" width="9.140625" style="1236"/>
    <col min="2827" max="2828" width="14.7109375" style="1236" bestFit="1" customWidth="1"/>
    <col min="2829" max="3072" width="9.140625" style="1236"/>
    <col min="3073" max="3073" width="5.5703125" style="1236" customWidth="1"/>
    <col min="3074" max="3074" width="6.7109375" style="1236" customWidth="1"/>
    <col min="3075" max="3075" width="8.85546875" style="1236" customWidth="1"/>
    <col min="3076" max="3076" width="47.85546875" style="1236" customWidth="1"/>
    <col min="3077" max="3077" width="12.85546875" style="1236" customWidth="1"/>
    <col min="3078" max="3078" width="15.5703125" style="1236" customWidth="1"/>
    <col min="3079" max="3079" width="15.85546875" style="1236" customWidth="1"/>
    <col min="3080" max="3080" width="6.42578125" style="1236" customWidth="1"/>
    <col min="3081" max="3082" width="9.140625" style="1236"/>
    <col min="3083" max="3084" width="14.7109375" style="1236" bestFit="1" customWidth="1"/>
    <col min="3085" max="3328" width="9.140625" style="1236"/>
    <col min="3329" max="3329" width="5.5703125" style="1236" customWidth="1"/>
    <col min="3330" max="3330" width="6.7109375" style="1236" customWidth="1"/>
    <col min="3331" max="3331" width="8.85546875" style="1236" customWidth="1"/>
    <col min="3332" max="3332" width="47.85546875" style="1236" customWidth="1"/>
    <col min="3333" max="3333" width="12.85546875" style="1236" customWidth="1"/>
    <col min="3334" max="3334" width="15.5703125" style="1236" customWidth="1"/>
    <col min="3335" max="3335" width="15.85546875" style="1236" customWidth="1"/>
    <col min="3336" max="3336" width="6.42578125" style="1236" customWidth="1"/>
    <col min="3337" max="3338" width="9.140625" style="1236"/>
    <col min="3339" max="3340" width="14.7109375" style="1236" bestFit="1" customWidth="1"/>
    <col min="3341" max="3584" width="9.140625" style="1236"/>
    <col min="3585" max="3585" width="5.5703125" style="1236" customWidth="1"/>
    <col min="3586" max="3586" width="6.7109375" style="1236" customWidth="1"/>
    <col min="3587" max="3587" width="8.85546875" style="1236" customWidth="1"/>
    <col min="3588" max="3588" width="47.85546875" style="1236" customWidth="1"/>
    <col min="3589" max="3589" width="12.85546875" style="1236" customWidth="1"/>
    <col min="3590" max="3590" width="15.5703125" style="1236" customWidth="1"/>
    <col min="3591" max="3591" width="15.85546875" style="1236" customWidth="1"/>
    <col min="3592" max="3592" width="6.42578125" style="1236" customWidth="1"/>
    <col min="3593" max="3594" width="9.140625" style="1236"/>
    <col min="3595" max="3596" width="14.7109375" style="1236" bestFit="1" customWidth="1"/>
    <col min="3597" max="3840" width="9.140625" style="1236"/>
    <col min="3841" max="3841" width="5.5703125" style="1236" customWidth="1"/>
    <col min="3842" max="3842" width="6.7109375" style="1236" customWidth="1"/>
    <col min="3843" max="3843" width="8.85546875" style="1236" customWidth="1"/>
    <col min="3844" max="3844" width="47.85546875" style="1236" customWidth="1"/>
    <col min="3845" max="3845" width="12.85546875" style="1236" customWidth="1"/>
    <col min="3846" max="3846" width="15.5703125" style="1236" customWidth="1"/>
    <col min="3847" max="3847" width="15.85546875" style="1236" customWidth="1"/>
    <col min="3848" max="3848" width="6.42578125" style="1236" customWidth="1"/>
    <col min="3849" max="3850" width="9.140625" style="1236"/>
    <col min="3851" max="3852" width="14.7109375" style="1236" bestFit="1" customWidth="1"/>
    <col min="3853" max="4096" width="9.140625" style="1236"/>
    <col min="4097" max="4097" width="5.5703125" style="1236" customWidth="1"/>
    <col min="4098" max="4098" width="6.7109375" style="1236" customWidth="1"/>
    <col min="4099" max="4099" width="8.85546875" style="1236" customWidth="1"/>
    <col min="4100" max="4100" width="47.85546875" style="1236" customWidth="1"/>
    <col min="4101" max="4101" width="12.85546875" style="1236" customWidth="1"/>
    <col min="4102" max="4102" width="15.5703125" style="1236" customWidth="1"/>
    <col min="4103" max="4103" width="15.85546875" style="1236" customWidth="1"/>
    <col min="4104" max="4104" width="6.42578125" style="1236" customWidth="1"/>
    <col min="4105" max="4106" width="9.140625" style="1236"/>
    <col min="4107" max="4108" width="14.7109375" style="1236" bestFit="1" customWidth="1"/>
    <col min="4109" max="4352" width="9.140625" style="1236"/>
    <col min="4353" max="4353" width="5.5703125" style="1236" customWidth="1"/>
    <col min="4354" max="4354" width="6.7109375" style="1236" customWidth="1"/>
    <col min="4355" max="4355" width="8.85546875" style="1236" customWidth="1"/>
    <col min="4356" max="4356" width="47.85546875" style="1236" customWidth="1"/>
    <col min="4357" max="4357" width="12.85546875" style="1236" customWidth="1"/>
    <col min="4358" max="4358" width="15.5703125" style="1236" customWidth="1"/>
    <col min="4359" max="4359" width="15.85546875" style="1236" customWidth="1"/>
    <col min="4360" max="4360" width="6.42578125" style="1236" customWidth="1"/>
    <col min="4361" max="4362" width="9.140625" style="1236"/>
    <col min="4363" max="4364" width="14.7109375" style="1236" bestFit="1" customWidth="1"/>
    <col min="4365" max="4608" width="9.140625" style="1236"/>
    <col min="4609" max="4609" width="5.5703125" style="1236" customWidth="1"/>
    <col min="4610" max="4610" width="6.7109375" style="1236" customWidth="1"/>
    <col min="4611" max="4611" width="8.85546875" style="1236" customWidth="1"/>
    <col min="4612" max="4612" width="47.85546875" style="1236" customWidth="1"/>
    <col min="4613" max="4613" width="12.85546875" style="1236" customWidth="1"/>
    <col min="4614" max="4614" width="15.5703125" style="1236" customWidth="1"/>
    <col min="4615" max="4615" width="15.85546875" style="1236" customWidth="1"/>
    <col min="4616" max="4616" width="6.42578125" style="1236" customWidth="1"/>
    <col min="4617" max="4618" width="9.140625" style="1236"/>
    <col min="4619" max="4620" width="14.7109375" style="1236" bestFit="1" customWidth="1"/>
    <col min="4621" max="4864" width="9.140625" style="1236"/>
    <col min="4865" max="4865" width="5.5703125" style="1236" customWidth="1"/>
    <col min="4866" max="4866" width="6.7109375" style="1236" customWidth="1"/>
    <col min="4867" max="4867" width="8.85546875" style="1236" customWidth="1"/>
    <col min="4868" max="4868" width="47.85546875" style="1236" customWidth="1"/>
    <col min="4869" max="4869" width="12.85546875" style="1236" customWidth="1"/>
    <col min="4870" max="4870" width="15.5703125" style="1236" customWidth="1"/>
    <col min="4871" max="4871" width="15.85546875" style="1236" customWidth="1"/>
    <col min="4872" max="4872" width="6.42578125" style="1236" customWidth="1"/>
    <col min="4873" max="4874" width="9.140625" style="1236"/>
    <col min="4875" max="4876" width="14.7109375" style="1236" bestFit="1" customWidth="1"/>
    <col min="4877" max="5120" width="9.140625" style="1236"/>
    <col min="5121" max="5121" width="5.5703125" style="1236" customWidth="1"/>
    <col min="5122" max="5122" width="6.7109375" style="1236" customWidth="1"/>
    <col min="5123" max="5123" width="8.85546875" style="1236" customWidth="1"/>
    <col min="5124" max="5124" width="47.85546875" style="1236" customWidth="1"/>
    <col min="5125" max="5125" width="12.85546875" style="1236" customWidth="1"/>
    <col min="5126" max="5126" width="15.5703125" style="1236" customWidth="1"/>
    <col min="5127" max="5127" width="15.85546875" style="1236" customWidth="1"/>
    <col min="5128" max="5128" width="6.42578125" style="1236" customWidth="1"/>
    <col min="5129" max="5130" width="9.140625" style="1236"/>
    <col min="5131" max="5132" width="14.7109375" style="1236" bestFit="1" customWidth="1"/>
    <col min="5133" max="5376" width="9.140625" style="1236"/>
    <col min="5377" max="5377" width="5.5703125" style="1236" customWidth="1"/>
    <col min="5378" max="5378" width="6.7109375" style="1236" customWidth="1"/>
    <col min="5379" max="5379" width="8.85546875" style="1236" customWidth="1"/>
    <col min="5380" max="5380" width="47.85546875" style="1236" customWidth="1"/>
    <col min="5381" max="5381" width="12.85546875" style="1236" customWidth="1"/>
    <col min="5382" max="5382" width="15.5703125" style="1236" customWidth="1"/>
    <col min="5383" max="5383" width="15.85546875" style="1236" customWidth="1"/>
    <col min="5384" max="5384" width="6.42578125" style="1236" customWidth="1"/>
    <col min="5385" max="5386" width="9.140625" style="1236"/>
    <col min="5387" max="5388" width="14.7109375" style="1236" bestFit="1" customWidth="1"/>
    <col min="5389" max="5632" width="9.140625" style="1236"/>
    <col min="5633" max="5633" width="5.5703125" style="1236" customWidth="1"/>
    <col min="5634" max="5634" width="6.7109375" style="1236" customWidth="1"/>
    <col min="5635" max="5635" width="8.85546875" style="1236" customWidth="1"/>
    <col min="5636" max="5636" width="47.85546875" style="1236" customWidth="1"/>
    <col min="5637" max="5637" width="12.85546875" style="1236" customWidth="1"/>
    <col min="5638" max="5638" width="15.5703125" style="1236" customWidth="1"/>
    <col min="5639" max="5639" width="15.85546875" style="1236" customWidth="1"/>
    <col min="5640" max="5640" width="6.42578125" style="1236" customWidth="1"/>
    <col min="5641" max="5642" width="9.140625" style="1236"/>
    <col min="5643" max="5644" width="14.7109375" style="1236" bestFit="1" customWidth="1"/>
    <col min="5645" max="5888" width="9.140625" style="1236"/>
    <col min="5889" max="5889" width="5.5703125" style="1236" customWidth="1"/>
    <col min="5890" max="5890" width="6.7109375" style="1236" customWidth="1"/>
    <col min="5891" max="5891" width="8.85546875" style="1236" customWidth="1"/>
    <col min="5892" max="5892" width="47.85546875" style="1236" customWidth="1"/>
    <col min="5893" max="5893" width="12.85546875" style="1236" customWidth="1"/>
    <col min="5894" max="5894" width="15.5703125" style="1236" customWidth="1"/>
    <col min="5895" max="5895" width="15.85546875" style="1236" customWidth="1"/>
    <col min="5896" max="5896" width="6.42578125" style="1236" customWidth="1"/>
    <col min="5897" max="5898" width="9.140625" style="1236"/>
    <col min="5899" max="5900" width="14.7109375" style="1236" bestFit="1" customWidth="1"/>
    <col min="5901" max="6144" width="9.140625" style="1236"/>
    <col min="6145" max="6145" width="5.5703125" style="1236" customWidth="1"/>
    <col min="6146" max="6146" width="6.7109375" style="1236" customWidth="1"/>
    <col min="6147" max="6147" width="8.85546875" style="1236" customWidth="1"/>
    <col min="6148" max="6148" width="47.85546875" style="1236" customWidth="1"/>
    <col min="6149" max="6149" width="12.85546875" style="1236" customWidth="1"/>
    <col min="6150" max="6150" width="15.5703125" style="1236" customWidth="1"/>
    <col min="6151" max="6151" width="15.85546875" style="1236" customWidth="1"/>
    <col min="6152" max="6152" width="6.42578125" style="1236" customWidth="1"/>
    <col min="6153" max="6154" width="9.140625" style="1236"/>
    <col min="6155" max="6156" width="14.7109375" style="1236" bestFit="1" customWidth="1"/>
    <col min="6157" max="6400" width="9.140625" style="1236"/>
    <col min="6401" max="6401" width="5.5703125" style="1236" customWidth="1"/>
    <col min="6402" max="6402" width="6.7109375" style="1236" customWidth="1"/>
    <col min="6403" max="6403" width="8.85546875" style="1236" customWidth="1"/>
    <col min="6404" max="6404" width="47.85546875" style="1236" customWidth="1"/>
    <col min="6405" max="6405" width="12.85546875" style="1236" customWidth="1"/>
    <col min="6406" max="6406" width="15.5703125" style="1236" customWidth="1"/>
    <col min="6407" max="6407" width="15.85546875" style="1236" customWidth="1"/>
    <col min="6408" max="6408" width="6.42578125" style="1236" customWidth="1"/>
    <col min="6409" max="6410" width="9.140625" style="1236"/>
    <col min="6411" max="6412" width="14.7109375" style="1236" bestFit="1" customWidth="1"/>
    <col min="6413" max="6656" width="9.140625" style="1236"/>
    <col min="6657" max="6657" width="5.5703125" style="1236" customWidth="1"/>
    <col min="6658" max="6658" width="6.7109375" style="1236" customWidth="1"/>
    <col min="6659" max="6659" width="8.85546875" style="1236" customWidth="1"/>
    <col min="6660" max="6660" width="47.85546875" style="1236" customWidth="1"/>
    <col min="6661" max="6661" width="12.85546875" style="1236" customWidth="1"/>
    <col min="6662" max="6662" width="15.5703125" style="1236" customWidth="1"/>
    <col min="6663" max="6663" width="15.85546875" style="1236" customWidth="1"/>
    <col min="6664" max="6664" width="6.42578125" style="1236" customWidth="1"/>
    <col min="6665" max="6666" width="9.140625" style="1236"/>
    <col min="6667" max="6668" width="14.7109375" style="1236" bestFit="1" customWidth="1"/>
    <col min="6669" max="6912" width="9.140625" style="1236"/>
    <col min="6913" max="6913" width="5.5703125" style="1236" customWidth="1"/>
    <col min="6914" max="6914" width="6.7109375" style="1236" customWidth="1"/>
    <col min="6915" max="6915" width="8.85546875" style="1236" customWidth="1"/>
    <col min="6916" max="6916" width="47.85546875" style="1236" customWidth="1"/>
    <col min="6917" max="6917" width="12.85546875" style="1236" customWidth="1"/>
    <col min="6918" max="6918" width="15.5703125" style="1236" customWidth="1"/>
    <col min="6919" max="6919" width="15.85546875" style="1236" customWidth="1"/>
    <col min="6920" max="6920" width="6.42578125" style="1236" customWidth="1"/>
    <col min="6921" max="6922" width="9.140625" style="1236"/>
    <col min="6923" max="6924" width="14.7109375" style="1236" bestFit="1" customWidth="1"/>
    <col min="6925" max="7168" width="9.140625" style="1236"/>
    <col min="7169" max="7169" width="5.5703125" style="1236" customWidth="1"/>
    <col min="7170" max="7170" width="6.7109375" style="1236" customWidth="1"/>
    <col min="7171" max="7171" width="8.85546875" style="1236" customWidth="1"/>
    <col min="7172" max="7172" width="47.85546875" style="1236" customWidth="1"/>
    <col min="7173" max="7173" width="12.85546875" style="1236" customWidth="1"/>
    <col min="7174" max="7174" width="15.5703125" style="1236" customWidth="1"/>
    <col min="7175" max="7175" width="15.85546875" style="1236" customWidth="1"/>
    <col min="7176" max="7176" width="6.42578125" style="1236" customWidth="1"/>
    <col min="7177" max="7178" width="9.140625" style="1236"/>
    <col min="7179" max="7180" width="14.7109375" style="1236" bestFit="1" customWidth="1"/>
    <col min="7181" max="7424" width="9.140625" style="1236"/>
    <col min="7425" max="7425" width="5.5703125" style="1236" customWidth="1"/>
    <col min="7426" max="7426" width="6.7109375" style="1236" customWidth="1"/>
    <col min="7427" max="7427" width="8.85546875" style="1236" customWidth="1"/>
    <col min="7428" max="7428" width="47.85546875" style="1236" customWidth="1"/>
    <col min="7429" max="7429" width="12.85546875" style="1236" customWidth="1"/>
    <col min="7430" max="7430" width="15.5703125" style="1236" customWidth="1"/>
    <col min="7431" max="7431" width="15.85546875" style="1236" customWidth="1"/>
    <col min="7432" max="7432" width="6.42578125" style="1236" customWidth="1"/>
    <col min="7433" max="7434" width="9.140625" style="1236"/>
    <col min="7435" max="7436" width="14.7109375" style="1236" bestFit="1" customWidth="1"/>
    <col min="7437" max="7680" width="9.140625" style="1236"/>
    <col min="7681" max="7681" width="5.5703125" style="1236" customWidth="1"/>
    <col min="7682" max="7682" width="6.7109375" style="1236" customWidth="1"/>
    <col min="7683" max="7683" width="8.85546875" style="1236" customWidth="1"/>
    <col min="7684" max="7684" width="47.85546875" style="1236" customWidth="1"/>
    <col min="7685" max="7685" width="12.85546875" style="1236" customWidth="1"/>
    <col min="7686" max="7686" width="15.5703125" style="1236" customWidth="1"/>
    <col min="7687" max="7687" width="15.85546875" style="1236" customWidth="1"/>
    <col min="7688" max="7688" width="6.42578125" style="1236" customWidth="1"/>
    <col min="7689" max="7690" width="9.140625" style="1236"/>
    <col min="7691" max="7692" width="14.7109375" style="1236" bestFit="1" customWidth="1"/>
    <col min="7693" max="7936" width="9.140625" style="1236"/>
    <col min="7937" max="7937" width="5.5703125" style="1236" customWidth="1"/>
    <col min="7938" max="7938" width="6.7109375" style="1236" customWidth="1"/>
    <col min="7939" max="7939" width="8.85546875" style="1236" customWidth="1"/>
    <col min="7940" max="7940" width="47.85546875" style="1236" customWidth="1"/>
    <col min="7941" max="7941" width="12.85546875" style="1236" customWidth="1"/>
    <col min="7942" max="7942" width="15.5703125" style="1236" customWidth="1"/>
    <col min="7943" max="7943" width="15.85546875" style="1236" customWidth="1"/>
    <col min="7944" max="7944" width="6.42578125" style="1236" customWidth="1"/>
    <col min="7945" max="7946" width="9.140625" style="1236"/>
    <col min="7947" max="7948" width="14.7109375" style="1236" bestFit="1" customWidth="1"/>
    <col min="7949" max="8192" width="9.140625" style="1236"/>
    <col min="8193" max="8193" width="5.5703125" style="1236" customWidth="1"/>
    <col min="8194" max="8194" width="6.7109375" style="1236" customWidth="1"/>
    <col min="8195" max="8195" width="8.85546875" style="1236" customWidth="1"/>
    <col min="8196" max="8196" width="47.85546875" style="1236" customWidth="1"/>
    <col min="8197" max="8197" width="12.85546875" style="1236" customWidth="1"/>
    <col min="8198" max="8198" width="15.5703125" style="1236" customWidth="1"/>
    <col min="8199" max="8199" width="15.85546875" style="1236" customWidth="1"/>
    <col min="8200" max="8200" width="6.42578125" style="1236" customWidth="1"/>
    <col min="8201" max="8202" width="9.140625" style="1236"/>
    <col min="8203" max="8204" width="14.7109375" style="1236" bestFit="1" customWidth="1"/>
    <col min="8205" max="8448" width="9.140625" style="1236"/>
    <col min="8449" max="8449" width="5.5703125" style="1236" customWidth="1"/>
    <col min="8450" max="8450" width="6.7109375" style="1236" customWidth="1"/>
    <col min="8451" max="8451" width="8.85546875" style="1236" customWidth="1"/>
    <col min="8452" max="8452" width="47.85546875" style="1236" customWidth="1"/>
    <col min="8453" max="8453" width="12.85546875" style="1236" customWidth="1"/>
    <col min="8454" max="8454" width="15.5703125" style="1236" customWidth="1"/>
    <col min="8455" max="8455" width="15.85546875" style="1236" customWidth="1"/>
    <col min="8456" max="8456" width="6.42578125" style="1236" customWidth="1"/>
    <col min="8457" max="8458" width="9.140625" style="1236"/>
    <col min="8459" max="8460" width="14.7109375" style="1236" bestFit="1" customWidth="1"/>
    <col min="8461" max="8704" width="9.140625" style="1236"/>
    <col min="8705" max="8705" width="5.5703125" style="1236" customWidth="1"/>
    <col min="8706" max="8706" width="6.7109375" style="1236" customWidth="1"/>
    <col min="8707" max="8707" width="8.85546875" style="1236" customWidth="1"/>
    <col min="8708" max="8708" width="47.85546875" style="1236" customWidth="1"/>
    <col min="8709" max="8709" width="12.85546875" style="1236" customWidth="1"/>
    <col min="8710" max="8710" width="15.5703125" style="1236" customWidth="1"/>
    <col min="8711" max="8711" width="15.85546875" style="1236" customWidth="1"/>
    <col min="8712" max="8712" width="6.42578125" style="1236" customWidth="1"/>
    <col min="8713" max="8714" width="9.140625" style="1236"/>
    <col min="8715" max="8716" width="14.7109375" style="1236" bestFit="1" customWidth="1"/>
    <col min="8717" max="8960" width="9.140625" style="1236"/>
    <col min="8961" max="8961" width="5.5703125" style="1236" customWidth="1"/>
    <col min="8962" max="8962" width="6.7109375" style="1236" customWidth="1"/>
    <col min="8963" max="8963" width="8.85546875" style="1236" customWidth="1"/>
    <col min="8964" max="8964" width="47.85546875" style="1236" customWidth="1"/>
    <col min="8965" max="8965" width="12.85546875" style="1236" customWidth="1"/>
    <col min="8966" max="8966" width="15.5703125" style="1236" customWidth="1"/>
    <col min="8967" max="8967" width="15.85546875" style="1236" customWidth="1"/>
    <col min="8968" max="8968" width="6.42578125" style="1236" customWidth="1"/>
    <col min="8969" max="8970" width="9.140625" style="1236"/>
    <col min="8971" max="8972" width="14.7109375" style="1236" bestFit="1" customWidth="1"/>
    <col min="8973" max="9216" width="9.140625" style="1236"/>
    <col min="9217" max="9217" width="5.5703125" style="1236" customWidth="1"/>
    <col min="9218" max="9218" width="6.7109375" style="1236" customWidth="1"/>
    <col min="9219" max="9219" width="8.85546875" style="1236" customWidth="1"/>
    <col min="9220" max="9220" width="47.85546875" style="1236" customWidth="1"/>
    <col min="9221" max="9221" width="12.85546875" style="1236" customWidth="1"/>
    <col min="9222" max="9222" width="15.5703125" style="1236" customWidth="1"/>
    <col min="9223" max="9223" width="15.85546875" style="1236" customWidth="1"/>
    <col min="9224" max="9224" width="6.42578125" style="1236" customWidth="1"/>
    <col min="9225" max="9226" width="9.140625" style="1236"/>
    <col min="9227" max="9228" width="14.7109375" style="1236" bestFit="1" customWidth="1"/>
    <col min="9229" max="9472" width="9.140625" style="1236"/>
    <col min="9473" max="9473" width="5.5703125" style="1236" customWidth="1"/>
    <col min="9474" max="9474" width="6.7109375" style="1236" customWidth="1"/>
    <col min="9475" max="9475" width="8.85546875" style="1236" customWidth="1"/>
    <col min="9476" max="9476" width="47.85546875" style="1236" customWidth="1"/>
    <col min="9477" max="9477" width="12.85546875" style="1236" customWidth="1"/>
    <col min="9478" max="9478" width="15.5703125" style="1236" customWidth="1"/>
    <col min="9479" max="9479" width="15.85546875" style="1236" customWidth="1"/>
    <col min="9480" max="9480" width="6.42578125" style="1236" customWidth="1"/>
    <col min="9481" max="9482" width="9.140625" style="1236"/>
    <col min="9483" max="9484" width="14.7109375" style="1236" bestFit="1" customWidth="1"/>
    <col min="9485" max="9728" width="9.140625" style="1236"/>
    <col min="9729" max="9729" width="5.5703125" style="1236" customWidth="1"/>
    <col min="9730" max="9730" width="6.7109375" style="1236" customWidth="1"/>
    <col min="9731" max="9731" width="8.85546875" style="1236" customWidth="1"/>
    <col min="9732" max="9732" width="47.85546875" style="1236" customWidth="1"/>
    <col min="9733" max="9733" width="12.85546875" style="1236" customWidth="1"/>
    <col min="9734" max="9734" width="15.5703125" style="1236" customWidth="1"/>
    <col min="9735" max="9735" width="15.85546875" style="1236" customWidth="1"/>
    <col min="9736" max="9736" width="6.42578125" style="1236" customWidth="1"/>
    <col min="9737" max="9738" width="9.140625" style="1236"/>
    <col min="9739" max="9740" width="14.7109375" style="1236" bestFit="1" customWidth="1"/>
    <col min="9741" max="9984" width="9.140625" style="1236"/>
    <col min="9985" max="9985" width="5.5703125" style="1236" customWidth="1"/>
    <col min="9986" max="9986" width="6.7109375" style="1236" customWidth="1"/>
    <col min="9987" max="9987" width="8.85546875" style="1236" customWidth="1"/>
    <col min="9988" max="9988" width="47.85546875" style="1236" customWidth="1"/>
    <col min="9989" max="9989" width="12.85546875" style="1236" customWidth="1"/>
    <col min="9990" max="9990" width="15.5703125" style="1236" customWidth="1"/>
    <col min="9991" max="9991" width="15.85546875" style="1236" customWidth="1"/>
    <col min="9992" max="9992" width="6.42578125" style="1236" customWidth="1"/>
    <col min="9993" max="9994" width="9.140625" style="1236"/>
    <col min="9995" max="9996" width="14.7109375" style="1236" bestFit="1" customWidth="1"/>
    <col min="9997" max="10240" width="9.140625" style="1236"/>
    <col min="10241" max="10241" width="5.5703125" style="1236" customWidth="1"/>
    <col min="10242" max="10242" width="6.7109375" style="1236" customWidth="1"/>
    <col min="10243" max="10243" width="8.85546875" style="1236" customWidth="1"/>
    <col min="10244" max="10244" width="47.85546875" style="1236" customWidth="1"/>
    <col min="10245" max="10245" width="12.85546875" style="1236" customWidth="1"/>
    <col min="10246" max="10246" width="15.5703125" style="1236" customWidth="1"/>
    <col min="10247" max="10247" width="15.85546875" style="1236" customWidth="1"/>
    <col min="10248" max="10248" width="6.42578125" style="1236" customWidth="1"/>
    <col min="10249" max="10250" width="9.140625" style="1236"/>
    <col min="10251" max="10252" width="14.7109375" style="1236" bestFit="1" customWidth="1"/>
    <col min="10253" max="10496" width="9.140625" style="1236"/>
    <col min="10497" max="10497" width="5.5703125" style="1236" customWidth="1"/>
    <col min="10498" max="10498" width="6.7109375" style="1236" customWidth="1"/>
    <col min="10499" max="10499" width="8.85546875" style="1236" customWidth="1"/>
    <col min="10500" max="10500" width="47.85546875" style="1236" customWidth="1"/>
    <col min="10501" max="10501" width="12.85546875" style="1236" customWidth="1"/>
    <col min="10502" max="10502" width="15.5703125" style="1236" customWidth="1"/>
    <col min="10503" max="10503" width="15.85546875" style="1236" customWidth="1"/>
    <col min="10504" max="10504" width="6.42578125" style="1236" customWidth="1"/>
    <col min="10505" max="10506" width="9.140625" style="1236"/>
    <col min="10507" max="10508" width="14.7109375" style="1236" bestFit="1" customWidth="1"/>
    <col min="10509" max="10752" width="9.140625" style="1236"/>
    <col min="10753" max="10753" width="5.5703125" style="1236" customWidth="1"/>
    <col min="10754" max="10754" width="6.7109375" style="1236" customWidth="1"/>
    <col min="10755" max="10755" width="8.85546875" style="1236" customWidth="1"/>
    <col min="10756" max="10756" width="47.85546875" style="1236" customWidth="1"/>
    <col min="10757" max="10757" width="12.85546875" style="1236" customWidth="1"/>
    <col min="10758" max="10758" width="15.5703125" style="1236" customWidth="1"/>
    <col min="10759" max="10759" width="15.85546875" style="1236" customWidth="1"/>
    <col min="10760" max="10760" width="6.42578125" style="1236" customWidth="1"/>
    <col min="10761" max="10762" width="9.140625" style="1236"/>
    <col min="10763" max="10764" width="14.7109375" style="1236" bestFit="1" customWidth="1"/>
    <col min="10765" max="11008" width="9.140625" style="1236"/>
    <col min="11009" max="11009" width="5.5703125" style="1236" customWidth="1"/>
    <col min="11010" max="11010" width="6.7109375" style="1236" customWidth="1"/>
    <col min="11011" max="11011" width="8.85546875" style="1236" customWidth="1"/>
    <col min="11012" max="11012" width="47.85546875" style="1236" customWidth="1"/>
    <col min="11013" max="11013" width="12.85546875" style="1236" customWidth="1"/>
    <col min="11014" max="11014" width="15.5703125" style="1236" customWidth="1"/>
    <col min="11015" max="11015" width="15.85546875" style="1236" customWidth="1"/>
    <col min="11016" max="11016" width="6.42578125" style="1236" customWidth="1"/>
    <col min="11017" max="11018" width="9.140625" style="1236"/>
    <col min="11019" max="11020" width="14.7109375" style="1236" bestFit="1" customWidth="1"/>
    <col min="11021" max="11264" width="9.140625" style="1236"/>
    <col min="11265" max="11265" width="5.5703125" style="1236" customWidth="1"/>
    <col min="11266" max="11266" width="6.7109375" style="1236" customWidth="1"/>
    <col min="11267" max="11267" width="8.85546875" style="1236" customWidth="1"/>
    <col min="11268" max="11268" width="47.85546875" style="1236" customWidth="1"/>
    <col min="11269" max="11269" width="12.85546875" style="1236" customWidth="1"/>
    <col min="11270" max="11270" width="15.5703125" style="1236" customWidth="1"/>
    <col min="11271" max="11271" width="15.85546875" style="1236" customWidth="1"/>
    <col min="11272" max="11272" width="6.42578125" style="1236" customWidth="1"/>
    <col min="11273" max="11274" width="9.140625" style="1236"/>
    <col min="11275" max="11276" width="14.7109375" style="1236" bestFit="1" customWidth="1"/>
    <col min="11277" max="11520" width="9.140625" style="1236"/>
    <col min="11521" max="11521" width="5.5703125" style="1236" customWidth="1"/>
    <col min="11522" max="11522" width="6.7109375" style="1236" customWidth="1"/>
    <col min="11523" max="11523" width="8.85546875" style="1236" customWidth="1"/>
    <col min="11524" max="11524" width="47.85546875" style="1236" customWidth="1"/>
    <col min="11525" max="11525" width="12.85546875" style="1236" customWidth="1"/>
    <col min="11526" max="11526" width="15.5703125" style="1236" customWidth="1"/>
    <col min="11527" max="11527" width="15.85546875" style="1236" customWidth="1"/>
    <col min="11528" max="11528" width="6.42578125" style="1236" customWidth="1"/>
    <col min="11529" max="11530" width="9.140625" style="1236"/>
    <col min="11531" max="11532" width="14.7109375" style="1236" bestFit="1" customWidth="1"/>
    <col min="11533" max="11776" width="9.140625" style="1236"/>
    <col min="11777" max="11777" width="5.5703125" style="1236" customWidth="1"/>
    <col min="11778" max="11778" width="6.7109375" style="1236" customWidth="1"/>
    <col min="11779" max="11779" width="8.85546875" style="1236" customWidth="1"/>
    <col min="11780" max="11780" width="47.85546875" style="1236" customWidth="1"/>
    <col min="11781" max="11781" width="12.85546875" style="1236" customWidth="1"/>
    <col min="11782" max="11782" width="15.5703125" style="1236" customWidth="1"/>
    <col min="11783" max="11783" width="15.85546875" style="1236" customWidth="1"/>
    <col min="11784" max="11784" width="6.42578125" style="1236" customWidth="1"/>
    <col min="11785" max="11786" width="9.140625" style="1236"/>
    <col min="11787" max="11788" width="14.7109375" style="1236" bestFit="1" customWidth="1"/>
    <col min="11789" max="12032" width="9.140625" style="1236"/>
    <col min="12033" max="12033" width="5.5703125" style="1236" customWidth="1"/>
    <col min="12034" max="12034" width="6.7109375" style="1236" customWidth="1"/>
    <col min="12035" max="12035" width="8.85546875" style="1236" customWidth="1"/>
    <col min="12036" max="12036" width="47.85546875" style="1236" customWidth="1"/>
    <col min="12037" max="12037" width="12.85546875" style="1236" customWidth="1"/>
    <col min="12038" max="12038" width="15.5703125" style="1236" customWidth="1"/>
    <col min="12039" max="12039" width="15.85546875" style="1236" customWidth="1"/>
    <col min="12040" max="12040" width="6.42578125" style="1236" customWidth="1"/>
    <col min="12041" max="12042" width="9.140625" style="1236"/>
    <col min="12043" max="12044" width="14.7109375" style="1236" bestFit="1" customWidth="1"/>
    <col min="12045" max="12288" width="9.140625" style="1236"/>
    <col min="12289" max="12289" width="5.5703125" style="1236" customWidth="1"/>
    <col min="12290" max="12290" width="6.7109375" style="1236" customWidth="1"/>
    <col min="12291" max="12291" width="8.85546875" style="1236" customWidth="1"/>
    <col min="12292" max="12292" width="47.85546875" style="1236" customWidth="1"/>
    <col min="12293" max="12293" width="12.85546875" style="1236" customWidth="1"/>
    <col min="12294" max="12294" width="15.5703125" style="1236" customWidth="1"/>
    <col min="12295" max="12295" width="15.85546875" style="1236" customWidth="1"/>
    <col min="12296" max="12296" width="6.42578125" style="1236" customWidth="1"/>
    <col min="12297" max="12298" width="9.140625" style="1236"/>
    <col min="12299" max="12300" width="14.7109375" style="1236" bestFit="1" customWidth="1"/>
    <col min="12301" max="12544" width="9.140625" style="1236"/>
    <col min="12545" max="12545" width="5.5703125" style="1236" customWidth="1"/>
    <col min="12546" max="12546" width="6.7109375" style="1236" customWidth="1"/>
    <col min="12547" max="12547" width="8.85546875" style="1236" customWidth="1"/>
    <col min="12548" max="12548" width="47.85546875" style="1236" customWidth="1"/>
    <col min="12549" max="12549" width="12.85546875" style="1236" customWidth="1"/>
    <col min="12550" max="12550" width="15.5703125" style="1236" customWidth="1"/>
    <col min="12551" max="12551" width="15.85546875" style="1236" customWidth="1"/>
    <col min="12552" max="12552" width="6.42578125" style="1236" customWidth="1"/>
    <col min="12553" max="12554" width="9.140625" style="1236"/>
    <col min="12555" max="12556" width="14.7109375" style="1236" bestFit="1" customWidth="1"/>
    <col min="12557" max="12800" width="9.140625" style="1236"/>
    <col min="12801" max="12801" width="5.5703125" style="1236" customWidth="1"/>
    <col min="12802" max="12802" width="6.7109375" style="1236" customWidth="1"/>
    <col min="12803" max="12803" width="8.85546875" style="1236" customWidth="1"/>
    <col min="12804" max="12804" width="47.85546875" style="1236" customWidth="1"/>
    <col min="12805" max="12805" width="12.85546875" style="1236" customWidth="1"/>
    <col min="12806" max="12806" width="15.5703125" style="1236" customWidth="1"/>
    <col min="12807" max="12807" width="15.85546875" style="1236" customWidth="1"/>
    <col min="12808" max="12808" width="6.42578125" style="1236" customWidth="1"/>
    <col min="12809" max="12810" width="9.140625" style="1236"/>
    <col min="12811" max="12812" width="14.7109375" style="1236" bestFit="1" customWidth="1"/>
    <col min="12813" max="13056" width="9.140625" style="1236"/>
    <col min="13057" max="13057" width="5.5703125" style="1236" customWidth="1"/>
    <col min="13058" max="13058" width="6.7109375" style="1236" customWidth="1"/>
    <col min="13059" max="13059" width="8.85546875" style="1236" customWidth="1"/>
    <col min="13060" max="13060" width="47.85546875" style="1236" customWidth="1"/>
    <col min="13061" max="13061" width="12.85546875" style="1236" customWidth="1"/>
    <col min="13062" max="13062" width="15.5703125" style="1236" customWidth="1"/>
    <col min="13063" max="13063" width="15.85546875" style="1236" customWidth="1"/>
    <col min="13064" max="13064" width="6.42578125" style="1236" customWidth="1"/>
    <col min="13065" max="13066" width="9.140625" style="1236"/>
    <col min="13067" max="13068" width="14.7109375" style="1236" bestFit="1" customWidth="1"/>
    <col min="13069" max="13312" width="9.140625" style="1236"/>
    <col min="13313" max="13313" width="5.5703125" style="1236" customWidth="1"/>
    <col min="13314" max="13314" width="6.7109375" style="1236" customWidth="1"/>
    <col min="13315" max="13315" width="8.85546875" style="1236" customWidth="1"/>
    <col min="13316" max="13316" width="47.85546875" style="1236" customWidth="1"/>
    <col min="13317" max="13317" width="12.85546875" style="1236" customWidth="1"/>
    <col min="13318" max="13318" width="15.5703125" style="1236" customWidth="1"/>
    <col min="13319" max="13319" width="15.85546875" style="1236" customWidth="1"/>
    <col min="13320" max="13320" width="6.42578125" style="1236" customWidth="1"/>
    <col min="13321" max="13322" width="9.140625" style="1236"/>
    <col min="13323" max="13324" width="14.7109375" style="1236" bestFit="1" customWidth="1"/>
    <col min="13325" max="13568" width="9.140625" style="1236"/>
    <col min="13569" max="13569" width="5.5703125" style="1236" customWidth="1"/>
    <col min="13570" max="13570" width="6.7109375" style="1236" customWidth="1"/>
    <col min="13571" max="13571" width="8.85546875" style="1236" customWidth="1"/>
    <col min="13572" max="13572" width="47.85546875" style="1236" customWidth="1"/>
    <col min="13573" max="13573" width="12.85546875" style="1236" customWidth="1"/>
    <col min="13574" max="13574" width="15.5703125" style="1236" customWidth="1"/>
    <col min="13575" max="13575" width="15.85546875" style="1236" customWidth="1"/>
    <col min="13576" max="13576" width="6.42578125" style="1236" customWidth="1"/>
    <col min="13577" max="13578" width="9.140625" style="1236"/>
    <col min="13579" max="13580" width="14.7109375" style="1236" bestFit="1" customWidth="1"/>
    <col min="13581" max="13824" width="9.140625" style="1236"/>
    <col min="13825" max="13825" width="5.5703125" style="1236" customWidth="1"/>
    <col min="13826" max="13826" width="6.7109375" style="1236" customWidth="1"/>
    <col min="13827" max="13827" width="8.85546875" style="1236" customWidth="1"/>
    <col min="13828" max="13828" width="47.85546875" style="1236" customWidth="1"/>
    <col min="13829" max="13829" width="12.85546875" style="1236" customWidth="1"/>
    <col min="13830" max="13830" width="15.5703125" style="1236" customWidth="1"/>
    <col min="13831" max="13831" width="15.85546875" style="1236" customWidth="1"/>
    <col min="13832" max="13832" width="6.42578125" style="1236" customWidth="1"/>
    <col min="13833" max="13834" width="9.140625" style="1236"/>
    <col min="13835" max="13836" width="14.7109375" style="1236" bestFit="1" customWidth="1"/>
    <col min="13837" max="14080" width="9.140625" style="1236"/>
    <col min="14081" max="14081" width="5.5703125" style="1236" customWidth="1"/>
    <col min="14082" max="14082" width="6.7109375" style="1236" customWidth="1"/>
    <col min="14083" max="14083" width="8.85546875" style="1236" customWidth="1"/>
    <col min="14084" max="14084" width="47.85546875" style="1236" customWidth="1"/>
    <col min="14085" max="14085" width="12.85546875" style="1236" customWidth="1"/>
    <col min="14086" max="14086" width="15.5703125" style="1236" customWidth="1"/>
    <col min="14087" max="14087" width="15.85546875" style="1236" customWidth="1"/>
    <col min="14088" max="14088" width="6.42578125" style="1236" customWidth="1"/>
    <col min="14089" max="14090" width="9.140625" style="1236"/>
    <col min="14091" max="14092" width="14.7109375" style="1236" bestFit="1" customWidth="1"/>
    <col min="14093" max="14336" width="9.140625" style="1236"/>
    <col min="14337" max="14337" width="5.5703125" style="1236" customWidth="1"/>
    <col min="14338" max="14338" width="6.7109375" style="1236" customWidth="1"/>
    <col min="14339" max="14339" width="8.85546875" style="1236" customWidth="1"/>
    <col min="14340" max="14340" width="47.85546875" style="1236" customWidth="1"/>
    <col min="14341" max="14341" width="12.85546875" style="1236" customWidth="1"/>
    <col min="14342" max="14342" width="15.5703125" style="1236" customWidth="1"/>
    <col min="14343" max="14343" width="15.85546875" style="1236" customWidth="1"/>
    <col min="14344" max="14344" width="6.42578125" style="1236" customWidth="1"/>
    <col min="14345" max="14346" width="9.140625" style="1236"/>
    <col min="14347" max="14348" width="14.7109375" style="1236" bestFit="1" customWidth="1"/>
    <col min="14349" max="14592" width="9.140625" style="1236"/>
    <col min="14593" max="14593" width="5.5703125" style="1236" customWidth="1"/>
    <col min="14594" max="14594" width="6.7109375" style="1236" customWidth="1"/>
    <col min="14595" max="14595" width="8.85546875" style="1236" customWidth="1"/>
    <col min="14596" max="14596" width="47.85546875" style="1236" customWidth="1"/>
    <col min="14597" max="14597" width="12.85546875" style="1236" customWidth="1"/>
    <col min="14598" max="14598" width="15.5703125" style="1236" customWidth="1"/>
    <col min="14599" max="14599" width="15.85546875" style="1236" customWidth="1"/>
    <col min="14600" max="14600" width="6.42578125" style="1236" customWidth="1"/>
    <col min="14601" max="14602" width="9.140625" style="1236"/>
    <col min="14603" max="14604" width="14.7109375" style="1236" bestFit="1" customWidth="1"/>
    <col min="14605" max="14848" width="9.140625" style="1236"/>
    <col min="14849" max="14849" width="5.5703125" style="1236" customWidth="1"/>
    <col min="14850" max="14850" width="6.7109375" style="1236" customWidth="1"/>
    <col min="14851" max="14851" width="8.85546875" style="1236" customWidth="1"/>
    <col min="14852" max="14852" width="47.85546875" style="1236" customWidth="1"/>
    <col min="14853" max="14853" width="12.85546875" style="1236" customWidth="1"/>
    <col min="14854" max="14854" width="15.5703125" style="1236" customWidth="1"/>
    <col min="14855" max="14855" width="15.85546875" style="1236" customWidth="1"/>
    <col min="14856" max="14856" width="6.42578125" style="1236" customWidth="1"/>
    <col min="14857" max="14858" width="9.140625" style="1236"/>
    <col min="14859" max="14860" width="14.7109375" style="1236" bestFit="1" customWidth="1"/>
    <col min="14861" max="15104" width="9.140625" style="1236"/>
    <col min="15105" max="15105" width="5.5703125" style="1236" customWidth="1"/>
    <col min="15106" max="15106" width="6.7109375" style="1236" customWidth="1"/>
    <col min="15107" max="15107" width="8.85546875" style="1236" customWidth="1"/>
    <col min="15108" max="15108" width="47.85546875" style="1236" customWidth="1"/>
    <col min="15109" max="15109" width="12.85546875" style="1236" customWidth="1"/>
    <col min="15110" max="15110" width="15.5703125" style="1236" customWidth="1"/>
    <col min="15111" max="15111" width="15.85546875" style="1236" customWidth="1"/>
    <col min="15112" max="15112" width="6.42578125" style="1236" customWidth="1"/>
    <col min="15113" max="15114" width="9.140625" style="1236"/>
    <col min="15115" max="15116" width="14.7109375" style="1236" bestFit="1" customWidth="1"/>
    <col min="15117" max="15360" width="9.140625" style="1236"/>
    <col min="15361" max="15361" width="5.5703125" style="1236" customWidth="1"/>
    <col min="15362" max="15362" width="6.7109375" style="1236" customWidth="1"/>
    <col min="15363" max="15363" width="8.85546875" style="1236" customWidth="1"/>
    <col min="15364" max="15364" width="47.85546875" style="1236" customWidth="1"/>
    <col min="15365" max="15365" width="12.85546875" style="1236" customWidth="1"/>
    <col min="15366" max="15366" width="15.5703125" style="1236" customWidth="1"/>
    <col min="15367" max="15367" width="15.85546875" style="1236" customWidth="1"/>
    <col min="15368" max="15368" width="6.42578125" style="1236" customWidth="1"/>
    <col min="15369" max="15370" width="9.140625" style="1236"/>
    <col min="15371" max="15372" width="14.7109375" style="1236" bestFit="1" customWidth="1"/>
    <col min="15373" max="15616" width="9.140625" style="1236"/>
    <col min="15617" max="15617" width="5.5703125" style="1236" customWidth="1"/>
    <col min="15618" max="15618" width="6.7109375" style="1236" customWidth="1"/>
    <col min="15619" max="15619" width="8.85546875" style="1236" customWidth="1"/>
    <col min="15620" max="15620" width="47.85546875" style="1236" customWidth="1"/>
    <col min="15621" max="15621" width="12.85546875" style="1236" customWidth="1"/>
    <col min="15622" max="15622" width="15.5703125" style="1236" customWidth="1"/>
    <col min="15623" max="15623" width="15.85546875" style="1236" customWidth="1"/>
    <col min="15624" max="15624" width="6.42578125" style="1236" customWidth="1"/>
    <col min="15625" max="15626" width="9.140625" style="1236"/>
    <col min="15627" max="15628" width="14.7109375" style="1236" bestFit="1" customWidth="1"/>
    <col min="15629" max="15872" width="9.140625" style="1236"/>
    <col min="15873" max="15873" width="5.5703125" style="1236" customWidth="1"/>
    <col min="15874" max="15874" width="6.7109375" style="1236" customWidth="1"/>
    <col min="15875" max="15875" width="8.85546875" style="1236" customWidth="1"/>
    <col min="15876" max="15876" width="47.85546875" style="1236" customWidth="1"/>
    <col min="15877" max="15877" width="12.85546875" style="1236" customWidth="1"/>
    <col min="15878" max="15878" width="15.5703125" style="1236" customWidth="1"/>
    <col min="15879" max="15879" width="15.85546875" style="1236" customWidth="1"/>
    <col min="15880" max="15880" width="6.42578125" style="1236" customWidth="1"/>
    <col min="15881" max="15882" width="9.140625" style="1236"/>
    <col min="15883" max="15884" width="14.7109375" style="1236" bestFit="1" customWidth="1"/>
    <col min="15885" max="16128" width="9.140625" style="1236"/>
    <col min="16129" max="16129" width="5.5703125" style="1236" customWidth="1"/>
    <col min="16130" max="16130" width="6.7109375" style="1236" customWidth="1"/>
    <col min="16131" max="16131" width="8.85546875" style="1236" customWidth="1"/>
    <col min="16132" max="16132" width="47.85546875" style="1236" customWidth="1"/>
    <col min="16133" max="16133" width="12.85546875" style="1236" customWidth="1"/>
    <col min="16134" max="16134" width="15.5703125" style="1236" customWidth="1"/>
    <col min="16135" max="16135" width="15.85546875" style="1236" customWidth="1"/>
    <col min="16136" max="16136" width="6.42578125" style="1236" customWidth="1"/>
    <col min="16137" max="16138" width="9.140625" style="1236"/>
    <col min="16139" max="16140" width="14.7109375" style="1236" bestFit="1" customWidth="1"/>
    <col min="16141" max="16384" width="9.140625" style="1236"/>
  </cols>
  <sheetData>
    <row r="1" spans="1:8" ht="18.75" thickBot="1" x14ac:dyDescent="0.3">
      <c r="A1" s="1230" t="s">
        <v>802</v>
      </c>
      <c r="B1" s="1231"/>
      <c r="C1" s="1232"/>
      <c r="D1" s="1233"/>
      <c r="E1" s="1234"/>
      <c r="F1" s="1233"/>
      <c r="G1" s="1235"/>
      <c r="H1" s="1230"/>
    </row>
    <row r="2" spans="1:8" ht="18" x14ac:dyDescent="0.25">
      <c r="A2" s="1237"/>
      <c r="B2" s="1238"/>
      <c r="C2" s="1238"/>
      <c r="D2" s="1238"/>
      <c r="E2" s="1238"/>
      <c r="F2" s="1238"/>
      <c r="G2" s="1238"/>
      <c r="H2" s="1239" t="s">
        <v>803</v>
      </c>
    </row>
    <row r="3" spans="1:8" ht="18" x14ac:dyDescent="0.25">
      <c r="A3" s="1240" t="s">
        <v>201</v>
      </c>
      <c r="B3" s="1238"/>
      <c r="C3" s="1241" t="s">
        <v>1808</v>
      </c>
      <c r="D3" s="1238"/>
      <c r="E3" s="1238"/>
      <c r="F3" s="1238"/>
      <c r="G3" s="1238"/>
      <c r="H3" s="1239"/>
    </row>
    <row r="4" spans="1:8" ht="18" x14ac:dyDescent="0.25">
      <c r="A4" s="1237"/>
      <c r="B4" s="1238"/>
      <c r="C4" s="1374" t="s">
        <v>250</v>
      </c>
      <c r="D4" s="1238"/>
      <c r="E4" s="1238"/>
      <c r="F4" s="1238"/>
      <c r="G4" s="1238"/>
      <c r="H4" s="1239"/>
    </row>
    <row r="5" spans="1:8" ht="18" x14ac:dyDescent="0.25">
      <c r="A5" s="1242" t="s">
        <v>804</v>
      </c>
      <c r="B5" s="1238"/>
      <c r="C5" s="1238"/>
      <c r="D5" s="1238"/>
      <c r="E5" s="1238"/>
      <c r="F5" s="1238"/>
      <c r="G5" s="1238"/>
      <c r="H5" s="1239"/>
    </row>
    <row r="6" spans="1:8" x14ac:dyDescent="0.2">
      <c r="A6" s="1243"/>
      <c r="B6" s="1243"/>
      <c r="C6" s="1243"/>
      <c r="E6" s="1244"/>
      <c r="F6" s="1244"/>
      <c r="G6" s="1244"/>
    </row>
    <row r="7" spans="1:8" x14ac:dyDescent="0.2">
      <c r="A7" s="1243"/>
      <c r="B7" s="1243"/>
      <c r="C7" s="1243"/>
      <c r="E7" s="1244"/>
      <c r="F7" s="1244"/>
      <c r="G7" s="1244"/>
    </row>
    <row r="9" spans="1:8" ht="14.25" customHeight="1" x14ac:dyDescent="0.25">
      <c r="A9" s="3333" t="s">
        <v>806</v>
      </c>
      <c r="B9" s="3334"/>
      <c r="C9" s="3334"/>
      <c r="D9" s="3334"/>
      <c r="E9" s="3334"/>
      <c r="F9" s="3334"/>
      <c r="G9" s="3334"/>
      <c r="H9" s="3334"/>
    </row>
    <row r="10" spans="1:8" ht="15.75" thickBot="1" x14ac:dyDescent="0.3">
      <c r="A10" s="1229" t="s">
        <v>792</v>
      </c>
      <c r="B10" s="1243"/>
      <c r="C10" s="1243"/>
      <c r="E10" s="1244"/>
      <c r="F10" s="1244"/>
      <c r="G10" s="1244"/>
      <c r="H10" s="1245" t="s">
        <v>92</v>
      </c>
    </row>
    <row r="11" spans="1:8" ht="25.5" thickTop="1" thickBot="1" x14ac:dyDescent="0.25">
      <c r="A11" s="1104" t="s">
        <v>93</v>
      </c>
      <c r="B11" s="1105" t="s">
        <v>392</v>
      </c>
      <c r="C11" s="1105" t="s">
        <v>209</v>
      </c>
      <c r="D11" s="1106" t="s">
        <v>95</v>
      </c>
      <c r="E11" s="1127" t="s">
        <v>328</v>
      </c>
      <c r="F11" s="1127" t="s">
        <v>329</v>
      </c>
      <c r="G11" s="1128" t="s">
        <v>448</v>
      </c>
      <c r="H11" s="1129" t="s">
        <v>449</v>
      </c>
    </row>
    <row r="12" spans="1:8" ht="14.25" thickTop="1" thickBot="1" x14ac:dyDescent="0.25">
      <c r="A12" s="1042">
        <v>1</v>
      </c>
      <c r="B12" s="1041">
        <v>2</v>
      </c>
      <c r="C12" s="1041">
        <v>3</v>
      </c>
      <c r="D12" s="1041">
        <v>4</v>
      </c>
      <c r="E12" s="1040">
        <v>5</v>
      </c>
      <c r="F12" s="1040">
        <v>6</v>
      </c>
      <c r="G12" s="1164">
        <v>7</v>
      </c>
      <c r="H12" s="1186" t="s">
        <v>33</v>
      </c>
    </row>
    <row r="13" spans="1:8" ht="26.25" hidden="1" thickTop="1" x14ac:dyDescent="0.2">
      <c r="A13" s="1262">
        <v>3299</v>
      </c>
      <c r="B13" s="1263">
        <v>6901</v>
      </c>
      <c r="C13" s="2203" t="s">
        <v>939</v>
      </c>
      <c r="D13" s="1264" t="s">
        <v>239</v>
      </c>
      <c r="E13" s="1265"/>
      <c r="F13" s="1265"/>
      <c r="G13" s="1265"/>
      <c r="H13" s="1266" t="e">
        <f>G13/F13*100</f>
        <v>#DIV/0!</v>
      </c>
    </row>
    <row r="14" spans="1:8" ht="26.25" hidden="1" thickTop="1" x14ac:dyDescent="0.2">
      <c r="A14" s="1262">
        <v>3299</v>
      </c>
      <c r="B14" s="1263">
        <v>6901</v>
      </c>
      <c r="C14" s="2203" t="s">
        <v>1056</v>
      </c>
      <c r="D14" s="1264" t="s">
        <v>239</v>
      </c>
      <c r="E14" s="1265"/>
      <c r="F14" s="1265"/>
      <c r="G14" s="1265"/>
      <c r="H14" s="1266" t="e">
        <f>G14/F14*100</f>
        <v>#DIV/0!</v>
      </c>
    </row>
    <row r="15" spans="1:8" ht="27.75" customHeight="1" thickTop="1" x14ac:dyDescent="0.2">
      <c r="A15" s="3071">
        <v>6402</v>
      </c>
      <c r="B15" s="3072">
        <v>5364</v>
      </c>
      <c r="C15" s="3073" t="s">
        <v>882</v>
      </c>
      <c r="D15" s="1264" t="s">
        <v>1022</v>
      </c>
      <c r="E15" s="3068">
        <v>0</v>
      </c>
      <c r="F15" s="3068">
        <v>128</v>
      </c>
      <c r="G15" s="3068">
        <v>128</v>
      </c>
      <c r="H15" s="3069">
        <f>G15/F15*100</f>
        <v>100</v>
      </c>
    </row>
    <row r="16" spans="1:8" ht="14.25" customHeight="1" thickBot="1" x14ac:dyDescent="0.25">
      <c r="A16" s="3071">
        <v>6330</v>
      </c>
      <c r="B16" s="3072">
        <v>5345</v>
      </c>
      <c r="C16" s="3073" t="s">
        <v>871</v>
      </c>
      <c r="D16" s="1264" t="s">
        <v>397</v>
      </c>
      <c r="E16" s="3068">
        <v>0</v>
      </c>
      <c r="F16" s="3068">
        <v>0</v>
      </c>
      <c r="G16" s="3068">
        <v>128</v>
      </c>
      <c r="H16" s="3069">
        <v>0</v>
      </c>
    </row>
    <row r="17" spans="1:12" ht="16.5" thickTop="1" thickBot="1" x14ac:dyDescent="0.3">
      <c r="A17" s="3317" t="s">
        <v>394</v>
      </c>
      <c r="B17" s="3318"/>
      <c r="C17" s="3318"/>
      <c r="D17" s="3318"/>
      <c r="E17" s="1113">
        <f>SUM(E13:E16)</f>
        <v>0</v>
      </c>
      <c r="F17" s="1113">
        <f t="shared" ref="F17" si="0">SUM(F13:F16)</f>
        <v>128</v>
      </c>
      <c r="G17" s="1113">
        <f>SUM(G13:G16)</f>
        <v>256</v>
      </c>
      <c r="H17" s="1381">
        <f>G17/F17*100</f>
        <v>200</v>
      </c>
    </row>
    <row r="18" spans="1:12" ht="13.5" thickTop="1" x14ac:dyDescent="0.2"/>
    <row r="19" spans="1:12" hidden="1" x14ac:dyDescent="0.2"/>
    <row r="20" spans="1:12" hidden="1" x14ac:dyDescent="0.2"/>
    <row r="21" spans="1:12" hidden="1" x14ac:dyDescent="0.2"/>
    <row r="25" spans="1:12" ht="16.5" x14ac:dyDescent="0.25">
      <c r="A25" s="1285" t="s">
        <v>251</v>
      </c>
      <c r="B25" s="1286"/>
      <c r="C25" s="1287"/>
      <c r="D25" s="1288"/>
      <c r="E25" s="1289">
        <f>SUM(E26:E28)</f>
        <v>0</v>
      </c>
      <c r="F25" s="1289">
        <f>F26+F27+F28+F29</f>
        <v>128</v>
      </c>
      <c r="G25" s="1289">
        <f>G26+G27+G28+G29</f>
        <v>256</v>
      </c>
      <c r="H25" s="1290">
        <f>G25/F25*100</f>
        <v>200</v>
      </c>
      <c r="J25" s="1291">
        <f>J26+J27+J28</f>
        <v>0</v>
      </c>
      <c r="K25" s="1291">
        <f>K26+K27+K28</f>
        <v>127883.85</v>
      </c>
      <c r="L25" s="1291">
        <f>L26+L27+L28</f>
        <v>255757.30000000002</v>
      </c>
    </row>
    <row r="26" spans="1:12" ht="15" x14ac:dyDescent="0.2">
      <c r="A26" s="1292" t="s">
        <v>147</v>
      </c>
      <c r="B26" s="1293"/>
      <c r="C26" s="1294"/>
      <c r="D26" s="1295"/>
      <c r="E26" s="1296">
        <f>E15</f>
        <v>0</v>
      </c>
      <c r="F26" s="1296">
        <f>F15</f>
        <v>128</v>
      </c>
      <c r="G26" s="1296">
        <f>G15</f>
        <v>128</v>
      </c>
      <c r="H26" s="1297">
        <f>G26/F26*100</f>
        <v>100</v>
      </c>
      <c r="J26" s="1298">
        <v>0</v>
      </c>
      <c r="K26" s="1298">
        <v>127883.85</v>
      </c>
      <c r="L26" s="1298">
        <f>127883.85-10.4</f>
        <v>127873.45000000001</v>
      </c>
    </row>
    <row r="27" spans="1:12" ht="15" x14ac:dyDescent="0.2">
      <c r="A27" s="1292" t="s">
        <v>148</v>
      </c>
      <c r="B27" s="1299"/>
      <c r="C27" s="1294"/>
      <c r="D27" s="1300"/>
      <c r="E27" s="1296">
        <v>0</v>
      </c>
      <c r="F27" s="1296">
        <v>0</v>
      </c>
      <c r="G27" s="1296">
        <v>0</v>
      </c>
      <c r="H27" s="1297">
        <v>0</v>
      </c>
      <c r="J27" s="1298">
        <v>0</v>
      </c>
      <c r="K27" s="1298">
        <v>0</v>
      </c>
      <c r="L27" s="1298">
        <v>0</v>
      </c>
    </row>
    <row r="28" spans="1:12" ht="15" x14ac:dyDescent="0.2">
      <c r="A28" s="1292" t="s">
        <v>252</v>
      </c>
      <c r="B28" s="1299"/>
      <c r="C28" s="1294"/>
      <c r="D28" s="1300"/>
      <c r="E28" s="1296">
        <f>E16</f>
        <v>0</v>
      </c>
      <c r="F28" s="1296">
        <f>F16</f>
        <v>0</v>
      </c>
      <c r="G28" s="1296">
        <f>G16</f>
        <v>128</v>
      </c>
      <c r="H28" s="1297">
        <v>0</v>
      </c>
      <c r="J28" s="1298">
        <v>0</v>
      </c>
      <c r="K28" s="1298">
        <v>0</v>
      </c>
      <c r="L28" s="1298">
        <v>127883.85</v>
      </c>
    </row>
    <row r="29" spans="1:12" ht="16.5" customHeight="1" x14ac:dyDescent="0.2">
      <c r="A29" s="1292"/>
      <c r="B29" s="1299"/>
      <c r="C29" s="1294"/>
      <c r="D29" s="1300"/>
      <c r="E29" s="1296"/>
      <c r="F29" s="1296"/>
      <c r="G29" s="1296"/>
      <c r="H29" s="1301"/>
    </row>
    <row r="30" spans="1:12" ht="57.75" customHeight="1" thickBot="1" x14ac:dyDescent="0.4">
      <c r="A30" s="3321" t="s">
        <v>2022</v>
      </c>
      <c r="B30" s="3321"/>
      <c r="C30" s="3321"/>
      <c r="D30" s="3321"/>
      <c r="E30" s="1302">
        <f>SUM(E25)</f>
        <v>0</v>
      </c>
      <c r="F30" s="1302">
        <f>SUM(F25)</f>
        <v>128</v>
      </c>
      <c r="G30" s="1302">
        <f>SUM(G25)</f>
        <v>256</v>
      </c>
      <c r="H30" s="1303">
        <f>G30/F30*100</f>
        <v>200</v>
      </c>
    </row>
    <row r="31" spans="1:12" ht="13.5" thickTop="1" x14ac:dyDescent="0.2"/>
  </sheetData>
  <mergeCells count="3">
    <mergeCell ref="A30:D30"/>
    <mergeCell ref="A9:H9"/>
    <mergeCell ref="A17:D17"/>
  </mergeCells>
  <pageMargins left="0.70866141732283472" right="0.70866141732283472" top="0.78740157480314965" bottom="0.78740157480314965" header="0.31496062992125984" footer="0.31496062992125984"/>
  <pageSetup paperSize="9" scale="65" firstPageNumber="155" orientation="portrait" useFirstPageNumber="1" r:id="rId1"/>
  <headerFooter>
    <oddFooter>&amp;L&amp;"Arial,Kurzíva"Zastupitelstvo Olomouckého kraje 25. 6. 2018
5. - Rozpočet Olomouckého kraje 2017 - závěrečný  účet 
Příloha č. 3: Plnění rozpočtu výdajů Olomouckého kraje k 31. 12. 2017&amp;R&amp;"Arial,Kurzíva"Strana &amp;P (celkem 478)</oddFooter>
  </headerFooter>
  <colBreaks count="1" manualBreakCount="1">
    <brk id="8" max="1048575" man="1"/>
  </col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FF"/>
  </sheetPr>
  <dimension ref="A1:L158"/>
  <sheetViews>
    <sheetView view="pageBreakPreview" topLeftCell="A97" zoomScaleNormal="100" zoomScaleSheetLayoutView="100" workbookViewId="0">
      <selection activeCell="A158" sqref="A158"/>
    </sheetView>
  </sheetViews>
  <sheetFormatPr defaultRowHeight="12.75" x14ac:dyDescent="0.2"/>
  <cols>
    <col min="1" max="1" width="5.5703125" style="1236" customWidth="1"/>
    <col min="2" max="2" width="6.7109375" style="1236" customWidth="1"/>
    <col min="3" max="3" width="9.85546875" style="1236" customWidth="1"/>
    <col min="4" max="4" width="47.85546875" style="1236" customWidth="1"/>
    <col min="5" max="5" width="15.42578125" style="1236" customWidth="1"/>
    <col min="6" max="6" width="15.5703125" style="1236" customWidth="1"/>
    <col min="7" max="7" width="15.85546875" style="1236" customWidth="1"/>
    <col min="8" max="8" width="8.7109375" style="1236" customWidth="1"/>
    <col min="9" max="9" width="9.140625" style="1236"/>
    <col min="10" max="10" width="14.7109375" style="1236" bestFit="1" customWidth="1"/>
    <col min="11" max="11" width="16" style="1236" bestFit="1" customWidth="1"/>
    <col min="12" max="12" width="17" style="1236" customWidth="1"/>
    <col min="13" max="256" width="9.140625" style="1236"/>
    <col min="257" max="257" width="5.5703125" style="1236" customWidth="1"/>
    <col min="258" max="258" width="6.7109375" style="1236" customWidth="1"/>
    <col min="259" max="259" width="8.85546875" style="1236" customWidth="1"/>
    <col min="260" max="260" width="47.85546875" style="1236" customWidth="1"/>
    <col min="261" max="261" width="12.85546875" style="1236" customWidth="1"/>
    <col min="262" max="262" width="15.5703125" style="1236" customWidth="1"/>
    <col min="263" max="263" width="15.85546875" style="1236" customWidth="1"/>
    <col min="264" max="264" width="6.42578125" style="1236" customWidth="1"/>
    <col min="265" max="266" width="9.140625" style="1236"/>
    <col min="267" max="268" width="14.7109375" style="1236" bestFit="1" customWidth="1"/>
    <col min="269" max="512" width="9.140625" style="1236"/>
    <col min="513" max="513" width="5.5703125" style="1236" customWidth="1"/>
    <col min="514" max="514" width="6.7109375" style="1236" customWidth="1"/>
    <col min="515" max="515" width="8.85546875" style="1236" customWidth="1"/>
    <col min="516" max="516" width="47.85546875" style="1236" customWidth="1"/>
    <col min="517" max="517" width="12.85546875" style="1236" customWidth="1"/>
    <col min="518" max="518" width="15.5703125" style="1236" customWidth="1"/>
    <col min="519" max="519" width="15.85546875" style="1236" customWidth="1"/>
    <col min="520" max="520" width="6.42578125" style="1236" customWidth="1"/>
    <col min="521" max="522" width="9.140625" style="1236"/>
    <col min="523" max="524" width="14.7109375" style="1236" bestFit="1" customWidth="1"/>
    <col min="525" max="768" width="9.140625" style="1236"/>
    <col min="769" max="769" width="5.5703125" style="1236" customWidth="1"/>
    <col min="770" max="770" width="6.7109375" style="1236" customWidth="1"/>
    <col min="771" max="771" width="8.85546875" style="1236" customWidth="1"/>
    <col min="772" max="772" width="47.85546875" style="1236" customWidth="1"/>
    <col min="773" max="773" width="12.85546875" style="1236" customWidth="1"/>
    <col min="774" max="774" width="15.5703125" style="1236" customWidth="1"/>
    <col min="775" max="775" width="15.85546875" style="1236" customWidth="1"/>
    <col min="776" max="776" width="6.42578125" style="1236" customWidth="1"/>
    <col min="777" max="778" width="9.140625" style="1236"/>
    <col min="779" max="780" width="14.7109375" style="1236" bestFit="1" customWidth="1"/>
    <col min="781" max="1024" width="9.140625" style="1236"/>
    <col min="1025" max="1025" width="5.5703125" style="1236" customWidth="1"/>
    <col min="1026" max="1026" width="6.7109375" style="1236" customWidth="1"/>
    <col min="1027" max="1027" width="8.85546875" style="1236" customWidth="1"/>
    <col min="1028" max="1028" width="47.85546875" style="1236" customWidth="1"/>
    <col min="1029" max="1029" width="12.85546875" style="1236" customWidth="1"/>
    <col min="1030" max="1030" width="15.5703125" style="1236" customWidth="1"/>
    <col min="1031" max="1031" width="15.85546875" style="1236" customWidth="1"/>
    <col min="1032" max="1032" width="6.42578125" style="1236" customWidth="1"/>
    <col min="1033" max="1034" width="9.140625" style="1236"/>
    <col min="1035" max="1036" width="14.7109375" style="1236" bestFit="1" customWidth="1"/>
    <col min="1037" max="1280" width="9.140625" style="1236"/>
    <col min="1281" max="1281" width="5.5703125" style="1236" customWidth="1"/>
    <col min="1282" max="1282" width="6.7109375" style="1236" customWidth="1"/>
    <col min="1283" max="1283" width="8.85546875" style="1236" customWidth="1"/>
    <col min="1284" max="1284" width="47.85546875" style="1236" customWidth="1"/>
    <col min="1285" max="1285" width="12.85546875" style="1236" customWidth="1"/>
    <col min="1286" max="1286" width="15.5703125" style="1236" customWidth="1"/>
    <col min="1287" max="1287" width="15.85546875" style="1236" customWidth="1"/>
    <col min="1288" max="1288" width="6.42578125" style="1236" customWidth="1"/>
    <col min="1289" max="1290" width="9.140625" style="1236"/>
    <col min="1291" max="1292" width="14.7109375" style="1236" bestFit="1" customWidth="1"/>
    <col min="1293" max="1536" width="9.140625" style="1236"/>
    <col min="1537" max="1537" width="5.5703125" style="1236" customWidth="1"/>
    <col min="1538" max="1538" width="6.7109375" style="1236" customWidth="1"/>
    <col min="1539" max="1539" width="8.85546875" style="1236" customWidth="1"/>
    <col min="1540" max="1540" width="47.85546875" style="1236" customWidth="1"/>
    <col min="1541" max="1541" width="12.85546875" style="1236" customWidth="1"/>
    <col min="1542" max="1542" width="15.5703125" style="1236" customWidth="1"/>
    <col min="1543" max="1543" width="15.85546875" style="1236" customWidth="1"/>
    <col min="1544" max="1544" width="6.42578125" style="1236" customWidth="1"/>
    <col min="1545" max="1546" width="9.140625" style="1236"/>
    <col min="1547" max="1548" width="14.7109375" style="1236" bestFit="1" customWidth="1"/>
    <col min="1549" max="1792" width="9.140625" style="1236"/>
    <col min="1793" max="1793" width="5.5703125" style="1236" customWidth="1"/>
    <col min="1794" max="1794" width="6.7109375" style="1236" customWidth="1"/>
    <col min="1795" max="1795" width="8.85546875" style="1236" customWidth="1"/>
    <col min="1796" max="1796" width="47.85546875" style="1236" customWidth="1"/>
    <col min="1797" max="1797" width="12.85546875" style="1236" customWidth="1"/>
    <col min="1798" max="1798" width="15.5703125" style="1236" customWidth="1"/>
    <col min="1799" max="1799" width="15.85546875" style="1236" customWidth="1"/>
    <col min="1800" max="1800" width="6.42578125" style="1236" customWidth="1"/>
    <col min="1801" max="1802" width="9.140625" style="1236"/>
    <col min="1803" max="1804" width="14.7109375" style="1236" bestFit="1" customWidth="1"/>
    <col min="1805" max="2048" width="9.140625" style="1236"/>
    <col min="2049" max="2049" width="5.5703125" style="1236" customWidth="1"/>
    <col min="2050" max="2050" width="6.7109375" style="1236" customWidth="1"/>
    <col min="2051" max="2051" width="8.85546875" style="1236" customWidth="1"/>
    <col min="2052" max="2052" width="47.85546875" style="1236" customWidth="1"/>
    <col min="2053" max="2053" width="12.85546875" style="1236" customWidth="1"/>
    <col min="2054" max="2054" width="15.5703125" style="1236" customWidth="1"/>
    <col min="2055" max="2055" width="15.85546875" style="1236" customWidth="1"/>
    <col min="2056" max="2056" width="6.42578125" style="1236" customWidth="1"/>
    <col min="2057" max="2058" width="9.140625" style="1236"/>
    <col min="2059" max="2060" width="14.7109375" style="1236" bestFit="1" customWidth="1"/>
    <col min="2061" max="2304" width="9.140625" style="1236"/>
    <col min="2305" max="2305" width="5.5703125" style="1236" customWidth="1"/>
    <col min="2306" max="2306" width="6.7109375" style="1236" customWidth="1"/>
    <col min="2307" max="2307" width="8.85546875" style="1236" customWidth="1"/>
    <col min="2308" max="2308" width="47.85546875" style="1236" customWidth="1"/>
    <col min="2309" max="2309" width="12.85546875" style="1236" customWidth="1"/>
    <col min="2310" max="2310" width="15.5703125" style="1236" customWidth="1"/>
    <col min="2311" max="2311" width="15.85546875" style="1236" customWidth="1"/>
    <col min="2312" max="2312" width="6.42578125" style="1236" customWidth="1"/>
    <col min="2313" max="2314" width="9.140625" style="1236"/>
    <col min="2315" max="2316" width="14.7109375" style="1236" bestFit="1" customWidth="1"/>
    <col min="2317" max="2560" width="9.140625" style="1236"/>
    <col min="2561" max="2561" width="5.5703125" style="1236" customWidth="1"/>
    <col min="2562" max="2562" width="6.7109375" style="1236" customWidth="1"/>
    <col min="2563" max="2563" width="8.85546875" style="1236" customWidth="1"/>
    <col min="2564" max="2564" width="47.85546875" style="1236" customWidth="1"/>
    <col min="2565" max="2565" width="12.85546875" style="1236" customWidth="1"/>
    <col min="2566" max="2566" width="15.5703125" style="1236" customWidth="1"/>
    <col min="2567" max="2567" width="15.85546875" style="1236" customWidth="1"/>
    <col min="2568" max="2568" width="6.42578125" style="1236" customWidth="1"/>
    <col min="2569" max="2570" width="9.140625" style="1236"/>
    <col min="2571" max="2572" width="14.7109375" style="1236" bestFit="1" customWidth="1"/>
    <col min="2573" max="2816" width="9.140625" style="1236"/>
    <col min="2817" max="2817" width="5.5703125" style="1236" customWidth="1"/>
    <col min="2818" max="2818" width="6.7109375" style="1236" customWidth="1"/>
    <col min="2819" max="2819" width="8.85546875" style="1236" customWidth="1"/>
    <col min="2820" max="2820" width="47.85546875" style="1236" customWidth="1"/>
    <col min="2821" max="2821" width="12.85546875" style="1236" customWidth="1"/>
    <col min="2822" max="2822" width="15.5703125" style="1236" customWidth="1"/>
    <col min="2823" max="2823" width="15.85546875" style="1236" customWidth="1"/>
    <col min="2824" max="2824" width="6.42578125" style="1236" customWidth="1"/>
    <col min="2825" max="2826" width="9.140625" style="1236"/>
    <col min="2827" max="2828" width="14.7109375" style="1236" bestFit="1" customWidth="1"/>
    <col min="2829" max="3072" width="9.140625" style="1236"/>
    <col min="3073" max="3073" width="5.5703125" style="1236" customWidth="1"/>
    <col min="3074" max="3074" width="6.7109375" style="1236" customWidth="1"/>
    <col min="3075" max="3075" width="8.85546875" style="1236" customWidth="1"/>
    <col min="3076" max="3076" width="47.85546875" style="1236" customWidth="1"/>
    <col min="3077" max="3077" width="12.85546875" style="1236" customWidth="1"/>
    <col min="3078" max="3078" width="15.5703125" style="1236" customWidth="1"/>
    <col min="3079" max="3079" width="15.85546875" style="1236" customWidth="1"/>
    <col min="3080" max="3080" width="6.42578125" style="1236" customWidth="1"/>
    <col min="3081" max="3082" width="9.140625" style="1236"/>
    <col min="3083" max="3084" width="14.7109375" style="1236" bestFit="1" customWidth="1"/>
    <col min="3085" max="3328" width="9.140625" style="1236"/>
    <col min="3329" max="3329" width="5.5703125" style="1236" customWidth="1"/>
    <col min="3330" max="3330" width="6.7109375" style="1236" customWidth="1"/>
    <col min="3331" max="3331" width="8.85546875" style="1236" customWidth="1"/>
    <col min="3332" max="3332" width="47.85546875" style="1236" customWidth="1"/>
    <col min="3333" max="3333" width="12.85546875" style="1236" customWidth="1"/>
    <col min="3334" max="3334" width="15.5703125" style="1236" customWidth="1"/>
    <col min="3335" max="3335" width="15.85546875" style="1236" customWidth="1"/>
    <col min="3336" max="3336" width="6.42578125" style="1236" customWidth="1"/>
    <col min="3337" max="3338" width="9.140625" style="1236"/>
    <col min="3339" max="3340" width="14.7109375" style="1236" bestFit="1" customWidth="1"/>
    <col min="3341" max="3584" width="9.140625" style="1236"/>
    <col min="3585" max="3585" width="5.5703125" style="1236" customWidth="1"/>
    <col min="3586" max="3586" width="6.7109375" style="1236" customWidth="1"/>
    <col min="3587" max="3587" width="8.85546875" style="1236" customWidth="1"/>
    <col min="3588" max="3588" width="47.85546875" style="1236" customWidth="1"/>
    <col min="3589" max="3589" width="12.85546875" style="1236" customWidth="1"/>
    <col min="3590" max="3590" width="15.5703125" style="1236" customWidth="1"/>
    <col min="3591" max="3591" width="15.85546875" style="1236" customWidth="1"/>
    <col min="3592" max="3592" width="6.42578125" style="1236" customWidth="1"/>
    <col min="3593" max="3594" width="9.140625" style="1236"/>
    <col min="3595" max="3596" width="14.7109375" style="1236" bestFit="1" customWidth="1"/>
    <col min="3597" max="3840" width="9.140625" style="1236"/>
    <col min="3841" max="3841" width="5.5703125" style="1236" customWidth="1"/>
    <col min="3842" max="3842" width="6.7109375" style="1236" customWidth="1"/>
    <col min="3843" max="3843" width="8.85546875" style="1236" customWidth="1"/>
    <col min="3844" max="3844" width="47.85546875" style="1236" customWidth="1"/>
    <col min="3845" max="3845" width="12.85546875" style="1236" customWidth="1"/>
    <col min="3846" max="3846" width="15.5703125" style="1236" customWidth="1"/>
    <col min="3847" max="3847" width="15.85546875" style="1236" customWidth="1"/>
    <col min="3848" max="3848" width="6.42578125" style="1236" customWidth="1"/>
    <col min="3849" max="3850" width="9.140625" style="1236"/>
    <col min="3851" max="3852" width="14.7109375" style="1236" bestFit="1" customWidth="1"/>
    <col min="3853" max="4096" width="9.140625" style="1236"/>
    <col min="4097" max="4097" width="5.5703125" style="1236" customWidth="1"/>
    <col min="4098" max="4098" width="6.7109375" style="1236" customWidth="1"/>
    <col min="4099" max="4099" width="8.85546875" style="1236" customWidth="1"/>
    <col min="4100" max="4100" width="47.85546875" style="1236" customWidth="1"/>
    <col min="4101" max="4101" width="12.85546875" style="1236" customWidth="1"/>
    <col min="4102" max="4102" width="15.5703125" style="1236" customWidth="1"/>
    <col min="4103" max="4103" width="15.85546875" style="1236" customWidth="1"/>
    <col min="4104" max="4104" width="6.42578125" style="1236" customWidth="1"/>
    <col min="4105" max="4106" width="9.140625" style="1236"/>
    <col min="4107" max="4108" width="14.7109375" style="1236" bestFit="1" customWidth="1"/>
    <col min="4109" max="4352" width="9.140625" style="1236"/>
    <col min="4353" max="4353" width="5.5703125" style="1236" customWidth="1"/>
    <col min="4354" max="4354" width="6.7109375" style="1236" customWidth="1"/>
    <col min="4355" max="4355" width="8.85546875" style="1236" customWidth="1"/>
    <col min="4356" max="4356" width="47.85546875" style="1236" customWidth="1"/>
    <col min="4357" max="4357" width="12.85546875" style="1236" customWidth="1"/>
    <col min="4358" max="4358" width="15.5703125" style="1236" customWidth="1"/>
    <col min="4359" max="4359" width="15.85546875" style="1236" customWidth="1"/>
    <col min="4360" max="4360" width="6.42578125" style="1236" customWidth="1"/>
    <col min="4361" max="4362" width="9.140625" style="1236"/>
    <col min="4363" max="4364" width="14.7109375" style="1236" bestFit="1" customWidth="1"/>
    <col min="4365" max="4608" width="9.140625" style="1236"/>
    <col min="4609" max="4609" width="5.5703125" style="1236" customWidth="1"/>
    <col min="4610" max="4610" width="6.7109375" style="1236" customWidth="1"/>
    <col min="4611" max="4611" width="8.85546875" style="1236" customWidth="1"/>
    <col min="4612" max="4612" width="47.85546875" style="1236" customWidth="1"/>
    <col min="4613" max="4613" width="12.85546875" style="1236" customWidth="1"/>
    <col min="4614" max="4614" width="15.5703125" style="1236" customWidth="1"/>
    <col min="4615" max="4615" width="15.85546875" style="1236" customWidth="1"/>
    <col min="4616" max="4616" width="6.42578125" style="1236" customWidth="1"/>
    <col min="4617" max="4618" width="9.140625" style="1236"/>
    <col min="4619" max="4620" width="14.7109375" style="1236" bestFit="1" customWidth="1"/>
    <col min="4621" max="4864" width="9.140625" style="1236"/>
    <col min="4865" max="4865" width="5.5703125" style="1236" customWidth="1"/>
    <col min="4866" max="4866" width="6.7109375" style="1236" customWidth="1"/>
    <col min="4867" max="4867" width="8.85546875" style="1236" customWidth="1"/>
    <col min="4868" max="4868" width="47.85546875" style="1236" customWidth="1"/>
    <col min="4869" max="4869" width="12.85546875" style="1236" customWidth="1"/>
    <col min="4870" max="4870" width="15.5703125" style="1236" customWidth="1"/>
    <col min="4871" max="4871" width="15.85546875" style="1236" customWidth="1"/>
    <col min="4872" max="4872" width="6.42578125" style="1236" customWidth="1"/>
    <col min="4873" max="4874" width="9.140625" style="1236"/>
    <col min="4875" max="4876" width="14.7109375" style="1236" bestFit="1" customWidth="1"/>
    <col min="4877" max="5120" width="9.140625" style="1236"/>
    <col min="5121" max="5121" width="5.5703125" style="1236" customWidth="1"/>
    <col min="5122" max="5122" width="6.7109375" style="1236" customWidth="1"/>
    <col min="5123" max="5123" width="8.85546875" style="1236" customWidth="1"/>
    <col min="5124" max="5124" width="47.85546875" style="1236" customWidth="1"/>
    <col min="5125" max="5125" width="12.85546875" style="1236" customWidth="1"/>
    <col min="5126" max="5126" width="15.5703125" style="1236" customWidth="1"/>
    <col min="5127" max="5127" width="15.85546875" style="1236" customWidth="1"/>
    <col min="5128" max="5128" width="6.42578125" style="1236" customWidth="1"/>
    <col min="5129" max="5130" width="9.140625" style="1236"/>
    <col min="5131" max="5132" width="14.7109375" style="1236" bestFit="1" customWidth="1"/>
    <col min="5133" max="5376" width="9.140625" style="1236"/>
    <col min="5377" max="5377" width="5.5703125" style="1236" customWidth="1"/>
    <col min="5378" max="5378" width="6.7109375" style="1236" customWidth="1"/>
    <col min="5379" max="5379" width="8.85546875" style="1236" customWidth="1"/>
    <col min="5380" max="5380" width="47.85546875" style="1236" customWidth="1"/>
    <col min="5381" max="5381" width="12.85546875" style="1236" customWidth="1"/>
    <col min="5382" max="5382" width="15.5703125" style="1236" customWidth="1"/>
    <col min="5383" max="5383" width="15.85546875" style="1236" customWidth="1"/>
    <col min="5384" max="5384" width="6.42578125" style="1236" customWidth="1"/>
    <col min="5385" max="5386" width="9.140625" style="1236"/>
    <col min="5387" max="5388" width="14.7109375" style="1236" bestFit="1" customWidth="1"/>
    <col min="5389" max="5632" width="9.140625" style="1236"/>
    <col min="5633" max="5633" width="5.5703125" style="1236" customWidth="1"/>
    <col min="5634" max="5634" width="6.7109375" style="1236" customWidth="1"/>
    <col min="5635" max="5635" width="8.85546875" style="1236" customWidth="1"/>
    <col min="5636" max="5636" width="47.85546875" style="1236" customWidth="1"/>
    <col min="5637" max="5637" width="12.85546875" style="1236" customWidth="1"/>
    <col min="5638" max="5638" width="15.5703125" style="1236" customWidth="1"/>
    <col min="5639" max="5639" width="15.85546875" style="1236" customWidth="1"/>
    <col min="5640" max="5640" width="6.42578125" style="1236" customWidth="1"/>
    <col min="5641" max="5642" width="9.140625" style="1236"/>
    <col min="5643" max="5644" width="14.7109375" style="1236" bestFit="1" customWidth="1"/>
    <col min="5645" max="5888" width="9.140625" style="1236"/>
    <col min="5889" max="5889" width="5.5703125" style="1236" customWidth="1"/>
    <col min="5890" max="5890" width="6.7109375" style="1236" customWidth="1"/>
    <col min="5891" max="5891" width="8.85546875" style="1236" customWidth="1"/>
    <col min="5892" max="5892" width="47.85546875" style="1236" customWidth="1"/>
    <col min="5893" max="5893" width="12.85546875" style="1236" customWidth="1"/>
    <col min="5894" max="5894" width="15.5703125" style="1236" customWidth="1"/>
    <col min="5895" max="5895" width="15.85546875" style="1236" customWidth="1"/>
    <col min="5896" max="5896" width="6.42578125" style="1236" customWidth="1"/>
    <col min="5897" max="5898" width="9.140625" style="1236"/>
    <col min="5899" max="5900" width="14.7109375" style="1236" bestFit="1" customWidth="1"/>
    <col min="5901" max="6144" width="9.140625" style="1236"/>
    <col min="6145" max="6145" width="5.5703125" style="1236" customWidth="1"/>
    <col min="6146" max="6146" width="6.7109375" style="1236" customWidth="1"/>
    <col min="6147" max="6147" width="8.85546875" style="1236" customWidth="1"/>
    <col min="6148" max="6148" width="47.85546875" style="1236" customWidth="1"/>
    <col min="6149" max="6149" width="12.85546875" style="1236" customWidth="1"/>
    <col min="6150" max="6150" width="15.5703125" style="1236" customWidth="1"/>
    <col min="6151" max="6151" width="15.85546875" style="1236" customWidth="1"/>
    <col min="6152" max="6152" width="6.42578125" style="1236" customWidth="1"/>
    <col min="6153" max="6154" width="9.140625" style="1236"/>
    <col min="6155" max="6156" width="14.7109375" style="1236" bestFit="1" customWidth="1"/>
    <col min="6157" max="6400" width="9.140625" style="1236"/>
    <col min="6401" max="6401" width="5.5703125" style="1236" customWidth="1"/>
    <col min="6402" max="6402" width="6.7109375" style="1236" customWidth="1"/>
    <col min="6403" max="6403" width="8.85546875" style="1236" customWidth="1"/>
    <col min="6404" max="6404" width="47.85546875" style="1236" customWidth="1"/>
    <col min="6405" max="6405" width="12.85546875" style="1236" customWidth="1"/>
    <col min="6406" max="6406" width="15.5703125" style="1236" customWidth="1"/>
    <col min="6407" max="6407" width="15.85546875" style="1236" customWidth="1"/>
    <col min="6408" max="6408" width="6.42578125" style="1236" customWidth="1"/>
    <col min="6409" max="6410" width="9.140625" style="1236"/>
    <col min="6411" max="6412" width="14.7109375" style="1236" bestFit="1" customWidth="1"/>
    <col min="6413" max="6656" width="9.140625" style="1236"/>
    <col min="6657" max="6657" width="5.5703125" style="1236" customWidth="1"/>
    <col min="6658" max="6658" width="6.7109375" style="1236" customWidth="1"/>
    <col min="6659" max="6659" width="8.85546875" style="1236" customWidth="1"/>
    <col min="6660" max="6660" width="47.85546875" style="1236" customWidth="1"/>
    <col min="6661" max="6661" width="12.85546875" style="1236" customWidth="1"/>
    <col min="6662" max="6662" width="15.5703125" style="1236" customWidth="1"/>
    <col min="6663" max="6663" width="15.85546875" style="1236" customWidth="1"/>
    <col min="6664" max="6664" width="6.42578125" style="1236" customWidth="1"/>
    <col min="6665" max="6666" width="9.140625" style="1236"/>
    <col min="6667" max="6668" width="14.7109375" style="1236" bestFit="1" customWidth="1"/>
    <col min="6669" max="6912" width="9.140625" style="1236"/>
    <col min="6913" max="6913" width="5.5703125" style="1236" customWidth="1"/>
    <col min="6914" max="6914" width="6.7109375" style="1236" customWidth="1"/>
    <col min="6915" max="6915" width="8.85546875" style="1236" customWidth="1"/>
    <col min="6916" max="6916" width="47.85546875" style="1236" customWidth="1"/>
    <col min="6917" max="6917" width="12.85546875" style="1236" customWidth="1"/>
    <col min="6918" max="6918" width="15.5703125" style="1236" customWidth="1"/>
    <col min="6919" max="6919" width="15.85546875" style="1236" customWidth="1"/>
    <col min="6920" max="6920" width="6.42578125" style="1236" customWidth="1"/>
    <col min="6921" max="6922" width="9.140625" style="1236"/>
    <col min="6923" max="6924" width="14.7109375" style="1236" bestFit="1" customWidth="1"/>
    <col min="6925" max="7168" width="9.140625" style="1236"/>
    <col min="7169" max="7169" width="5.5703125" style="1236" customWidth="1"/>
    <col min="7170" max="7170" width="6.7109375" style="1236" customWidth="1"/>
    <col min="7171" max="7171" width="8.85546875" style="1236" customWidth="1"/>
    <col min="7172" max="7172" width="47.85546875" style="1236" customWidth="1"/>
    <col min="7173" max="7173" width="12.85546875" style="1236" customWidth="1"/>
    <col min="7174" max="7174" width="15.5703125" style="1236" customWidth="1"/>
    <col min="7175" max="7175" width="15.85546875" style="1236" customWidth="1"/>
    <col min="7176" max="7176" width="6.42578125" style="1236" customWidth="1"/>
    <col min="7177" max="7178" width="9.140625" style="1236"/>
    <col min="7179" max="7180" width="14.7109375" style="1236" bestFit="1" customWidth="1"/>
    <col min="7181" max="7424" width="9.140625" style="1236"/>
    <col min="7425" max="7425" width="5.5703125" style="1236" customWidth="1"/>
    <col min="7426" max="7426" width="6.7109375" style="1236" customWidth="1"/>
    <col min="7427" max="7427" width="8.85546875" style="1236" customWidth="1"/>
    <col min="7428" max="7428" width="47.85546875" style="1236" customWidth="1"/>
    <col min="7429" max="7429" width="12.85546875" style="1236" customWidth="1"/>
    <col min="7430" max="7430" width="15.5703125" style="1236" customWidth="1"/>
    <col min="7431" max="7431" width="15.85546875" style="1236" customWidth="1"/>
    <col min="7432" max="7432" width="6.42578125" style="1236" customWidth="1"/>
    <col min="7433" max="7434" width="9.140625" style="1236"/>
    <col min="7435" max="7436" width="14.7109375" style="1236" bestFit="1" customWidth="1"/>
    <col min="7437" max="7680" width="9.140625" style="1236"/>
    <col min="7681" max="7681" width="5.5703125" style="1236" customWidth="1"/>
    <col min="7682" max="7682" width="6.7109375" style="1236" customWidth="1"/>
    <col min="7683" max="7683" width="8.85546875" style="1236" customWidth="1"/>
    <col min="7684" max="7684" width="47.85546875" style="1236" customWidth="1"/>
    <col min="7685" max="7685" width="12.85546875" style="1236" customWidth="1"/>
    <col min="7686" max="7686" width="15.5703125" style="1236" customWidth="1"/>
    <col min="7687" max="7687" width="15.85546875" style="1236" customWidth="1"/>
    <col min="7688" max="7688" width="6.42578125" style="1236" customWidth="1"/>
    <col min="7689" max="7690" width="9.140625" style="1236"/>
    <col min="7691" max="7692" width="14.7109375" style="1236" bestFit="1" customWidth="1"/>
    <col min="7693" max="7936" width="9.140625" style="1236"/>
    <col min="7937" max="7937" width="5.5703125" style="1236" customWidth="1"/>
    <col min="7938" max="7938" width="6.7109375" style="1236" customWidth="1"/>
    <col min="7939" max="7939" width="8.85546875" style="1236" customWidth="1"/>
    <col min="7940" max="7940" width="47.85546875" style="1236" customWidth="1"/>
    <col min="7941" max="7941" width="12.85546875" style="1236" customWidth="1"/>
    <col min="7942" max="7942" width="15.5703125" style="1236" customWidth="1"/>
    <col min="7943" max="7943" width="15.85546875" style="1236" customWidth="1"/>
    <col min="7944" max="7944" width="6.42578125" style="1236" customWidth="1"/>
    <col min="7945" max="7946" width="9.140625" style="1236"/>
    <col min="7947" max="7948" width="14.7109375" style="1236" bestFit="1" customWidth="1"/>
    <col min="7949" max="8192" width="9.140625" style="1236"/>
    <col min="8193" max="8193" width="5.5703125" style="1236" customWidth="1"/>
    <col min="8194" max="8194" width="6.7109375" style="1236" customWidth="1"/>
    <col min="8195" max="8195" width="8.85546875" style="1236" customWidth="1"/>
    <col min="8196" max="8196" width="47.85546875" style="1236" customWidth="1"/>
    <col min="8197" max="8197" width="12.85546875" style="1236" customWidth="1"/>
    <col min="8198" max="8198" width="15.5703125" style="1236" customWidth="1"/>
    <col min="8199" max="8199" width="15.85546875" style="1236" customWidth="1"/>
    <col min="8200" max="8200" width="6.42578125" style="1236" customWidth="1"/>
    <col min="8201" max="8202" width="9.140625" style="1236"/>
    <col min="8203" max="8204" width="14.7109375" style="1236" bestFit="1" customWidth="1"/>
    <col min="8205" max="8448" width="9.140625" style="1236"/>
    <col min="8449" max="8449" width="5.5703125" style="1236" customWidth="1"/>
    <col min="8450" max="8450" width="6.7109375" style="1236" customWidth="1"/>
    <col min="8451" max="8451" width="8.85546875" style="1236" customWidth="1"/>
    <col min="8452" max="8452" width="47.85546875" style="1236" customWidth="1"/>
    <col min="8453" max="8453" width="12.85546875" style="1236" customWidth="1"/>
    <col min="8454" max="8454" width="15.5703125" style="1236" customWidth="1"/>
    <col min="8455" max="8455" width="15.85546875" style="1236" customWidth="1"/>
    <col min="8456" max="8456" width="6.42578125" style="1236" customWidth="1"/>
    <col min="8457" max="8458" width="9.140625" style="1236"/>
    <col min="8459" max="8460" width="14.7109375" style="1236" bestFit="1" customWidth="1"/>
    <col min="8461" max="8704" width="9.140625" style="1236"/>
    <col min="8705" max="8705" width="5.5703125" style="1236" customWidth="1"/>
    <col min="8706" max="8706" width="6.7109375" style="1236" customWidth="1"/>
    <col min="8707" max="8707" width="8.85546875" style="1236" customWidth="1"/>
    <col min="8708" max="8708" width="47.85546875" style="1236" customWidth="1"/>
    <col min="8709" max="8709" width="12.85546875" style="1236" customWidth="1"/>
    <col min="8710" max="8710" width="15.5703125" style="1236" customWidth="1"/>
    <col min="8711" max="8711" width="15.85546875" style="1236" customWidth="1"/>
    <col min="8712" max="8712" width="6.42578125" style="1236" customWidth="1"/>
    <col min="8713" max="8714" width="9.140625" style="1236"/>
    <col min="8715" max="8716" width="14.7109375" style="1236" bestFit="1" customWidth="1"/>
    <col min="8717" max="8960" width="9.140625" style="1236"/>
    <col min="8961" max="8961" width="5.5703125" style="1236" customWidth="1"/>
    <col min="8962" max="8962" width="6.7109375" style="1236" customWidth="1"/>
    <col min="8963" max="8963" width="8.85546875" style="1236" customWidth="1"/>
    <col min="8964" max="8964" width="47.85546875" style="1236" customWidth="1"/>
    <col min="8965" max="8965" width="12.85546875" style="1236" customWidth="1"/>
    <col min="8966" max="8966" width="15.5703125" style="1236" customWidth="1"/>
    <col min="8967" max="8967" width="15.85546875" style="1236" customWidth="1"/>
    <col min="8968" max="8968" width="6.42578125" style="1236" customWidth="1"/>
    <col min="8969" max="8970" width="9.140625" style="1236"/>
    <col min="8971" max="8972" width="14.7109375" style="1236" bestFit="1" customWidth="1"/>
    <col min="8973" max="9216" width="9.140625" style="1236"/>
    <col min="9217" max="9217" width="5.5703125" style="1236" customWidth="1"/>
    <col min="9218" max="9218" width="6.7109375" style="1236" customWidth="1"/>
    <col min="9219" max="9219" width="8.85546875" style="1236" customWidth="1"/>
    <col min="9220" max="9220" width="47.85546875" style="1236" customWidth="1"/>
    <col min="9221" max="9221" width="12.85546875" style="1236" customWidth="1"/>
    <col min="9222" max="9222" width="15.5703125" style="1236" customWidth="1"/>
    <col min="9223" max="9223" width="15.85546875" style="1236" customWidth="1"/>
    <col min="9224" max="9224" width="6.42578125" style="1236" customWidth="1"/>
    <col min="9225" max="9226" width="9.140625" style="1236"/>
    <col min="9227" max="9228" width="14.7109375" style="1236" bestFit="1" customWidth="1"/>
    <col min="9229" max="9472" width="9.140625" style="1236"/>
    <col min="9473" max="9473" width="5.5703125" style="1236" customWidth="1"/>
    <col min="9474" max="9474" width="6.7109375" style="1236" customWidth="1"/>
    <col min="9475" max="9475" width="8.85546875" style="1236" customWidth="1"/>
    <col min="9476" max="9476" width="47.85546875" style="1236" customWidth="1"/>
    <col min="9477" max="9477" width="12.85546875" style="1236" customWidth="1"/>
    <col min="9478" max="9478" width="15.5703125" style="1236" customWidth="1"/>
    <col min="9479" max="9479" width="15.85546875" style="1236" customWidth="1"/>
    <col min="9480" max="9480" width="6.42578125" style="1236" customWidth="1"/>
    <col min="9481" max="9482" width="9.140625" style="1236"/>
    <col min="9483" max="9484" width="14.7109375" style="1236" bestFit="1" customWidth="1"/>
    <col min="9485" max="9728" width="9.140625" style="1236"/>
    <col min="9729" max="9729" width="5.5703125" style="1236" customWidth="1"/>
    <col min="9730" max="9730" width="6.7109375" style="1236" customWidth="1"/>
    <col min="9731" max="9731" width="8.85546875" style="1236" customWidth="1"/>
    <col min="9732" max="9732" width="47.85546875" style="1236" customWidth="1"/>
    <col min="9733" max="9733" width="12.85546875" style="1236" customWidth="1"/>
    <col min="9734" max="9734" width="15.5703125" style="1236" customWidth="1"/>
    <col min="9735" max="9735" width="15.85546875" style="1236" customWidth="1"/>
    <col min="9736" max="9736" width="6.42578125" style="1236" customWidth="1"/>
    <col min="9737" max="9738" width="9.140625" style="1236"/>
    <col min="9739" max="9740" width="14.7109375" style="1236" bestFit="1" customWidth="1"/>
    <col min="9741" max="9984" width="9.140625" style="1236"/>
    <col min="9985" max="9985" width="5.5703125" style="1236" customWidth="1"/>
    <col min="9986" max="9986" width="6.7109375" style="1236" customWidth="1"/>
    <col min="9987" max="9987" width="8.85546875" style="1236" customWidth="1"/>
    <col min="9988" max="9988" width="47.85546875" style="1236" customWidth="1"/>
    <col min="9989" max="9989" width="12.85546875" style="1236" customWidth="1"/>
    <col min="9990" max="9990" width="15.5703125" style="1236" customWidth="1"/>
    <col min="9991" max="9991" width="15.85546875" style="1236" customWidth="1"/>
    <col min="9992" max="9992" width="6.42578125" style="1236" customWidth="1"/>
    <col min="9993" max="9994" width="9.140625" style="1236"/>
    <col min="9995" max="9996" width="14.7109375" style="1236" bestFit="1" customWidth="1"/>
    <col min="9997" max="10240" width="9.140625" style="1236"/>
    <col min="10241" max="10241" width="5.5703125" style="1236" customWidth="1"/>
    <col min="10242" max="10242" width="6.7109375" style="1236" customWidth="1"/>
    <col min="10243" max="10243" width="8.85546875" style="1236" customWidth="1"/>
    <col min="10244" max="10244" width="47.85546875" style="1236" customWidth="1"/>
    <col min="10245" max="10245" width="12.85546875" style="1236" customWidth="1"/>
    <col min="10246" max="10246" width="15.5703125" style="1236" customWidth="1"/>
    <col min="10247" max="10247" width="15.85546875" style="1236" customWidth="1"/>
    <col min="10248" max="10248" width="6.42578125" style="1236" customWidth="1"/>
    <col min="10249" max="10250" width="9.140625" style="1236"/>
    <col min="10251" max="10252" width="14.7109375" style="1236" bestFit="1" customWidth="1"/>
    <col min="10253" max="10496" width="9.140625" style="1236"/>
    <col min="10497" max="10497" width="5.5703125" style="1236" customWidth="1"/>
    <col min="10498" max="10498" width="6.7109375" style="1236" customWidth="1"/>
    <col min="10499" max="10499" width="8.85546875" style="1236" customWidth="1"/>
    <col min="10500" max="10500" width="47.85546875" style="1236" customWidth="1"/>
    <col min="10501" max="10501" width="12.85546875" style="1236" customWidth="1"/>
    <col min="10502" max="10502" width="15.5703125" style="1236" customWidth="1"/>
    <col min="10503" max="10503" width="15.85546875" style="1236" customWidth="1"/>
    <col min="10504" max="10504" width="6.42578125" style="1236" customWidth="1"/>
    <col min="10505" max="10506" width="9.140625" style="1236"/>
    <col min="10507" max="10508" width="14.7109375" style="1236" bestFit="1" customWidth="1"/>
    <col min="10509" max="10752" width="9.140625" style="1236"/>
    <col min="10753" max="10753" width="5.5703125" style="1236" customWidth="1"/>
    <col min="10754" max="10754" width="6.7109375" style="1236" customWidth="1"/>
    <col min="10755" max="10755" width="8.85546875" style="1236" customWidth="1"/>
    <col min="10756" max="10756" width="47.85546875" style="1236" customWidth="1"/>
    <col min="10757" max="10757" width="12.85546875" style="1236" customWidth="1"/>
    <col min="10758" max="10758" width="15.5703125" style="1236" customWidth="1"/>
    <col min="10759" max="10759" width="15.85546875" style="1236" customWidth="1"/>
    <col min="10760" max="10760" width="6.42578125" style="1236" customWidth="1"/>
    <col min="10761" max="10762" width="9.140625" style="1236"/>
    <col min="10763" max="10764" width="14.7109375" style="1236" bestFit="1" customWidth="1"/>
    <col min="10765" max="11008" width="9.140625" style="1236"/>
    <col min="11009" max="11009" width="5.5703125" style="1236" customWidth="1"/>
    <col min="11010" max="11010" width="6.7109375" style="1236" customWidth="1"/>
    <col min="11011" max="11011" width="8.85546875" style="1236" customWidth="1"/>
    <col min="11012" max="11012" width="47.85546875" style="1236" customWidth="1"/>
    <col min="11013" max="11013" width="12.85546875" style="1236" customWidth="1"/>
    <col min="11014" max="11014" width="15.5703125" style="1236" customWidth="1"/>
    <col min="11015" max="11015" width="15.85546875" style="1236" customWidth="1"/>
    <col min="11016" max="11016" width="6.42578125" style="1236" customWidth="1"/>
    <col min="11017" max="11018" width="9.140625" style="1236"/>
    <col min="11019" max="11020" width="14.7109375" style="1236" bestFit="1" customWidth="1"/>
    <col min="11021" max="11264" width="9.140625" style="1236"/>
    <col min="11265" max="11265" width="5.5703125" style="1236" customWidth="1"/>
    <col min="11266" max="11266" width="6.7109375" style="1236" customWidth="1"/>
    <col min="11267" max="11267" width="8.85546875" style="1236" customWidth="1"/>
    <col min="11268" max="11268" width="47.85546875" style="1236" customWidth="1"/>
    <col min="11269" max="11269" width="12.85546875" style="1236" customWidth="1"/>
    <col min="11270" max="11270" width="15.5703125" style="1236" customWidth="1"/>
    <col min="11271" max="11271" width="15.85546875" style="1236" customWidth="1"/>
    <col min="11272" max="11272" width="6.42578125" style="1236" customWidth="1"/>
    <col min="11273" max="11274" width="9.140625" style="1236"/>
    <col min="11275" max="11276" width="14.7109375" style="1236" bestFit="1" customWidth="1"/>
    <col min="11277" max="11520" width="9.140625" style="1236"/>
    <col min="11521" max="11521" width="5.5703125" style="1236" customWidth="1"/>
    <col min="11522" max="11522" width="6.7109375" style="1236" customWidth="1"/>
    <col min="11523" max="11523" width="8.85546875" style="1236" customWidth="1"/>
    <col min="11524" max="11524" width="47.85546875" style="1236" customWidth="1"/>
    <col min="11525" max="11525" width="12.85546875" style="1236" customWidth="1"/>
    <col min="11526" max="11526" width="15.5703125" style="1236" customWidth="1"/>
    <col min="11527" max="11527" width="15.85546875" style="1236" customWidth="1"/>
    <col min="11528" max="11528" width="6.42578125" style="1236" customWidth="1"/>
    <col min="11529" max="11530" width="9.140625" style="1236"/>
    <col min="11531" max="11532" width="14.7109375" style="1236" bestFit="1" customWidth="1"/>
    <col min="11533" max="11776" width="9.140625" style="1236"/>
    <col min="11777" max="11777" width="5.5703125" style="1236" customWidth="1"/>
    <col min="11778" max="11778" width="6.7109375" style="1236" customWidth="1"/>
    <col min="11779" max="11779" width="8.85546875" style="1236" customWidth="1"/>
    <col min="11780" max="11780" width="47.85546875" style="1236" customWidth="1"/>
    <col min="11781" max="11781" width="12.85546875" style="1236" customWidth="1"/>
    <col min="11782" max="11782" width="15.5703125" style="1236" customWidth="1"/>
    <col min="11783" max="11783" width="15.85546875" style="1236" customWidth="1"/>
    <col min="11784" max="11784" width="6.42578125" style="1236" customWidth="1"/>
    <col min="11785" max="11786" width="9.140625" style="1236"/>
    <col min="11787" max="11788" width="14.7109375" style="1236" bestFit="1" customWidth="1"/>
    <col min="11789" max="12032" width="9.140625" style="1236"/>
    <col min="12033" max="12033" width="5.5703125" style="1236" customWidth="1"/>
    <col min="12034" max="12034" width="6.7109375" style="1236" customWidth="1"/>
    <col min="12035" max="12035" width="8.85546875" style="1236" customWidth="1"/>
    <col min="12036" max="12036" width="47.85546875" style="1236" customWidth="1"/>
    <col min="12037" max="12037" width="12.85546875" style="1236" customWidth="1"/>
    <col min="12038" max="12038" width="15.5703125" style="1236" customWidth="1"/>
    <col min="12039" max="12039" width="15.85546875" style="1236" customWidth="1"/>
    <col min="12040" max="12040" width="6.42578125" style="1236" customWidth="1"/>
    <col min="12041" max="12042" width="9.140625" style="1236"/>
    <col min="12043" max="12044" width="14.7109375" style="1236" bestFit="1" customWidth="1"/>
    <col min="12045" max="12288" width="9.140625" style="1236"/>
    <col min="12289" max="12289" width="5.5703125" style="1236" customWidth="1"/>
    <col min="12290" max="12290" width="6.7109375" style="1236" customWidth="1"/>
    <col min="12291" max="12291" width="8.85546875" style="1236" customWidth="1"/>
    <col min="12292" max="12292" width="47.85546875" style="1236" customWidth="1"/>
    <col min="12293" max="12293" width="12.85546875" style="1236" customWidth="1"/>
    <col min="12294" max="12294" width="15.5703125" style="1236" customWidth="1"/>
    <col min="12295" max="12295" width="15.85546875" style="1236" customWidth="1"/>
    <col min="12296" max="12296" width="6.42578125" style="1236" customWidth="1"/>
    <col min="12297" max="12298" width="9.140625" style="1236"/>
    <col min="12299" max="12300" width="14.7109375" style="1236" bestFit="1" customWidth="1"/>
    <col min="12301" max="12544" width="9.140625" style="1236"/>
    <col min="12545" max="12545" width="5.5703125" style="1236" customWidth="1"/>
    <col min="12546" max="12546" width="6.7109375" style="1236" customWidth="1"/>
    <col min="12547" max="12547" width="8.85546875" style="1236" customWidth="1"/>
    <col min="12548" max="12548" width="47.85546875" style="1236" customWidth="1"/>
    <col min="12549" max="12549" width="12.85546875" style="1236" customWidth="1"/>
    <col min="12550" max="12550" width="15.5703125" style="1236" customWidth="1"/>
    <col min="12551" max="12551" width="15.85546875" style="1236" customWidth="1"/>
    <col min="12552" max="12552" width="6.42578125" style="1236" customWidth="1"/>
    <col min="12553" max="12554" width="9.140625" style="1236"/>
    <col min="12555" max="12556" width="14.7109375" style="1236" bestFit="1" customWidth="1"/>
    <col min="12557" max="12800" width="9.140625" style="1236"/>
    <col min="12801" max="12801" width="5.5703125" style="1236" customWidth="1"/>
    <col min="12802" max="12802" width="6.7109375" style="1236" customWidth="1"/>
    <col min="12803" max="12803" width="8.85546875" style="1236" customWidth="1"/>
    <col min="12804" max="12804" width="47.85546875" style="1236" customWidth="1"/>
    <col min="12805" max="12805" width="12.85546875" style="1236" customWidth="1"/>
    <col min="12806" max="12806" width="15.5703125" style="1236" customWidth="1"/>
    <col min="12807" max="12807" width="15.85546875" style="1236" customWidth="1"/>
    <col min="12808" max="12808" width="6.42578125" style="1236" customWidth="1"/>
    <col min="12809" max="12810" width="9.140625" style="1236"/>
    <col min="12811" max="12812" width="14.7109375" style="1236" bestFit="1" customWidth="1"/>
    <col min="12813" max="13056" width="9.140625" style="1236"/>
    <col min="13057" max="13057" width="5.5703125" style="1236" customWidth="1"/>
    <col min="13058" max="13058" width="6.7109375" style="1236" customWidth="1"/>
    <col min="13059" max="13059" width="8.85546875" style="1236" customWidth="1"/>
    <col min="13060" max="13060" width="47.85546875" style="1236" customWidth="1"/>
    <col min="13061" max="13061" width="12.85546875" style="1236" customWidth="1"/>
    <col min="13062" max="13062" width="15.5703125" style="1236" customWidth="1"/>
    <col min="13063" max="13063" width="15.85546875" style="1236" customWidth="1"/>
    <col min="13064" max="13064" width="6.42578125" style="1236" customWidth="1"/>
    <col min="13065" max="13066" width="9.140625" style="1236"/>
    <col min="13067" max="13068" width="14.7109375" style="1236" bestFit="1" customWidth="1"/>
    <col min="13069" max="13312" width="9.140625" style="1236"/>
    <col min="13313" max="13313" width="5.5703125" style="1236" customWidth="1"/>
    <col min="13314" max="13314" width="6.7109375" style="1236" customWidth="1"/>
    <col min="13315" max="13315" width="8.85546875" style="1236" customWidth="1"/>
    <col min="13316" max="13316" width="47.85546875" style="1236" customWidth="1"/>
    <col min="13317" max="13317" width="12.85546875" style="1236" customWidth="1"/>
    <col min="13318" max="13318" width="15.5703125" style="1236" customWidth="1"/>
    <col min="13319" max="13319" width="15.85546875" style="1236" customWidth="1"/>
    <col min="13320" max="13320" width="6.42578125" style="1236" customWidth="1"/>
    <col min="13321" max="13322" width="9.140625" style="1236"/>
    <col min="13323" max="13324" width="14.7109375" style="1236" bestFit="1" customWidth="1"/>
    <col min="13325" max="13568" width="9.140625" style="1236"/>
    <col min="13569" max="13569" width="5.5703125" style="1236" customWidth="1"/>
    <col min="13570" max="13570" width="6.7109375" style="1236" customWidth="1"/>
    <col min="13571" max="13571" width="8.85546875" style="1236" customWidth="1"/>
    <col min="13572" max="13572" width="47.85546875" style="1236" customWidth="1"/>
    <col min="13573" max="13573" width="12.85546875" style="1236" customWidth="1"/>
    <col min="13574" max="13574" width="15.5703125" style="1236" customWidth="1"/>
    <col min="13575" max="13575" width="15.85546875" style="1236" customWidth="1"/>
    <col min="13576" max="13576" width="6.42578125" style="1236" customWidth="1"/>
    <col min="13577" max="13578" width="9.140625" style="1236"/>
    <col min="13579" max="13580" width="14.7109375" style="1236" bestFit="1" customWidth="1"/>
    <col min="13581" max="13824" width="9.140625" style="1236"/>
    <col min="13825" max="13825" width="5.5703125" style="1236" customWidth="1"/>
    <col min="13826" max="13826" width="6.7109375" style="1236" customWidth="1"/>
    <col min="13827" max="13827" width="8.85546875" style="1236" customWidth="1"/>
    <col min="13828" max="13828" width="47.85546875" style="1236" customWidth="1"/>
    <col min="13829" max="13829" width="12.85546875" style="1236" customWidth="1"/>
    <col min="13830" max="13830" width="15.5703125" style="1236" customWidth="1"/>
    <col min="13831" max="13831" width="15.85546875" style="1236" customWidth="1"/>
    <col min="13832" max="13832" width="6.42578125" style="1236" customWidth="1"/>
    <col min="13833" max="13834" width="9.140625" style="1236"/>
    <col min="13835" max="13836" width="14.7109375" style="1236" bestFit="1" customWidth="1"/>
    <col min="13837" max="14080" width="9.140625" style="1236"/>
    <col min="14081" max="14081" width="5.5703125" style="1236" customWidth="1"/>
    <col min="14082" max="14082" width="6.7109375" style="1236" customWidth="1"/>
    <col min="14083" max="14083" width="8.85546875" style="1236" customWidth="1"/>
    <col min="14084" max="14084" width="47.85546875" style="1236" customWidth="1"/>
    <col min="14085" max="14085" width="12.85546875" style="1236" customWidth="1"/>
    <col min="14086" max="14086" width="15.5703125" style="1236" customWidth="1"/>
    <col min="14087" max="14087" width="15.85546875" style="1236" customWidth="1"/>
    <col min="14088" max="14088" width="6.42578125" style="1236" customWidth="1"/>
    <col min="14089" max="14090" width="9.140625" style="1236"/>
    <col min="14091" max="14092" width="14.7109375" style="1236" bestFit="1" customWidth="1"/>
    <col min="14093" max="14336" width="9.140625" style="1236"/>
    <col min="14337" max="14337" width="5.5703125" style="1236" customWidth="1"/>
    <col min="14338" max="14338" width="6.7109375" style="1236" customWidth="1"/>
    <col min="14339" max="14339" width="8.85546875" style="1236" customWidth="1"/>
    <col min="14340" max="14340" width="47.85546875" style="1236" customWidth="1"/>
    <col min="14341" max="14341" width="12.85546875" style="1236" customWidth="1"/>
    <col min="14342" max="14342" width="15.5703125" style="1236" customWidth="1"/>
    <col min="14343" max="14343" width="15.85546875" style="1236" customWidth="1"/>
    <col min="14344" max="14344" width="6.42578125" style="1236" customWidth="1"/>
    <col min="14345" max="14346" width="9.140625" style="1236"/>
    <col min="14347" max="14348" width="14.7109375" style="1236" bestFit="1" customWidth="1"/>
    <col min="14349" max="14592" width="9.140625" style="1236"/>
    <col min="14593" max="14593" width="5.5703125" style="1236" customWidth="1"/>
    <col min="14594" max="14594" width="6.7109375" style="1236" customWidth="1"/>
    <col min="14595" max="14595" width="8.85546875" style="1236" customWidth="1"/>
    <col min="14596" max="14596" width="47.85546875" style="1236" customWidth="1"/>
    <col min="14597" max="14597" width="12.85546875" style="1236" customWidth="1"/>
    <col min="14598" max="14598" width="15.5703125" style="1236" customWidth="1"/>
    <col min="14599" max="14599" width="15.85546875" style="1236" customWidth="1"/>
    <col min="14600" max="14600" width="6.42578125" style="1236" customWidth="1"/>
    <col min="14601" max="14602" width="9.140625" style="1236"/>
    <col min="14603" max="14604" width="14.7109375" style="1236" bestFit="1" customWidth="1"/>
    <col min="14605" max="14848" width="9.140625" style="1236"/>
    <col min="14849" max="14849" width="5.5703125" style="1236" customWidth="1"/>
    <col min="14850" max="14850" width="6.7109375" style="1236" customWidth="1"/>
    <col min="14851" max="14851" width="8.85546875" style="1236" customWidth="1"/>
    <col min="14852" max="14852" width="47.85546875" style="1236" customWidth="1"/>
    <col min="14853" max="14853" width="12.85546875" style="1236" customWidth="1"/>
    <col min="14854" max="14854" width="15.5703125" style="1236" customWidth="1"/>
    <col min="14855" max="14855" width="15.85546875" style="1236" customWidth="1"/>
    <col min="14856" max="14856" width="6.42578125" style="1236" customWidth="1"/>
    <col min="14857" max="14858" width="9.140625" style="1236"/>
    <col min="14859" max="14860" width="14.7109375" style="1236" bestFit="1" customWidth="1"/>
    <col min="14861" max="15104" width="9.140625" style="1236"/>
    <col min="15105" max="15105" width="5.5703125" style="1236" customWidth="1"/>
    <col min="15106" max="15106" width="6.7109375" style="1236" customWidth="1"/>
    <col min="15107" max="15107" width="8.85546875" style="1236" customWidth="1"/>
    <col min="15108" max="15108" width="47.85546875" style="1236" customWidth="1"/>
    <col min="15109" max="15109" width="12.85546875" style="1236" customWidth="1"/>
    <col min="15110" max="15110" width="15.5703125" style="1236" customWidth="1"/>
    <col min="15111" max="15111" width="15.85546875" style="1236" customWidth="1"/>
    <col min="15112" max="15112" width="6.42578125" style="1236" customWidth="1"/>
    <col min="15113" max="15114" width="9.140625" style="1236"/>
    <col min="15115" max="15116" width="14.7109375" style="1236" bestFit="1" customWidth="1"/>
    <col min="15117" max="15360" width="9.140625" style="1236"/>
    <col min="15361" max="15361" width="5.5703125" style="1236" customWidth="1"/>
    <col min="15362" max="15362" width="6.7109375" style="1236" customWidth="1"/>
    <col min="15363" max="15363" width="8.85546875" style="1236" customWidth="1"/>
    <col min="15364" max="15364" width="47.85546875" style="1236" customWidth="1"/>
    <col min="15365" max="15365" width="12.85546875" style="1236" customWidth="1"/>
    <col min="15366" max="15366" width="15.5703125" style="1236" customWidth="1"/>
    <col min="15367" max="15367" width="15.85546875" style="1236" customWidth="1"/>
    <col min="15368" max="15368" width="6.42578125" style="1236" customWidth="1"/>
    <col min="15369" max="15370" width="9.140625" style="1236"/>
    <col min="15371" max="15372" width="14.7109375" style="1236" bestFit="1" customWidth="1"/>
    <col min="15373" max="15616" width="9.140625" style="1236"/>
    <col min="15617" max="15617" width="5.5703125" style="1236" customWidth="1"/>
    <col min="15618" max="15618" width="6.7109375" style="1236" customWidth="1"/>
    <col min="15619" max="15619" width="8.85546875" style="1236" customWidth="1"/>
    <col min="15620" max="15620" width="47.85546875" style="1236" customWidth="1"/>
    <col min="15621" max="15621" width="12.85546875" style="1236" customWidth="1"/>
    <col min="15622" max="15622" width="15.5703125" style="1236" customWidth="1"/>
    <col min="15623" max="15623" width="15.85546875" style="1236" customWidth="1"/>
    <col min="15624" max="15624" width="6.42578125" style="1236" customWidth="1"/>
    <col min="15625" max="15626" width="9.140625" style="1236"/>
    <col min="15627" max="15628" width="14.7109375" style="1236" bestFit="1" customWidth="1"/>
    <col min="15629" max="15872" width="9.140625" style="1236"/>
    <col min="15873" max="15873" width="5.5703125" style="1236" customWidth="1"/>
    <col min="15874" max="15874" width="6.7109375" style="1236" customWidth="1"/>
    <col min="15875" max="15875" width="8.85546875" style="1236" customWidth="1"/>
    <col min="15876" max="15876" width="47.85546875" style="1236" customWidth="1"/>
    <col min="15877" max="15877" width="12.85546875" style="1236" customWidth="1"/>
    <col min="15878" max="15878" width="15.5703125" style="1236" customWidth="1"/>
    <col min="15879" max="15879" width="15.85546875" style="1236" customWidth="1"/>
    <col min="15880" max="15880" width="6.42578125" style="1236" customWidth="1"/>
    <col min="15881" max="15882" width="9.140625" style="1236"/>
    <col min="15883" max="15884" width="14.7109375" style="1236" bestFit="1" customWidth="1"/>
    <col min="15885" max="16128" width="9.140625" style="1236"/>
    <col min="16129" max="16129" width="5.5703125" style="1236" customWidth="1"/>
    <col min="16130" max="16130" width="6.7109375" style="1236" customWidth="1"/>
    <col min="16131" max="16131" width="8.85546875" style="1236" customWidth="1"/>
    <col min="16132" max="16132" width="47.85546875" style="1236" customWidth="1"/>
    <col min="16133" max="16133" width="12.85546875" style="1236" customWidth="1"/>
    <col min="16134" max="16134" width="15.5703125" style="1236" customWidth="1"/>
    <col min="16135" max="16135" width="15.85546875" style="1236" customWidth="1"/>
    <col min="16136" max="16136" width="6.42578125" style="1236" customWidth="1"/>
    <col min="16137" max="16138" width="9.140625" style="1236"/>
    <col min="16139" max="16140" width="14.7109375" style="1236" bestFit="1" customWidth="1"/>
    <col min="16141" max="16384" width="9.140625" style="1236"/>
  </cols>
  <sheetData>
    <row r="1" spans="1:8" ht="18.75" thickBot="1" x14ac:dyDescent="0.3">
      <c r="A1" s="1230" t="s">
        <v>2007</v>
      </c>
      <c r="B1" s="1231"/>
      <c r="C1" s="1232"/>
      <c r="D1" s="1233"/>
      <c r="E1" s="1234"/>
      <c r="F1" s="1233"/>
      <c r="G1" s="1235"/>
      <c r="H1" s="1230"/>
    </row>
    <row r="2" spans="1:8" ht="18" x14ac:dyDescent="0.25">
      <c r="A2" s="1237"/>
      <c r="B2" s="1238"/>
      <c r="C2" s="1238"/>
      <c r="D2" s="1238"/>
      <c r="E2" s="1238"/>
      <c r="F2" s="1238"/>
      <c r="G2" s="1238"/>
      <c r="H2" s="1239" t="s">
        <v>1059</v>
      </c>
    </row>
    <row r="3" spans="1:8" ht="18" x14ac:dyDescent="0.25">
      <c r="A3" s="1240" t="s">
        <v>201</v>
      </c>
      <c r="B3" s="1238"/>
      <c r="C3" s="2205" t="s">
        <v>121</v>
      </c>
      <c r="D3" s="1238"/>
      <c r="E3" s="1238"/>
      <c r="F3" s="1238"/>
      <c r="G3" s="1238"/>
      <c r="H3" s="1239"/>
    </row>
    <row r="4" spans="1:8" ht="18" x14ac:dyDescent="0.25">
      <c r="A4" s="1237"/>
      <c r="B4" s="1238"/>
      <c r="C4" s="1374" t="s">
        <v>781</v>
      </c>
      <c r="D4" s="1238"/>
      <c r="E4" s="1238"/>
      <c r="F4" s="1238"/>
      <c r="G4" s="1238"/>
      <c r="H4" s="1239"/>
    </row>
    <row r="5" spans="1:8" ht="18" x14ac:dyDescent="0.25">
      <c r="A5" s="1242" t="s">
        <v>1058</v>
      </c>
      <c r="B5" s="1238"/>
      <c r="C5" s="1238"/>
      <c r="D5" s="1238"/>
      <c r="E5" s="1238"/>
      <c r="F5" s="1238"/>
      <c r="G5" s="1238"/>
      <c r="H5" s="1239"/>
    </row>
    <row r="6" spans="1:8" ht="18" x14ac:dyDescent="0.25">
      <c r="A6" s="1242"/>
      <c r="B6" s="1238"/>
      <c r="C6" s="1238"/>
      <c r="D6" s="1238"/>
      <c r="E6" s="1238"/>
      <c r="F6" s="1238"/>
      <c r="G6" s="1238"/>
      <c r="H6" s="1239"/>
    </row>
    <row r="7" spans="1:8" ht="13.5" customHeight="1" x14ac:dyDescent="0.25">
      <c r="A7" s="3333" t="s">
        <v>1498</v>
      </c>
      <c r="B7" s="3334"/>
      <c r="C7" s="3334"/>
      <c r="D7" s="3334"/>
      <c r="E7" s="3334"/>
      <c r="F7" s="3334"/>
      <c r="G7" s="3334"/>
      <c r="H7" s="3334"/>
    </row>
    <row r="8" spans="1:8" ht="15.75" thickBot="1" x14ac:dyDescent="0.3">
      <c r="A8" s="1229" t="s">
        <v>1497</v>
      </c>
      <c r="B8" s="1243"/>
      <c r="C8" s="1243"/>
      <c r="E8" s="1244"/>
      <c r="F8" s="1244"/>
      <c r="G8" s="1244"/>
      <c r="H8" s="1245" t="s">
        <v>92</v>
      </c>
    </row>
    <row r="9" spans="1:8" ht="25.5" thickTop="1" thickBot="1" x14ac:dyDescent="0.25">
      <c r="A9" s="1104" t="s">
        <v>93</v>
      </c>
      <c r="B9" s="1105" t="s">
        <v>392</v>
      </c>
      <c r="C9" s="1105" t="s">
        <v>209</v>
      </c>
      <c r="D9" s="1106" t="s">
        <v>95</v>
      </c>
      <c r="E9" s="1127" t="s">
        <v>328</v>
      </c>
      <c r="F9" s="1127" t="s">
        <v>329</v>
      </c>
      <c r="G9" s="1128" t="s">
        <v>448</v>
      </c>
      <c r="H9" s="1129" t="s">
        <v>449</v>
      </c>
    </row>
    <row r="10" spans="1:8" ht="14.25" thickTop="1" thickBot="1" x14ac:dyDescent="0.25">
      <c r="A10" s="1042">
        <v>1</v>
      </c>
      <c r="B10" s="1041">
        <v>2</v>
      </c>
      <c r="C10" s="1041">
        <v>3</v>
      </c>
      <c r="D10" s="1041">
        <v>4</v>
      </c>
      <c r="E10" s="1040">
        <v>5</v>
      </c>
      <c r="F10" s="1040">
        <v>6</v>
      </c>
      <c r="G10" s="1164">
        <v>7</v>
      </c>
      <c r="H10" s="1186" t="s">
        <v>33</v>
      </c>
    </row>
    <row r="11" spans="1:8" ht="30.75" hidden="1" thickTop="1" x14ac:dyDescent="0.2">
      <c r="A11" s="1262">
        <v>2125</v>
      </c>
      <c r="B11" s="1263">
        <v>5229</v>
      </c>
      <c r="C11" s="1309">
        <v>103100880</v>
      </c>
      <c r="D11" s="1264" t="s">
        <v>484</v>
      </c>
      <c r="E11" s="1265"/>
      <c r="F11" s="1265"/>
      <c r="G11" s="1265"/>
      <c r="H11" s="1266">
        <v>0</v>
      </c>
    </row>
    <row r="12" spans="1:8" ht="15.75" hidden="1" thickTop="1" x14ac:dyDescent="0.2">
      <c r="A12" s="1262">
        <v>3299</v>
      </c>
      <c r="B12" s="1263">
        <v>5011</v>
      </c>
      <c r="C12" s="1309" t="s">
        <v>1486</v>
      </c>
      <c r="D12" s="1264" t="s">
        <v>117</v>
      </c>
      <c r="E12" s="1265"/>
      <c r="F12" s="1265"/>
      <c r="G12" s="1265"/>
      <c r="H12" s="1266" t="e">
        <f t="shared" ref="H12:H33" si="0">G12/F12*100</f>
        <v>#DIV/0!</v>
      </c>
    </row>
    <row r="13" spans="1:8" ht="15" hidden="1" x14ac:dyDescent="0.2">
      <c r="A13" s="1262">
        <v>3299</v>
      </c>
      <c r="B13" s="1263">
        <v>5011</v>
      </c>
      <c r="C13" s="1309" t="s">
        <v>1144</v>
      </c>
      <c r="D13" s="1264" t="s">
        <v>117</v>
      </c>
      <c r="E13" s="1265"/>
      <c r="F13" s="1265"/>
      <c r="G13" s="1265"/>
      <c r="H13" s="1266" t="e">
        <f t="shared" si="0"/>
        <v>#DIV/0!</v>
      </c>
    </row>
    <row r="14" spans="1:8" ht="15" hidden="1" x14ac:dyDescent="0.2">
      <c r="A14" s="1262">
        <v>3299</v>
      </c>
      <c r="B14" s="1263">
        <v>5011</v>
      </c>
      <c r="C14" s="1309" t="s">
        <v>1145</v>
      </c>
      <c r="D14" s="1264" t="s">
        <v>117</v>
      </c>
      <c r="E14" s="1265"/>
      <c r="F14" s="1265"/>
      <c r="G14" s="1265"/>
      <c r="H14" s="1266" t="e">
        <f t="shared" si="0"/>
        <v>#DIV/0!</v>
      </c>
    </row>
    <row r="15" spans="1:8" ht="15" hidden="1" x14ac:dyDescent="0.2">
      <c r="A15" s="1262">
        <v>3299</v>
      </c>
      <c r="B15" s="1263">
        <v>5021</v>
      </c>
      <c r="C15" s="1309" t="s">
        <v>1486</v>
      </c>
      <c r="D15" s="1264" t="s">
        <v>217</v>
      </c>
      <c r="E15" s="1265"/>
      <c r="F15" s="1265"/>
      <c r="G15" s="1265"/>
      <c r="H15" s="1266" t="e">
        <f t="shared" si="0"/>
        <v>#DIV/0!</v>
      </c>
    </row>
    <row r="16" spans="1:8" ht="15" hidden="1" x14ac:dyDescent="0.2">
      <c r="A16" s="1262">
        <v>3299</v>
      </c>
      <c r="B16" s="1263">
        <v>5021</v>
      </c>
      <c r="C16" s="1309" t="s">
        <v>1485</v>
      </c>
      <c r="D16" s="1264" t="s">
        <v>217</v>
      </c>
      <c r="E16" s="1265"/>
      <c r="F16" s="1265"/>
      <c r="G16" s="1265"/>
      <c r="H16" s="1266" t="e">
        <f t="shared" si="0"/>
        <v>#DIV/0!</v>
      </c>
    </row>
    <row r="17" spans="1:8" ht="15" hidden="1" x14ac:dyDescent="0.2">
      <c r="A17" s="1262">
        <v>3299</v>
      </c>
      <c r="B17" s="1263">
        <v>5021</v>
      </c>
      <c r="C17" s="1309" t="s">
        <v>880</v>
      </c>
      <c r="D17" s="1264" t="s">
        <v>217</v>
      </c>
      <c r="E17" s="1265"/>
      <c r="F17" s="1265"/>
      <c r="G17" s="1265"/>
      <c r="H17" s="1266" t="e">
        <f t="shared" si="0"/>
        <v>#DIV/0!</v>
      </c>
    </row>
    <row r="18" spans="1:8" ht="30" hidden="1" x14ac:dyDescent="0.2">
      <c r="A18" s="1262">
        <v>3299</v>
      </c>
      <c r="B18" s="1263">
        <v>5031</v>
      </c>
      <c r="C18" s="1309" t="s">
        <v>1486</v>
      </c>
      <c r="D18" s="1307" t="s">
        <v>621</v>
      </c>
      <c r="E18" s="1265"/>
      <c r="F18" s="1265"/>
      <c r="G18" s="1265"/>
      <c r="H18" s="1266" t="e">
        <f t="shared" si="0"/>
        <v>#DIV/0!</v>
      </c>
    </row>
    <row r="19" spans="1:8" ht="30" hidden="1" x14ac:dyDescent="0.2">
      <c r="A19" s="1262">
        <v>3299</v>
      </c>
      <c r="B19" s="1263">
        <v>5031</v>
      </c>
      <c r="C19" s="1309" t="s">
        <v>1144</v>
      </c>
      <c r="D19" s="1307" t="s">
        <v>621</v>
      </c>
      <c r="E19" s="1265"/>
      <c r="F19" s="1265"/>
      <c r="G19" s="1265"/>
      <c r="H19" s="1266" t="e">
        <f t="shared" si="0"/>
        <v>#DIV/0!</v>
      </c>
    </row>
    <row r="20" spans="1:8" ht="30" hidden="1" x14ac:dyDescent="0.2">
      <c r="A20" s="1262">
        <v>3299</v>
      </c>
      <c r="B20" s="1263">
        <v>5031</v>
      </c>
      <c r="C20" s="1309" t="s">
        <v>1145</v>
      </c>
      <c r="D20" s="1307" t="s">
        <v>621</v>
      </c>
      <c r="E20" s="1265"/>
      <c r="F20" s="1265"/>
      <c r="G20" s="1265"/>
      <c r="H20" s="1266" t="e">
        <f t="shared" si="0"/>
        <v>#DIV/0!</v>
      </c>
    </row>
    <row r="21" spans="1:8" ht="30" hidden="1" x14ac:dyDescent="0.2">
      <c r="A21" s="1262">
        <v>3299</v>
      </c>
      <c r="B21" s="1263">
        <v>5032</v>
      </c>
      <c r="C21" s="1309" t="s">
        <v>1486</v>
      </c>
      <c r="D21" s="1264" t="s">
        <v>553</v>
      </c>
      <c r="E21" s="1265"/>
      <c r="F21" s="1265"/>
      <c r="G21" s="1265"/>
      <c r="H21" s="1266" t="e">
        <f t="shared" si="0"/>
        <v>#DIV/0!</v>
      </c>
    </row>
    <row r="22" spans="1:8" ht="30" hidden="1" x14ac:dyDescent="0.2">
      <c r="A22" s="1262">
        <v>3299</v>
      </c>
      <c r="B22" s="1263">
        <v>5032</v>
      </c>
      <c r="C22" s="1309" t="s">
        <v>1144</v>
      </c>
      <c r="D22" s="1264" t="s">
        <v>553</v>
      </c>
      <c r="E22" s="1265"/>
      <c r="F22" s="1265"/>
      <c r="G22" s="1265"/>
      <c r="H22" s="1266" t="e">
        <f t="shared" si="0"/>
        <v>#DIV/0!</v>
      </c>
    </row>
    <row r="23" spans="1:8" ht="30" hidden="1" x14ac:dyDescent="0.2">
      <c r="A23" s="1262">
        <v>3299</v>
      </c>
      <c r="B23" s="1263">
        <v>5032</v>
      </c>
      <c r="C23" s="1309" t="s">
        <v>1145</v>
      </c>
      <c r="D23" s="1264" t="s">
        <v>553</v>
      </c>
      <c r="E23" s="1265"/>
      <c r="F23" s="1265"/>
      <c r="G23" s="1265"/>
      <c r="H23" s="1266" t="e">
        <f t="shared" si="0"/>
        <v>#DIV/0!</v>
      </c>
    </row>
    <row r="24" spans="1:8" ht="15.75" thickTop="1" x14ac:dyDescent="0.2">
      <c r="A24" s="1262">
        <v>3299</v>
      </c>
      <c r="B24" s="1263">
        <v>5137</v>
      </c>
      <c r="C24" s="1309" t="s">
        <v>1486</v>
      </c>
      <c r="D24" s="1264" t="s">
        <v>88</v>
      </c>
      <c r="E24" s="1265">
        <v>1</v>
      </c>
      <c r="F24" s="1265">
        <v>1</v>
      </c>
      <c r="G24" s="1265">
        <v>1</v>
      </c>
      <c r="H24" s="3065">
        <f t="shared" si="0"/>
        <v>100</v>
      </c>
    </row>
    <row r="25" spans="1:8" ht="15" x14ac:dyDescent="0.2">
      <c r="A25" s="1262">
        <v>3299</v>
      </c>
      <c r="B25" s="1263">
        <v>5137</v>
      </c>
      <c r="C25" s="1309" t="s">
        <v>1494</v>
      </c>
      <c r="D25" s="1264" t="s">
        <v>88</v>
      </c>
      <c r="E25" s="1265">
        <v>1</v>
      </c>
      <c r="F25" s="1265">
        <v>1</v>
      </c>
      <c r="G25" s="1265">
        <v>0</v>
      </c>
      <c r="H25" s="3065">
        <f t="shared" si="0"/>
        <v>0</v>
      </c>
    </row>
    <row r="26" spans="1:8" ht="15" x14ac:dyDescent="0.2">
      <c r="A26" s="1262">
        <v>3299</v>
      </c>
      <c r="B26" s="1263">
        <v>5137</v>
      </c>
      <c r="C26" s="1309" t="s">
        <v>1144</v>
      </c>
      <c r="D26" s="1264" t="s">
        <v>88</v>
      </c>
      <c r="E26" s="1265">
        <v>0</v>
      </c>
      <c r="F26" s="1265">
        <v>16</v>
      </c>
      <c r="G26" s="1265">
        <v>11</v>
      </c>
      <c r="H26" s="3065">
        <f t="shared" si="0"/>
        <v>68.75</v>
      </c>
    </row>
    <row r="27" spans="1:8" ht="15" x14ac:dyDescent="0.2">
      <c r="A27" s="1262">
        <v>3299</v>
      </c>
      <c r="B27" s="1263">
        <v>5137</v>
      </c>
      <c r="C27" s="1309" t="s">
        <v>1485</v>
      </c>
      <c r="D27" s="1264" t="s">
        <v>88</v>
      </c>
      <c r="E27" s="1265">
        <v>9</v>
      </c>
      <c r="F27" s="1265">
        <v>8</v>
      </c>
      <c r="G27" s="1265">
        <v>0</v>
      </c>
      <c r="H27" s="3065">
        <f t="shared" si="0"/>
        <v>0</v>
      </c>
    </row>
    <row r="28" spans="1:8" ht="15" x14ac:dyDescent="0.2">
      <c r="A28" s="1262">
        <v>3299</v>
      </c>
      <c r="B28" s="1263">
        <v>5137</v>
      </c>
      <c r="C28" s="1309" t="s">
        <v>1145</v>
      </c>
      <c r="D28" s="1264" t="s">
        <v>88</v>
      </c>
      <c r="E28" s="1265">
        <v>0</v>
      </c>
      <c r="F28" s="1265">
        <v>134</v>
      </c>
      <c r="G28" s="1265">
        <v>97</v>
      </c>
      <c r="H28" s="3065">
        <f t="shared" si="0"/>
        <v>72.388059701492537</v>
      </c>
    </row>
    <row r="29" spans="1:8" ht="15" x14ac:dyDescent="0.2">
      <c r="A29" s="1262">
        <v>3299</v>
      </c>
      <c r="B29" s="1263">
        <v>5139</v>
      </c>
      <c r="C29" s="1309" t="s">
        <v>1486</v>
      </c>
      <c r="D29" s="1264" t="s">
        <v>152</v>
      </c>
      <c r="E29" s="1265">
        <v>5</v>
      </c>
      <c r="F29" s="1265">
        <v>5</v>
      </c>
      <c r="G29" s="1265">
        <v>4</v>
      </c>
      <c r="H29" s="3065">
        <f t="shared" si="0"/>
        <v>80</v>
      </c>
    </row>
    <row r="30" spans="1:8" ht="15" x14ac:dyDescent="0.2">
      <c r="A30" s="1262">
        <v>3299</v>
      </c>
      <c r="B30" s="1263">
        <v>5139</v>
      </c>
      <c r="C30" s="1309" t="s">
        <v>1494</v>
      </c>
      <c r="D30" s="1264" t="s">
        <v>152</v>
      </c>
      <c r="E30" s="1265">
        <v>10</v>
      </c>
      <c r="F30" s="1265">
        <v>10</v>
      </c>
      <c r="G30" s="1265">
        <v>0</v>
      </c>
      <c r="H30" s="3065">
        <f t="shared" si="0"/>
        <v>0</v>
      </c>
    </row>
    <row r="31" spans="1:8" ht="15" x14ac:dyDescent="0.2">
      <c r="A31" s="1262">
        <v>3299</v>
      </c>
      <c r="B31" s="1263">
        <v>5139</v>
      </c>
      <c r="C31" s="1309" t="s">
        <v>1144</v>
      </c>
      <c r="D31" s="1264" t="s">
        <v>152</v>
      </c>
      <c r="E31" s="1265">
        <v>0</v>
      </c>
      <c r="F31" s="1265">
        <v>16</v>
      </c>
      <c r="G31" s="1265">
        <v>8</v>
      </c>
      <c r="H31" s="3065">
        <f t="shared" si="0"/>
        <v>50</v>
      </c>
    </row>
    <row r="32" spans="1:8" ht="15" x14ac:dyDescent="0.2">
      <c r="A32" s="1262">
        <v>3299</v>
      </c>
      <c r="B32" s="1263">
        <v>5139</v>
      </c>
      <c r="C32" s="1309" t="s">
        <v>1485</v>
      </c>
      <c r="D32" s="1264" t="s">
        <v>152</v>
      </c>
      <c r="E32" s="1265">
        <v>90</v>
      </c>
      <c r="F32" s="1265">
        <v>90</v>
      </c>
      <c r="G32" s="1265">
        <v>0</v>
      </c>
      <c r="H32" s="3065">
        <f t="shared" si="0"/>
        <v>0</v>
      </c>
    </row>
    <row r="33" spans="1:8" ht="15" x14ac:dyDescent="0.2">
      <c r="A33" s="1262">
        <v>3299</v>
      </c>
      <c r="B33" s="1263">
        <v>5139</v>
      </c>
      <c r="C33" s="1309" t="s">
        <v>1145</v>
      </c>
      <c r="D33" s="1264" t="s">
        <v>152</v>
      </c>
      <c r="E33" s="1265">
        <v>0</v>
      </c>
      <c r="F33" s="1265">
        <v>134</v>
      </c>
      <c r="G33" s="1265">
        <v>67</v>
      </c>
      <c r="H33" s="3065">
        <f t="shared" si="0"/>
        <v>50</v>
      </c>
    </row>
    <row r="34" spans="1:8" ht="15" hidden="1" x14ac:dyDescent="0.2">
      <c r="A34" s="1262">
        <v>3299</v>
      </c>
      <c r="B34" s="1263">
        <v>5162</v>
      </c>
      <c r="C34" s="1309" t="s">
        <v>1486</v>
      </c>
      <c r="D34" s="1264" t="s">
        <v>439</v>
      </c>
      <c r="E34" s="1265"/>
      <c r="F34" s="1265"/>
      <c r="G34" s="1265"/>
      <c r="H34" s="3065" t="e">
        <f>G34/F34*100</f>
        <v>#DIV/0!</v>
      </c>
    </row>
    <row r="35" spans="1:8" ht="15" hidden="1" x14ac:dyDescent="0.2">
      <c r="A35" s="1262">
        <v>3299</v>
      </c>
      <c r="B35" s="1263">
        <v>5162</v>
      </c>
      <c r="C35" s="1309" t="s">
        <v>1005</v>
      </c>
      <c r="D35" s="1264" t="s">
        <v>439</v>
      </c>
      <c r="E35" s="1265"/>
      <c r="F35" s="1265"/>
      <c r="G35" s="1265"/>
      <c r="H35" s="3065" t="e">
        <f>G35/F35*100</f>
        <v>#DIV/0!</v>
      </c>
    </row>
    <row r="36" spans="1:8" ht="15" x14ac:dyDescent="0.2">
      <c r="A36" s="1262">
        <v>3299</v>
      </c>
      <c r="B36" s="1263">
        <v>5163</v>
      </c>
      <c r="C36" s="1309" t="s">
        <v>1486</v>
      </c>
      <c r="D36" s="1264" t="s">
        <v>452</v>
      </c>
      <c r="E36" s="1265">
        <v>1</v>
      </c>
      <c r="F36" s="1265">
        <v>1</v>
      </c>
      <c r="G36" s="1265">
        <v>0</v>
      </c>
      <c r="H36" s="3065">
        <v>0</v>
      </c>
    </row>
    <row r="37" spans="1:8" ht="15" x14ac:dyDescent="0.2">
      <c r="A37" s="1262">
        <v>3299</v>
      </c>
      <c r="B37" s="1263">
        <v>5163</v>
      </c>
      <c r="C37" s="1309" t="s">
        <v>1144</v>
      </c>
      <c r="D37" s="1264" t="s">
        <v>452</v>
      </c>
      <c r="E37" s="1265">
        <v>0</v>
      </c>
      <c r="F37" s="1265">
        <v>1</v>
      </c>
      <c r="G37" s="1265">
        <v>0</v>
      </c>
      <c r="H37" s="3065">
        <f t="shared" ref="H37:H43" si="1">G37/F37*100</f>
        <v>0</v>
      </c>
    </row>
    <row r="38" spans="1:8" ht="15" x14ac:dyDescent="0.2">
      <c r="A38" s="1262">
        <v>3299</v>
      </c>
      <c r="B38" s="1263">
        <v>5163</v>
      </c>
      <c r="C38" s="1309" t="s">
        <v>1145</v>
      </c>
      <c r="D38" s="1264" t="s">
        <v>452</v>
      </c>
      <c r="E38" s="1265">
        <v>0</v>
      </c>
      <c r="F38" s="1265">
        <v>9</v>
      </c>
      <c r="G38" s="1265">
        <v>1</v>
      </c>
      <c r="H38" s="3065">
        <f t="shared" si="1"/>
        <v>11.111111111111111</v>
      </c>
    </row>
    <row r="39" spans="1:8" ht="15" x14ac:dyDescent="0.2">
      <c r="A39" s="1262">
        <v>3299</v>
      </c>
      <c r="B39" s="1263">
        <v>5164</v>
      </c>
      <c r="C39" s="1309" t="s">
        <v>1486</v>
      </c>
      <c r="D39" s="1264" t="s">
        <v>101</v>
      </c>
      <c r="E39" s="1265">
        <v>10</v>
      </c>
      <c r="F39" s="1265">
        <v>10</v>
      </c>
      <c r="G39" s="1265">
        <v>0</v>
      </c>
      <c r="H39" s="3065">
        <f t="shared" si="1"/>
        <v>0</v>
      </c>
    </row>
    <row r="40" spans="1:8" ht="15" x14ac:dyDescent="0.2">
      <c r="A40" s="1262">
        <v>3299</v>
      </c>
      <c r="B40" s="1263">
        <v>5164</v>
      </c>
      <c r="C40" s="1309" t="s">
        <v>1494</v>
      </c>
      <c r="D40" s="1264" t="s">
        <v>101</v>
      </c>
      <c r="E40" s="1265">
        <v>21</v>
      </c>
      <c r="F40" s="1265">
        <v>21</v>
      </c>
      <c r="G40" s="1265">
        <v>0</v>
      </c>
      <c r="H40" s="3065">
        <f t="shared" si="1"/>
        <v>0</v>
      </c>
    </row>
    <row r="41" spans="1:8" ht="15" x14ac:dyDescent="0.2">
      <c r="A41" s="1262">
        <v>3299</v>
      </c>
      <c r="B41" s="1263">
        <v>5164</v>
      </c>
      <c r="C41" s="1309" t="s">
        <v>1144</v>
      </c>
      <c r="D41" s="1264" t="s">
        <v>101</v>
      </c>
      <c r="E41" s="1265">
        <v>0</v>
      </c>
      <c r="F41" s="1265">
        <v>19</v>
      </c>
      <c r="G41" s="1265">
        <v>5</v>
      </c>
      <c r="H41" s="3065">
        <f t="shared" si="1"/>
        <v>26.315789473684209</v>
      </c>
    </row>
    <row r="42" spans="1:8" ht="15" x14ac:dyDescent="0.2">
      <c r="A42" s="1262">
        <v>3299</v>
      </c>
      <c r="B42" s="1263">
        <v>5164</v>
      </c>
      <c r="C42" s="1309" t="s">
        <v>1485</v>
      </c>
      <c r="D42" s="1264" t="s">
        <v>101</v>
      </c>
      <c r="E42" s="1265">
        <v>179</v>
      </c>
      <c r="F42" s="1265">
        <v>154</v>
      </c>
      <c r="G42" s="1265">
        <v>0</v>
      </c>
      <c r="H42" s="3065">
        <f t="shared" si="1"/>
        <v>0</v>
      </c>
    </row>
    <row r="43" spans="1:8" ht="15" x14ac:dyDescent="0.2">
      <c r="A43" s="1262">
        <v>3299</v>
      </c>
      <c r="B43" s="1263">
        <v>5164</v>
      </c>
      <c r="C43" s="1309" t="s">
        <v>1145</v>
      </c>
      <c r="D43" s="1264" t="s">
        <v>101</v>
      </c>
      <c r="E43" s="1265">
        <v>0</v>
      </c>
      <c r="F43" s="1265">
        <v>161</v>
      </c>
      <c r="G43" s="1265">
        <v>40</v>
      </c>
      <c r="H43" s="3065">
        <f t="shared" si="1"/>
        <v>24.844720496894411</v>
      </c>
    </row>
    <row r="44" spans="1:8" ht="15" x14ac:dyDescent="0.2">
      <c r="A44" s="1262">
        <v>3299</v>
      </c>
      <c r="B44" s="1263">
        <v>5166</v>
      </c>
      <c r="C44" s="1309" t="s">
        <v>1486</v>
      </c>
      <c r="D44" s="1264" t="s">
        <v>317</v>
      </c>
      <c r="E44" s="1265">
        <v>10</v>
      </c>
      <c r="F44" s="1265">
        <v>5</v>
      </c>
      <c r="G44" s="1265">
        <v>0</v>
      </c>
      <c r="H44" s="3065">
        <v>0</v>
      </c>
    </row>
    <row r="45" spans="1:8" ht="15" x14ac:dyDescent="0.2">
      <c r="A45" s="1262">
        <v>3299</v>
      </c>
      <c r="B45" s="1263">
        <v>5166</v>
      </c>
      <c r="C45" s="1309" t="s">
        <v>1494</v>
      </c>
      <c r="D45" s="1264" t="s">
        <v>317</v>
      </c>
      <c r="E45" s="1265">
        <v>21</v>
      </c>
      <c r="F45" s="1265">
        <v>21</v>
      </c>
      <c r="G45" s="1265">
        <v>0</v>
      </c>
      <c r="H45" s="3065">
        <f t="shared" ref="H45:H54" si="2">G45/F45*100</f>
        <v>0</v>
      </c>
    </row>
    <row r="46" spans="1:8" ht="15" x14ac:dyDescent="0.2">
      <c r="A46" s="1262">
        <v>3299</v>
      </c>
      <c r="B46" s="1263">
        <v>5166</v>
      </c>
      <c r="C46" s="1309" t="s">
        <v>1144</v>
      </c>
      <c r="D46" s="1264" t="s">
        <v>317</v>
      </c>
      <c r="E46" s="1265">
        <v>0</v>
      </c>
      <c r="F46" s="1265">
        <v>10</v>
      </c>
      <c r="G46" s="1265">
        <v>0</v>
      </c>
      <c r="H46" s="3065">
        <f t="shared" si="2"/>
        <v>0</v>
      </c>
    </row>
    <row r="47" spans="1:8" ht="15" x14ac:dyDescent="0.2">
      <c r="A47" s="1262">
        <v>3299</v>
      </c>
      <c r="B47" s="1263">
        <v>5166</v>
      </c>
      <c r="C47" s="1309" t="s">
        <v>1485</v>
      </c>
      <c r="D47" s="1264" t="s">
        <v>317</v>
      </c>
      <c r="E47" s="1265">
        <v>179</v>
      </c>
      <c r="F47" s="1265">
        <v>154</v>
      </c>
      <c r="G47" s="1265">
        <v>0</v>
      </c>
      <c r="H47" s="3065">
        <f t="shared" si="2"/>
        <v>0</v>
      </c>
    </row>
    <row r="48" spans="1:8" ht="15" x14ac:dyDescent="0.2">
      <c r="A48" s="1262">
        <v>3299</v>
      </c>
      <c r="B48" s="1263">
        <v>5166</v>
      </c>
      <c r="C48" s="1309" t="s">
        <v>1145</v>
      </c>
      <c r="D48" s="1264" t="s">
        <v>317</v>
      </c>
      <c r="E48" s="1265">
        <v>0</v>
      </c>
      <c r="F48" s="1265">
        <v>85</v>
      </c>
      <c r="G48" s="1265">
        <v>0</v>
      </c>
      <c r="H48" s="3065">
        <f t="shared" si="2"/>
        <v>0</v>
      </c>
    </row>
    <row r="49" spans="1:8" ht="15" x14ac:dyDescent="0.2">
      <c r="A49" s="1262">
        <v>3299</v>
      </c>
      <c r="B49" s="1263">
        <v>5167</v>
      </c>
      <c r="C49" s="1309" t="s">
        <v>1486</v>
      </c>
      <c r="D49" s="1264" t="s">
        <v>455</v>
      </c>
      <c r="E49" s="1265">
        <v>8</v>
      </c>
      <c r="F49" s="1265">
        <v>7</v>
      </c>
      <c r="G49" s="1265">
        <v>0</v>
      </c>
      <c r="H49" s="3065">
        <f t="shared" si="2"/>
        <v>0</v>
      </c>
    </row>
    <row r="50" spans="1:8" ht="15" x14ac:dyDescent="0.2">
      <c r="A50" s="1262">
        <v>3299</v>
      </c>
      <c r="B50" s="1263">
        <v>5167</v>
      </c>
      <c r="C50" s="1309" t="s">
        <v>1494</v>
      </c>
      <c r="D50" s="1264" t="s">
        <v>455</v>
      </c>
      <c r="E50" s="1265">
        <v>16</v>
      </c>
      <c r="F50" s="1265">
        <v>16</v>
      </c>
      <c r="G50" s="1265">
        <v>0</v>
      </c>
      <c r="H50" s="3065">
        <f t="shared" si="2"/>
        <v>0</v>
      </c>
    </row>
    <row r="51" spans="1:8" ht="15" x14ac:dyDescent="0.2">
      <c r="A51" s="1262">
        <v>3299</v>
      </c>
      <c r="B51" s="1263">
        <v>5167</v>
      </c>
      <c r="C51" s="1309" t="s">
        <v>1144</v>
      </c>
      <c r="D51" s="1264" t="s">
        <v>455</v>
      </c>
      <c r="E51" s="1265">
        <v>0</v>
      </c>
      <c r="F51" s="1265">
        <v>20</v>
      </c>
      <c r="G51" s="1265">
        <v>9</v>
      </c>
      <c r="H51" s="3065">
        <f t="shared" si="2"/>
        <v>45</v>
      </c>
    </row>
    <row r="52" spans="1:8" ht="15" x14ac:dyDescent="0.2">
      <c r="A52" s="1262">
        <v>3299</v>
      </c>
      <c r="B52" s="1263">
        <v>5167</v>
      </c>
      <c r="C52" s="1309" t="s">
        <v>1485</v>
      </c>
      <c r="D52" s="1264" t="s">
        <v>455</v>
      </c>
      <c r="E52" s="1265">
        <v>134</v>
      </c>
      <c r="F52" s="1265">
        <v>134</v>
      </c>
      <c r="G52" s="1265">
        <v>0</v>
      </c>
      <c r="H52" s="3065">
        <f t="shared" si="2"/>
        <v>0</v>
      </c>
    </row>
    <row r="53" spans="1:8" ht="15" x14ac:dyDescent="0.2">
      <c r="A53" s="1262">
        <v>3299</v>
      </c>
      <c r="B53" s="1263">
        <v>5167</v>
      </c>
      <c r="C53" s="1309" t="s">
        <v>1145</v>
      </c>
      <c r="D53" s="1264" t="s">
        <v>455</v>
      </c>
      <c r="E53" s="1265">
        <v>0</v>
      </c>
      <c r="F53" s="1265">
        <v>170</v>
      </c>
      <c r="G53" s="1265">
        <v>78</v>
      </c>
      <c r="H53" s="3065">
        <f t="shared" si="2"/>
        <v>45.882352941176471</v>
      </c>
    </row>
    <row r="54" spans="1:8" ht="15" x14ac:dyDescent="0.2">
      <c r="A54" s="1262">
        <v>3299</v>
      </c>
      <c r="B54" s="1263">
        <v>5169</v>
      </c>
      <c r="C54" s="1309" t="s">
        <v>1486</v>
      </c>
      <c r="D54" s="1264" t="s">
        <v>430</v>
      </c>
      <c r="E54" s="1265">
        <v>0</v>
      </c>
      <c r="F54" s="1265">
        <v>5</v>
      </c>
      <c r="G54" s="1265">
        <v>1</v>
      </c>
      <c r="H54" s="3065">
        <f t="shared" si="2"/>
        <v>20</v>
      </c>
    </row>
    <row r="55" spans="1:8" ht="15" x14ac:dyDescent="0.2">
      <c r="A55" s="1262">
        <v>3299</v>
      </c>
      <c r="B55" s="1263">
        <v>5169</v>
      </c>
      <c r="C55" s="1309" t="s">
        <v>1144</v>
      </c>
      <c r="D55" s="1264" t="s">
        <v>430</v>
      </c>
      <c r="E55" s="1265">
        <v>0</v>
      </c>
      <c r="F55" s="1265">
        <v>10</v>
      </c>
      <c r="G55" s="1265">
        <v>3</v>
      </c>
      <c r="H55" s="3065">
        <f t="shared" ref="H55:H68" si="3">G55/F55*100</f>
        <v>30</v>
      </c>
    </row>
    <row r="56" spans="1:8" ht="15" x14ac:dyDescent="0.2">
      <c r="A56" s="1262">
        <v>3299</v>
      </c>
      <c r="B56" s="1263">
        <v>5169</v>
      </c>
      <c r="C56" s="1309" t="s">
        <v>1145</v>
      </c>
      <c r="D56" s="1264" t="s">
        <v>430</v>
      </c>
      <c r="E56" s="1265">
        <v>0</v>
      </c>
      <c r="F56" s="1265">
        <v>85</v>
      </c>
      <c r="G56" s="1265">
        <v>23</v>
      </c>
      <c r="H56" s="3065">
        <f t="shared" si="3"/>
        <v>27.058823529411764</v>
      </c>
    </row>
    <row r="57" spans="1:8" ht="15" hidden="1" x14ac:dyDescent="0.2">
      <c r="A57" s="1262">
        <v>3299</v>
      </c>
      <c r="B57" s="1263">
        <v>5172</v>
      </c>
      <c r="C57" s="1309" t="s">
        <v>1486</v>
      </c>
      <c r="D57" s="1264" t="s">
        <v>457</v>
      </c>
      <c r="E57" s="1265"/>
      <c r="F57" s="1265"/>
      <c r="G57" s="1265"/>
      <c r="H57" s="3065" t="e">
        <f t="shared" si="3"/>
        <v>#DIV/0!</v>
      </c>
    </row>
    <row r="58" spans="1:8" ht="15" hidden="1" x14ac:dyDescent="0.2">
      <c r="A58" s="1262">
        <v>3299</v>
      </c>
      <c r="B58" s="1263">
        <v>5173</v>
      </c>
      <c r="C58" s="1309" t="s">
        <v>1486</v>
      </c>
      <c r="D58" s="1264" t="s">
        <v>541</v>
      </c>
      <c r="E58" s="1265"/>
      <c r="F58" s="1265"/>
      <c r="G58" s="1265"/>
      <c r="H58" s="3065" t="e">
        <f t="shared" si="3"/>
        <v>#DIV/0!</v>
      </c>
    </row>
    <row r="59" spans="1:8" ht="15" hidden="1" x14ac:dyDescent="0.2">
      <c r="A59" s="1262">
        <v>3299</v>
      </c>
      <c r="B59" s="1263">
        <v>5173</v>
      </c>
      <c r="C59" s="1309" t="s">
        <v>1485</v>
      </c>
      <c r="D59" s="1264" t="s">
        <v>541</v>
      </c>
      <c r="E59" s="1265"/>
      <c r="F59" s="1265"/>
      <c r="G59" s="1265"/>
      <c r="H59" s="3065" t="e">
        <f t="shared" si="3"/>
        <v>#DIV/0!</v>
      </c>
    </row>
    <row r="60" spans="1:8" ht="15" hidden="1" x14ac:dyDescent="0.2">
      <c r="A60" s="1262">
        <v>3299</v>
      </c>
      <c r="B60" s="1263">
        <v>5173</v>
      </c>
      <c r="C60" s="1309" t="s">
        <v>880</v>
      </c>
      <c r="D60" s="1264" t="s">
        <v>541</v>
      </c>
      <c r="E60" s="1265"/>
      <c r="F60" s="1265"/>
      <c r="G60" s="1265"/>
      <c r="H60" s="3065" t="e">
        <f t="shared" si="3"/>
        <v>#DIV/0!</v>
      </c>
    </row>
    <row r="61" spans="1:8" ht="15" x14ac:dyDescent="0.2">
      <c r="A61" s="1262">
        <v>3299</v>
      </c>
      <c r="B61" s="1263">
        <v>5175</v>
      </c>
      <c r="C61" s="1309" t="s">
        <v>1486</v>
      </c>
      <c r="D61" s="1264" t="s">
        <v>352</v>
      </c>
      <c r="E61" s="1265">
        <v>11</v>
      </c>
      <c r="F61" s="1265">
        <v>11</v>
      </c>
      <c r="G61" s="1265">
        <v>2</v>
      </c>
      <c r="H61" s="3065">
        <f t="shared" si="3"/>
        <v>18.181818181818183</v>
      </c>
    </row>
    <row r="62" spans="1:8" ht="15" x14ac:dyDescent="0.2">
      <c r="A62" s="1262">
        <v>3299</v>
      </c>
      <c r="B62" s="1263">
        <v>5175</v>
      </c>
      <c r="C62" s="1309" t="s">
        <v>1494</v>
      </c>
      <c r="D62" s="1264" t="s">
        <v>352</v>
      </c>
      <c r="E62" s="1265">
        <v>21</v>
      </c>
      <c r="F62" s="1265">
        <v>21</v>
      </c>
      <c r="G62" s="1265">
        <v>0</v>
      </c>
      <c r="H62" s="3065">
        <f t="shared" si="3"/>
        <v>0</v>
      </c>
    </row>
    <row r="63" spans="1:8" ht="15" x14ac:dyDescent="0.2">
      <c r="A63" s="1262">
        <v>3299</v>
      </c>
      <c r="B63" s="1263">
        <v>5175</v>
      </c>
      <c r="C63" s="1309" t="s">
        <v>1144</v>
      </c>
      <c r="D63" s="1264" t="s">
        <v>352</v>
      </c>
      <c r="E63" s="1265">
        <v>0</v>
      </c>
      <c r="F63" s="1265">
        <v>20</v>
      </c>
      <c r="G63" s="1265">
        <v>9</v>
      </c>
      <c r="H63" s="3065">
        <f t="shared" si="3"/>
        <v>45</v>
      </c>
    </row>
    <row r="64" spans="1:8" ht="15" x14ac:dyDescent="0.2">
      <c r="A64" s="1262">
        <v>3299</v>
      </c>
      <c r="B64" s="1263">
        <v>5175</v>
      </c>
      <c r="C64" s="1309" t="s">
        <v>1485</v>
      </c>
      <c r="D64" s="1264" t="s">
        <v>352</v>
      </c>
      <c r="E64" s="1265">
        <v>179</v>
      </c>
      <c r="F64" s="1265">
        <v>154</v>
      </c>
      <c r="G64" s="1265">
        <v>0</v>
      </c>
      <c r="H64" s="3065">
        <f t="shared" si="3"/>
        <v>0</v>
      </c>
    </row>
    <row r="65" spans="1:8" ht="15" x14ac:dyDescent="0.2">
      <c r="A65" s="1262">
        <v>3299</v>
      </c>
      <c r="B65" s="1263">
        <v>5175</v>
      </c>
      <c r="C65" s="1309" t="s">
        <v>1145</v>
      </c>
      <c r="D65" s="1264" t="s">
        <v>352</v>
      </c>
      <c r="E65" s="1265">
        <v>0</v>
      </c>
      <c r="F65" s="1265">
        <v>167</v>
      </c>
      <c r="G65" s="1265">
        <v>78</v>
      </c>
      <c r="H65" s="3065">
        <f t="shared" si="3"/>
        <v>46.706586826347305</v>
      </c>
    </row>
    <row r="66" spans="1:8" ht="15" x14ac:dyDescent="0.2">
      <c r="A66" s="1262">
        <v>3299</v>
      </c>
      <c r="B66" s="1263">
        <v>5176</v>
      </c>
      <c r="C66" s="1309" t="s">
        <v>1486</v>
      </c>
      <c r="D66" s="1264" t="s">
        <v>1810</v>
      </c>
      <c r="E66" s="1265">
        <v>0</v>
      </c>
      <c r="F66" s="1265">
        <v>1</v>
      </c>
      <c r="G66" s="1265">
        <v>1</v>
      </c>
      <c r="H66" s="3065">
        <f t="shared" si="3"/>
        <v>100</v>
      </c>
    </row>
    <row r="67" spans="1:8" ht="15" x14ac:dyDescent="0.2">
      <c r="A67" s="1262">
        <v>3299</v>
      </c>
      <c r="B67" s="1263">
        <v>5176</v>
      </c>
      <c r="C67" s="1309" t="s">
        <v>1144</v>
      </c>
      <c r="D67" s="1264" t="s">
        <v>1810</v>
      </c>
      <c r="E67" s="1265">
        <v>0</v>
      </c>
      <c r="F67" s="1265">
        <v>1</v>
      </c>
      <c r="G67" s="1265">
        <v>1</v>
      </c>
      <c r="H67" s="3065">
        <f t="shared" si="3"/>
        <v>100</v>
      </c>
    </row>
    <row r="68" spans="1:8" ht="15" x14ac:dyDescent="0.2">
      <c r="A68" s="1262">
        <v>3299</v>
      </c>
      <c r="B68" s="1263">
        <v>5176</v>
      </c>
      <c r="C68" s="1309" t="s">
        <v>1145</v>
      </c>
      <c r="D68" s="1264" t="s">
        <v>1810</v>
      </c>
      <c r="E68" s="1265">
        <v>0</v>
      </c>
      <c r="F68" s="1265">
        <v>9</v>
      </c>
      <c r="G68" s="1265">
        <v>9</v>
      </c>
      <c r="H68" s="3065">
        <f t="shared" si="3"/>
        <v>100</v>
      </c>
    </row>
    <row r="69" spans="1:8" ht="15" x14ac:dyDescent="0.2">
      <c r="A69" s="1262">
        <v>3299</v>
      </c>
      <c r="B69" s="1263">
        <v>5189</v>
      </c>
      <c r="C69" s="1309" t="s">
        <v>1486</v>
      </c>
      <c r="D69" s="1264" t="s">
        <v>440</v>
      </c>
      <c r="E69" s="1265">
        <v>1</v>
      </c>
      <c r="F69" s="1265">
        <v>0</v>
      </c>
      <c r="G69" s="1265">
        <v>0</v>
      </c>
      <c r="H69" s="3065">
        <v>0</v>
      </c>
    </row>
    <row r="70" spans="1:8" ht="15" x14ac:dyDescent="0.2">
      <c r="A70" s="1262">
        <v>3299</v>
      </c>
      <c r="B70" s="1263">
        <v>5189</v>
      </c>
      <c r="C70" s="1309" t="s">
        <v>1494</v>
      </c>
      <c r="D70" s="1264" t="s">
        <v>440</v>
      </c>
      <c r="E70" s="1265">
        <v>2</v>
      </c>
      <c r="F70" s="1265">
        <v>0</v>
      </c>
      <c r="G70" s="1265">
        <v>0</v>
      </c>
      <c r="H70" s="3065">
        <v>0</v>
      </c>
    </row>
    <row r="71" spans="1:8" ht="15" x14ac:dyDescent="0.2">
      <c r="A71" s="1262">
        <v>3299</v>
      </c>
      <c r="B71" s="1263">
        <v>5189</v>
      </c>
      <c r="C71" s="1309" t="s">
        <v>1485</v>
      </c>
      <c r="D71" s="1264" t="s">
        <v>440</v>
      </c>
      <c r="E71" s="1265">
        <v>17</v>
      </c>
      <c r="F71" s="1265">
        <v>0</v>
      </c>
      <c r="G71" s="1265">
        <v>0</v>
      </c>
      <c r="H71" s="3065">
        <v>0</v>
      </c>
    </row>
    <row r="72" spans="1:8" ht="15" hidden="1" x14ac:dyDescent="0.2">
      <c r="A72" s="1262">
        <v>3299</v>
      </c>
      <c r="B72" s="1263">
        <v>5901</v>
      </c>
      <c r="C72" s="2203">
        <v>32533019</v>
      </c>
      <c r="D72" s="1264" t="s">
        <v>311</v>
      </c>
      <c r="E72" s="1265"/>
      <c r="F72" s="1265"/>
      <c r="G72" s="1265"/>
      <c r="H72" s="3065" t="e">
        <f t="shared" ref="H72:H75" si="4">G72/F72*100</f>
        <v>#DIV/0!</v>
      </c>
    </row>
    <row r="73" spans="1:8" ht="25.5" hidden="1" x14ac:dyDescent="0.2">
      <c r="A73" s="1262">
        <v>3299</v>
      </c>
      <c r="B73" s="1263">
        <v>5424</v>
      </c>
      <c r="C73" s="2203" t="s">
        <v>1484</v>
      </c>
      <c r="D73" s="1264" t="s">
        <v>343</v>
      </c>
      <c r="E73" s="1265"/>
      <c r="F73" s="1265"/>
      <c r="G73" s="1265"/>
      <c r="H73" s="3065" t="e">
        <f t="shared" si="4"/>
        <v>#DIV/0!</v>
      </c>
    </row>
    <row r="74" spans="1:8" ht="25.5" hidden="1" x14ac:dyDescent="0.2">
      <c r="A74" s="1262">
        <v>3299</v>
      </c>
      <c r="B74" s="1263">
        <v>5424</v>
      </c>
      <c r="C74" s="2203" t="s">
        <v>1483</v>
      </c>
      <c r="D74" s="1264" t="s">
        <v>343</v>
      </c>
      <c r="E74" s="1265"/>
      <c r="F74" s="1265"/>
      <c r="G74" s="1265"/>
      <c r="H74" s="3065" t="e">
        <f t="shared" si="4"/>
        <v>#DIV/0!</v>
      </c>
    </row>
    <row r="75" spans="1:8" ht="15" hidden="1" x14ac:dyDescent="0.2">
      <c r="A75" s="1262">
        <v>3299</v>
      </c>
      <c r="B75" s="1263">
        <v>6901</v>
      </c>
      <c r="C75" s="2203">
        <v>32533926</v>
      </c>
      <c r="D75" s="1264" t="s">
        <v>239</v>
      </c>
      <c r="E75" s="1265"/>
      <c r="F75" s="1265"/>
      <c r="G75" s="1265"/>
      <c r="H75" s="3065" t="e">
        <f t="shared" si="4"/>
        <v>#DIV/0!</v>
      </c>
    </row>
    <row r="76" spans="1:8" ht="15.75" thickBot="1" x14ac:dyDescent="0.25">
      <c r="A76" s="1262">
        <v>3299</v>
      </c>
      <c r="B76" s="1263">
        <v>5345</v>
      </c>
      <c r="C76" s="1309" t="s">
        <v>871</v>
      </c>
      <c r="D76" s="1264" t="s">
        <v>397</v>
      </c>
      <c r="E76" s="1265">
        <v>0</v>
      </c>
      <c r="F76" s="1265">
        <v>0</v>
      </c>
      <c r="G76" s="1265">
        <v>1001</v>
      </c>
      <c r="H76" s="3065">
        <v>0</v>
      </c>
    </row>
    <row r="77" spans="1:8" ht="16.5" thickTop="1" thickBot="1" x14ac:dyDescent="0.3">
      <c r="A77" s="3317" t="s">
        <v>394</v>
      </c>
      <c r="B77" s="3318"/>
      <c r="C77" s="3318"/>
      <c r="D77" s="3318"/>
      <c r="E77" s="1113">
        <f>SUM(E11:E76)</f>
        <v>926</v>
      </c>
      <c r="F77" s="1113">
        <f>SUM(F11:F76)</f>
        <v>1897</v>
      </c>
      <c r="G77" s="1113">
        <f>SUM(G11:G76)</f>
        <v>1449</v>
      </c>
      <c r="H77" s="1381">
        <f>G77/F77*100</f>
        <v>76.383763837638369</v>
      </c>
    </row>
    <row r="78" spans="1:8" ht="15.75" thickTop="1" x14ac:dyDescent="0.25">
      <c r="A78" s="1304"/>
      <c r="B78" s="1304"/>
      <c r="C78" s="1304"/>
      <c r="D78" s="1304"/>
      <c r="E78" s="1305"/>
      <c r="F78" s="1305"/>
      <c r="G78" s="1305"/>
      <c r="H78" s="1306"/>
    </row>
    <row r="79" spans="1:8" ht="15" x14ac:dyDescent="0.25">
      <c r="A79" s="1304"/>
      <c r="B79" s="1304"/>
      <c r="C79" s="1304"/>
      <c r="D79" s="1304"/>
      <c r="E79" s="1305"/>
      <c r="F79" s="1305"/>
      <c r="G79" s="1305"/>
      <c r="H79" s="1306"/>
    </row>
    <row r="80" spans="1:8" ht="18" x14ac:dyDescent="0.25">
      <c r="A80" s="1242"/>
      <c r="B80" s="1238"/>
      <c r="C80" s="1238"/>
      <c r="D80" s="1238"/>
      <c r="E80" s="1238"/>
      <c r="F80" s="1238"/>
      <c r="G80" s="1238"/>
      <c r="H80" s="1239"/>
    </row>
    <row r="81" spans="1:8" ht="18" x14ac:dyDescent="0.25">
      <c r="A81" s="1242"/>
      <c r="B81" s="1238"/>
      <c r="C81" s="1238"/>
      <c r="D81" s="1238"/>
      <c r="E81" s="1238"/>
      <c r="F81" s="1238"/>
      <c r="G81" s="1238"/>
      <c r="H81" s="1239"/>
    </row>
    <row r="82" spans="1:8" ht="13.5" x14ac:dyDescent="0.25">
      <c r="A82" s="3333" t="s">
        <v>1496</v>
      </c>
      <c r="B82" s="3334"/>
      <c r="C82" s="3334"/>
      <c r="D82" s="3334"/>
      <c r="E82" s="3334"/>
      <c r="F82" s="3334"/>
      <c r="G82" s="3334"/>
      <c r="H82" s="3334"/>
    </row>
    <row r="83" spans="1:8" ht="15.75" thickBot="1" x14ac:dyDescent="0.3">
      <c r="A83" s="1229" t="s">
        <v>1495</v>
      </c>
      <c r="B83" s="1243"/>
      <c r="C83" s="1243"/>
      <c r="E83" s="1244"/>
      <c r="F83" s="1244"/>
      <c r="G83" s="1244"/>
      <c r="H83" s="1245" t="s">
        <v>92</v>
      </c>
    </row>
    <row r="84" spans="1:8" ht="25.5" thickTop="1" thickBot="1" x14ac:dyDescent="0.25">
      <c r="A84" s="1104" t="s">
        <v>93</v>
      </c>
      <c r="B84" s="1105" t="s">
        <v>392</v>
      </c>
      <c r="C84" s="1105" t="s">
        <v>209</v>
      </c>
      <c r="D84" s="1106" t="s">
        <v>95</v>
      </c>
      <c r="E84" s="1127" t="s">
        <v>328</v>
      </c>
      <c r="F84" s="1127" t="s">
        <v>329</v>
      </c>
      <c r="G84" s="1128" t="s">
        <v>448</v>
      </c>
      <c r="H84" s="1129" t="s">
        <v>449</v>
      </c>
    </row>
    <row r="85" spans="1:8" ht="14.25" thickTop="1" thickBot="1" x14ac:dyDescent="0.25">
      <c r="A85" s="1042">
        <v>1</v>
      </c>
      <c r="B85" s="1041">
        <v>2</v>
      </c>
      <c r="C85" s="1041">
        <v>3</v>
      </c>
      <c r="D85" s="1041">
        <v>4</v>
      </c>
      <c r="E85" s="1040">
        <v>5</v>
      </c>
      <c r="F85" s="1040">
        <v>6</v>
      </c>
      <c r="G85" s="1164">
        <v>7</v>
      </c>
      <c r="H85" s="1186" t="s">
        <v>33</v>
      </c>
    </row>
    <row r="86" spans="1:8" ht="30.75" hidden="1" thickTop="1" x14ac:dyDescent="0.2">
      <c r="A86" s="1262">
        <v>2125</v>
      </c>
      <c r="B86" s="1263">
        <v>5229</v>
      </c>
      <c r="C86" s="1309">
        <v>103100880</v>
      </c>
      <c r="D86" s="1264" t="s">
        <v>484</v>
      </c>
      <c r="E86" s="1265"/>
      <c r="F86" s="1265"/>
      <c r="G86" s="1265"/>
      <c r="H86" s="1266">
        <v>0</v>
      </c>
    </row>
    <row r="87" spans="1:8" ht="15.75" thickTop="1" x14ac:dyDescent="0.2">
      <c r="A87" s="1262">
        <v>3299</v>
      </c>
      <c r="B87" s="1263">
        <v>5011</v>
      </c>
      <c r="C87" s="1309" t="s">
        <v>1486</v>
      </c>
      <c r="D87" s="1264" t="s">
        <v>117</v>
      </c>
      <c r="E87" s="1265">
        <v>87</v>
      </c>
      <c r="F87" s="1265">
        <v>107</v>
      </c>
      <c r="G87" s="1265">
        <v>92</v>
      </c>
      <c r="H87" s="3065">
        <f t="shared" ref="H87:H118" si="5">G87/F87*100</f>
        <v>85.981308411214954</v>
      </c>
    </row>
    <row r="88" spans="1:8" ht="15" x14ac:dyDescent="0.2">
      <c r="A88" s="1262">
        <v>3299</v>
      </c>
      <c r="B88" s="1263">
        <v>5011</v>
      </c>
      <c r="C88" s="1309" t="s">
        <v>1144</v>
      </c>
      <c r="D88" s="1264" t="s">
        <v>117</v>
      </c>
      <c r="E88" s="1265">
        <v>0</v>
      </c>
      <c r="F88" s="1265">
        <v>209</v>
      </c>
      <c r="G88" s="1265">
        <v>183</v>
      </c>
      <c r="H88" s="3065">
        <f t="shared" si="5"/>
        <v>87.559808612440193</v>
      </c>
    </row>
    <row r="89" spans="1:8" ht="15" x14ac:dyDescent="0.2">
      <c r="A89" s="1262">
        <v>3299</v>
      </c>
      <c r="B89" s="1263">
        <v>5011</v>
      </c>
      <c r="C89" s="1309" t="s">
        <v>1145</v>
      </c>
      <c r="D89" s="1264" t="s">
        <v>117</v>
      </c>
      <c r="E89" s="1265">
        <v>0</v>
      </c>
      <c r="F89" s="1265">
        <v>1782</v>
      </c>
      <c r="G89" s="1265">
        <v>1559</v>
      </c>
      <c r="H89" s="3065">
        <f t="shared" si="5"/>
        <v>87.485970819304143</v>
      </c>
    </row>
    <row r="90" spans="1:8" ht="15" x14ac:dyDescent="0.2">
      <c r="A90" s="1262">
        <v>3299</v>
      </c>
      <c r="B90" s="1263">
        <v>5021</v>
      </c>
      <c r="C90" s="1309" t="s">
        <v>1486</v>
      </c>
      <c r="D90" s="1264" t="s">
        <v>217</v>
      </c>
      <c r="E90" s="1265">
        <v>0</v>
      </c>
      <c r="F90" s="1265">
        <v>35</v>
      </c>
      <c r="G90" s="1265">
        <v>22</v>
      </c>
      <c r="H90" s="3065">
        <f t="shared" si="5"/>
        <v>62.857142857142854</v>
      </c>
    </row>
    <row r="91" spans="1:8" ht="15" x14ac:dyDescent="0.2">
      <c r="A91" s="1262">
        <v>3299</v>
      </c>
      <c r="B91" s="1263">
        <v>5021</v>
      </c>
      <c r="C91" s="1309" t="s">
        <v>1144</v>
      </c>
      <c r="D91" s="1264" t="s">
        <v>217</v>
      </c>
      <c r="E91" s="1265">
        <v>0</v>
      </c>
      <c r="F91" s="1265">
        <v>48</v>
      </c>
      <c r="G91" s="1265">
        <v>45</v>
      </c>
      <c r="H91" s="3065">
        <f t="shared" si="5"/>
        <v>93.75</v>
      </c>
    </row>
    <row r="92" spans="1:8" ht="15" x14ac:dyDescent="0.2">
      <c r="A92" s="1262">
        <v>3299</v>
      </c>
      <c r="B92" s="1263">
        <v>5021</v>
      </c>
      <c r="C92" s="1309" t="s">
        <v>1145</v>
      </c>
      <c r="D92" s="1264" t="s">
        <v>217</v>
      </c>
      <c r="E92" s="1265">
        <v>0</v>
      </c>
      <c r="F92" s="1265">
        <v>405</v>
      </c>
      <c r="G92" s="1265">
        <v>381</v>
      </c>
      <c r="H92" s="3065">
        <f t="shared" si="5"/>
        <v>94.074074074074076</v>
      </c>
    </row>
    <row r="93" spans="1:8" ht="30" x14ac:dyDescent="0.2">
      <c r="A93" s="3071">
        <v>3299</v>
      </c>
      <c r="B93" s="3072">
        <v>5031</v>
      </c>
      <c r="C93" s="3064" t="s">
        <v>1486</v>
      </c>
      <c r="D93" s="1307" t="s">
        <v>621</v>
      </c>
      <c r="E93" s="3068">
        <v>22</v>
      </c>
      <c r="F93" s="3068">
        <v>42</v>
      </c>
      <c r="G93" s="3068">
        <v>26</v>
      </c>
      <c r="H93" s="3069">
        <f t="shared" si="5"/>
        <v>61.904761904761905</v>
      </c>
    </row>
    <row r="94" spans="1:8" ht="30" x14ac:dyDescent="0.2">
      <c r="A94" s="3071">
        <v>3299</v>
      </c>
      <c r="B94" s="3072">
        <v>5031</v>
      </c>
      <c r="C94" s="3064" t="s">
        <v>1144</v>
      </c>
      <c r="D94" s="1307" t="s">
        <v>621</v>
      </c>
      <c r="E94" s="3068">
        <v>0</v>
      </c>
      <c r="F94" s="3068">
        <v>64</v>
      </c>
      <c r="G94" s="3068">
        <v>53</v>
      </c>
      <c r="H94" s="3069">
        <f t="shared" si="5"/>
        <v>82.8125</v>
      </c>
    </row>
    <row r="95" spans="1:8" ht="30" x14ac:dyDescent="0.2">
      <c r="A95" s="3071">
        <v>3299</v>
      </c>
      <c r="B95" s="3072">
        <v>5031</v>
      </c>
      <c r="C95" s="3064" t="s">
        <v>1145</v>
      </c>
      <c r="D95" s="1307" t="s">
        <v>621</v>
      </c>
      <c r="E95" s="3068">
        <v>0</v>
      </c>
      <c r="F95" s="3068">
        <v>547</v>
      </c>
      <c r="G95" s="3068">
        <v>447</v>
      </c>
      <c r="H95" s="3069">
        <f t="shared" si="5"/>
        <v>81.71846435100548</v>
      </c>
    </row>
    <row r="96" spans="1:8" ht="30" x14ac:dyDescent="0.2">
      <c r="A96" s="3071">
        <v>3299</v>
      </c>
      <c r="B96" s="3072">
        <v>5032</v>
      </c>
      <c r="C96" s="3064" t="s">
        <v>1486</v>
      </c>
      <c r="D96" s="1264" t="s">
        <v>553</v>
      </c>
      <c r="E96" s="3068">
        <v>8</v>
      </c>
      <c r="F96" s="3068">
        <v>28</v>
      </c>
      <c r="G96" s="3068">
        <v>9</v>
      </c>
      <c r="H96" s="3069">
        <f t="shared" si="5"/>
        <v>32.142857142857146</v>
      </c>
    </row>
    <row r="97" spans="1:8" ht="30" x14ac:dyDescent="0.2">
      <c r="A97" s="3071">
        <v>3299</v>
      </c>
      <c r="B97" s="3072">
        <v>5032</v>
      </c>
      <c r="C97" s="3064" t="s">
        <v>1144</v>
      </c>
      <c r="D97" s="1264" t="s">
        <v>553</v>
      </c>
      <c r="E97" s="3068">
        <v>0</v>
      </c>
      <c r="F97" s="3068">
        <v>23</v>
      </c>
      <c r="G97" s="3068">
        <v>19</v>
      </c>
      <c r="H97" s="3069">
        <f t="shared" si="5"/>
        <v>82.608695652173907</v>
      </c>
    </row>
    <row r="98" spans="1:8" ht="30" x14ac:dyDescent="0.2">
      <c r="A98" s="3071">
        <v>3299</v>
      </c>
      <c r="B98" s="3072">
        <v>5032</v>
      </c>
      <c r="C98" s="3064" t="s">
        <v>1145</v>
      </c>
      <c r="D98" s="1264" t="s">
        <v>553</v>
      </c>
      <c r="E98" s="3068">
        <v>0</v>
      </c>
      <c r="F98" s="3068">
        <v>197</v>
      </c>
      <c r="G98" s="3068">
        <v>161</v>
      </c>
      <c r="H98" s="3069">
        <f t="shared" si="5"/>
        <v>81.725888324873097</v>
      </c>
    </row>
    <row r="99" spans="1:8" ht="15" hidden="1" x14ac:dyDescent="0.2">
      <c r="A99" s="3071">
        <v>3299</v>
      </c>
      <c r="B99" s="3072">
        <v>5137</v>
      </c>
      <c r="C99" s="1309" t="s">
        <v>1486</v>
      </c>
      <c r="D99" s="1264" t="s">
        <v>88</v>
      </c>
      <c r="E99" s="1265"/>
      <c r="F99" s="1265"/>
      <c r="G99" s="1265"/>
      <c r="H99" s="3065" t="e">
        <f t="shared" si="5"/>
        <v>#DIV/0!</v>
      </c>
    </row>
    <row r="100" spans="1:8" ht="15" hidden="1" x14ac:dyDescent="0.2">
      <c r="A100" s="3071">
        <v>3299</v>
      </c>
      <c r="B100" s="3072">
        <v>5137</v>
      </c>
      <c r="C100" s="1309" t="s">
        <v>1494</v>
      </c>
      <c r="D100" s="1264" t="s">
        <v>88</v>
      </c>
      <c r="E100" s="1265"/>
      <c r="F100" s="1265"/>
      <c r="G100" s="1265"/>
      <c r="H100" s="3065" t="e">
        <f t="shared" si="5"/>
        <v>#DIV/0!</v>
      </c>
    </row>
    <row r="101" spans="1:8" ht="15" hidden="1" x14ac:dyDescent="0.2">
      <c r="A101" s="3071">
        <v>3299</v>
      </c>
      <c r="B101" s="3072">
        <v>5137</v>
      </c>
      <c r="C101" s="1309" t="s">
        <v>1485</v>
      </c>
      <c r="D101" s="1264" t="s">
        <v>88</v>
      </c>
      <c r="E101" s="1265"/>
      <c r="F101" s="1265"/>
      <c r="G101" s="1265"/>
      <c r="H101" s="3065" t="e">
        <f t="shared" si="5"/>
        <v>#DIV/0!</v>
      </c>
    </row>
    <row r="102" spans="1:8" ht="15" hidden="1" x14ac:dyDescent="0.2">
      <c r="A102" s="3071">
        <v>3299</v>
      </c>
      <c r="B102" s="3072">
        <v>5139</v>
      </c>
      <c r="C102" s="1309" t="s">
        <v>1486</v>
      </c>
      <c r="D102" s="1264" t="s">
        <v>152</v>
      </c>
      <c r="E102" s="1265"/>
      <c r="F102" s="1265"/>
      <c r="G102" s="1265"/>
      <c r="H102" s="3065" t="e">
        <f t="shared" si="5"/>
        <v>#DIV/0!</v>
      </c>
    </row>
    <row r="103" spans="1:8" ht="15" hidden="1" x14ac:dyDescent="0.2">
      <c r="A103" s="3071">
        <v>3299</v>
      </c>
      <c r="B103" s="3072">
        <v>5139</v>
      </c>
      <c r="C103" s="1309" t="s">
        <v>1485</v>
      </c>
      <c r="D103" s="1264" t="s">
        <v>152</v>
      </c>
      <c r="E103" s="1265"/>
      <c r="F103" s="1265"/>
      <c r="G103" s="1265"/>
      <c r="H103" s="3065" t="e">
        <f t="shared" si="5"/>
        <v>#DIV/0!</v>
      </c>
    </row>
    <row r="104" spans="1:8" ht="15" hidden="1" x14ac:dyDescent="0.2">
      <c r="A104" s="3071">
        <v>3299</v>
      </c>
      <c r="B104" s="3072">
        <v>5139</v>
      </c>
      <c r="C104" s="1309" t="s">
        <v>880</v>
      </c>
      <c r="D104" s="1264" t="s">
        <v>152</v>
      </c>
      <c r="E104" s="1265"/>
      <c r="F104" s="1265"/>
      <c r="G104" s="1265"/>
      <c r="H104" s="3065" t="e">
        <f t="shared" si="5"/>
        <v>#DIV/0!</v>
      </c>
    </row>
    <row r="105" spans="1:8" ht="15" hidden="1" x14ac:dyDescent="0.2">
      <c r="A105" s="3071">
        <v>3299</v>
      </c>
      <c r="B105" s="3072">
        <v>5162</v>
      </c>
      <c r="C105" s="1309" t="s">
        <v>1486</v>
      </c>
      <c r="D105" s="1264" t="s">
        <v>439</v>
      </c>
      <c r="E105" s="1265"/>
      <c r="F105" s="1265"/>
      <c r="G105" s="1265"/>
      <c r="H105" s="3065" t="e">
        <f t="shared" si="5"/>
        <v>#DIV/0!</v>
      </c>
    </row>
    <row r="106" spans="1:8" ht="15" hidden="1" x14ac:dyDescent="0.2">
      <c r="A106" s="3071">
        <v>3299</v>
      </c>
      <c r="B106" s="3072">
        <v>5162</v>
      </c>
      <c r="C106" s="1309" t="s">
        <v>1005</v>
      </c>
      <c r="D106" s="1264" t="s">
        <v>439</v>
      </c>
      <c r="E106" s="1265"/>
      <c r="F106" s="1265"/>
      <c r="G106" s="1265"/>
      <c r="H106" s="3065" t="e">
        <f t="shared" si="5"/>
        <v>#DIV/0!</v>
      </c>
    </row>
    <row r="107" spans="1:8" ht="15" hidden="1" x14ac:dyDescent="0.2">
      <c r="A107" s="3071">
        <v>3299</v>
      </c>
      <c r="B107" s="3072">
        <v>5163</v>
      </c>
      <c r="C107" s="1309" t="s">
        <v>1486</v>
      </c>
      <c r="D107" s="1264" t="s">
        <v>452</v>
      </c>
      <c r="E107" s="1265"/>
      <c r="F107" s="1265"/>
      <c r="G107" s="1265"/>
      <c r="H107" s="3065" t="e">
        <f t="shared" si="5"/>
        <v>#DIV/0!</v>
      </c>
    </row>
    <row r="108" spans="1:8" ht="15" hidden="1" x14ac:dyDescent="0.2">
      <c r="A108" s="3071">
        <v>3299</v>
      </c>
      <c r="B108" s="3072">
        <v>5163</v>
      </c>
      <c r="C108" s="1309" t="s">
        <v>1494</v>
      </c>
      <c r="D108" s="1264" t="s">
        <v>452</v>
      </c>
      <c r="E108" s="1265"/>
      <c r="F108" s="1265"/>
      <c r="G108" s="1265"/>
      <c r="H108" s="3065" t="e">
        <f t="shared" si="5"/>
        <v>#DIV/0!</v>
      </c>
    </row>
    <row r="109" spans="1:8" ht="15" hidden="1" x14ac:dyDescent="0.2">
      <c r="A109" s="3071">
        <v>3299</v>
      </c>
      <c r="B109" s="3072">
        <v>5163</v>
      </c>
      <c r="C109" s="1309" t="s">
        <v>1485</v>
      </c>
      <c r="D109" s="1264" t="s">
        <v>452</v>
      </c>
      <c r="E109" s="1265"/>
      <c r="F109" s="1265"/>
      <c r="G109" s="1265"/>
      <c r="H109" s="3065" t="e">
        <f t="shared" si="5"/>
        <v>#DIV/0!</v>
      </c>
    </row>
    <row r="110" spans="1:8" ht="15" hidden="1" x14ac:dyDescent="0.2">
      <c r="A110" s="3071">
        <v>3299</v>
      </c>
      <c r="B110" s="3072">
        <v>5164</v>
      </c>
      <c r="C110" s="1309" t="s">
        <v>1486</v>
      </c>
      <c r="D110" s="1264" t="s">
        <v>101</v>
      </c>
      <c r="E110" s="1265"/>
      <c r="F110" s="1265"/>
      <c r="G110" s="1265"/>
      <c r="H110" s="3065" t="e">
        <f t="shared" si="5"/>
        <v>#DIV/0!</v>
      </c>
    </row>
    <row r="111" spans="1:8" ht="15" hidden="1" x14ac:dyDescent="0.2">
      <c r="A111" s="3071">
        <v>3299</v>
      </c>
      <c r="B111" s="3072">
        <v>5164</v>
      </c>
      <c r="C111" s="1309" t="s">
        <v>1494</v>
      </c>
      <c r="D111" s="1264" t="s">
        <v>101</v>
      </c>
      <c r="E111" s="1265"/>
      <c r="F111" s="1265"/>
      <c r="G111" s="1265"/>
      <c r="H111" s="3065" t="e">
        <f t="shared" si="5"/>
        <v>#DIV/0!</v>
      </c>
    </row>
    <row r="112" spans="1:8" ht="15" hidden="1" x14ac:dyDescent="0.2">
      <c r="A112" s="3071">
        <v>3299</v>
      </c>
      <c r="B112" s="3072">
        <v>5164</v>
      </c>
      <c r="C112" s="1309" t="s">
        <v>1485</v>
      </c>
      <c r="D112" s="1264" t="s">
        <v>101</v>
      </c>
      <c r="E112" s="1265"/>
      <c r="F112" s="1265"/>
      <c r="G112" s="1265"/>
      <c r="H112" s="3065" t="e">
        <f t="shared" si="5"/>
        <v>#DIV/0!</v>
      </c>
    </row>
    <row r="113" spans="1:8" ht="15" hidden="1" x14ac:dyDescent="0.2">
      <c r="A113" s="3071">
        <v>3299</v>
      </c>
      <c r="B113" s="3072">
        <v>5166</v>
      </c>
      <c r="C113" s="1309" t="s">
        <v>1486</v>
      </c>
      <c r="D113" s="1264" t="s">
        <v>317</v>
      </c>
      <c r="E113" s="1265"/>
      <c r="F113" s="1265"/>
      <c r="G113" s="1265"/>
      <c r="H113" s="3065" t="e">
        <f t="shared" si="5"/>
        <v>#DIV/0!</v>
      </c>
    </row>
    <row r="114" spans="1:8" ht="15" hidden="1" x14ac:dyDescent="0.2">
      <c r="A114" s="3071">
        <v>3299</v>
      </c>
      <c r="B114" s="3072">
        <v>5166</v>
      </c>
      <c r="C114" s="1309" t="s">
        <v>1494</v>
      </c>
      <c r="D114" s="1264" t="s">
        <v>317</v>
      </c>
      <c r="E114" s="1265"/>
      <c r="F114" s="1265"/>
      <c r="G114" s="1265"/>
      <c r="H114" s="3065" t="e">
        <f t="shared" si="5"/>
        <v>#DIV/0!</v>
      </c>
    </row>
    <row r="115" spans="1:8" ht="15" hidden="1" x14ac:dyDescent="0.2">
      <c r="A115" s="3071">
        <v>3299</v>
      </c>
      <c r="B115" s="3072">
        <v>5166</v>
      </c>
      <c r="C115" s="1309" t="s">
        <v>1485</v>
      </c>
      <c r="D115" s="1264" t="s">
        <v>317</v>
      </c>
      <c r="E115" s="1265"/>
      <c r="F115" s="1265"/>
      <c r="G115" s="1265"/>
      <c r="H115" s="3065" t="e">
        <f t="shared" si="5"/>
        <v>#DIV/0!</v>
      </c>
    </row>
    <row r="116" spans="1:8" ht="15" hidden="1" x14ac:dyDescent="0.2">
      <c r="A116" s="3071">
        <v>3299</v>
      </c>
      <c r="B116" s="3072">
        <v>5167</v>
      </c>
      <c r="C116" s="1309" t="s">
        <v>1486</v>
      </c>
      <c r="D116" s="1264" t="s">
        <v>455</v>
      </c>
      <c r="E116" s="1265"/>
      <c r="F116" s="1265"/>
      <c r="G116" s="1265"/>
      <c r="H116" s="3065" t="e">
        <f t="shared" si="5"/>
        <v>#DIV/0!</v>
      </c>
    </row>
    <row r="117" spans="1:8" ht="15" hidden="1" x14ac:dyDescent="0.2">
      <c r="A117" s="3071">
        <v>3299</v>
      </c>
      <c r="B117" s="3072">
        <v>5167</v>
      </c>
      <c r="C117" s="1309" t="s">
        <v>1494</v>
      </c>
      <c r="D117" s="1264" t="s">
        <v>455</v>
      </c>
      <c r="E117" s="1265"/>
      <c r="F117" s="1265"/>
      <c r="G117" s="1265"/>
      <c r="H117" s="3065" t="e">
        <f t="shared" si="5"/>
        <v>#DIV/0!</v>
      </c>
    </row>
    <row r="118" spans="1:8" ht="15" hidden="1" x14ac:dyDescent="0.2">
      <c r="A118" s="3071">
        <v>3299</v>
      </c>
      <c r="B118" s="3072">
        <v>5167</v>
      </c>
      <c r="C118" s="1309" t="s">
        <v>1485</v>
      </c>
      <c r="D118" s="1264" t="s">
        <v>455</v>
      </c>
      <c r="E118" s="1265"/>
      <c r="F118" s="1265"/>
      <c r="G118" s="1265"/>
      <c r="H118" s="3065" t="e">
        <f t="shared" si="5"/>
        <v>#DIV/0!</v>
      </c>
    </row>
    <row r="119" spans="1:8" ht="15" hidden="1" x14ac:dyDescent="0.2">
      <c r="A119" s="3071">
        <v>3299</v>
      </c>
      <c r="B119" s="3072">
        <v>5169</v>
      </c>
      <c r="C119" s="1309" t="s">
        <v>1486</v>
      </c>
      <c r="D119" s="1264" t="s">
        <v>430</v>
      </c>
      <c r="E119" s="1265"/>
      <c r="F119" s="1265"/>
      <c r="G119" s="1265"/>
      <c r="H119" s="3065" t="e">
        <f t="shared" ref="H119:H135" si="6">G119/F119*100</f>
        <v>#DIV/0!</v>
      </c>
    </row>
    <row r="120" spans="1:8" ht="15" hidden="1" x14ac:dyDescent="0.2">
      <c r="A120" s="3071">
        <v>3299</v>
      </c>
      <c r="B120" s="3072">
        <v>5169</v>
      </c>
      <c r="C120" s="1309" t="s">
        <v>879</v>
      </c>
      <c r="D120" s="1264" t="s">
        <v>430</v>
      </c>
      <c r="E120" s="1265"/>
      <c r="F120" s="1265"/>
      <c r="G120" s="1265"/>
      <c r="H120" s="3065" t="e">
        <f t="shared" si="6"/>
        <v>#DIV/0!</v>
      </c>
    </row>
    <row r="121" spans="1:8" ht="15" hidden="1" x14ac:dyDescent="0.2">
      <c r="A121" s="3071">
        <v>3299</v>
      </c>
      <c r="B121" s="3072">
        <v>5169</v>
      </c>
      <c r="C121" s="1309" t="s">
        <v>1485</v>
      </c>
      <c r="D121" s="1264" t="s">
        <v>430</v>
      </c>
      <c r="E121" s="1265"/>
      <c r="F121" s="1265"/>
      <c r="G121" s="1265"/>
      <c r="H121" s="3065" t="e">
        <f t="shared" si="6"/>
        <v>#DIV/0!</v>
      </c>
    </row>
    <row r="122" spans="1:8" ht="15" hidden="1" x14ac:dyDescent="0.2">
      <c r="A122" s="3071">
        <v>3299</v>
      </c>
      <c r="B122" s="3072">
        <v>5172</v>
      </c>
      <c r="C122" s="1309" t="s">
        <v>1486</v>
      </c>
      <c r="D122" s="1264" t="s">
        <v>457</v>
      </c>
      <c r="E122" s="1265"/>
      <c r="F122" s="1265"/>
      <c r="G122" s="1265"/>
      <c r="H122" s="3065" t="e">
        <f t="shared" si="6"/>
        <v>#DIV/0!</v>
      </c>
    </row>
    <row r="123" spans="1:8" ht="15" hidden="1" x14ac:dyDescent="0.2">
      <c r="A123" s="3071">
        <v>3299</v>
      </c>
      <c r="B123" s="3072">
        <v>5173</v>
      </c>
      <c r="C123" s="1309" t="s">
        <v>1486</v>
      </c>
      <c r="D123" s="1264" t="s">
        <v>541</v>
      </c>
      <c r="E123" s="1265"/>
      <c r="F123" s="1265"/>
      <c r="G123" s="1265"/>
      <c r="H123" s="3065" t="e">
        <f t="shared" si="6"/>
        <v>#DIV/0!</v>
      </c>
    </row>
    <row r="124" spans="1:8" ht="15" hidden="1" x14ac:dyDescent="0.2">
      <c r="A124" s="3071">
        <v>3299</v>
      </c>
      <c r="B124" s="3072">
        <v>5173</v>
      </c>
      <c r="C124" s="1309" t="s">
        <v>1485</v>
      </c>
      <c r="D124" s="1264" t="s">
        <v>541</v>
      </c>
      <c r="E124" s="1265"/>
      <c r="F124" s="1265"/>
      <c r="G124" s="1265"/>
      <c r="H124" s="3065" t="e">
        <f t="shared" si="6"/>
        <v>#DIV/0!</v>
      </c>
    </row>
    <row r="125" spans="1:8" ht="15" hidden="1" x14ac:dyDescent="0.2">
      <c r="A125" s="3071">
        <v>3299</v>
      </c>
      <c r="B125" s="3072">
        <v>5173</v>
      </c>
      <c r="C125" s="1309" t="s">
        <v>880</v>
      </c>
      <c r="D125" s="1264" t="s">
        <v>541</v>
      </c>
      <c r="E125" s="1265"/>
      <c r="F125" s="1265"/>
      <c r="G125" s="1265"/>
      <c r="H125" s="3065" t="e">
        <f t="shared" si="6"/>
        <v>#DIV/0!</v>
      </c>
    </row>
    <row r="126" spans="1:8" ht="15" hidden="1" x14ac:dyDescent="0.2">
      <c r="A126" s="3071">
        <v>3299</v>
      </c>
      <c r="B126" s="3072">
        <v>5175</v>
      </c>
      <c r="C126" s="1309" t="s">
        <v>1486</v>
      </c>
      <c r="D126" s="1264" t="s">
        <v>352</v>
      </c>
      <c r="E126" s="1265"/>
      <c r="F126" s="1265"/>
      <c r="G126" s="1265"/>
      <c r="H126" s="3065" t="e">
        <f t="shared" si="6"/>
        <v>#DIV/0!</v>
      </c>
    </row>
    <row r="127" spans="1:8" ht="15" hidden="1" x14ac:dyDescent="0.2">
      <c r="A127" s="3071">
        <v>3299</v>
      </c>
      <c r="B127" s="3072">
        <v>5175</v>
      </c>
      <c r="C127" s="1309" t="s">
        <v>1494</v>
      </c>
      <c r="D127" s="1264" t="s">
        <v>352</v>
      </c>
      <c r="E127" s="1265"/>
      <c r="F127" s="1265"/>
      <c r="G127" s="1265"/>
      <c r="H127" s="3065" t="e">
        <f t="shared" si="6"/>
        <v>#DIV/0!</v>
      </c>
    </row>
    <row r="128" spans="1:8" ht="15" hidden="1" x14ac:dyDescent="0.2">
      <c r="A128" s="3071">
        <v>3299</v>
      </c>
      <c r="B128" s="3072">
        <v>5175</v>
      </c>
      <c r="C128" s="1309" t="s">
        <v>1485</v>
      </c>
      <c r="D128" s="1264" t="s">
        <v>352</v>
      </c>
      <c r="E128" s="1265"/>
      <c r="F128" s="1265"/>
      <c r="G128" s="1265"/>
      <c r="H128" s="3065" t="e">
        <f t="shared" si="6"/>
        <v>#DIV/0!</v>
      </c>
    </row>
    <row r="129" spans="1:8" ht="15" hidden="1" x14ac:dyDescent="0.2">
      <c r="A129" s="3071">
        <v>3299</v>
      </c>
      <c r="B129" s="3072">
        <v>5189</v>
      </c>
      <c r="C129" s="1309" t="s">
        <v>1486</v>
      </c>
      <c r="D129" s="1264" t="s">
        <v>440</v>
      </c>
      <c r="E129" s="1265"/>
      <c r="F129" s="1265"/>
      <c r="G129" s="1265"/>
      <c r="H129" s="3065" t="e">
        <f t="shared" si="6"/>
        <v>#DIV/0!</v>
      </c>
    </row>
    <row r="130" spans="1:8" ht="15" hidden="1" x14ac:dyDescent="0.2">
      <c r="A130" s="3071">
        <v>3299</v>
      </c>
      <c r="B130" s="3072">
        <v>5189</v>
      </c>
      <c r="C130" s="1309" t="s">
        <v>1494</v>
      </c>
      <c r="D130" s="1264" t="s">
        <v>593</v>
      </c>
      <c r="E130" s="1265"/>
      <c r="F130" s="1265"/>
      <c r="G130" s="1265"/>
      <c r="H130" s="3065" t="e">
        <f t="shared" si="6"/>
        <v>#DIV/0!</v>
      </c>
    </row>
    <row r="131" spans="1:8" ht="15" hidden="1" x14ac:dyDescent="0.2">
      <c r="A131" s="3071">
        <v>3299</v>
      </c>
      <c r="B131" s="3072">
        <v>5189</v>
      </c>
      <c r="C131" s="1309" t="s">
        <v>1485</v>
      </c>
      <c r="D131" s="1264" t="s">
        <v>593</v>
      </c>
      <c r="E131" s="1265"/>
      <c r="F131" s="1265"/>
      <c r="G131" s="1265"/>
      <c r="H131" s="3065" t="e">
        <f t="shared" si="6"/>
        <v>#DIV/0!</v>
      </c>
    </row>
    <row r="132" spans="1:8" ht="15" hidden="1" x14ac:dyDescent="0.2">
      <c r="A132" s="3071">
        <v>3299</v>
      </c>
      <c r="B132" s="3072">
        <v>5901</v>
      </c>
      <c r="C132" s="2203">
        <v>32533019</v>
      </c>
      <c r="D132" s="1264" t="s">
        <v>311</v>
      </c>
      <c r="E132" s="1265"/>
      <c r="F132" s="1265"/>
      <c r="G132" s="1265"/>
      <c r="H132" s="3065" t="e">
        <f t="shared" si="6"/>
        <v>#DIV/0!</v>
      </c>
    </row>
    <row r="133" spans="1:8" ht="25.5" hidden="1" x14ac:dyDescent="0.2">
      <c r="A133" s="3071">
        <v>3299</v>
      </c>
      <c r="B133" s="3072">
        <v>5424</v>
      </c>
      <c r="C133" s="2203" t="s">
        <v>1484</v>
      </c>
      <c r="D133" s="1264" t="s">
        <v>343</v>
      </c>
      <c r="E133" s="1265"/>
      <c r="F133" s="1265"/>
      <c r="G133" s="1265"/>
      <c r="H133" s="3065" t="e">
        <f t="shared" si="6"/>
        <v>#DIV/0!</v>
      </c>
    </row>
    <row r="134" spans="1:8" ht="25.5" hidden="1" x14ac:dyDescent="0.2">
      <c r="A134" s="3071">
        <v>3299</v>
      </c>
      <c r="B134" s="3072">
        <v>5424</v>
      </c>
      <c r="C134" s="2203" t="s">
        <v>1483</v>
      </c>
      <c r="D134" s="1264" t="s">
        <v>343</v>
      </c>
      <c r="E134" s="1265"/>
      <c r="F134" s="1265"/>
      <c r="G134" s="1265"/>
      <c r="H134" s="3065" t="e">
        <f t="shared" si="6"/>
        <v>#DIV/0!</v>
      </c>
    </row>
    <row r="135" spans="1:8" ht="15" hidden="1" x14ac:dyDescent="0.2">
      <c r="A135" s="3071">
        <v>3299</v>
      </c>
      <c r="B135" s="3072">
        <v>6901</v>
      </c>
      <c r="C135" s="2203">
        <v>32533926</v>
      </c>
      <c r="D135" s="1264" t="s">
        <v>239</v>
      </c>
      <c r="E135" s="1265"/>
      <c r="F135" s="1265"/>
      <c r="G135" s="1265"/>
      <c r="H135" s="3065" t="e">
        <f t="shared" si="6"/>
        <v>#DIV/0!</v>
      </c>
    </row>
    <row r="136" spans="1:8" ht="15.75" thickBot="1" x14ac:dyDescent="0.25">
      <c r="A136" s="3071">
        <v>3299</v>
      </c>
      <c r="B136" s="3072">
        <v>5345</v>
      </c>
      <c r="C136" s="1309" t="s">
        <v>871</v>
      </c>
      <c r="D136" s="1264" t="s">
        <v>397</v>
      </c>
      <c r="E136" s="1265">
        <v>0</v>
      </c>
      <c r="F136" s="1265">
        <v>0</v>
      </c>
      <c r="G136" s="1265">
        <v>3275</v>
      </c>
      <c r="H136" s="3065">
        <v>0</v>
      </c>
    </row>
    <row r="137" spans="1:8" ht="16.5" thickTop="1" thickBot="1" x14ac:dyDescent="0.3">
      <c r="A137" s="3317" t="s">
        <v>394</v>
      </c>
      <c r="B137" s="3318"/>
      <c r="C137" s="3318"/>
      <c r="D137" s="3318"/>
      <c r="E137" s="1113">
        <f>SUM(E86:E136)</f>
        <v>117</v>
      </c>
      <c r="F137" s="1113">
        <f>SUM(F86:F136)</f>
        <v>3487</v>
      </c>
      <c r="G137" s="1113">
        <f>SUM(G86:G136)</f>
        <v>6272</v>
      </c>
      <c r="H137" s="1381">
        <f>G137/F137*100</f>
        <v>179.86808144536852</v>
      </c>
    </row>
    <row r="138" spans="1:8" ht="18.75" thickTop="1" x14ac:dyDescent="0.25">
      <c r="A138" s="1242"/>
      <c r="B138" s="1238"/>
      <c r="C138" s="1238"/>
      <c r="D138" s="1238"/>
      <c r="E138" s="1238"/>
      <c r="F138" s="1238"/>
      <c r="G138" s="1238"/>
      <c r="H138" s="1239"/>
    </row>
    <row r="139" spans="1:8" ht="18" hidden="1" x14ac:dyDescent="0.25">
      <c r="A139" s="1242"/>
      <c r="B139" s="1238"/>
      <c r="C139" s="1238"/>
      <c r="D139" s="1238"/>
      <c r="E139" s="1238"/>
      <c r="F139" s="1238"/>
      <c r="G139" s="1238"/>
      <c r="H139" s="1239"/>
    </row>
    <row r="140" spans="1:8" ht="18" hidden="1" x14ac:dyDescent="0.25">
      <c r="A140" s="1242"/>
      <c r="B140" s="1238"/>
      <c r="C140" s="1238"/>
      <c r="D140" s="1238"/>
      <c r="E140" s="1238"/>
      <c r="F140" s="1238"/>
      <c r="G140" s="1238"/>
      <c r="H140" s="1239"/>
    </row>
    <row r="141" spans="1:8" ht="15.75" thickBot="1" x14ac:dyDescent="0.3">
      <c r="A141" s="1229" t="s">
        <v>137</v>
      </c>
      <c r="B141" s="1243"/>
      <c r="C141" s="1243"/>
      <c r="D141" s="1243"/>
      <c r="F141" s="1244"/>
      <c r="G141" s="1244"/>
      <c r="H141" s="1245" t="s">
        <v>92</v>
      </c>
    </row>
    <row r="142" spans="1:8" ht="25.5" thickTop="1" thickBot="1" x14ac:dyDescent="0.25">
      <c r="A142" s="1246" t="s">
        <v>93</v>
      </c>
      <c r="B142" s="1247" t="s">
        <v>392</v>
      </c>
      <c r="C142" s="1247" t="s">
        <v>209</v>
      </c>
      <c r="D142" s="1248" t="s">
        <v>95</v>
      </c>
      <c r="E142" s="1249" t="s">
        <v>328</v>
      </c>
      <c r="F142" s="1249" t="s">
        <v>329</v>
      </c>
      <c r="G142" s="1250" t="s">
        <v>448</v>
      </c>
      <c r="H142" s="1251" t="s">
        <v>449</v>
      </c>
    </row>
    <row r="143" spans="1:8" ht="14.25" thickTop="1" thickBot="1" x14ac:dyDescent="0.25">
      <c r="A143" s="1252">
        <v>1</v>
      </c>
      <c r="B143" s="1253">
        <v>2</v>
      </c>
      <c r="C143" s="1253">
        <v>3</v>
      </c>
      <c r="D143" s="1253">
        <v>5</v>
      </c>
      <c r="E143" s="1254">
        <v>6</v>
      </c>
      <c r="F143" s="1254">
        <v>7</v>
      </c>
      <c r="G143" s="1255">
        <v>8</v>
      </c>
      <c r="H143" s="1271" t="s">
        <v>393</v>
      </c>
    </row>
    <row r="144" spans="1:8" ht="15.75" hidden="1" thickTop="1" x14ac:dyDescent="0.25">
      <c r="A144" s="1308">
        <v>2125</v>
      </c>
      <c r="B144" s="1279">
        <v>5169</v>
      </c>
      <c r="C144" s="2206" t="s">
        <v>871</v>
      </c>
      <c r="D144" s="1280" t="s">
        <v>540</v>
      </c>
      <c r="E144" s="1265"/>
      <c r="F144" s="1265"/>
      <c r="G144" s="1273"/>
      <c r="H144" s="1266" t="e">
        <f>G144/F144*100</f>
        <v>#DIV/0!</v>
      </c>
    </row>
    <row r="145" spans="1:12" ht="30.75" hidden="1" thickTop="1" x14ac:dyDescent="0.2">
      <c r="A145" s="1277">
        <v>2125</v>
      </c>
      <c r="B145" s="1263">
        <v>5213</v>
      </c>
      <c r="C145" s="2202" t="s">
        <v>871</v>
      </c>
      <c r="D145" s="1264" t="s">
        <v>1054</v>
      </c>
      <c r="E145" s="1265"/>
      <c r="F145" s="1265"/>
      <c r="G145" s="1273"/>
      <c r="H145" s="1266" t="e">
        <f>G145/F145*100</f>
        <v>#DIV/0!</v>
      </c>
    </row>
    <row r="146" spans="1:12" ht="15.75" hidden="1" thickTop="1" x14ac:dyDescent="0.25">
      <c r="A146" s="1308">
        <v>3636</v>
      </c>
      <c r="B146" s="1279">
        <v>5011</v>
      </c>
      <c r="C146" s="2206" t="s">
        <v>871</v>
      </c>
      <c r="D146" s="1280" t="s">
        <v>117</v>
      </c>
      <c r="E146" s="1265"/>
      <c r="F146" s="1265"/>
      <c r="G146" s="1273"/>
      <c r="H146" s="1266" t="e">
        <f>G146/F146*100</f>
        <v>#DIV/0!</v>
      </c>
    </row>
    <row r="147" spans="1:12" ht="15.75" hidden="1" thickTop="1" x14ac:dyDescent="0.25">
      <c r="A147" s="1278">
        <v>6330</v>
      </c>
      <c r="B147" s="1279">
        <v>5345</v>
      </c>
      <c r="C147" s="2206" t="s">
        <v>871</v>
      </c>
      <c r="D147" s="1280" t="s">
        <v>397</v>
      </c>
      <c r="E147" s="1265">
        <v>0</v>
      </c>
      <c r="F147" s="1265">
        <v>0</v>
      </c>
      <c r="G147" s="1273">
        <v>0</v>
      </c>
      <c r="H147" s="1266">
        <v>0</v>
      </c>
    </row>
    <row r="148" spans="1:12" ht="16.5" thickTop="1" thickBot="1" x14ac:dyDescent="0.3">
      <c r="A148" s="1262">
        <v>6409</v>
      </c>
      <c r="B148" s="1263">
        <v>5909</v>
      </c>
      <c r="C148" s="2202" t="s">
        <v>871</v>
      </c>
      <c r="D148" s="1284" t="s">
        <v>344</v>
      </c>
      <c r="E148" s="1265">
        <v>0</v>
      </c>
      <c r="F148" s="1265">
        <v>0</v>
      </c>
      <c r="G148" s="1265">
        <v>0</v>
      </c>
      <c r="H148" s="1266">
        <v>0</v>
      </c>
    </row>
    <row r="149" spans="1:12" ht="16.5" thickTop="1" thickBot="1" x14ac:dyDescent="0.3">
      <c r="A149" s="1274" t="s">
        <v>394</v>
      </c>
      <c r="B149" s="1275"/>
      <c r="C149" s="1275"/>
      <c r="D149" s="1276"/>
      <c r="E149" s="1269">
        <f>SUM(E144:E148)</f>
        <v>0</v>
      </c>
      <c r="F149" s="1269">
        <f>SUM(F144:F148)</f>
        <v>0</v>
      </c>
      <c r="G149" s="1269">
        <f>SUM(G144:G148)</f>
        <v>0</v>
      </c>
      <c r="H149" s="1270">
        <v>0</v>
      </c>
    </row>
    <row r="150" spans="1:12" ht="15.75" thickTop="1" x14ac:dyDescent="0.25">
      <c r="A150" s="1373"/>
      <c r="B150" s="1373"/>
      <c r="C150" s="1373"/>
      <c r="D150" s="1373"/>
      <c r="E150" s="1305"/>
      <c r="F150" s="1305"/>
      <c r="G150" s="1305"/>
      <c r="H150" s="1306"/>
    </row>
    <row r="151" spans="1:12" ht="15" x14ac:dyDescent="0.25">
      <c r="A151" s="1373"/>
      <c r="B151" s="1373"/>
      <c r="C151" s="1373"/>
      <c r="D151" s="1373"/>
      <c r="E151" s="1305"/>
      <c r="F151" s="1305"/>
      <c r="G151" s="1305"/>
      <c r="H151" s="1306"/>
    </row>
    <row r="152" spans="1:12" ht="16.5" x14ac:dyDescent="0.25">
      <c r="A152" s="1285" t="s">
        <v>251</v>
      </c>
      <c r="B152" s="1286"/>
      <c r="C152" s="1287"/>
      <c r="D152" s="1288"/>
      <c r="E152" s="1289">
        <f>SUM(E153:E155)</f>
        <v>1043</v>
      </c>
      <c r="F152" s="1289">
        <f>F153+F154+F155+F156</f>
        <v>5384</v>
      </c>
      <c r="G152" s="1289">
        <f>G153+G154+G155+G156</f>
        <v>7721</v>
      </c>
      <c r="H152" s="1290">
        <f>G152/F152*100</f>
        <v>143.40638930163448</v>
      </c>
      <c r="J152" s="1291">
        <f>J153+J154+J155</f>
        <v>1043000</v>
      </c>
      <c r="K152" s="1291">
        <f>K153+K154+K155</f>
        <v>5384042.29</v>
      </c>
      <c r="L152" s="1291">
        <f>L153+L154+L155</f>
        <v>7721005.6299999999</v>
      </c>
    </row>
    <row r="153" spans="1:12" ht="15" x14ac:dyDescent="0.2">
      <c r="A153" s="1292" t="s">
        <v>147</v>
      </c>
      <c r="B153" s="1293"/>
      <c r="C153" s="1294"/>
      <c r="D153" s="1295"/>
      <c r="E153" s="1296">
        <f>E12+E13+E14+E18+E19+E20+E21+E22+E23+E24+E25+E26+E36+E37+E38+E39+E40+E41+E44+E45+E48+E49+E50+E51+E61+E62+E63+E69+E70+E71+E87+E88+E89+E90+E91+E92+E93+E94+E95+E96+E97+E98+E27+E28+E29+E30+E31+E32+E33+E42+E43+E46+E47+E52+E53+E54+E55+E56+E64+E65+E66+E68++E67</f>
        <v>1043</v>
      </c>
      <c r="F153" s="1296">
        <f t="shared" ref="F153:G153" si="7">F12+F13+F14+F18+F19+F20+F21+F22+F23+F24+F25+F26+F36+F37+F38+F39+F40+F41+F44+F45+F48+F49+F50+F51+F61+F62+F63+F69+F70+F71+F87+F88+F89+F90+F91+F92+F93+F94+F95+F96+F97+F98+F27+F28+F29+F30+F31+F32+F33+F42+F43+F46+F47+F52+F53+F54+F55+F56+F64+F65+F66+F68++F67</f>
        <v>5384</v>
      </c>
      <c r="G153" s="1296">
        <f t="shared" si="7"/>
        <v>3445</v>
      </c>
      <c r="H153" s="1297">
        <f>G153/F153*100</f>
        <v>63.985884101040114</v>
      </c>
      <c r="J153" s="1298">
        <v>1043000</v>
      </c>
      <c r="K153" s="1298">
        <v>5384042.29</v>
      </c>
      <c r="L153" s="1298">
        <v>3445141.38</v>
      </c>
    </row>
    <row r="154" spans="1:12" ht="15" x14ac:dyDescent="0.2">
      <c r="A154" s="1292" t="s">
        <v>148</v>
      </c>
      <c r="B154" s="1299"/>
      <c r="C154" s="1294"/>
      <c r="D154" s="1300"/>
      <c r="E154" s="1296">
        <v>0</v>
      </c>
      <c r="F154" s="1296">
        <v>0</v>
      </c>
      <c r="G154" s="1296">
        <v>0</v>
      </c>
      <c r="H154" s="1297">
        <v>0</v>
      </c>
      <c r="J154" s="1298">
        <v>0</v>
      </c>
      <c r="K154" s="1298">
        <v>0</v>
      </c>
      <c r="L154" s="1298">
        <v>0</v>
      </c>
    </row>
    <row r="155" spans="1:12" ht="15" x14ac:dyDescent="0.2">
      <c r="A155" s="1292" t="s">
        <v>252</v>
      </c>
      <c r="B155" s="1299"/>
      <c r="C155" s="1294"/>
      <c r="D155" s="1300"/>
      <c r="E155" s="1296">
        <f>E136+E76</f>
        <v>0</v>
      </c>
      <c r="F155" s="1296">
        <f>F136+F76</f>
        <v>0</v>
      </c>
      <c r="G155" s="1296">
        <f>G136+G76</f>
        <v>4276</v>
      </c>
      <c r="H155" s="1297">
        <v>0</v>
      </c>
      <c r="J155" s="1298">
        <v>0</v>
      </c>
      <c r="K155" s="1298">
        <v>0</v>
      </c>
      <c r="L155" s="1298">
        <v>4275864.25</v>
      </c>
    </row>
    <row r="156" spans="1:12" ht="16.5" customHeight="1" x14ac:dyDescent="0.2">
      <c r="A156" s="1292"/>
      <c r="B156" s="1299"/>
      <c r="C156" s="1294"/>
      <c r="D156" s="1300"/>
      <c r="E156" s="1296"/>
      <c r="F156" s="1296"/>
      <c r="G156" s="1296"/>
      <c r="H156" s="1301"/>
    </row>
    <row r="157" spans="1:12" ht="57.75" customHeight="1" thickBot="1" x14ac:dyDescent="0.4">
      <c r="A157" s="3347" t="s">
        <v>2023</v>
      </c>
      <c r="B157" s="3347"/>
      <c r="C157" s="3347"/>
      <c r="D157" s="3347"/>
      <c r="E157" s="1302">
        <f>SUM(E152)</f>
        <v>1043</v>
      </c>
      <c r="F157" s="1302">
        <f>SUM(F152)</f>
        <v>5384</v>
      </c>
      <c r="G157" s="1302">
        <f>SUM(G152)</f>
        <v>7721</v>
      </c>
      <c r="H157" s="1303">
        <f>G157/F157*100</f>
        <v>143.40638930163448</v>
      </c>
    </row>
    <row r="158" spans="1:12" ht="13.5" thickTop="1" x14ac:dyDescent="0.2"/>
  </sheetData>
  <mergeCells count="5">
    <mergeCell ref="A157:D157"/>
    <mergeCell ref="A7:H7"/>
    <mergeCell ref="A77:D77"/>
    <mergeCell ref="A82:H82"/>
    <mergeCell ref="A137:D137"/>
  </mergeCells>
  <pageMargins left="0.70866141732283472" right="0.70866141732283472" top="0.78740157480314965" bottom="0.78740157480314965" header="0.31496062992125984" footer="0.31496062992125984"/>
  <pageSetup paperSize="9" scale="67" firstPageNumber="156" orientation="portrait" useFirstPageNumber="1" r:id="rId1"/>
  <headerFooter>
    <oddFooter>&amp;L&amp;"Arial,Kurzíva"Zastupitelstvo Olomouckého kraje 25. 6. 2018
5. - Rozpočet Olomouckého kraje 2017 - závěrečný  účet 
Příloha č. 3: Plnění rozpočtu výdajů Olomouckého kraje k 31. 12. 2017&amp;R&amp;"Arial,Kurzíva"Strana &amp;P (celkem 478)</oddFooter>
  </headerFooter>
  <rowBreaks count="1" manualBreakCount="1">
    <brk id="81" max="7" man="1"/>
  </rowBreaks>
  <colBreaks count="1" manualBreakCount="1">
    <brk id="8" max="1048575" man="1"/>
  </col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FF"/>
  </sheetPr>
  <dimension ref="A1:L47"/>
  <sheetViews>
    <sheetView view="pageBreakPreview" zoomScaleNormal="100" zoomScaleSheetLayoutView="100" workbookViewId="0">
      <selection activeCell="A47" sqref="A47"/>
    </sheetView>
  </sheetViews>
  <sheetFormatPr defaultRowHeight="12.75" x14ac:dyDescent="0.2"/>
  <cols>
    <col min="1" max="1" width="5.5703125" style="1236" customWidth="1"/>
    <col min="2" max="2" width="6.7109375" style="1236" customWidth="1"/>
    <col min="3" max="3" width="10.42578125" style="1236" customWidth="1"/>
    <col min="4" max="4" width="47.7109375" style="1236" customWidth="1"/>
    <col min="5" max="5" width="15.42578125" style="1236" customWidth="1"/>
    <col min="6" max="6" width="15.5703125" style="1236" customWidth="1"/>
    <col min="7" max="7" width="15.85546875" style="1236" customWidth="1"/>
    <col min="8" max="8" width="8.7109375" style="1236" customWidth="1"/>
    <col min="9" max="10" width="9.140625" style="1236"/>
    <col min="11" max="11" width="17.28515625" style="1236" bestFit="1" customWidth="1"/>
    <col min="12" max="12" width="17" style="1236" customWidth="1"/>
    <col min="13" max="256" width="9.140625" style="1236"/>
    <col min="257" max="257" width="5.5703125" style="1236" customWidth="1"/>
    <col min="258" max="258" width="6.7109375" style="1236" customWidth="1"/>
    <col min="259" max="259" width="8.85546875" style="1236" customWidth="1"/>
    <col min="260" max="260" width="47.85546875" style="1236" customWidth="1"/>
    <col min="261" max="261" width="12.85546875" style="1236" customWidth="1"/>
    <col min="262" max="262" width="15.5703125" style="1236" customWidth="1"/>
    <col min="263" max="263" width="15.85546875" style="1236" customWidth="1"/>
    <col min="264" max="264" width="6.42578125" style="1236" customWidth="1"/>
    <col min="265" max="266" width="9.140625" style="1236"/>
    <col min="267" max="268" width="14.7109375" style="1236" bestFit="1" customWidth="1"/>
    <col min="269" max="512" width="9.140625" style="1236"/>
    <col min="513" max="513" width="5.5703125" style="1236" customWidth="1"/>
    <col min="514" max="514" width="6.7109375" style="1236" customWidth="1"/>
    <col min="515" max="515" width="8.85546875" style="1236" customWidth="1"/>
    <col min="516" max="516" width="47.85546875" style="1236" customWidth="1"/>
    <col min="517" max="517" width="12.85546875" style="1236" customWidth="1"/>
    <col min="518" max="518" width="15.5703125" style="1236" customWidth="1"/>
    <col min="519" max="519" width="15.85546875" style="1236" customWidth="1"/>
    <col min="520" max="520" width="6.42578125" style="1236" customWidth="1"/>
    <col min="521" max="522" width="9.140625" style="1236"/>
    <col min="523" max="524" width="14.7109375" style="1236" bestFit="1" customWidth="1"/>
    <col min="525" max="768" width="9.140625" style="1236"/>
    <col min="769" max="769" width="5.5703125" style="1236" customWidth="1"/>
    <col min="770" max="770" width="6.7109375" style="1236" customWidth="1"/>
    <col min="771" max="771" width="8.85546875" style="1236" customWidth="1"/>
    <col min="772" max="772" width="47.85546875" style="1236" customWidth="1"/>
    <col min="773" max="773" width="12.85546875" style="1236" customWidth="1"/>
    <col min="774" max="774" width="15.5703125" style="1236" customWidth="1"/>
    <col min="775" max="775" width="15.85546875" style="1236" customWidth="1"/>
    <col min="776" max="776" width="6.42578125" style="1236" customWidth="1"/>
    <col min="777" max="778" width="9.140625" style="1236"/>
    <col min="779" max="780" width="14.7109375" style="1236" bestFit="1" customWidth="1"/>
    <col min="781" max="1024" width="9.140625" style="1236"/>
    <col min="1025" max="1025" width="5.5703125" style="1236" customWidth="1"/>
    <col min="1026" max="1026" width="6.7109375" style="1236" customWidth="1"/>
    <col min="1027" max="1027" width="8.85546875" style="1236" customWidth="1"/>
    <col min="1028" max="1028" width="47.85546875" style="1236" customWidth="1"/>
    <col min="1029" max="1029" width="12.85546875" style="1236" customWidth="1"/>
    <col min="1030" max="1030" width="15.5703125" style="1236" customWidth="1"/>
    <col min="1031" max="1031" width="15.85546875" style="1236" customWidth="1"/>
    <col min="1032" max="1032" width="6.42578125" style="1236" customWidth="1"/>
    <col min="1033" max="1034" width="9.140625" style="1236"/>
    <col min="1035" max="1036" width="14.7109375" style="1236" bestFit="1" customWidth="1"/>
    <col min="1037" max="1280" width="9.140625" style="1236"/>
    <col min="1281" max="1281" width="5.5703125" style="1236" customWidth="1"/>
    <col min="1282" max="1282" width="6.7109375" style="1236" customWidth="1"/>
    <col min="1283" max="1283" width="8.85546875" style="1236" customWidth="1"/>
    <col min="1284" max="1284" width="47.85546875" style="1236" customWidth="1"/>
    <col min="1285" max="1285" width="12.85546875" style="1236" customWidth="1"/>
    <col min="1286" max="1286" width="15.5703125" style="1236" customWidth="1"/>
    <col min="1287" max="1287" width="15.85546875" style="1236" customWidth="1"/>
    <col min="1288" max="1288" width="6.42578125" style="1236" customWidth="1"/>
    <col min="1289" max="1290" width="9.140625" style="1236"/>
    <col min="1291" max="1292" width="14.7109375" style="1236" bestFit="1" customWidth="1"/>
    <col min="1293" max="1536" width="9.140625" style="1236"/>
    <col min="1537" max="1537" width="5.5703125" style="1236" customWidth="1"/>
    <col min="1538" max="1538" width="6.7109375" style="1236" customWidth="1"/>
    <col min="1539" max="1539" width="8.85546875" style="1236" customWidth="1"/>
    <col min="1540" max="1540" width="47.85546875" style="1236" customWidth="1"/>
    <col min="1541" max="1541" width="12.85546875" style="1236" customWidth="1"/>
    <col min="1542" max="1542" width="15.5703125" style="1236" customWidth="1"/>
    <col min="1543" max="1543" width="15.85546875" style="1236" customWidth="1"/>
    <col min="1544" max="1544" width="6.42578125" style="1236" customWidth="1"/>
    <col min="1545" max="1546" width="9.140625" style="1236"/>
    <col min="1547" max="1548" width="14.7109375" style="1236" bestFit="1" customWidth="1"/>
    <col min="1549" max="1792" width="9.140625" style="1236"/>
    <col min="1793" max="1793" width="5.5703125" style="1236" customWidth="1"/>
    <col min="1794" max="1794" width="6.7109375" style="1236" customWidth="1"/>
    <col min="1795" max="1795" width="8.85546875" style="1236" customWidth="1"/>
    <col min="1796" max="1796" width="47.85546875" style="1236" customWidth="1"/>
    <col min="1797" max="1797" width="12.85546875" style="1236" customWidth="1"/>
    <col min="1798" max="1798" width="15.5703125" style="1236" customWidth="1"/>
    <col min="1799" max="1799" width="15.85546875" style="1236" customWidth="1"/>
    <col min="1800" max="1800" width="6.42578125" style="1236" customWidth="1"/>
    <col min="1801" max="1802" width="9.140625" style="1236"/>
    <col min="1803" max="1804" width="14.7109375" style="1236" bestFit="1" customWidth="1"/>
    <col min="1805" max="2048" width="9.140625" style="1236"/>
    <col min="2049" max="2049" width="5.5703125" style="1236" customWidth="1"/>
    <col min="2050" max="2050" width="6.7109375" style="1236" customWidth="1"/>
    <col min="2051" max="2051" width="8.85546875" style="1236" customWidth="1"/>
    <col min="2052" max="2052" width="47.85546875" style="1236" customWidth="1"/>
    <col min="2053" max="2053" width="12.85546875" style="1236" customWidth="1"/>
    <col min="2054" max="2054" width="15.5703125" style="1236" customWidth="1"/>
    <col min="2055" max="2055" width="15.85546875" style="1236" customWidth="1"/>
    <col min="2056" max="2056" width="6.42578125" style="1236" customWidth="1"/>
    <col min="2057" max="2058" width="9.140625" style="1236"/>
    <col min="2059" max="2060" width="14.7109375" style="1236" bestFit="1" customWidth="1"/>
    <col min="2061" max="2304" width="9.140625" style="1236"/>
    <col min="2305" max="2305" width="5.5703125" style="1236" customWidth="1"/>
    <col min="2306" max="2306" width="6.7109375" style="1236" customWidth="1"/>
    <col min="2307" max="2307" width="8.85546875" style="1236" customWidth="1"/>
    <col min="2308" max="2308" width="47.85546875" style="1236" customWidth="1"/>
    <col min="2309" max="2309" width="12.85546875" style="1236" customWidth="1"/>
    <col min="2310" max="2310" width="15.5703125" style="1236" customWidth="1"/>
    <col min="2311" max="2311" width="15.85546875" style="1236" customWidth="1"/>
    <col min="2312" max="2312" width="6.42578125" style="1236" customWidth="1"/>
    <col min="2313" max="2314" width="9.140625" style="1236"/>
    <col min="2315" max="2316" width="14.7109375" style="1236" bestFit="1" customWidth="1"/>
    <col min="2317" max="2560" width="9.140625" style="1236"/>
    <col min="2561" max="2561" width="5.5703125" style="1236" customWidth="1"/>
    <col min="2562" max="2562" width="6.7109375" style="1236" customWidth="1"/>
    <col min="2563" max="2563" width="8.85546875" style="1236" customWidth="1"/>
    <col min="2564" max="2564" width="47.85546875" style="1236" customWidth="1"/>
    <col min="2565" max="2565" width="12.85546875" style="1236" customWidth="1"/>
    <col min="2566" max="2566" width="15.5703125" style="1236" customWidth="1"/>
    <col min="2567" max="2567" width="15.85546875" style="1236" customWidth="1"/>
    <col min="2568" max="2568" width="6.42578125" style="1236" customWidth="1"/>
    <col min="2569" max="2570" width="9.140625" style="1236"/>
    <col min="2571" max="2572" width="14.7109375" style="1236" bestFit="1" customWidth="1"/>
    <col min="2573" max="2816" width="9.140625" style="1236"/>
    <col min="2817" max="2817" width="5.5703125" style="1236" customWidth="1"/>
    <col min="2818" max="2818" width="6.7109375" style="1236" customWidth="1"/>
    <col min="2819" max="2819" width="8.85546875" style="1236" customWidth="1"/>
    <col min="2820" max="2820" width="47.85546875" style="1236" customWidth="1"/>
    <col min="2821" max="2821" width="12.85546875" style="1236" customWidth="1"/>
    <col min="2822" max="2822" width="15.5703125" style="1236" customWidth="1"/>
    <col min="2823" max="2823" width="15.85546875" style="1236" customWidth="1"/>
    <col min="2824" max="2824" width="6.42578125" style="1236" customWidth="1"/>
    <col min="2825" max="2826" width="9.140625" style="1236"/>
    <col min="2827" max="2828" width="14.7109375" style="1236" bestFit="1" customWidth="1"/>
    <col min="2829" max="3072" width="9.140625" style="1236"/>
    <col min="3073" max="3073" width="5.5703125" style="1236" customWidth="1"/>
    <col min="3074" max="3074" width="6.7109375" style="1236" customWidth="1"/>
    <col min="3075" max="3075" width="8.85546875" style="1236" customWidth="1"/>
    <col min="3076" max="3076" width="47.85546875" style="1236" customWidth="1"/>
    <col min="3077" max="3077" width="12.85546875" style="1236" customWidth="1"/>
    <col min="3078" max="3078" width="15.5703125" style="1236" customWidth="1"/>
    <col min="3079" max="3079" width="15.85546875" style="1236" customWidth="1"/>
    <col min="3080" max="3080" width="6.42578125" style="1236" customWidth="1"/>
    <col min="3081" max="3082" width="9.140625" style="1236"/>
    <col min="3083" max="3084" width="14.7109375" style="1236" bestFit="1" customWidth="1"/>
    <col min="3085" max="3328" width="9.140625" style="1236"/>
    <col min="3329" max="3329" width="5.5703125" style="1236" customWidth="1"/>
    <col min="3330" max="3330" width="6.7109375" style="1236" customWidth="1"/>
    <col min="3331" max="3331" width="8.85546875" style="1236" customWidth="1"/>
    <col min="3332" max="3332" width="47.85546875" style="1236" customWidth="1"/>
    <col min="3333" max="3333" width="12.85546875" style="1236" customWidth="1"/>
    <col min="3334" max="3334" width="15.5703125" style="1236" customWidth="1"/>
    <col min="3335" max="3335" width="15.85546875" style="1236" customWidth="1"/>
    <col min="3336" max="3336" width="6.42578125" style="1236" customWidth="1"/>
    <col min="3337" max="3338" width="9.140625" style="1236"/>
    <col min="3339" max="3340" width="14.7109375" style="1236" bestFit="1" customWidth="1"/>
    <col min="3341" max="3584" width="9.140625" style="1236"/>
    <col min="3585" max="3585" width="5.5703125" style="1236" customWidth="1"/>
    <col min="3586" max="3586" width="6.7109375" style="1236" customWidth="1"/>
    <col min="3587" max="3587" width="8.85546875" style="1236" customWidth="1"/>
    <col min="3588" max="3588" width="47.85546875" style="1236" customWidth="1"/>
    <col min="3589" max="3589" width="12.85546875" style="1236" customWidth="1"/>
    <col min="3590" max="3590" width="15.5703125" style="1236" customWidth="1"/>
    <col min="3591" max="3591" width="15.85546875" style="1236" customWidth="1"/>
    <col min="3592" max="3592" width="6.42578125" style="1236" customWidth="1"/>
    <col min="3593" max="3594" width="9.140625" style="1236"/>
    <col min="3595" max="3596" width="14.7109375" style="1236" bestFit="1" customWidth="1"/>
    <col min="3597" max="3840" width="9.140625" style="1236"/>
    <col min="3841" max="3841" width="5.5703125" style="1236" customWidth="1"/>
    <col min="3842" max="3842" width="6.7109375" style="1236" customWidth="1"/>
    <col min="3843" max="3843" width="8.85546875" style="1236" customWidth="1"/>
    <col min="3844" max="3844" width="47.85546875" style="1236" customWidth="1"/>
    <col min="3845" max="3845" width="12.85546875" style="1236" customWidth="1"/>
    <col min="3846" max="3846" width="15.5703125" style="1236" customWidth="1"/>
    <col min="3847" max="3847" width="15.85546875" style="1236" customWidth="1"/>
    <col min="3848" max="3848" width="6.42578125" style="1236" customWidth="1"/>
    <col min="3849" max="3850" width="9.140625" style="1236"/>
    <col min="3851" max="3852" width="14.7109375" style="1236" bestFit="1" customWidth="1"/>
    <col min="3853" max="4096" width="9.140625" style="1236"/>
    <col min="4097" max="4097" width="5.5703125" style="1236" customWidth="1"/>
    <col min="4098" max="4098" width="6.7109375" style="1236" customWidth="1"/>
    <col min="4099" max="4099" width="8.85546875" style="1236" customWidth="1"/>
    <col min="4100" max="4100" width="47.85546875" style="1236" customWidth="1"/>
    <col min="4101" max="4101" width="12.85546875" style="1236" customWidth="1"/>
    <col min="4102" max="4102" width="15.5703125" style="1236" customWidth="1"/>
    <col min="4103" max="4103" width="15.85546875" style="1236" customWidth="1"/>
    <col min="4104" max="4104" width="6.42578125" style="1236" customWidth="1"/>
    <col min="4105" max="4106" width="9.140625" style="1236"/>
    <col min="4107" max="4108" width="14.7109375" style="1236" bestFit="1" customWidth="1"/>
    <col min="4109" max="4352" width="9.140625" style="1236"/>
    <col min="4353" max="4353" width="5.5703125" style="1236" customWidth="1"/>
    <col min="4354" max="4354" width="6.7109375" style="1236" customWidth="1"/>
    <col min="4355" max="4355" width="8.85546875" style="1236" customWidth="1"/>
    <col min="4356" max="4356" width="47.85546875" style="1236" customWidth="1"/>
    <col min="4357" max="4357" width="12.85546875" style="1236" customWidth="1"/>
    <col min="4358" max="4358" width="15.5703125" style="1236" customWidth="1"/>
    <col min="4359" max="4359" width="15.85546875" style="1236" customWidth="1"/>
    <col min="4360" max="4360" width="6.42578125" style="1236" customWidth="1"/>
    <col min="4361" max="4362" width="9.140625" style="1236"/>
    <col min="4363" max="4364" width="14.7109375" style="1236" bestFit="1" customWidth="1"/>
    <col min="4365" max="4608" width="9.140625" style="1236"/>
    <col min="4609" max="4609" width="5.5703125" style="1236" customWidth="1"/>
    <col min="4610" max="4610" width="6.7109375" style="1236" customWidth="1"/>
    <col min="4611" max="4611" width="8.85546875" style="1236" customWidth="1"/>
    <col min="4612" max="4612" width="47.85546875" style="1236" customWidth="1"/>
    <col min="4613" max="4613" width="12.85546875" style="1236" customWidth="1"/>
    <col min="4614" max="4614" width="15.5703125" style="1236" customWidth="1"/>
    <col min="4615" max="4615" width="15.85546875" style="1236" customWidth="1"/>
    <col min="4616" max="4616" width="6.42578125" style="1236" customWidth="1"/>
    <col min="4617" max="4618" width="9.140625" style="1236"/>
    <col min="4619" max="4620" width="14.7109375" style="1236" bestFit="1" customWidth="1"/>
    <col min="4621" max="4864" width="9.140625" style="1236"/>
    <col min="4865" max="4865" width="5.5703125" style="1236" customWidth="1"/>
    <col min="4866" max="4866" width="6.7109375" style="1236" customWidth="1"/>
    <col min="4867" max="4867" width="8.85546875" style="1236" customWidth="1"/>
    <col min="4868" max="4868" width="47.85546875" style="1236" customWidth="1"/>
    <col min="4869" max="4869" width="12.85546875" style="1236" customWidth="1"/>
    <col min="4870" max="4870" width="15.5703125" style="1236" customWidth="1"/>
    <col min="4871" max="4871" width="15.85546875" style="1236" customWidth="1"/>
    <col min="4872" max="4872" width="6.42578125" style="1236" customWidth="1"/>
    <col min="4873" max="4874" width="9.140625" style="1236"/>
    <col min="4875" max="4876" width="14.7109375" style="1236" bestFit="1" customWidth="1"/>
    <col min="4877" max="5120" width="9.140625" style="1236"/>
    <col min="5121" max="5121" width="5.5703125" style="1236" customWidth="1"/>
    <col min="5122" max="5122" width="6.7109375" style="1236" customWidth="1"/>
    <col min="5123" max="5123" width="8.85546875" style="1236" customWidth="1"/>
    <col min="5124" max="5124" width="47.85546875" style="1236" customWidth="1"/>
    <col min="5125" max="5125" width="12.85546875" style="1236" customWidth="1"/>
    <col min="5126" max="5126" width="15.5703125" style="1236" customWidth="1"/>
    <col min="5127" max="5127" width="15.85546875" style="1236" customWidth="1"/>
    <col min="5128" max="5128" width="6.42578125" style="1236" customWidth="1"/>
    <col min="5129" max="5130" width="9.140625" style="1236"/>
    <col min="5131" max="5132" width="14.7109375" style="1236" bestFit="1" customWidth="1"/>
    <col min="5133" max="5376" width="9.140625" style="1236"/>
    <col min="5377" max="5377" width="5.5703125" style="1236" customWidth="1"/>
    <col min="5378" max="5378" width="6.7109375" style="1236" customWidth="1"/>
    <col min="5379" max="5379" width="8.85546875" style="1236" customWidth="1"/>
    <col min="5380" max="5380" width="47.85546875" style="1236" customWidth="1"/>
    <col min="5381" max="5381" width="12.85546875" style="1236" customWidth="1"/>
    <col min="5382" max="5382" width="15.5703125" style="1236" customWidth="1"/>
    <col min="5383" max="5383" width="15.85546875" style="1236" customWidth="1"/>
    <col min="5384" max="5384" width="6.42578125" style="1236" customWidth="1"/>
    <col min="5385" max="5386" width="9.140625" style="1236"/>
    <col min="5387" max="5388" width="14.7109375" style="1236" bestFit="1" customWidth="1"/>
    <col min="5389" max="5632" width="9.140625" style="1236"/>
    <col min="5633" max="5633" width="5.5703125" style="1236" customWidth="1"/>
    <col min="5634" max="5634" width="6.7109375" style="1236" customWidth="1"/>
    <col min="5635" max="5635" width="8.85546875" style="1236" customWidth="1"/>
    <col min="5636" max="5636" width="47.85546875" style="1236" customWidth="1"/>
    <col min="5637" max="5637" width="12.85546875" style="1236" customWidth="1"/>
    <col min="5638" max="5638" width="15.5703125" style="1236" customWidth="1"/>
    <col min="5639" max="5639" width="15.85546875" style="1236" customWidth="1"/>
    <col min="5640" max="5640" width="6.42578125" style="1236" customWidth="1"/>
    <col min="5641" max="5642" width="9.140625" style="1236"/>
    <col min="5643" max="5644" width="14.7109375" style="1236" bestFit="1" customWidth="1"/>
    <col min="5645" max="5888" width="9.140625" style="1236"/>
    <col min="5889" max="5889" width="5.5703125" style="1236" customWidth="1"/>
    <col min="5890" max="5890" width="6.7109375" style="1236" customWidth="1"/>
    <col min="5891" max="5891" width="8.85546875" style="1236" customWidth="1"/>
    <col min="5892" max="5892" width="47.85546875" style="1236" customWidth="1"/>
    <col min="5893" max="5893" width="12.85546875" style="1236" customWidth="1"/>
    <col min="5894" max="5894" width="15.5703125" style="1236" customWidth="1"/>
    <col min="5895" max="5895" width="15.85546875" style="1236" customWidth="1"/>
    <col min="5896" max="5896" width="6.42578125" style="1236" customWidth="1"/>
    <col min="5897" max="5898" width="9.140625" style="1236"/>
    <col min="5899" max="5900" width="14.7109375" style="1236" bestFit="1" customWidth="1"/>
    <col min="5901" max="6144" width="9.140625" style="1236"/>
    <col min="6145" max="6145" width="5.5703125" style="1236" customWidth="1"/>
    <col min="6146" max="6146" width="6.7109375" style="1236" customWidth="1"/>
    <col min="6147" max="6147" width="8.85546875" style="1236" customWidth="1"/>
    <col min="6148" max="6148" width="47.85546875" style="1236" customWidth="1"/>
    <col min="6149" max="6149" width="12.85546875" style="1236" customWidth="1"/>
    <col min="6150" max="6150" width="15.5703125" style="1236" customWidth="1"/>
    <col min="6151" max="6151" width="15.85546875" style="1236" customWidth="1"/>
    <col min="6152" max="6152" width="6.42578125" style="1236" customWidth="1"/>
    <col min="6153" max="6154" width="9.140625" style="1236"/>
    <col min="6155" max="6156" width="14.7109375" style="1236" bestFit="1" customWidth="1"/>
    <col min="6157" max="6400" width="9.140625" style="1236"/>
    <col min="6401" max="6401" width="5.5703125" style="1236" customWidth="1"/>
    <col min="6402" max="6402" width="6.7109375" style="1236" customWidth="1"/>
    <col min="6403" max="6403" width="8.85546875" style="1236" customWidth="1"/>
    <col min="6404" max="6404" width="47.85546875" style="1236" customWidth="1"/>
    <col min="6405" max="6405" width="12.85546875" style="1236" customWidth="1"/>
    <col min="6406" max="6406" width="15.5703125" style="1236" customWidth="1"/>
    <col min="6407" max="6407" width="15.85546875" style="1236" customWidth="1"/>
    <col min="6408" max="6408" width="6.42578125" style="1236" customWidth="1"/>
    <col min="6409" max="6410" width="9.140625" style="1236"/>
    <col min="6411" max="6412" width="14.7109375" style="1236" bestFit="1" customWidth="1"/>
    <col min="6413" max="6656" width="9.140625" style="1236"/>
    <col min="6657" max="6657" width="5.5703125" style="1236" customWidth="1"/>
    <col min="6658" max="6658" width="6.7109375" style="1236" customWidth="1"/>
    <col min="6659" max="6659" width="8.85546875" style="1236" customWidth="1"/>
    <col min="6660" max="6660" width="47.85546875" style="1236" customWidth="1"/>
    <col min="6661" max="6661" width="12.85546875" style="1236" customWidth="1"/>
    <col min="6662" max="6662" width="15.5703125" style="1236" customWidth="1"/>
    <col min="6663" max="6663" width="15.85546875" style="1236" customWidth="1"/>
    <col min="6664" max="6664" width="6.42578125" style="1236" customWidth="1"/>
    <col min="6665" max="6666" width="9.140625" style="1236"/>
    <col min="6667" max="6668" width="14.7109375" style="1236" bestFit="1" customWidth="1"/>
    <col min="6669" max="6912" width="9.140625" style="1236"/>
    <col min="6913" max="6913" width="5.5703125" style="1236" customWidth="1"/>
    <col min="6914" max="6914" width="6.7109375" style="1236" customWidth="1"/>
    <col min="6915" max="6915" width="8.85546875" style="1236" customWidth="1"/>
    <col min="6916" max="6916" width="47.85546875" style="1236" customWidth="1"/>
    <col min="6917" max="6917" width="12.85546875" style="1236" customWidth="1"/>
    <col min="6918" max="6918" width="15.5703125" style="1236" customWidth="1"/>
    <col min="6919" max="6919" width="15.85546875" style="1236" customWidth="1"/>
    <col min="6920" max="6920" width="6.42578125" style="1236" customWidth="1"/>
    <col min="6921" max="6922" width="9.140625" style="1236"/>
    <col min="6923" max="6924" width="14.7109375" style="1236" bestFit="1" customWidth="1"/>
    <col min="6925" max="7168" width="9.140625" style="1236"/>
    <col min="7169" max="7169" width="5.5703125" style="1236" customWidth="1"/>
    <col min="7170" max="7170" width="6.7109375" style="1236" customWidth="1"/>
    <col min="7171" max="7171" width="8.85546875" style="1236" customWidth="1"/>
    <col min="7172" max="7172" width="47.85546875" style="1236" customWidth="1"/>
    <col min="7173" max="7173" width="12.85546875" style="1236" customWidth="1"/>
    <col min="7174" max="7174" width="15.5703125" style="1236" customWidth="1"/>
    <col min="7175" max="7175" width="15.85546875" style="1236" customWidth="1"/>
    <col min="7176" max="7176" width="6.42578125" style="1236" customWidth="1"/>
    <col min="7177" max="7178" width="9.140625" style="1236"/>
    <col min="7179" max="7180" width="14.7109375" style="1236" bestFit="1" customWidth="1"/>
    <col min="7181" max="7424" width="9.140625" style="1236"/>
    <col min="7425" max="7425" width="5.5703125" style="1236" customWidth="1"/>
    <col min="7426" max="7426" width="6.7109375" style="1236" customWidth="1"/>
    <col min="7427" max="7427" width="8.85546875" style="1236" customWidth="1"/>
    <col min="7428" max="7428" width="47.85546875" style="1236" customWidth="1"/>
    <col min="7429" max="7429" width="12.85546875" style="1236" customWidth="1"/>
    <col min="7430" max="7430" width="15.5703125" style="1236" customWidth="1"/>
    <col min="7431" max="7431" width="15.85546875" style="1236" customWidth="1"/>
    <col min="7432" max="7432" width="6.42578125" style="1236" customWidth="1"/>
    <col min="7433" max="7434" width="9.140625" style="1236"/>
    <col min="7435" max="7436" width="14.7109375" style="1236" bestFit="1" customWidth="1"/>
    <col min="7437" max="7680" width="9.140625" style="1236"/>
    <col min="7681" max="7681" width="5.5703125" style="1236" customWidth="1"/>
    <col min="7682" max="7682" width="6.7109375" style="1236" customWidth="1"/>
    <col min="7683" max="7683" width="8.85546875" style="1236" customWidth="1"/>
    <col min="7684" max="7684" width="47.85546875" style="1236" customWidth="1"/>
    <col min="7685" max="7685" width="12.85546875" style="1236" customWidth="1"/>
    <col min="7686" max="7686" width="15.5703125" style="1236" customWidth="1"/>
    <col min="7687" max="7687" width="15.85546875" style="1236" customWidth="1"/>
    <col min="7688" max="7688" width="6.42578125" style="1236" customWidth="1"/>
    <col min="7689" max="7690" width="9.140625" style="1236"/>
    <col min="7691" max="7692" width="14.7109375" style="1236" bestFit="1" customWidth="1"/>
    <col min="7693" max="7936" width="9.140625" style="1236"/>
    <col min="7937" max="7937" width="5.5703125" style="1236" customWidth="1"/>
    <col min="7938" max="7938" width="6.7109375" style="1236" customWidth="1"/>
    <col min="7939" max="7939" width="8.85546875" style="1236" customWidth="1"/>
    <col min="7940" max="7940" width="47.85546875" style="1236" customWidth="1"/>
    <col min="7941" max="7941" width="12.85546875" style="1236" customWidth="1"/>
    <col min="7942" max="7942" width="15.5703125" style="1236" customWidth="1"/>
    <col min="7943" max="7943" width="15.85546875" style="1236" customWidth="1"/>
    <col min="7944" max="7944" width="6.42578125" style="1236" customWidth="1"/>
    <col min="7945" max="7946" width="9.140625" style="1236"/>
    <col min="7947" max="7948" width="14.7109375" style="1236" bestFit="1" customWidth="1"/>
    <col min="7949" max="8192" width="9.140625" style="1236"/>
    <col min="8193" max="8193" width="5.5703125" style="1236" customWidth="1"/>
    <col min="8194" max="8194" width="6.7109375" style="1236" customWidth="1"/>
    <col min="8195" max="8195" width="8.85546875" style="1236" customWidth="1"/>
    <col min="8196" max="8196" width="47.85546875" style="1236" customWidth="1"/>
    <col min="8197" max="8197" width="12.85546875" style="1236" customWidth="1"/>
    <col min="8198" max="8198" width="15.5703125" style="1236" customWidth="1"/>
    <col min="8199" max="8199" width="15.85546875" style="1236" customWidth="1"/>
    <col min="8200" max="8200" width="6.42578125" style="1236" customWidth="1"/>
    <col min="8201" max="8202" width="9.140625" style="1236"/>
    <col min="8203" max="8204" width="14.7109375" style="1236" bestFit="1" customWidth="1"/>
    <col min="8205" max="8448" width="9.140625" style="1236"/>
    <col min="8449" max="8449" width="5.5703125" style="1236" customWidth="1"/>
    <col min="8450" max="8450" width="6.7109375" style="1236" customWidth="1"/>
    <col min="8451" max="8451" width="8.85546875" style="1236" customWidth="1"/>
    <col min="8452" max="8452" width="47.85546875" style="1236" customWidth="1"/>
    <col min="8453" max="8453" width="12.85546875" style="1236" customWidth="1"/>
    <col min="8454" max="8454" width="15.5703125" style="1236" customWidth="1"/>
    <col min="8455" max="8455" width="15.85546875" style="1236" customWidth="1"/>
    <col min="8456" max="8456" width="6.42578125" style="1236" customWidth="1"/>
    <col min="8457" max="8458" width="9.140625" style="1236"/>
    <col min="8459" max="8460" width="14.7109375" style="1236" bestFit="1" customWidth="1"/>
    <col min="8461" max="8704" width="9.140625" style="1236"/>
    <col min="8705" max="8705" width="5.5703125" style="1236" customWidth="1"/>
    <col min="8706" max="8706" width="6.7109375" style="1236" customWidth="1"/>
    <col min="8707" max="8707" width="8.85546875" style="1236" customWidth="1"/>
    <col min="8708" max="8708" width="47.85546875" style="1236" customWidth="1"/>
    <col min="8709" max="8709" width="12.85546875" style="1236" customWidth="1"/>
    <col min="8710" max="8710" width="15.5703125" style="1236" customWidth="1"/>
    <col min="8711" max="8711" width="15.85546875" style="1236" customWidth="1"/>
    <col min="8712" max="8712" width="6.42578125" style="1236" customWidth="1"/>
    <col min="8713" max="8714" width="9.140625" style="1236"/>
    <col min="8715" max="8716" width="14.7109375" style="1236" bestFit="1" customWidth="1"/>
    <col min="8717" max="8960" width="9.140625" style="1236"/>
    <col min="8961" max="8961" width="5.5703125" style="1236" customWidth="1"/>
    <col min="8962" max="8962" width="6.7109375" style="1236" customWidth="1"/>
    <col min="8963" max="8963" width="8.85546875" style="1236" customWidth="1"/>
    <col min="8964" max="8964" width="47.85546875" style="1236" customWidth="1"/>
    <col min="8965" max="8965" width="12.85546875" style="1236" customWidth="1"/>
    <col min="8966" max="8966" width="15.5703125" style="1236" customWidth="1"/>
    <col min="8967" max="8967" width="15.85546875" style="1236" customWidth="1"/>
    <col min="8968" max="8968" width="6.42578125" style="1236" customWidth="1"/>
    <col min="8969" max="8970" width="9.140625" style="1236"/>
    <col min="8971" max="8972" width="14.7109375" style="1236" bestFit="1" customWidth="1"/>
    <col min="8973" max="9216" width="9.140625" style="1236"/>
    <col min="9217" max="9217" width="5.5703125" style="1236" customWidth="1"/>
    <col min="9218" max="9218" width="6.7109375" style="1236" customWidth="1"/>
    <col min="9219" max="9219" width="8.85546875" style="1236" customWidth="1"/>
    <col min="9220" max="9220" width="47.85546875" style="1236" customWidth="1"/>
    <col min="9221" max="9221" width="12.85546875" style="1236" customWidth="1"/>
    <col min="9222" max="9222" width="15.5703125" style="1236" customWidth="1"/>
    <col min="9223" max="9223" width="15.85546875" style="1236" customWidth="1"/>
    <col min="9224" max="9224" width="6.42578125" style="1236" customWidth="1"/>
    <col min="9225" max="9226" width="9.140625" style="1236"/>
    <col min="9227" max="9228" width="14.7109375" style="1236" bestFit="1" customWidth="1"/>
    <col min="9229" max="9472" width="9.140625" style="1236"/>
    <col min="9473" max="9473" width="5.5703125" style="1236" customWidth="1"/>
    <col min="9474" max="9474" width="6.7109375" style="1236" customWidth="1"/>
    <col min="9475" max="9475" width="8.85546875" style="1236" customWidth="1"/>
    <col min="9476" max="9476" width="47.85546875" style="1236" customWidth="1"/>
    <col min="9477" max="9477" width="12.85546875" style="1236" customWidth="1"/>
    <col min="9478" max="9478" width="15.5703125" style="1236" customWidth="1"/>
    <col min="9479" max="9479" width="15.85546875" style="1236" customWidth="1"/>
    <col min="9480" max="9480" width="6.42578125" style="1236" customWidth="1"/>
    <col min="9481" max="9482" width="9.140625" style="1236"/>
    <col min="9483" max="9484" width="14.7109375" style="1236" bestFit="1" customWidth="1"/>
    <col min="9485" max="9728" width="9.140625" style="1236"/>
    <col min="9729" max="9729" width="5.5703125" style="1236" customWidth="1"/>
    <col min="9730" max="9730" width="6.7109375" style="1236" customWidth="1"/>
    <col min="9731" max="9731" width="8.85546875" style="1236" customWidth="1"/>
    <col min="9732" max="9732" width="47.85546875" style="1236" customWidth="1"/>
    <col min="9733" max="9733" width="12.85546875" style="1236" customWidth="1"/>
    <col min="9734" max="9734" width="15.5703125" style="1236" customWidth="1"/>
    <col min="9735" max="9735" width="15.85546875" style="1236" customWidth="1"/>
    <col min="9736" max="9736" width="6.42578125" style="1236" customWidth="1"/>
    <col min="9737" max="9738" width="9.140625" style="1236"/>
    <col min="9739" max="9740" width="14.7109375" style="1236" bestFit="1" customWidth="1"/>
    <col min="9741" max="9984" width="9.140625" style="1236"/>
    <col min="9985" max="9985" width="5.5703125" style="1236" customWidth="1"/>
    <col min="9986" max="9986" width="6.7109375" style="1236" customWidth="1"/>
    <col min="9987" max="9987" width="8.85546875" style="1236" customWidth="1"/>
    <col min="9988" max="9988" width="47.85546875" style="1236" customWidth="1"/>
    <col min="9989" max="9989" width="12.85546875" style="1236" customWidth="1"/>
    <col min="9990" max="9990" width="15.5703125" style="1236" customWidth="1"/>
    <col min="9991" max="9991" width="15.85546875" style="1236" customWidth="1"/>
    <col min="9992" max="9992" width="6.42578125" style="1236" customWidth="1"/>
    <col min="9993" max="9994" width="9.140625" style="1236"/>
    <col min="9995" max="9996" width="14.7109375" style="1236" bestFit="1" customWidth="1"/>
    <col min="9997" max="10240" width="9.140625" style="1236"/>
    <col min="10241" max="10241" width="5.5703125" style="1236" customWidth="1"/>
    <col min="10242" max="10242" width="6.7109375" style="1236" customWidth="1"/>
    <col min="10243" max="10243" width="8.85546875" style="1236" customWidth="1"/>
    <col min="10244" max="10244" width="47.85546875" style="1236" customWidth="1"/>
    <col min="10245" max="10245" width="12.85546875" style="1236" customWidth="1"/>
    <col min="10246" max="10246" width="15.5703125" style="1236" customWidth="1"/>
    <col min="10247" max="10247" width="15.85546875" style="1236" customWidth="1"/>
    <col min="10248" max="10248" width="6.42578125" style="1236" customWidth="1"/>
    <col min="10249" max="10250" width="9.140625" style="1236"/>
    <col min="10251" max="10252" width="14.7109375" style="1236" bestFit="1" customWidth="1"/>
    <col min="10253" max="10496" width="9.140625" style="1236"/>
    <col min="10497" max="10497" width="5.5703125" style="1236" customWidth="1"/>
    <col min="10498" max="10498" width="6.7109375" style="1236" customWidth="1"/>
    <col min="10499" max="10499" width="8.85546875" style="1236" customWidth="1"/>
    <col min="10500" max="10500" width="47.85546875" style="1236" customWidth="1"/>
    <col min="10501" max="10501" width="12.85546875" style="1236" customWidth="1"/>
    <col min="10502" max="10502" width="15.5703125" style="1236" customWidth="1"/>
    <col min="10503" max="10503" width="15.85546875" style="1236" customWidth="1"/>
    <col min="10504" max="10504" width="6.42578125" style="1236" customWidth="1"/>
    <col min="10505" max="10506" width="9.140625" style="1236"/>
    <col min="10507" max="10508" width="14.7109375" style="1236" bestFit="1" customWidth="1"/>
    <col min="10509" max="10752" width="9.140625" style="1236"/>
    <col min="10753" max="10753" width="5.5703125" style="1236" customWidth="1"/>
    <col min="10754" max="10754" width="6.7109375" style="1236" customWidth="1"/>
    <col min="10755" max="10755" width="8.85546875" style="1236" customWidth="1"/>
    <col min="10756" max="10756" width="47.85546875" style="1236" customWidth="1"/>
    <col min="10757" max="10757" width="12.85546875" style="1236" customWidth="1"/>
    <col min="10758" max="10758" width="15.5703125" style="1236" customWidth="1"/>
    <col min="10759" max="10759" width="15.85546875" style="1236" customWidth="1"/>
    <col min="10760" max="10760" width="6.42578125" style="1236" customWidth="1"/>
    <col min="10761" max="10762" width="9.140625" style="1236"/>
    <col min="10763" max="10764" width="14.7109375" style="1236" bestFit="1" customWidth="1"/>
    <col min="10765" max="11008" width="9.140625" style="1236"/>
    <col min="11009" max="11009" width="5.5703125" style="1236" customWidth="1"/>
    <col min="11010" max="11010" width="6.7109375" style="1236" customWidth="1"/>
    <col min="11011" max="11011" width="8.85546875" style="1236" customWidth="1"/>
    <col min="11012" max="11012" width="47.85546875" style="1236" customWidth="1"/>
    <col min="11013" max="11013" width="12.85546875" style="1236" customWidth="1"/>
    <col min="11014" max="11014" width="15.5703125" style="1236" customWidth="1"/>
    <col min="11015" max="11015" width="15.85546875" style="1236" customWidth="1"/>
    <col min="11016" max="11016" width="6.42578125" style="1236" customWidth="1"/>
    <col min="11017" max="11018" width="9.140625" style="1236"/>
    <col min="11019" max="11020" width="14.7109375" style="1236" bestFit="1" customWidth="1"/>
    <col min="11021" max="11264" width="9.140625" style="1236"/>
    <col min="11265" max="11265" width="5.5703125" style="1236" customWidth="1"/>
    <col min="11266" max="11266" width="6.7109375" style="1236" customWidth="1"/>
    <col min="11267" max="11267" width="8.85546875" style="1236" customWidth="1"/>
    <col min="11268" max="11268" width="47.85546875" style="1236" customWidth="1"/>
    <col min="11269" max="11269" width="12.85546875" style="1236" customWidth="1"/>
    <col min="11270" max="11270" width="15.5703125" style="1236" customWidth="1"/>
    <col min="11271" max="11271" width="15.85546875" style="1236" customWidth="1"/>
    <col min="11272" max="11272" width="6.42578125" style="1236" customWidth="1"/>
    <col min="11273" max="11274" width="9.140625" style="1236"/>
    <col min="11275" max="11276" width="14.7109375" style="1236" bestFit="1" customWidth="1"/>
    <col min="11277" max="11520" width="9.140625" style="1236"/>
    <col min="11521" max="11521" width="5.5703125" style="1236" customWidth="1"/>
    <col min="11522" max="11522" width="6.7109375" style="1236" customWidth="1"/>
    <col min="11523" max="11523" width="8.85546875" style="1236" customWidth="1"/>
    <col min="11524" max="11524" width="47.85546875" style="1236" customWidth="1"/>
    <col min="11525" max="11525" width="12.85546875" style="1236" customWidth="1"/>
    <col min="11526" max="11526" width="15.5703125" style="1236" customWidth="1"/>
    <col min="11527" max="11527" width="15.85546875" style="1236" customWidth="1"/>
    <col min="11528" max="11528" width="6.42578125" style="1236" customWidth="1"/>
    <col min="11529" max="11530" width="9.140625" style="1236"/>
    <col min="11531" max="11532" width="14.7109375" style="1236" bestFit="1" customWidth="1"/>
    <col min="11533" max="11776" width="9.140625" style="1236"/>
    <col min="11777" max="11777" width="5.5703125" style="1236" customWidth="1"/>
    <col min="11778" max="11778" width="6.7109375" style="1236" customWidth="1"/>
    <col min="11779" max="11779" width="8.85546875" style="1236" customWidth="1"/>
    <col min="11780" max="11780" width="47.85546875" style="1236" customWidth="1"/>
    <col min="11781" max="11781" width="12.85546875" style="1236" customWidth="1"/>
    <col min="11782" max="11782" width="15.5703125" style="1236" customWidth="1"/>
    <col min="11783" max="11783" width="15.85546875" style="1236" customWidth="1"/>
    <col min="11784" max="11784" width="6.42578125" style="1236" customWidth="1"/>
    <col min="11785" max="11786" width="9.140625" style="1236"/>
    <col min="11787" max="11788" width="14.7109375" style="1236" bestFit="1" customWidth="1"/>
    <col min="11789" max="12032" width="9.140625" style="1236"/>
    <col min="12033" max="12033" width="5.5703125" style="1236" customWidth="1"/>
    <col min="12034" max="12034" width="6.7109375" style="1236" customWidth="1"/>
    <col min="12035" max="12035" width="8.85546875" style="1236" customWidth="1"/>
    <col min="12036" max="12036" width="47.85546875" style="1236" customWidth="1"/>
    <col min="12037" max="12037" width="12.85546875" style="1236" customWidth="1"/>
    <col min="12038" max="12038" width="15.5703125" style="1236" customWidth="1"/>
    <col min="12039" max="12039" width="15.85546875" style="1236" customWidth="1"/>
    <col min="12040" max="12040" width="6.42578125" style="1236" customWidth="1"/>
    <col min="12041" max="12042" width="9.140625" style="1236"/>
    <col min="12043" max="12044" width="14.7109375" style="1236" bestFit="1" customWidth="1"/>
    <col min="12045" max="12288" width="9.140625" style="1236"/>
    <col min="12289" max="12289" width="5.5703125" style="1236" customWidth="1"/>
    <col min="12290" max="12290" width="6.7109375" style="1236" customWidth="1"/>
    <col min="12291" max="12291" width="8.85546875" style="1236" customWidth="1"/>
    <col min="12292" max="12292" width="47.85546875" style="1236" customWidth="1"/>
    <col min="12293" max="12293" width="12.85546875" style="1236" customWidth="1"/>
    <col min="12294" max="12294" width="15.5703125" style="1236" customWidth="1"/>
    <col min="12295" max="12295" width="15.85546875" style="1236" customWidth="1"/>
    <col min="12296" max="12296" width="6.42578125" style="1236" customWidth="1"/>
    <col min="12297" max="12298" width="9.140625" style="1236"/>
    <col min="12299" max="12300" width="14.7109375" style="1236" bestFit="1" customWidth="1"/>
    <col min="12301" max="12544" width="9.140625" style="1236"/>
    <col min="12545" max="12545" width="5.5703125" style="1236" customWidth="1"/>
    <col min="12546" max="12546" width="6.7109375" style="1236" customWidth="1"/>
    <col min="12547" max="12547" width="8.85546875" style="1236" customWidth="1"/>
    <col min="12548" max="12548" width="47.85546875" style="1236" customWidth="1"/>
    <col min="12549" max="12549" width="12.85546875" style="1236" customWidth="1"/>
    <col min="12550" max="12550" width="15.5703125" style="1236" customWidth="1"/>
    <col min="12551" max="12551" width="15.85546875" style="1236" customWidth="1"/>
    <col min="12552" max="12552" width="6.42578125" style="1236" customWidth="1"/>
    <col min="12553" max="12554" width="9.140625" style="1236"/>
    <col min="12555" max="12556" width="14.7109375" style="1236" bestFit="1" customWidth="1"/>
    <col min="12557" max="12800" width="9.140625" style="1236"/>
    <col min="12801" max="12801" width="5.5703125" style="1236" customWidth="1"/>
    <col min="12802" max="12802" width="6.7109375" style="1236" customWidth="1"/>
    <col min="12803" max="12803" width="8.85546875" style="1236" customWidth="1"/>
    <col min="12804" max="12804" width="47.85546875" style="1236" customWidth="1"/>
    <col min="12805" max="12805" width="12.85546875" style="1236" customWidth="1"/>
    <col min="12806" max="12806" width="15.5703125" style="1236" customWidth="1"/>
    <col min="12807" max="12807" width="15.85546875" style="1236" customWidth="1"/>
    <col min="12808" max="12808" width="6.42578125" style="1236" customWidth="1"/>
    <col min="12809" max="12810" width="9.140625" style="1236"/>
    <col min="12811" max="12812" width="14.7109375" style="1236" bestFit="1" customWidth="1"/>
    <col min="12813" max="13056" width="9.140625" style="1236"/>
    <col min="13057" max="13057" width="5.5703125" style="1236" customWidth="1"/>
    <col min="13058" max="13058" width="6.7109375" style="1236" customWidth="1"/>
    <col min="13059" max="13059" width="8.85546875" style="1236" customWidth="1"/>
    <col min="13060" max="13060" width="47.85546875" style="1236" customWidth="1"/>
    <col min="13061" max="13061" width="12.85546875" style="1236" customWidth="1"/>
    <col min="13062" max="13062" width="15.5703125" style="1236" customWidth="1"/>
    <col min="13063" max="13063" width="15.85546875" style="1236" customWidth="1"/>
    <col min="13064" max="13064" width="6.42578125" style="1236" customWidth="1"/>
    <col min="13065" max="13066" width="9.140625" style="1236"/>
    <col min="13067" max="13068" width="14.7109375" style="1236" bestFit="1" customWidth="1"/>
    <col min="13069" max="13312" width="9.140625" style="1236"/>
    <col min="13313" max="13313" width="5.5703125" style="1236" customWidth="1"/>
    <col min="13314" max="13314" width="6.7109375" style="1236" customWidth="1"/>
    <col min="13315" max="13315" width="8.85546875" style="1236" customWidth="1"/>
    <col min="13316" max="13316" width="47.85546875" style="1236" customWidth="1"/>
    <col min="13317" max="13317" width="12.85546875" style="1236" customWidth="1"/>
    <col min="13318" max="13318" width="15.5703125" style="1236" customWidth="1"/>
    <col min="13319" max="13319" width="15.85546875" style="1236" customWidth="1"/>
    <col min="13320" max="13320" width="6.42578125" style="1236" customWidth="1"/>
    <col min="13321" max="13322" width="9.140625" style="1236"/>
    <col min="13323" max="13324" width="14.7109375" style="1236" bestFit="1" customWidth="1"/>
    <col min="13325" max="13568" width="9.140625" style="1236"/>
    <col min="13569" max="13569" width="5.5703125" style="1236" customWidth="1"/>
    <col min="13570" max="13570" width="6.7109375" style="1236" customWidth="1"/>
    <col min="13571" max="13571" width="8.85546875" style="1236" customWidth="1"/>
    <col min="13572" max="13572" width="47.85546875" style="1236" customWidth="1"/>
    <col min="13573" max="13573" width="12.85546875" style="1236" customWidth="1"/>
    <col min="13574" max="13574" width="15.5703125" style="1236" customWidth="1"/>
    <col min="13575" max="13575" width="15.85546875" style="1236" customWidth="1"/>
    <col min="13576" max="13576" width="6.42578125" style="1236" customWidth="1"/>
    <col min="13577" max="13578" width="9.140625" style="1236"/>
    <col min="13579" max="13580" width="14.7109375" style="1236" bestFit="1" customWidth="1"/>
    <col min="13581" max="13824" width="9.140625" style="1236"/>
    <col min="13825" max="13825" width="5.5703125" style="1236" customWidth="1"/>
    <col min="13826" max="13826" width="6.7109375" style="1236" customWidth="1"/>
    <col min="13827" max="13827" width="8.85546875" style="1236" customWidth="1"/>
    <col min="13828" max="13828" width="47.85546875" style="1236" customWidth="1"/>
    <col min="13829" max="13829" width="12.85546875" style="1236" customWidth="1"/>
    <col min="13830" max="13830" width="15.5703125" style="1236" customWidth="1"/>
    <col min="13831" max="13831" width="15.85546875" style="1236" customWidth="1"/>
    <col min="13832" max="13832" width="6.42578125" style="1236" customWidth="1"/>
    <col min="13833" max="13834" width="9.140625" style="1236"/>
    <col min="13835" max="13836" width="14.7109375" style="1236" bestFit="1" customWidth="1"/>
    <col min="13837" max="14080" width="9.140625" style="1236"/>
    <col min="14081" max="14081" width="5.5703125" style="1236" customWidth="1"/>
    <col min="14082" max="14082" width="6.7109375" style="1236" customWidth="1"/>
    <col min="14083" max="14083" width="8.85546875" style="1236" customWidth="1"/>
    <col min="14084" max="14084" width="47.85546875" style="1236" customWidth="1"/>
    <col min="14085" max="14085" width="12.85546875" style="1236" customWidth="1"/>
    <col min="14086" max="14086" width="15.5703125" style="1236" customWidth="1"/>
    <col min="14087" max="14087" width="15.85546875" style="1236" customWidth="1"/>
    <col min="14088" max="14088" width="6.42578125" style="1236" customWidth="1"/>
    <col min="14089" max="14090" width="9.140625" style="1236"/>
    <col min="14091" max="14092" width="14.7109375" style="1236" bestFit="1" customWidth="1"/>
    <col min="14093" max="14336" width="9.140625" style="1236"/>
    <col min="14337" max="14337" width="5.5703125" style="1236" customWidth="1"/>
    <col min="14338" max="14338" width="6.7109375" style="1236" customWidth="1"/>
    <col min="14339" max="14339" width="8.85546875" style="1236" customWidth="1"/>
    <col min="14340" max="14340" width="47.85546875" style="1236" customWidth="1"/>
    <col min="14341" max="14341" width="12.85546875" style="1236" customWidth="1"/>
    <col min="14342" max="14342" width="15.5703125" style="1236" customWidth="1"/>
    <col min="14343" max="14343" width="15.85546875" style="1236" customWidth="1"/>
    <col min="14344" max="14344" width="6.42578125" style="1236" customWidth="1"/>
    <col min="14345" max="14346" width="9.140625" style="1236"/>
    <col min="14347" max="14348" width="14.7109375" style="1236" bestFit="1" customWidth="1"/>
    <col min="14349" max="14592" width="9.140625" style="1236"/>
    <col min="14593" max="14593" width="5.5703125" style="1236" customWidth="1"/>
    <col min="14594" max="14594" width="6.7109375" style="1236" customWidth="1"/>
    <col min="14595" max="14595" width="8.85546875" style="1236" customWidth="1"/>
    <col min="14596" max="14596" width="47.85546875" style="1236" customWidth="1"/>
    <col min="14597" max="14597" width="12.85546875" style="1236" customWidth="1"/>
    <col min="14598" max="14598" width="15.5703125" style="1236" customWidth="1"/>
    <col min="14599" max="14599" width="15.85546875" style="1236" customWidth="1"/>
    <col min="14600" max="14600" width="6.42578125" style="1236" customWidth="1"/>
    <col min="14601" max="14602" width="9.140625" style="1236"/>
    <col min="14603" max="14604" width="14.7109375" style="1236" bestFit="1" customWidth="1"/>
    <col min="14605" max="14848" width="9.140625" style="1236"/>
    <col min="14849" max="14849" width="5.5703125" style="1236" customWidth="1"/>
    <col min="14850" max="14850" width="6.7109375" style="1236" customWidth="1"/>
    <col min="14851" max="14851" width="8.85546875" style="1236" customWidth="1"/>
    <col min="14852" max="14852" width="47.85546875" style="1236" customWidth="1"/>
    <col min="14853" max="14853" width="12.85546875" style="1236" customWidth="1"/>
    <col min="14854" max="14854" width="15.5703125" style="1236" customWidth="1"/>
    <col min="14855" max="14855" width="15.85546875" style="1236" customWidth="1"/>
    <col min="14856" max="14856" width="6.42578125" style="1236" customWidth="1"/>
    <col min="14857" max="14858" width="9.140625" style="1236"/>
    <col min="14859" max="14860" width="14.7109375" style="1236" bestFit="1" customWidth="1"/>
    <col min="14861" max="15104" width="9.140625" style="1236"/>
    <col min="15105" max="15105" width="5.5703125" style="1236" customWidth="1"/>
    <col min="15106" max="15106" width="6.7109375" style="1236" customWidth="1"/>
    <col min="15107" max="15107" width="8.85546875" style="1236" customWidth="1"/>
    <col min="15108" max="15108" width="47.85546875" style="1236" customWidth="1"/>
    <col min="15109" max="15109" width="12.85546875" style="1236" customWidth="1"/>
    <col min="15110" max="15110" width="15.5703125" style="1236" customWidth="1"/>
    <col min="15111" max="15111" width="15.85546875" style="1236" customWidth="1"/>
    <col min="15112" max="15112" width="6.42578125" style="1236" customWidth="1"/>
    <col min="15113" max="15114" width="9.140625" style="1236"/>
    <col min="15115" max="15116" width="14.7109375" style="1236" bestFit="1" customWidth="1"/>
    <col min="15117" max="15360" width="9.140625" style="1236"/>
    <col min="15361" max="15361" width="5.5703125" style="1236" customWidth="1"/>
    <col min="15362" max="15362" width="6.7109375" style="1236" customWidth="1"/>
    <col min="15363" max="15363" width="8.85546875" style="1236" customWidth="1"/>
    <col min="15364" max="15364" width="47.85546875" style="1236" customWidth="1"/>
    <col min="15365" max="15365" width="12.85546875" style="1236" customWidth="1"/>
    <col min="15366" max="15366" width="15.5703125" style="1236" customWidth="1"/>
    <col min="15367" max="15367" width="15.85546875" style="1236" customWidth="1"/>
    <col min="15368" max="15368" width="6.42578125" style="1236" customWidth="1"/>
    <col min="15369" max="15370" width="9.140625" style="1236"/>
    <col min="15371" max="15372" width="14.7109375" style="1236" bestFit="1" customWidth="1"/>
    <col min="15373" max="15616" width="9.140625" style="1236"/>
    <col min="15617" max="15617" width="5.5703125" style="1236" customWidth="1"/>
    <col min="15618" max="15618" width="6.7109375" style="1236" customWidth="1"/>
    <col min="15619" max="15619" width="8.85546875" style="1236" customWidth="1"/>
    <col min="15620" max="15620" width="47.85546875" style="1236" customWidth="1"/>
    <col min="15621" max="15621" width="12.85546875" style="1236" customWidth="1"/>
    <col min="15622" max="15622" width="15.5703125" style="1236" customWidth="1"/>
    <col min="15623" max="15623" width="15.85546875" style="1236" customWidth="1"/>
    <col min="15624" max="15624" width="6.42578125" style="1236" customWidth="1"/>
    <col min="15625" max="15626" width="9.140625" style="1236"/>
    <col min="15627" max="15628" width="14.7109375" style="1236" bestFit="1" customWidth="1"/>
    <col min="15629" max="15872" width="9.140625" style="1236"/>
    <col min="15873" max="15873" width="5.5703125" style="1236" customWidth="1"/>
    <col min="15874" max="15874" width="6.7109375" style="1236" customWidth="1"/>
    <col min="15875" max="15875" width="8.85546875" style="1236" customWidth="1"/>
    <col min="15876" max="15876" width="47.85546875" style="1236" customWidth="1"/>
    <col min="15877" max="15877" width="12.85546875" style="1236" customWidth="1"/>
    <col min="15878" max="15878" width="15.5703125" style="1236" customWidth="1"/>
    <col min="15879" max="15879" width="15.85546875" style="1236" customWidth="1"/>
    <col min="15880" max="15880" width="6.42578125" style="1236" customWidth="1"/>
    <col min="15881" max="15882" width="9.140625" style="1236"/>
    <col min="15883" max="15884" width="14.7109375" style="1236" bestFit="1" customWidth="1"/>
    <col min="15885" max="16128" width="9.140625" style="1236"/>
    <col min="16129" max="16129" width="5.5703125" style="1236" customWidth="1"/>
    <col min="16130" max="16130" width="6.7109375" style="1236" customWidth="1"/>
    <col min="16131" max="16131" width="8.85546875" style="1236" customWidth="1"/>
    <col min="16132" max="16132" width="47.85546875" style="1236" customWidth="1"/>
    <col min="16133" max="16133" width="12.85546875" style="1236" customWidth="1"/>
    <col min="16134" max="16134" width="15.5703125" style="1236" customWidth="1"/>
    <col min="16135" max="16135" width="15.85546875" style="1236" customWidth="1"/>
    <col min="16136" max="16136" width="6.42578125" style="1236" customWidth="1"/>
    <col min="16137" max="16138" width="9.140625" style="1236"/>
    <col min="16139" max="16140" width="14.7109375" style="1236" bestFit="1" customWidth="1"/>
    <col min="16141" max="16384" width="9.140625" style="1236"/>
  </cols>
  <sheetData>
    <row r="1" spans="1:9" ht="18.75" thickBot="1" x14ac:dyDescent="0.3">
      <c r="A1" s="1230" t="s">
        <v>2008</v>
      </c>
      <c r="B1" s="1231"/>
      <c r="C1" s="1232"/>
      <c r="D1" s="1233"/>
      <c r="E1" s="1234"/>
      <c r="F1" s="1233"/>
      <c r="G1" s="1235"/>
      <c r="H1" s="1230"/>
    </row>
    <row r="2" spans="1:9" ht="18" x14ac:dyDescent="0.25">
      <c r="A2" s="1237"/>
      <c r="B2" s="1238"/>
      <c r="C2" s="1238"/>
      <c r="D2" s="1238"/>
      <c r="E2" s="1238"/>
      <c r="F2" s="1238"/>
      <c r="G2" s="1238"/>
      <c r="H2" s="1239" t="s">
        <v>1062</v>
      </c>
    </row>
    <row r="3" spans="1:9" ht="18" x14ac:dyDescent="0.25">
      <c r="A3" s="1240" t="s">
        <v>201</v>
      </c>
      <c r="B3" s="1238"/>
      <c r="C3" s="2205" t="s">
        <v>121</v>
      </c>
      <c r="D3" s="1238"/>
      <c r="E3" s="1238"/>
      <c r="F3" s="1238"/>
      <c r="G3" s="1238"/>
      <c r="H3" s="1239"/>
    </row>
    <row r="4" spans="1:9" ht="18" x14ac:dyDescent="0.25">
      <c r="A4" s="1237"/>
      <c r="B4" s="1238"/>
      <c r="C4" s="1374" t="s">
        <v>781</v>
      </c>
      <c r="D4" s="1238"/>
      <c r="E4" s="1238"/>
      <c r="F4" s="1238"/>
      <c r="G4" s="1238"/>
      <c r="H4" s="1239"/>
    </row>
    <row r="5" spans="1:9" ht="18" x14ac:dyDescent="0.25">
      <c r="A5" s="1242" t="s">
        <v>1061</v>
      </c>
      <c r="B5" s="1238"/>
      <c r="C5" s="1238"/>
      <c r="D5" s="1238"/>
      <c r="E5" s="1238"/>
      <c r="F5" s="1238"/>
      <c r="G5" s="1238"/>
      <c r="H5" s="1239"/>
    </row>
    <row r="6" spans="1:9" x14ac:dyDescent="0.2">
      <c r="A6" s="1243"/>
      <c r="B6" s="1243"/>
      <c r="C6" s="1243"/>
      <c r="D6" s="1325"/>
      <c r="E6" s="1244"/>
      <c r="F6" s="1244"/>
      <c r="G6" s="1244"/>
    </row>
    <row r="7" spans="1:9" x14ac:dyDescent="0.2">
      <c r="A7" s="1243"/>
      <c r="B7" s="1243"/>
      <c r="C7" s="1243"/>
      <c r="E7" s="1244"/>
      <c r="F7" s="1244"/>
      <c r="G7" s="1244"/>
    </row>
    <row r="8" spans="1:9" ht="13.5" x14ac:dyDescent="0.25">
      <c r="A8" s="3333" t="s">
        <v>1504</v>
      </c>
      <c r="B8" s="3334"/>
      <c r="C8" s="3334"/>
      <c r="D8" s="3334"/>
      <c r="E8" s="3334"/>
      <c r="F8" s="3334"/>
      <c r="G8" s="3334"/>
      <c r="H8" s="3334"/>
    </row>
    <row r="9" spans="1:9" ht="15.75" thickBot="1" x14ac:dyDescent="0.3">
      <c r="A9" s="1229" t="s">
        <v>1503</v>
      </c>
      <c r="B9" s="1243"/>
      <c r="C9" s="1243"/>
      <c r="D9" s="1243"/>
      <c r="F9" s="1244"/>
      <c r="G9" s="1244"/>
      <c r="H9" s="1245" t="s">
        <v>92</v>
      </c>
      <c r="I9" s="1311"/>
    </row>
    <row r="10" spans="1:9" ht="25.5" thickTop="1" thickBot="1" x14ac:dyDescent="0.25">
      <c r="A10" s="1246" t="s">
        <v>93</v>
      </c>
      <c r="B10" s="1247" t="s">
        <v>392</v>
      </c>
      <c r="C10" s="1247" t="s">
        <v>209</v>
      </c>
      <c r="D10" s="1248" t="s">
        <v>95</v>
      </c>
      <c r="E10" s="1249" t="s">
        <v>328</v>
      </c>
      <c r="F10" s="1249" t="s">
        <v>329</v>
      </c>
      <c r="G10" s="1250" t="s">
        <v>448</v>
      </c>
      <c r="H10" s="1251" t="s">
        <v>449</v>
      </c>
    </row>
    <row r="11" spans="1:9" ht="14.25" thickTop="1" thickBot="1" x14ac:dyDescent="0.25">
      <c r="A11" s="1252">
        <v>1</v>
      </c>
      <c r="B11" s="1253">
        <v>2</v>
      </c>
      <c r="C11" s="1253">
        <v>3</v>
      </c>
      <c r="D11" s="1253">
        <v>4</v>
      </c>
      <c r="E11" s="1254">
        <v>5</v>
      </c>
      <c r="F11" s="1254">
        <v>6</v>
      </c>
      <c r="G11" s="1255">
        <v>7</v>
      </c>
      <c r="H11" s="1271" t="s">
        <v>33</v>
      </c>
    </row>
    <row r="12" spans="1:9" s="1238" customFormat="1" ht="15.75" thickTop="1" x14ac:dyDescent="0.25">
      <c r="A12" s="3074">
        <v>3713</v>
      </c>
      <c r="B12" s="3072">
        <v>5011</v>
      </c>
      <c r="C12" s="3081">
        <v>106515011</v>
      </c>
      <c r="D12" s="1280" t="s">
        <v>117</v>
      </c>
      <c r="E12" s="3068">
        <v>0</v>
      </c>
      <c r="F12" s="3068">
        <v>1963</v>
      </c>
      <c r="G12" s="3068">
        <v>1868</v>
      </c>
      <c r="H12" s="3069">
        <f>G12/F12*100</f>
        <v>95.160468670402437</v>
      </c>
    </row>
    <row r="13" spans="1:9" s="1238" customFormat="1" ht="30" x14ac:dyDescent="0.25">
      <c r="A13" s="3074">
        <v>3713</v>
      </c>
      <c r="B13" s="3072">
        <v>5031</v>
      </c>
      <c r="C13" s="3081">
        <v>106515011</v>
      </c>
      <c r="D13" s="1284" t="s">
        <v>621</v>
      </c>
      <c r="E13" s="3068">
        <v>0</v>
      </c>
      <c r="F13" s="3068">
        <v>491</v>
      </c>
      <c r="G13" s="3068">
        <v>467</v>
      </c>
      <c r="H13" s="3069">
        <f t="shared" ref="H13:H17" si="0">G13/F13*100</f>
        <v>95.112016293279027</v>
      </c>
    </row>
    <row r="14" spans="1:9" s="1238" customFormat="1" ht="30" x14ac:dyDescent="0.25">
      <c r="A14" s="3074">
        <v>3713</v>
      </c>
      <c r="B14" s="3072">
        <v>5032</v>
      </c>
      <c r="C14" s="3081">
        <v>106515011</v>
      </c>
      <c r="D14" s="1284" t="s">
        <v>553</v>
      </c>
      <c r="E14" s="3068">
        <v>0</v>
      </c>
      <c r="F14" s="3068">
        <v>177</v>
      </c>
      <c r="G14" s="3068">
        <v>169</v>
      </c>
      <c r="H14" s="3069">
        <f t="shared" si="0"/>
        <v>95.480225988700568</v>
      </c>
    </row>
    <row r="15" spans="1:9" s="1238" customFormat="1" ht="15" hidden="1" x14ac:dyDescent="0.25">
      <c r="A15" s="3074">
        <v>3713</v>
      </c>
      <c r="B15" s="3072">
        <v>5169</v>
      </c>
      <c r="C15" s="3081">
        <v>106515011</v>
      </c>
      <c r="D15" s="1280" t="s">
        <v>430</v>
      </c>
      <c r="E15" s="3068"/>
      <c r="F15" s="3068"/>
      <c r="G15" s="3068"/>
      <c r="H15" s="3069" t="e">
        <f t="shared" si="0"/>
        <v>#DIV/0!</v>
      </c>
    </row>
    <row r="16" spans="1:9" s="1238" customFormat="1" ht="30.75" thickBot="1" x14ac:dyDescent="0.25">
      <c r="A16" s="3074">
        <v>3713</v>
      </c>
      <c r="B16" s="3072">
        <v>6371</v>
      </c>
      <c r="C16" s="3073" t="s">
        <v>1500</v>
      </c>
      <c r="D16" s="1264" t="s">
        <v>1499</v>
      </c>
      <c r="E16" s="3068">
        <v>0</v>
      </c>
      <c r="F16" s="3068">
        <v>138584</v>
      </c>
      <c r="G16" s="3076">
        <v>129122</v>
      </c>
      <c r="H16" s="3082">
        <f t="shared" si="0"/>
        <v>93.172371990994634</v>
      </c>
    </row>
    <row r="17" spans="1:9" ht="16.5" thickTop="1" thickBot="1" x14ac:dyDescent="0.3">
      <c r="A17" s="1274" t="s">
        <v>394</v>
      </c>
      <c r="B17" s="1275"/>
      <c r="C17" s="1275"/>
      <c r="D17" s="1276"/>
      <c r="E17" s="1269">
        <f>SUM(E12:E16)</f>
        <v>0</v>
      </c>
      <c r="F17" s="1269">
        <f>SUM(F12:F16)</f>
        <v>141215</v>
      </c>
      <c r="G17" s="1269">
        <f>SUM(G12:G16)</f>
        <v>131626</v>
      </c>
      <c r="H17" s="3065">
        <f t="shared" si="0"/>
        <v>93.209644867754832</v>
      </c>
    </row>
    <row r="18" spans="1:9" ht="13.5" thickTop="1" x14ac:dyDescent="0.2">
      <c r="H18" s="2600"/>
    </row>
    <row r="20" spans="1:9" ht="13.5" x14ac:dyDescent="0.25">
      <c r="A20" s="3333" t="s">
        <v>1502</v>
      </c>
      <c r="B20" s="3334"/>
      <c r="C20" s="3334"/>
      <c r="D20" s="3334"/>
      <c r="E20" s="3334"/>
      <c r="F20" s="3334"/>
      <c r="G20" s="3334"/>
      <c r="H20" s="3334"/>
    </row>
    <row r="21" spans="1:9" ht="15.75" thickBot="1" x14ac:dyDescent="0.3">
      <c r="A21" s="1229" t="s">
        <v>1501</v>
      </c>
      <c r="B21" s="1243"/>
      <c r="C21" s="1243"/>
      <c r="D21" s="1243"/>
      <c r="F21" s="1244"/>
      <c r="G21" s="1244"/>
      <c r="H21" s="1245" t="s">
        <v>92</v>
      </c>
      <c r="I21" s="1311"/>
    </row>
    <row r="22" spans="1:9" ht="25.5" thickTop="1" thickBot="1" x14ac:dyDescent="0.25">
      <c r="A22" s="1246" t="s">
        <v>93</v>
      </c>
      <c r="B22" s="1247" t="s">
        <v>392</v>
      </c>
      <c r="C22" s="1247" t="s">
        <v>209</v>
      </c>
      <c r="D22" s="1248" t="s">
        <v>95</v>
      </c>
      <c r="E22" s="1249" t="s">
        <v>328</v>
      </c>
      <c r="F22" s="1249" t="s">
        <v>329</v>
      </c>
      <c r="G22" s="1250" t="s">
        <v>448</v>
      </c>
      <c r="H22" s="1251" t="s">
        <v>449</v>
      </c>
    </row>
    <row r="23" spans="1:9" ht="14.25" thickTop="1" thickBot="1" x14ac:dyDescent="0.25">
      <c r="A23" s="1252">
        <v>1</v>
      </c>
      <c r="B23" s="1253">
        <v>2</v>
      </c>
      <c r="C23" s="1253">
        <v>3</v>
      </c>
      <c r="D23" s="1253">
        <v>4</v>
      </c>
      <c r="E23" s="1254">
        <v>5</v>
      </c>
      <c r="F23" s="1254">
        <v>6</v>
      </c>
      <c r="G23" s="1255">
        <v>7</v>
      </c>
      <c r="H23" s="1271" t="s">
        <v>33</v>
      </c>
    </row>
    <row r="24" spans="1:9" ht="13.5" hidden="1" thickTop="1" x14ac:dyDescent="0.2">
      <c r="A24" s="2597"/>
      <c r="B24" s="2595"/>
      <c r="C24" s="2596"/>
      <c r="D24" s="2595"/>
      <c r="E24" s="2599"/>
      <c r="F24" s="2599"/>
      <c r="G24" s="2599"/>
      <c r="H24" s="2598"/>
    </row>
    <row r="25" spans="1:9" ht="13.5" hidden="1" thickTop="1" x14ac:dyDescent="0.2">
      <c r="A25" s="2597"/>
      <c r="B25" s="2595"/>
      <c r="C25" s="2596"/>
      <c r="D25" s="2595"/>
      <c r="E25" s="2594"/>
      <c r="F25" s="2594"/>
      <c r="G25" s="2593"/>
      <c r="H25" s="2592"/>
    </row>
    <row r="26" spans="1:9" ht="13.5" hidden="1" thickTop="1" x14ac:dyDescent="0.2">
      <c r="A26" s="2597"/>
      <c r="B26" s="2595"/>
      <c r="C26" s="2596"/>
      <c r="D26" s="2595"/>
      <c r="E26" s="2594"/>
      <c r="F26" s="2594"/>
      <c r="G26" s="2593"/>
      <c r="H26" s="2592"/>
    </row>
    <row r="27" spans="1:9" s="1238" customFormat="1" ht="15.75" hidden="1" thickTop="1" x14ac:dyDescent="0.25">
      <c r="A27" s="1308">
        <v>6409</v>
      </c>
      <c r="B27" s="1279">
        <v>5909</v>
      </c>
      <c r="C27" s="1357">
        <v>0</v>
      </c>
      <c r="D27" s="1280" t="s">
        <v>760</v>
      </c>
      <c r="E27" s="1265"/>
      <c r="F27" s="1265"/>
      <c r="G27" s="1265"/>
      <c r="H27" s="1266">
        <v>0</v>
      </c>
    </row>
    <row r="28" spans="1:9" s="1238" customFormat="1" ht="31.5" thickTop="1" thickBot="1" x14ac:dyDescent="0.25">
      <c r="A28" s="3071">
        <v>3713</v>
      </c>
      <c r="B28" s="3072">
        <v>6371</v>
      </c>
      <c r="C28" s="3073" t="s">
        <v>1500</v>
      </c>
      <c r="D28" s="1264" t="s">
        <v>1499</v>
      </c>
      <c r="E28" s="3068">
        <v>0</v>
      </c>
      <c r="F28" s="3068">
        <v>17220</v>
      </c>
      <c r="G28" s="3076">
        <v>15387</v>
      </c>
      <c r="H28" s="3069">
        <f>G28/F28*100</f>
        <v>89.355400696864109</v>
      </c>
    </row>
    <row r="29" spans="1:9" ht="16.5" thickTop="1" thickBot="1" x14ac:dyDescent="0.3">
      <c r="A29" s="1274" t="s">
        <v>394</v>
      </c>
      <c r="B29" s="1275"/>
      <c r="C29" s="1275"/>
      <c r="D29" s="1276"/>
      <c r="E29" s="1269">
        <f>SUM(E27:E28)</f>
        <v>0</v>
      </c>
      <c r="F29" s="1269">
        <f>SUM(F27:F28)</f>
        <v>17220</v>
      </c>
      <c r="G29" s="1269">
        <f>SUM(G27:G28)</f>
        <v>15387</v>
      </c>
      <c r="H29" s="3070">
        <f t="shared" ref="H29" si="1">G29/F29*100</f>
        <v>89.355400696864109</v>
      </c>
    </row>
    <row r="30" spans="1:9" ht="13.5" thickTop="1" x14ac:dyDescent="0.2"/>
    <row r="32" spans="1:9" ht="15.75" thickBot="1" x14ac:dyDescent="0.3">
      <c r="A32" s="1229" t="s">
        <v>137</v>
      </c>
      <c r="B32" s="1243"/>
      <c r="C32" s="1243"/>
      <c r="D32" s="1243"/>
      <c r="F32" s="1244"/>
      <c r="G32" s="1244"/>
      <c r="H32" s="1245" t="s">
        <v>92</v>
      </c>
      <c r="I32" s="1311"/>
    </row>
    <row r="33" spans="1:12" ht="25.5" thickTop="1" thickBot="1" x14ac:dyDescent="0.25">
      <c r="A33" s="1246" t="s">
        <v>93</v>
      </c>
      <c r="B33" s="1247" t="s">
        <v>392</v>
      </c>
      <c r="C33" s="1247" t="s">
        <v>209</v>
      </c>
      <c r="D33" s="1248" t="s">
        <v>95</v>
      </c>
      <c r="E33" s="1249" t="s">
        <v>328</v>
      </c>
      <c r="F33" s="1249" t="s">
        <v>329</v>
      </c>
      <c r="G33" s="1250" t="s">
        <v>448</v>
      </c>
      <c r="H33" s="1251" t="s">
        <v>449</v>
      </c>
    </row>
    <row r="34" spans="1:12" ht="14.25" thickTop="1" thickBot="1" x14ac:dyDescent="0.25">
      <c r="A34" s="1252">
        <v>1</v>
      </c>
      <c r="B34" s="1253">
        <v>2</v>
      </c>
      <c r="C34" s="1253">
        <v>3</v>
      </c>
      <c r="D34" s="1253">
        <v>5</v>
      </c>
      <c r="E34" s="1254">
        <v>6</v>
      </c>
      <c r="F34" s="1254">
        <v>7</v>
      </c>
      <c r="G34" s="1255">
        <v>8</v>
      </c>
      <c r="H34" s="1271" t="s">
        <v>393</v>
      </c>
    </row>
    <row r="35" spans="1:12" s="1238" customFormat="1" ht="15.75" hidden="1" thickTop="1" x14ac:dyDescent="0.25">
      <c r="A35" s="1308">
        <v>6409</v>
      </c>
      <c r="B35" s="1279">
        <v>5909</v>
      </c>
      <c r="C35" s="2206" t="s">
        <v>871</v>
      </c>
      <c r="D35" s="1280" t="s">
        <v>406</v>
      </c>
      <c r="E35" s="1260"/>
      <c r="F35" s="1260"/>
      <c r="G35" s="1272"/>
      <c r="H35" s="1261">
        <v>0</v>
      </c>
    </row>
    <row r="36" spans="1:12" s="1238" customFormat="1" ht="16.5" thickTop="1" thickBot="1" x14ac:dyDescent="0.25">
      <c r="A36" s="1262">
        <v>6330</v>
      </c>
      <c r="B36" s="1263">
        <v>5345</v>
      </c>
      <c r="C36" s="2203" t="s">
        <v>871</v>
      </c>
      <c r="D36" s="1264" t="s">
        <v>397</v>
      </c>
      <c r="E36" s="1265">
        <v>0</v>
      </c>
      <c r="F36" s="1265">
        <v>0</v>
      </c>
      <c r="G36" s="1273">
        <v>92729</v>
      </c>
      <c r="H36" s="3065">
        <v>0</v>
      </c>
    </row>
    <row r="37" spans="1:12" ht="16.5" thickTop="1" thickBot="1" x14ac:dyDescent="0.3">
      <c r="A37" s="1274" t="s">
        <v>394</v>
      </c>
      <c r="B37" s="1275"/>
      <c r="C37" s="1275"/>
      <c r="D37" s="1276"/>
      <c r="E37" s="1269">
        <f>SUM(E35:E36)</f>
        <v>0</v>
      </c>
      <c r="F37" s="1269">
        <f>SUM(F35:F36)</f>
        <v>0</v>
      </c>
      <c r="G37" s="1269">
        <f>SUM(G35:G36)</f>
        <v>92729</v>
      </c>
      <c r="H37" s="3070">
        <v>0</v>
      </c>
    </row>
    <row r="38" spans="1:12" ht="13.5" thickTop="1" x14ac:dyDescent="0.2"/>
    <row r="41" spans="1:12" ht="16.5" x14ac:dyDescent="0.25">
      <c r="A41" s="1285" t="s">
        <v>251</v>
      </c>
      <c r="B41" s="1286"/>
      <c r="C41" s="1287"/>
      <c r="D41" s="1288"/>
      <c r="E41" s="1289">
        <f>SUM(E42:E44)</f>
        <v>0</v>
      </c>
      <c r="F41" s="1289">
        <f>F42+F43+F44+F45</f>
        <v>158435</v>
      </c>
      <c r="G41" s="1289">
        <f>G42+G43+G44+G45</f>
        <v>239742</v>
      </c>
      <c r="H41" s="1290">
        <f>G41/F41*100</f>
        <v>151.31883737810458</v>
      </c>
      <c r="J41" s="1291">
        <f>J42+J43+J44</f>
        <v>0</v>
      </c>
      <c r="K41" s="1291">
        <f>K42+K43+K44</f>
        <v>158435064.30000001</v>
      </c>
      <c r="L41" s="1291">
        <f>L42+L43+L44</f>
        <v>239741659.19</v>
      </c>
    </row>
    <row r="42" spans="1:12" ht="15" x14ac:dyDescent="0.2">
      <c r="A42" s="1292" t="s">
        <v>147</v>
      </c>
      <c r="B42" s="1293"/>
      <c r="C42" s="1294"/>
      <c r="D42" s="1295"/>
      <c r="E42" s="1296">
        <f>E12+E13+E14+E15+E35</f>
        <v>0</v>
      </c>
      <c r="F42" s="1296">
        <f>F12+F13+F14+F15+F35</f>
        <v>2631</v>
      </c>
      <c r="G42" s="1296">
        <f>G12+G13+G14+G15+G35</f>
        <v>2504</v>
      </c>
      <c r="H42" s="1297">
        <f>G42/F42*100</f>
        <v>95.172938046370206</v>
      </c>
      <c r="J42" s="1298">
        <v>0</v>
      </c>
      <c r="K42" s="1298">
        <v>2631110.75</v>
      </c>
      <c r="L42" s="1298">
        <v>2503581.7000000002</v>
      </c>
    </row>
    <row r="43" spans="1:12" ht="15" x14ac:dyDescent="0.2">
      <c r="A43" s="1292" t="s">
        <v>148</v>
      </c>
      <c r="B43" s="1299"/>
      <c r="C43" s="1294"/>
      <c r="D43" s="1300"/>
      <c r="E43" s="1296">
        <f>E16+E28</f>
        <v>0</v>
      </c>
      <c r="F43" s="1296">
        <f>F16+F28</f>
        <v>155804</v>
      </c>
      <c r="G43" s="1296">
        <f>G16+G28</f>
        <v>144509</v>
      </c>
      <c r="H43" s="1297">
        <f>G43/F43*100</f>
        <v>92.75050704731585</v>
      </c>
      <c r="J43" s="1298">
        <v>0</v>
      </c>
      <c r="K43" s="1298">
        <v>155803953.55000001</v>
      </c>
      <c r="L43" s="1298">
        <v>144509159.99000001</v>
      </c>
    </row>
    <row r="44" spans="1:12" ht="15" x14ac:dyDescent="0.2">
      <c r="A44" s="1292" t="s">
        <v>252</v>
      </c>
      <c r="B44" s="1299"/>
      <c r="C44" s="1294"/>
      <c r="D44" s="1300"/>
      <c r="E44" s="1296">
        <f>E36</f>
        <v>0</v>
      </c>
      <c r="F44" s="1296">
        <f>F36</f>
        <v>0</v>
      </c>
      <c r="G44" s="1296">
        <f>G36</f>
        <v>92729</v>
      </c>
      <c r="H44" s="1297">
        <v>0</v>
      </c>
      <c r="J44" s="1298">
        <v>0</v>
      </c>
      <c r="K44" s="1298">
        <v>0</v>
      </c>
      <c r="L44" s="1298">
        <v>92728917.5</v>
      </c>
    </row>
    <row r="45" spans="1:12" ht="16.5" customHeight="1" x14ac:dyDescent="0.2">
      <c r="A45" s="1292"/>
      <c r="B45" s="1299"/>
      <c r="C45" s="1294"/>
      <c r="D45" s="1300"/>
      <c r="E45" s="1296"/>
      <c r="F45" s="1296"/>
      <c r="G45" s="1296"/>
      <c r="H45" s="1301"/>
    </row>
    <row r="46" spans="1:12" ht="57.75" customHeight="1" thickBot="1" x14ac:dyDescent="0.4">
      <c r="A46" s="3347" t="s">
        <v>2024</v>
      </c>
      <c r="B46" s="3347"/>
      <c r="C46" s="3347"/>
      <c r="D46" s="3347"/>
      <c r="E46" s="1302">
        <f>SUM(E41)</f>
        <v>0</v>
      </c>
      <c r="F46" s="1302">
        <f>SUM(F41)</f>
        <v>158435</v>
      </c>
      <c r="G46" s="1302">
        <f>SUM(G41)</f>
        <v>239742</v>
      </c>
      <c r="H46" s="1303">
        <f>G46/F46*100</f>
        <v>151.31883737810458</v>
      </c>
    </row>
    <row r="47" spans="1:12" ht="13.5" thickTop="1" x14ac:dyDescent="0.2"/>
  </sheetData>
  <mergeCells count="3">
    <mergeCell ref="A8:H8"/>
    <mergeCell ref="A46:D46"/>
    <mergeCell ref="A20:H20"/>
  </mergeCells>
  <pageMargins left="0.70866141732283472" right="0.70866141732283472" top="0.78740157480314965" bottom="0.78740157480314965" header="0.31496062992125984" footer="0.31496062992125984"/>
  <pageSetup paperSize="9" scale="65" firstPageNumber="158" orientation="portrait" useFirstPageNumber="1" r:id="rId1"/>
  <headerFooter>
    <oddFooter>&amp;L&amp;"Arial,Kurzíva"Zastupitelstvo Olomouckého kraje 25. 6. 2018
5. - Rozpočet Olomouckého kraje 2017 - závěrečný  účet 
Příloha č. 3: Plnění rozpočtu výdajů Olomouckého kraje k 31. 12. 2017&amp;R&amp;"Arial,Kurzíva"Strana &amp;P (celkem 478)</oddFooter>
  </headerFooter>
  <colBreaks count="1" manualBreakCount="1">
    <brk id="8" max="1048575" man="1"/>
  </col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FF"/>
  </sheetPr>
  <dimension ref="A1:L47"/>
  <sheetViews>
    <sheetView view="pageBreakPreview" topLeftCell="A12" zoomScaleNormal="100" zoomScaleSheetLayoutView="100" workbookViewId="0">
      <selection activeCell="A47" sqref="A47"/>
    </sheetView>
  </sheetViews>
  <sheetFormatPr defaultRowHeight="12.75" x14ac:dyDescent="0.2"/>
  <cols>
    <col min="1" max="1" width="5.5703125" style="1236" customWidth="1"/>
    <col min="2" max="2" width="6.7109375" style="1236" customWidth="1"/>
    <col min="3" max="3" width="10.42578125" style="1236" customWidth="1"/>
    <col min="4" max="4" width="47.7109375" style="1236" customWidth="1"/>
    <col min="5" max="5" width="15.42578125" style="1236" customWidth="1"/>
    <col min="6" max="6" width="15.5703125" style="1236" customWidth="1"/>
    <col min="7" max="7" width="15.85546875" style="1236" customWidth="1"/>
    <col min="8" max="8" width="8.7109375" style="1236" customWidth="1"/>
    <col min="9" max="10" width="9.140625" style="1236"/>
    <col min="11" max="11" width="17.28515625" style="1236" bestFit="1" customWidth="1"/>
    <col min="12" max="12" width="17" style="1236" customWidth="1"/>
    <col min="13" max="256" width="9.140625" style="1236"/>
    <col min="257" max="257" width="5.5703125" style="1236" customWidth="1"/>
    <col min="258" max="258" width="6.7109375" style="1236" customWidth="1"/>
    <col min="259" max="259" width="8.85546875" style="1236" customWidth="1"/>
    <col min="260" max="260" width="47.85546875" style="1236" customWidth="1"/>
    <col min="261" max="261" width="12.85546875" style="1236" customWidth="1"/>
    <col min="262" max="262" width="15.5703125" style="1236" customWidth="1"/>
    <col min="263" max="263" width="15.85546875" style="1236" customWidth="1"/>
    <col min="264" max="264" width="6.42578125" style="1236" customWidth="1"/>
    <col min="265" max="266" width="9.140625" style="1236"/>
    <col min="267" max="268" width="14.7109375" style="1236" bestFit="1" customWidth="1"/>
    <col min="269" max="512" width="9.140625" style="1236"/>
    <col min="513" max="513" width="5.5703125" style="1236" customWidth="1"/>
    <col min="514" max="514" width="6.7109375" style="1236" customWidth="1"/>
    <col min="515" max="515" width="8.85546875" style="1236" customWidth="1"/>
    <col min="516" max="516" width="47.85546875" style="1236" customWidth="1"/>
    <col min="517" max="517" width="12.85546875" style="1236" customWidth="1"/>
    <col min="518" max="518" width="15.5703125" style="1236" customWidth="1"/>
    <col min="519" max="519" width="15.85546875" style="1236" customWidth="1"/>
    <col min="520" max="520" width="6.42578125" style="1236" customWidth="1"/>
    <col min="521" max="522" width="9.140625" style="1236"/>
    <col min="523" max="524" width="14.7109375" style="1236" bestFit="1" customWidth="1"/>
    <col min="525" max="768" width="9.140625" style="1236"/>
    <col min="769" max="769" width="5.5703125" style="1236" customWidth="1"/>
    <col min="770" max="770" width="6.7109375" style="1236" customWidth="1"/>
    <col min="771" max="771" width="8.85546875" style="1236" customWidth="1"/>
    <col min="772" max="772" width="47.85546875" style="1236" customWidth="1"/>
    <col min="773" max="773" width="12.85546875" style="1236" customWidth="1"/>
    <col min="774" max="774" width="15.5703125" style="1236" customWidth="1"/>
    <col min="775" max="775" width="15.85546875" style="1236" customWidth="1"/>
    <col min="776" max="776" width="6.42578125" style="1236" customWidth="1"/>
    <col min="777" max="778" width="9.140625" style="1236"/>
    <col min="779" max="780" width="14.7109375" style="1236" bestFit="1" customWidth="1"/>
    <col min="781" max="1024" width="9.140625" style="1236"/>
    <col min="1025" max="1025" width="5.5703125" style="1236" customWidth="1"/>
    <col min="1026" max="1026" width="6.7109375" style="1236" customWidth="1"/>
    <col min="1027" max="1027" width="8.85546875" style="1236" customWidth="1"/>
    <col min="1028" max="1028" width="47.85546875" style="1236" customWidth="1"/>
    <col min="1029" max="1029" width="12.85546875" style="1236" customWidth="1"/>
    <col min="1030" max="1030" width="15.5703125" style="1236" customWidth="1"/>
    <col min="1031" max="1031" width="15.85546875" style="1236" customWidth="1"/>
    <col min="1032" max="1032" width="6.42578125" style="1236" customWidth="1"/>
    <col min="1033" max="1034" width="9.140625" style="1236"/>
    <col min="1035" max="1036" width="14.7109375" style="1236" bestFit="1" customWidth="1"/>
    <col min="1037" max="1280" width="9.140625" style="1236"/>
    <col min="1281" max="1281" width="5.5703125" style="1236" customWidth="1"/>
    <col min="1282" max="1282" width="6.7109375" style="1236" customWidth="1"/>
    <col min="1283" max="1283" width="8.85546875" style="1236" customWidth="1"/>
    <col min="1284" max="1284" width="47.85546875" style="1236" customWidth="1"/>
    <col min="1285" max="1285" width="12.85546875" style="1236" customWidth="1"/>
    <col min="1286" max="1286" width="15.5703125" style="1236" customWidth="1"/>
    <col min="1287" max="1287" width="15.85546875" style="1236" customWidth="1"/>
    <col min="1288" max="1288" width="6.42578125" style="1236" customWidth="1"/>
    <col min="1289" max="1290" width="9.140625" style="1236"/>
    <col min="1291" max="1292" width="14.7109375" style="1236" bestFit="1" customWidth="1"/>
    <col min="1293" max="1536" width="9.140625" style="1236"/>
    <col min="1537" max="1537" width="5.5703125" style="1236" customWidth="1"/>
    <col min="1538" max="1538" width="6.7109375" style="1236" customWidth="1"/>
    <col min="1539" max="1539" width="8.85546875" style="1236" customWidth="1"/>
    <col min="1540" max="1540" width="47.85546875" style="1236" customWidth="1"/>
    <col min="1541" max="1541" width="12.85546875" style="1236" customWidth="1"/>
    <col min="1542" max="1542" width="15.5703125" style="1236" customWidth="1"/>
    <col min="1543" max="1543" width="15.85546875" style="1236" customWidth="1"/>
    <col min="1544" max="1544" width="6.42578125" style="1236" customWidth="1"/>
    <col min="1545" max="1546" width="9.140625" style="1236"/>
    <col min="1547" max="1548" width="14.7109375" style="1236" bestFit="1" customWidth="1"/>
    <col min="1549" max="1792" width="9.140625" style="1236"/>
    <col min="1793" max="1793" width="5.5703125" style="1236" customWidth="1"/>
    <col min="1794" max="1794" width="6.7109375" style="1236" customWidth="1"/>
    <col min="1795" max="1795" width="8.85546875" style="1236" customWidth="1"/>
    <col min="1796" max="1796" width="47.85546875" style="1236" customWidth="1"/>
    <col min="1797" max="1797" width="12.85546875" style="1236" customWidth="1"/>
    <col min="1798" max="1798" width="15.5703125" style="1236" customWidth="1"/>
    <col min="1799" max="1799" width="15.85546875" style="1236" customWidth="1"/>
    <col min="1800" max="1800" width="6.42578125" style="1236" customWidth="1"/>
    <col min="1801" max="1802" width="9.140625" style="1236"/>
    <col min="1803" max="1804" width="14.7109375" style="1236" bestFit="1" customWidth="1"/>
    <col min="1805" max="2048" width="9.140625" style="1236"/>
    <col min="2049" max="2049" width="5.5703125" style="1236" customWidth="1"/>
    <col min="2050" max="2050" width="6.7109375" style="1236" customWidth="1"/>
    <col min="2051" max="2051" width="8.85546875" style="1236" customWidth="1"/>
    <col min="2052" max="2052" width="47.85546875" style="1236" customWidth="1"/>
    <col min="2053" max="2053" width="12.85546875" style="1236" customWidth="1"/>
    <col min="2054" max="2054" width="15.5703125" style="1236" customWidth="1"/>
    <col min="2055" max="2055" width="15.85546875" style="1236" customWidth="1"/>
    <col min="2056" max="2056" width="6.42578125" style="1236" customWidth="1"/>
    <col min="2057" max="2058" width="9.140625" style="1236"/>
    <col min="2059" max="2060" width="14.7109375" style="1236" bestFit="1" customWidth="1"/>
    <col min="2061" max="2304" width="9.140625" style="1236"/>
    <col min="2305" max="2305" width="5.5703125" style="1236" customWidth="1"/>
    <col min="2306" max="2306" width="6.7109375" style="1236" customWidth="1"/>
    <col min="2307" max="2307" width="8.85546875" style="1236" customWidth="1"/>
    <col min="2308" max="2308" width="47.85546875" style="1236" customWidth="1"/>
    <col min="2309" max="2309" width="12.85546875" style="1236" customWidth="1"/>
    <col min="2310" max="2310" width="15.5703125" style="1236" customWidth="1"/>
    <col min="2311" max="2311" width="15.85546875" style="1236" customWidth="1"/>
    <col min="2312" max="2312" width="6.42578125" style="1236" customWidth="1"/>
    <col min="2313" max="2314" width="9.140625" style="1236"/>
    <col min="2315" max="2316" width="14.7109375" style="1236" bestFit="1" customWidth="1"/>
    <col min="2317" max="2560" width="9.140625" style="1236"/>
    <col min="2561" max="2561" width="5.5703125" style="1236" customWidth="1"/>
    <col min="2562" max="2562" width="6.7109375" style="1236" customWidth="1"/>
    <col min="2563" max="2563" width="8.85546875" style="1236" customWidth="1"/>
    <col min="2564" max="2564" width="47.85546875" style="1236" customWidth="1"/>
    <col min="2565" max="2565" width="12.85546875" style="1236" customWidth="1"/>
    <col min="2566" max="2566" width="15.5703125" style="1236" customWidth="1"/>
    <col min="2567" max="2567" width="15.85546875" style="1236" customWidth="1"/>
    <col min="2568" max="2568" width="6.42578125" style="1236" customWidth="1"/>
    <col min="2569" max="2570" width="9.140625" style="1236"/>
    <col min="2571" max="2572" width="14.7109375" style="1236" bestFit="1" customWidth="1"/>
    <col min="2573" max="2816" width="9.140625" style="1236"/>
    <col min="2817" max="2817" width="5.5703125" style="1236" customWidth="1"/>
    <col min="2818" max="2818" width="6.7109375" style="1236" customWidth="1"/>
    <col min="2819" max="2819" width="8.85546875" style="1236" customWidth="1"/>
    <col min="2820" max="2820" width="47.85546875" style="1236" customWidth="1"/>
    <col min="2821" max="2821" width="12.85546875" style="1236" customWidth="1"/>
    <col min="2822" max="2822" width="15.5703125" style="1236" customWidth="1"/>
    <col min="2823" max="2823" width="15.85546875" style="1236" customWidth="1"/>
    <col min="2824" max="2824" width="6.42578125" style="1236" customWidth="1"/>
    <col min="2825" max="2826" width="9.140625" style="1236"/>
    <col min="2827" max="2828" width="14.7109375" style="1236" bestFit="1" customWidth="1"/>
    <col min="2829" max="3072" width="9.140625" style="1236"/>
    <col min="3073" max="3073" width="5.5703125" style="1236" customWidth="1"/>
    <col min="3074" max="3074" width="6.7109375" style="1236" customWidth="1"/>
    <col min="3075" max="3075" width="8.85546875" style="1236" customWidth="1"/>
    <col min="3076" max="3076" width="47.85546875" style="1236" customWidth="1"/>
    <col min="3077" max="3077" width="12.85546875" style="1236" customWidth="1"/>
    <col min="3078" max="3078" width="15.5703125" style="1236" customWidth="1"/>
    <col min="3079" max="3079" width="15.85546875" style="1236" customWidth="1"/>
    <col min="3080" max="3080" width="6.42578125" style="1236" customWidth="1"/>
    <col min="3081" max="3082" width="9.140625" style="1236"/>
    <col min="3083" max="3084" width="14.7109375" style="1236" bestFit="1" customWidth="1"/>
    <col min="3085" max="3328" width="9.140625" style="1236"/>
    <col min="3329" max="3329" width="5.5703125" style="1236" customWidth="1"/>
    <col min="3330" max="3330" width="6.7109375" style="1236" customWidth="1"/>
    <col min="3331" max="3331" width="8.85546875" style="1236" customWidth="1"/>
    <col min="3332" max="3332" width="47.85546875" style="1236" customWidth="1"/>
    <col min="3333" max="3333" width="12.85546875" style="1236" customWidth="1"/>
    <col min="3334" max="3334" width="15.5703125" style="1236" customWidth="1"/>
    <col min="3335" max="3335" width="15.85546875" style="1236" customWidth="1"/>
    <col min="3336" max="3336" width="6.42578125" style="1236" customWidth="1"/>
    <col min="3337" max="3338" width="9.140625" style="1236"/>
    <col min="3339" max="3340" width="14.7109375" style="1236" bestFit="1" customWidth="1"/>
    <col min="3341" max="3584" width="9.140625" style="1236"/>
    <col min="3585" max="3585" width="5.5703125" style="1236" customWidth="1"/>
    <col min="3586" max="3586" width="6.7109375" style="1236" customWidth="1"/>
    <col min="3587" max="3587" width="8.85546875" style="1236" customWidth="1"/>
    <col min="3588" max="3588" width="47.85546875" style="1236" customWidth="1"/>
    <col min="3589" max="3589" width="12.85546875" style="1236" customWidth="1"/>
    <col min="3590" max="3590" width="15.5703125" style="1236" customWidth="1"/>
    <col min="3591" max="3591" width="15.85546875" style="1236" customWidth="1"/>
    <col min="3592" max="3592" width="6.42578125" style="1236" customWidth="1"/>
    <col min="3593" max="3594" width="9.140625" style="1236"/>
    <col min="3595" max="3596" width="14.7109375" style="1236" bestFit="1" customWidth="1"/>
    <col min="3597" max="3840" width="9.140625" style="1236"/>
    <col min="3841" max="3841" width="5.5703125" style="1236" customWidth="1"/>
    <col min="3842" max="3842" width="6.7109375" style="1236" customWidth="1"/>
    <col min="3843" max="3843" width="8.85546875" style="1236" customWidth="1"/>
    <col min="3844" max="3844" width="47.85546875" style="1236" customWidth="1"/>
    <col min="3845" max="3845" width="12.85546875" style="1236" customWidth="1"/>
    <col min="3846" max="3846" width="15.5703125" style="1236" customWidth="1"/>
    <col min="3847" max="3847" width="15.85546875" style="1236" customWidth="1"/>
    <col min="3848" max="3848" width="6.42578125" style="1236" customWidth="1"/>
    <col min="3849" max="3850" width="9.140625" style="1236"/>
    <col min="3851" max="3852" width="14.7109375" style="1236" bestFit="1" customWidth="1"/>
    <col min="3853" max="4096" width="9.140625" style="1236"/>
    <col min="4097" max="4097" width="5.5703125" style="1236" customWidth="1"/>
    <col min="4098" max="4098" width="6.7109375" style="1236" customWidth="1"/>
    <col min="4099" max="4099" width="8.85546875" style="1236" customWidth="1"/>
    <col min="4100" max="4100" width="47.85546875" style="1236" customWidth="1"/>
    <col min="4101" max="4101" width="12.85546875" style="1236" customWidth="1"/>
    <col min="4102" max="4102" width="15.5703125" style="1236" customWidth="1"/>
    <col min="4103" max="4103" width="15.85546875" style="1236" customWidth="1"/>
    <col min="4104" max="4104" width="6.42578125" style="1236" customWidth="1"/>
    <col min="4105" max="4106" width="9.140625" style="1236"/>
    <col min="4107" max="4108" width="14.7109375" style="1236" bestFit="1" customWidth="1"/>
    <col min="4109" max="4352" width="9.140625" style="1236"/>
    <col min="4353" max="4353" width="5.5703125" style="1236" customWidth="1"/>
    <col min="4354" max="4354" width="6.7109375" style="1236" customWidth="1"/>
    <col min="4355" max="4355" width="8.85546875" style="1236" customWidth="1"/>
    <col min="4356" max="4356" width="47.85546875" style="1236" customWidth="1"/>
    <col min="4357" max="4357" width="12.85546875" style="1236" customWidth="1"/>
    <col min="4358" max="4358" width="15.5703125" style="1236" customWidth="1"/>
    <col min="4359" max="4359" width="15.85546875" style="1236" customWidth="1"/>
    <col min="4360" max="4360" width="6.42578125" style="1236" customWidth="1"/>
    <col min="4361" max="4362" width="9.140625" style="1236"/>
    <col min="4363" max="4364" width="14.7109375" style="1236" bestFit="1" customWidth="1"/>
    <col min="4365" max="4608" width="9.140625" style="1236"/>
    <col min="4609" max="4609" width="5.5703125" style="1236" customWidth="1"/>
    <col min="4610" max="4610" width="6.7109375" style="1236" customWidth="1"/>
    <col min="4611" max="4611" width="8.85546875" style="1236" customWidth="1"/>
    <col min="4612" max="4612" width="47.85546875" style="1236" customWidth="1"/>
    <col min="4613" max="4613" width="12.85546875" style="1236" customWidth="1"/>
    <col min="4614" max="4614" width="15.5703125" style="1236" customWidth="1"/>
    <col min="4615" max="4615" width="15.85546875" style="1236" customWidth="1"/>
    <col min="4616" max="4616" width="6.42578125" style="1236" customWidth="1"/>
    <col min="4617" max="4618" width="9.140625" style="1236"/>
    <col min="4619" max="4620" width="14.7109375" style="1236" bestFit="1" customWidth="1"/>
    <col min="4621" max="4864" width="9.140625" style="1236"/>
    <col min="4865" max="4865" width="5.5703125" style="1236" customWidth="1"/>
    <col min="4866" max="4866" width="6.7109375" style="1236" customWidth="1"/>
    <col min="4867" max="4867" width="8.85546875" style="1236" customWidth="1"/>
    <col min="4868" max="4868" width="47.85546875" style="1236" customWidth="1"/>
    <col min="4869" max="4869" width="12.85546875" style="1236" customWidth="1"/>
    <col min="4870" max="4870" width="15.5703125" style="1236" customWidth="1"/>
    <col min="4871" max="4871" width="15.85546875" style="1236" customWidth="1"/>
    <col min="4872" max="4872" width="6.42578125" style="1236" customWidth="1"/>
    <col min="4873" max="4874" width="9.140625" style="1236"/>
    <col min="4875" max="4876" width="14.7109375" style="1236" bestFit="1" customWidth="1"/>
    <col min="4877" max="5120" width="9.140625" style="1236"/>
    <col min="5121" max="5121" width="5.5703125" style="1236" customWidth="1"/>
    <col min="5122" max="5122" width="6.7109375" style="1236" customWidth="1"/>
    <col min="5123" max="5123" width="8.85546875" style="1236" customWidth="1"/>
    <col min="5124" max="5124" width="47.85546875" style="1236" customWidth="1"/>
    <col min="5125" max="5125" width="12.85546875" style="1236" customWidth="1"/>
    <col min="5126" max="5126" width="15.5703125" style="1236" customWidth="1"/>
    <col min="5127" max="5127" width="15.85546875" style="1236" customWidth="1"/>
    <col min="5128" max="5128" width="6.42578125" style="1236" customWidth="1"/>
    <col min="5129" max="5130" width="9.140625" style="1236"/>
    <col min="5131" max="5132" width="14.7109375" style="1236" bestFit="1" customWidth="1"/>
    <col min="5133" max="5376" width="9.140625" style="1236"/>
    <col min="5377" max="5377" width="5.5703125" style="1236" customWidth="1"/>
    <col min="5378" max="5378" width="6.7109375" style="1236" customWidth="1"/>
    <col min="5379" max="5379" width="8.85546875" style="1236" customWidth="1"/>
    <col min="5380" max="5380" width="47.85546875" style="1236" customWidth="1"/>
    <col min="5381" max="5381" width="12.85546875" style="1236" customWidth="1"/>
    <col min="5382" max="5382" width="15.5703125" style="1236" customWidth="1"/>
    <col min="5383" max="5383" width="15.85546875" style="1236" customWidth="1"/>
    <col min="5384" max="5384" width="6.42578125" style="1236" customWidth="1"/>
    <col min="5385" max="5386" width="9.140625" style="1236"/>
    <col min="5387" max="5388" width="14.7109375" style="1236" bestFit="1" customWidth="1"/>
    <col min="5389" max="5632" width="9.140625" style="1236"/>
    <col min="5633" max="5633" width="5.5703125" style="1236" customWidth="1"/>
    <col min="5634" max="5634" width="6.7109375" style="1236" customWidth="1"/>
    <col min="5635" max="5635" width="8.85546875" style="1236" customWidth="1"/>
    <col min="5636" max="5636" width="47.85546875" style="1236" customWidth="1"/>
    <col min="5637" max="5637" width="12.85546875" style="1236" customWidth="1"/>
    <col min="5638" max="5638" width="15.5703125" style="1236" customWidth="1"/>
    <col min="5639" max="5639" width="15.85546875" style="1236" customWidth="1"/>
    <col min="5640" max="5640" width="6.42578125" style="1236" customWidth="1"/>
    <col min="5641" max="5642" width="9.140625" style="1236"/>
    <col min="5643" max="5644" width="14.7109375" style="1236" bestFit="1" customWidth="1"/>
    <col min="5645" max="5888" width="9.140625" style="1236"/>
    <col min="5889" max="5889" width="5.5703125" style="1236" customWidth="1"/>
    <col min="5890" max="5890" width="6.7109375" style="1236" customWidth="1"/>
    <col min="5891" max="5891" width="8.85546875" style="1236" customWidth="1"/>
    <col min="5892" max="5892" width="47.85546875" style="1236" customWidth="1"/>
    <col min="5893" max="5893" width="12.85546875" style="1236" customWidth="1"/>
    <col min="5894" max="5894" width="15.5703125" style="1236" customWidth="1"/>
    <col min="5895" max="5895" width="15.85546875" style="1236" customWidth="1"/>
    <col min="5896" max="5896" width="6.42578125" style="1236" customWidth="1"/>
    <col min="5897" max="5898" width="9.140625" style="1236"/>
    <col min="5899" max="5900" width="14.7109375" style="1236" bestFit="1" customWidth="1"/>
    <col min="5901" max="6144" width="9.140625" style="1236"/>
    <col min="6145" max="6145" width="5.5703125" style="1236" customWidth="1"/>
    <col min="6146" max="6146" width="6.7109375" style="1236" customWidth="1"/>
    <col min="6147" max="6147" width="8.85546875" style="1236" customWidth="1"/>
    <col min="6148" max="6148" width="47.85546875" style="1236" customWidth="1"/>
    <col min="6149" max="6149" width="12.85546875" style="1236" customWidth="1"/>
    <col min="6150" max="6150" width="15.5703125" style="1236" customWidth="1"/>
    <col min="6151" max="6151" width="15.85546875" style="1236" customWidth="1"/>
    <col min="6152" max="6152" width="6.42578125" style="1236" customWidth="1"/>
    <col min="6153" max="6154" width="9.140625" style="1236"/>
    <col min="6155" max="6156" width="14.7109375" style="1236" bestFit="1" customWidth="1"/>
    <col min="6157" max="6400" width="9.140625" style="1236"/>
    <col min="6401" max="6401" width="5.5703125" style="1236" customWidth="1"/>
    <col min="6402" max="6402" width="6.7109375" style="1236" customWidth="1"/>
    <col min="6403" max="6403" width="8.85546875" style="1236" customWidth="1"/>
    <col min="6404" max="6404" width="47.85546875" style="1236" customWidth="1"/>
    <col min="6405" max="6405" width="12.85546875" style="1236" customWidth="1"/>
    <col min="6406" max="6406" width="15.5703125" style="1236" customWidth="1"/>
    <col min="6407" max="6407" width="15.85546875" style="1236" customWidth="1"/>
    <col min="6408" max="6408" width="6.42578125" style="1236" customWidth="1"/>
    <col min="6409" max="6410" width="9.140625" style="1236"/>
    <col min="6411" max="6412" width="14.7109375" style="1236" bestFit="1" customWidth="1"/>
    <col min="6413" max="6656" width="9.140625" style="1236"/>
    <col min="6657" max="6657" width="5.5703125" style="1236" customWidth="1"/>
    <col min="6658" max="6658" width="6.7109375" style="1236" customWidth="1"/>
    <col min="6659" max="6659" width="8.85546875" style="1236" customWidth="1"/>
    <col min="6660" max="6660" width="47.85546875" style="1236" customWidth="1"/>
    <col min="6661" max="6661" width="12.85546875" style="1236" customWidth="1"/>
    <col min="6662" max="6662" width="15.5703125" style="1236" customWidth="1"/>
    <col min="6663" max="6663" width="15.85546875" style="1236" customWidth="1"/>
    <col min="6664" max="6664" width="6.42578125" style="1236" customWidth="1"/>
    <col min="6665" max="6666" width="9.140625" style="1236"/>
    <col min="6667" max="6668" width="14.7109375" style="1236" bestFit="1" customWidth="1"/>
    <col min="6669" max="6912" width="9.140625" style="1236"/>
    <col min="6913" max="6913" width="5.5703125" style="1236" customWidth="1"/>
    <col min="6914" max="6914" width="6.7109375" style="1236" customWidth="1"/>
    <col min="6915" max="6915" width="8.85546875" style="1236" customWidth="1"/>
    <col min="6916" max="6916" width="47.85546875" style="1236" customWidth="1"/>
    <col min="6917" max="6917" width="12.85546875" style="1236" customWidth="1"/>
    <col min="6918" max="6918" width="15.5703125" style="1236" customWidth="1"/>
    <col min="6919" max="6919" width="15.85546875" style="1236" customWidth="1"/>
    <col min="6920" max="6920" width="6.42578125" style="1236" customWidth="1"/>
    <col min="6921" max="6922" width="9.140625" style="1236"/>
    <col min="6923" max="6924" width="14.7109375" style="1236" bestFit="1" customWidth="1"/>
    <col min="6925" max="7168" width="9.140625" style="1236"/>
    <col min="7169" max="7169" width="5.5703125" style="1236" customWidth="1"/>
    <col min="7170" max="7170" width="6.7109375" style="1236" customWidth="1"/>
    <col min="7171" max="7171" width="8.85546875" style="1236" customWidth="1"/>
    <col min="7172" max="7172" width="47.85546875" style="1236" customWidth="1"/>
    <col min="7173" max="7173" width="12.85546875" style="1236" customWidth="1"/>
    <col min="7174" max="7174" width="15.5703125" style="1236" customWidth="1"/>
    <col min="7175" max="7175" width="15.85546875" style="1236" customWidth="1"/>
    <col min="7176" max="7176" width="6.42578125" style="1236" customWidth="1"/>
    <col min="7177" max="7178" width="9.140625" style="1236"/>
    <col min="7179" max="7180" width="14.7109375" style="1236" bestFit="1" customWidth="1"/>
    <col min="7181" max="7424" width="9.140625" style="1236"/>
    <col min="7425" max="7425" width="5.5703125" style="1236" customWidth="1"/>
    <col min="7426" max="7426" width="6.7109375" style="1236" customWidth="1"/>
    <col min="7427" max="7427" width="8.85546875" style="1236" customWidth="1"/>
    <col min="7428" max="7428" width="47.85546875" style="1236" customWidth="1"/>
    <col min="7429" max="7429" width="12.85546875" style="1236" customWidth="1"/>
    <col min="7430" max="7430" width="15.5703125" style="1236" customWidth="1"/>
    <col min="7431" max="7431" width="15.85546875" style="1236" customWidth="1"/>
    <col min="7432" max="7432" width="6.42578125" style="1236" customWidth="1"/>
    <col min="7433" max="7434" width="9.140625" style="1236"/>
    <col min="7435" max="7436" width="14.7109375" style="1236" bestFit="1" customWidth="1"/>
    <col min="7437" max="7680" width="9.140625" style="1236"/>
    <col min="7681" max="7681" width="5.5703125" style="1236" customWidth="1"/>
    <col min="7682" max="7682" width="6.7109375" style="1236" customWidth="1"/>
    <col min="7683" max="7683" width="8.85546875" style="1236" customWidth="1"/>
    <col min="7684" max="7684" width="47.85546875" style="1236" customWidth="1"/>
    <col min="7685" max="7685" width="12.85546875" style="1236" customWidth="1"/>
    <col min="7686" max="7686" width="15.5703125" style="1236" customWidth="1"/>
    <col min="7687" max="7687" width="15.85546875" style="1236" customWidth="1"/>
    <col min="7688" max="7688" width="6.42578125" style="1236" customWidth="1"/>
    <col min="7689" max="7690" width="9.140625" style="1236"/>
    <col min="7691" max="7692" width="14.7109375" style="1236" bestFit="1" customWidth="1"/>
    <col min="7693" max="7936" width="9.140625" style="1236"/>
    <col min="7937" max="7937" width="5.5703125" style="1236" customWidth="1"/>
    <col min="7938" max="7938" width="6.7109375" style="1236" customWidth="1"/>
    <col min="7939" max="7939" width="8.85546875" style="1236" customWidth="1"/>
    <col min="7940" max="7940" width="47.85546875" style="1236" customWidth="1"/>
    <col min="7941" max="7941" width="12.85546875" style="1236" customWidth="1"/>
    <col min="7942" max="7942" width="15.5703125" style="1236" customWidth="1"/>
    <col min="7943" max="7943" width="15.85546875" style="1236" customWidth="1"/>
    <col min="7944" max="7944" width="6.42578125" style="1236" customWidth="1"/>
    <col min="7945" max="7946" width="9.140625" style="1236"/>
    <col min="7947" max="7948" width="14.7109375" style="1236" bestFit="1" customWidth="1"/>
    <col min="7949" max="8192" width="9.140625" style="1236"/>
    <col min="8193" max="8193" width="5.5703125" style="1236" customWidth="1"/>
    <col min="8194" max="8194" width="6.7109375" style="1236" customWidth="1"/>
    <col min="8195" max="8195" width="8.85546875" style="1236" customWidth="1"/>
    <col min="8196" max="8196" width="47.85546875" style="1236" customWidth="1"/>
    <col min="8197" max="8197" width="12.85546875" style="1236" customWidth="1"/>
    <col min="8198" max="8198" width="15.5703125" style="1236" customWidth="1"/>
    <col min="8199" max="8199" width="15.85546875" style="1236" customWidth="1"/>
    <col min="8200" max="8200" width="6.42578125" style="1236" customWidth="1"/>
    <col min="8201" max="8202" width="9.140625" style="1236"/>
    <col min="8203" max="8204" width="14.7109375" style="1236" bestFit="1" customWidth="1"/>
    <col min="8205" max="8448" width="9.140625" style="1236"/>
    <col min="8449" max="8449" width="5.5703125" style="1236" customWidth="1"/>
    <col min="8450" max="8450" width="6.7109375" style="1236" customWidth="1"/>
    <col min="8451" max="8451" width="8.85546875" style="1236" customWidth="1"/>
    <col min="8452" max="8452" width="47.85546875" style="1236" customWidth="1"/>
    <col min="8453" max="8453" width="12.85546875" style="1236" customWidth="1"/>
    <col min="8454" max="8454" width="15.5703125" style="1236" customWidth="1"/>
    <col min="8455" max="8455" width="15.85546875" style="1236" customWidth="1"/>
    <col min="8456" max="8456" width="6.42578125" style="1236" customWidth="1"/>
    <col min="8457" max="8458" width="9.140625" style="1236"/>
    <col min="8459" max="8460" width="14.7109375" style="1236" bestFit="1" customWidth="1"/>
    <col min="8461" max="8704" width="9.140625" style="1236"/>
    <col min="8705" max="8705" width="5.5703125" style="1236" customWidth="1"/>
    <col min="8706" max="8706" width="6.7109375" style="1236" customWidth="1"/>
    <col min="8707" max="8707" width="8.85546875" style="1236" customWidth="1"/>
    <col min="8708" max="8708" width="47.85546875" style="1236" customWidth="1"/>
    <col min="8709" max="8709" width="12.85546875" style="1236" customWidth="1"/>
    <col min="8710" max="8710" width="15.5703125" style="1236" customWidth="1"/>
    <col min="8711" max="8711" width="15.85546875" style="1236" customWidth="1"/>
    <col min="8712" max="8712" width="6.42578125" style="1236" customWidth="1"/>
    <col min="8713" max="8714" width="9.140625" style="1236"/>
    <col min="8715" max="8716" width="14.7109375" style="1236" bestFit="1" customWidth="1"/>
    <col min="8717" max="8960" width="9.140625" style="1236"/>
    <col min="8961" max="8961" width="5.5703125" style="1236" customWidth="1"/>
    <col min="8962" max="8962" width="6.7109375" style="1236" customWidth="1"/>
    <col min="8963" max="8963" width="8.85546875" style="1236" customWidth="1"/>
    <col min="8964" max="8964" width="47.85546875" style="1236" customWidth="1"/>
    <col min="8965" max="8965" width="12.85546875" style="1236" customWidth="1"/>
    <col min="8966" max="8966" width="15.5703125" style="1236" customWidth="1"/>
    <col min="8967" max="8967" width="15.85546875" style="1236" customWidth="1"/>
    <col min="8968" max="8968" width="6.42578125" style="1236" customWidth="1"/>
    <col min="8969" max="8970" width="9.140625" style="1236"/>
    <col min="8971" max="8972" width="14.7109375" style="1236" bestFit="1" customWidth="1"/>
    <col min="8973" max="9216" width="9.140625" style="1236"/>
    <col min="9217" max="9217" width="5.5703125" style="1236" customWidth="1"/>
    <col min="9218" max="9218" width="6.7109375" style="1236" customWidth="1"/>
    <col min="9219" max="9219" width="8.85546875" style="1236" customWidth="1"/>
    <col min="9220" max="9220" width="47.85546875" style="1236" customWidth="1"/>
    <col min="9221" max="9221" width="12.85546875" style="1236" customWidth="1"/>
    <col min="9222" max="9222" width="15.5703125" style="1236" customWidth="1"/>
    <col min="9223" max="9223" width="15.85546875" style="1236" customWidth="1"/>
    <col min="9224" max="9224" width="6.42578125" style="1236" customWidth="1"/>
    <col min="9225" max="9226" width="9.140625" style="1236"/>
    <col min="9227" max="9228" width="14.7109375" style="1236" bestFit="1" customWidth="1"/>
    <col min="9229" max="9472" width="9.140625" style="1236"/>
    <col min="9473" max="9473" width="5.5703125" style="1236" customWidth="1"/>
    <col min="9474" max="9474" width="6.7109375" style="1236" customWidth="1"/>
    <col min="9475" max="9475" width="8.85546875" style="1236" customWidth="1"/>
    <col min="9476" max="9476" width="47.85546875" style="1236" customWidth="1"/>
    <col min="9477" max="9477" width="12.85546875" style="1236" customWidth="1"/>
    <col min="9478" max="9478" width="15.5703125" style="1236" customWidth="1"/>
    <col min="9479" max="9479" width="15.85546875" style="1236" customWidth="1"/>
    <col min="9480" max="9480" width="6.42578125" style="1236" customWidth="1"/>
    <col min="9481" max="9482" width="9.140625" style="1236"/>
    <col min="9483" max="9484" width="14.7109375" style="1236" bestFit="1" customWidth="1"/>
    <col min="9485" max="9728" width="9.140625" style="1236"/>
    <col min="9729" max="9729" width="5.5703125" style="1236" customWidth="1"/>
    <col min="9730" max="9730" width="6.7109375" style="1236" customWidth="1"/>
    <col min="9731" max="9731" width="8.85546875" style="1236" customWidth="1"/>
    <col min="9732" max="9732" width="47.85546875" style="1236" customWidth="1"/>
    <col min="9733" max="9733" width="12.85546875" style="1236" customWidth="1"/>
    <col min="9734" max="9734" width="15.5703125" style="1236" customWidth="1"/>
    <col min="9735" max="9735" width="15.85546875" style="1236" customWidth="1"/>
    <col min="9736" max="9736" width="6.42578125" style="1236" customWidth="1"/>
    <col min="9737" max="9738" width="9.140625" style="1236"/>
    <col min="9739" max="9740" width="14.7109375" style="1236" bestFit="1" customWidth="1"/>
    <col min="9741" max="9984" width="9.140625" style="1236"/>
    <col min="9985" max="9985" width="5.5703125" style="1236" customWidth="1"/>
    <col min="9986" max="9986" width="6.7109375" style="1236" customWidth="1"/>
    <col min="9987" max="9987" width="8.85546875" style="1236" customWidth="1"/>
    <col min="9988" max="9988" width="47.85546875" style="1236" customWidth="1"/>
    <col min="9989" max="9989" width="12.85546875" style="1236" customWidth="1"/>
    <col min="9990" max="9990" width="15.5703125" style="1236" customWidth="1"/>
    <col min="9991" max="9991" width="15.85546875" style="1236" customWidth="1"/>
    <col min="9992" max="9992" width="6.42578125" style="1236" customWidth="1"/>
    <col min="9993" max="9994" width="9.140625" style="1236"/>
    <col min="9995" max="9996" width="14.7109375" style="1236" bestFit="1" customWidth="1"/>
    <col min="9997" max="10240" width="9.140625" style="1236"/>
    <col min="10241" max="10241" width="5.5703125" style="1236" customWidth="1"/>
    <col min="10242" max="10242" width="6.7109375" style="1236" customWidth="1"/>
    <col min="10243" max="10243" width="8.85546875" style="1236" customWidth="1"/>
    <col min="10244" max="10244" width="47.85546875" style="1236" customWidth="1"/>
    <col min="10245" max="10245" width="12.85546875" style="1236" customWidth="1"/>
    <col min="10246" max="10246" width="15.5703125" style="1236" customWidth="1"/>
    <col min="10247" max="10247" width="15.85546875" style="1236" customWidth="1"/>
    <col min="10248" max="10248" width="6.42578125" style="1236" customWidth="1"/>
    <col min="10249" max="10250" width="9.140625" style="1236"/>
    <col min="10251" max="10252" width="14.7109375" style="1236" bestFit="1" customWidth="1"/>
    <col min="10253" max="10496" width="9.140625" style="1236"/>
    <col min="10497" max="10497" width="5.5703125" style="1236" customWidth="1"/>
    <col min="10498" max="10498" width="6.7109375" style="1236" customWidth="1"/>
    <col min="10499" max="10499" width="8.85546875" style="1236" customWidth="1"/>
    <col min="10500" max="10500" width="47.85546875" style="1236" customWidth="1"/>
    <col min="10501" max="10501" width="12.85546875" style="1236" customWidth="1"/>
    <col min="10502" max="10502" width="15.5703125" style="1236" customWidth="1"/>
    <col min="10503" max="10503" width="15.85546875" style="1236" customWidth="1"/>
    <col min="10504" max="10504" width="6.42578125" style="1236" customWidth="1"/>
    <col min="10505" max="10506" width="9.140625" style="1236"/>
    <col min="10507" max="10508" width="14.7109375" style="1236" bestFit="1" customWidth="1"/>
    <col min="10509" max="10752" width="9.140625" style="1236"/>
    <col min="10753" max="10753" width="5.5703125" style="1236" customWidth="1"/>
    <col min="10754" max="10754" width="6.7109375" style="1236" customWidth="1"/>
    <col min="10755" max="10755" width="8.85546875" style="1236" customWidth="1"/>
    <col min="10756" max="10756" width="47.85546875" style="1236" customWidth="1"/>
    <col min="10757" max="10757" width="12.85546875" style="1236" customWidth="1"/>
    <col min="10758" max="10758" width="15.5703125" style="1236" customWidth="1"/>
    <col min="10759" max="10759" width="15.85546875" style="1236" customWidth="1"/>
    <col min="10760" max="10760" width="6.42578125" style="1236" customWidth="1"/>
    <col min="10761" max="10762" width="9.140625" style="1236"/>
    <col min="10763" max="10764" width="14.7109375" style="1236" bestFit="1" customWidth="1"/>
    <col min="10765" max="11008" width="9.140625" style="1236"/>
    <col min="11009" max="11009" width="5.5703125" style="1236" customWidth="1"/>
    <col min="11010" max="11010" width="6.7109375" style="1236" customWidth="1"/>
    <col min="11011" max="11011" width="8.85546875" style="1236" customWidth="1"/>
    <col min="11012" max="11012" width="47.85546875" style="1236" customWidth="1"/>
    <col min="11013" max="11013" width="12.85546875" style="1236" customWidth="1"/>
    <col min="11014" max="11014" width="15.5703125" style="1236" customWidth="1"/>
    <col min="11015" max="11015" width="15.85546875" style="1236" customWidth="1"/>
    <col min="11016" max="11016" width="6.42578125" style="1236" customWidth="1"/>
    <col min="11017" max="11018" width="9.140625" style="1236"/>
    <col min="11019" max="11020" width="14.7109375" style="1236" bestFit="1" customWidth="1"/>
    <col min="11021" max="11264" width="9.140625" style="1236"/>
    <col min="11265" max="11265" width="5.5703125" style="1236" customWidth="1"/>
    <col min="11266" max="11266" width="6.7109375" style="1236" customWidth="1"/>
    <col min="11267" max="11267" width="8.85546875" style="1236" customWidth="1"/>
    <col min="11268" max="11268" width="47.85546875" style="1236" customWidth="1"/>
    <col min="11269" max="11269" width="12.85546875" style="1236" customWidth="1"/>
    <col min="11270" max="11270" width="15.5703125" style="1236" customWidth="1"/>
    <col min="11271" max="11271" width="15.85546875" style="1236" customWidth="1"/>
    <col min="11272" max="11272" width="6.42578125" style="1236" customWidth="1"/>
    <col min="11273" max="11274" width="9.140625" style="1236"/>
    <col min="11275" max="11276" width="14.7109375" style="1236" bestFit="1" customWidth="1"/>
    <col min="11277" max="11520" width="9.140625" style="1236"/>
    <col min="11521" max="11521" width="5.5703125" style="1236" customWidth="1"/>
    <col min="11522" max="11522" width="6.7109375" style="1236" customWidth="1"/>
    <col min="11523" max="11523" width="8.85546875" style="1236" customWidth="1"/>
    <col min="11524" max="11524" width="47.85546875" style="1236" customWidth="1"/>
    <col min="11525" max="11525" width="12.85546875" style="1236" customWidth="1"/>
    <col min="11526" max="11526" width="15.5703125" style="1236" customWidth="1"/>
    <col min="11527" max="11527" width="15.85546875" style="1236" customWidth="1"/>
    <col min="11528" max="11528" width="6.42578125" style="1236" customWidth="1"/>
    <col min="11529" max="11530" width="9.140625" style="1236"/>
    <col min="11531" max="11532" width="14.7109375" style="1236" bestFit="1" customWidth="1"/>
    <col min="11533" max="11776" width="9.140625" style="1236"/>
    <col min="11777" max="11777" width="5.5703125" style="1236" customWidth="1"/>
    <col min="11778" max="11778" width="6.7109375" style="1236" customWidth="1"/>
    <col min="11779" max="11779" width="8.85546875" style="1236" customWidth="1"/>
    <col min="11780" max="11780" width="47.85546875" style="1236" customWidth="1"/>
    <col min="11781" max="11781" width="12.85546875" style="1236" customWidth="1"/>
    <col min="11782" max="11782" width="15.5703125" style="1236" customWidth="1"/>
    <col min="11783" max="11783" width="15.85546875" style="1236" customWidth="1"/>
    <col min="11784" max="11784" width="6.42578125" style="1236" customWidth="1"/>
    <col min="11785" max="11786" width="9.140625" style="1236"/>
    <col min="11787" max="11788" width="14.7109375" style="1236" bestFit="1" customWidth="1"/>
    <col min="11789" max="12032" width="9.140625" style="1236"/>
    <col min="12033" max="12033" width="5.5703125" style="1236" customWidth="1"/>
    <col min="12034" max="12034" width="6.7109375" style="1236" customWidth="1"/>
    <col min="12035" max="12035" width="8.85546875" style="1236" customWidth="1"/>
    <col min="12036" max="12036" width="47.85546875" style="1236" customWidth="1"/>
    <col min="12037" max="12037" width="12.85546875" style="1236" customWidth="1"/>
    <col min="12038" max="12038" width="15.5703125" style="1236" customWidth="1"/>
    <col min="12039" max="12039" width="15.85546875" style="1236" customWidth="1"/>
    <col min="12040" max="12040" width="6.42578125" style="1236" customWidth="1"/>
    <col min="12041" max="12042" width="9.140625" style="1236"/>
    <col min="12043" max="12044" width="14.7109375" style="1236" bestFit="1" customWidth="1"/>
    <col min="12045" max="12288" width="9.140625" style="1236"/>
    <col min="12289" max="12289" width="5.5703125" style="1236" customWidth="1"/>
    <col min="12290" max="12290" width="6.7109375" style="1236" customWidth="1"/>
    <col min="12291" max="12291" width="8.85546875" style="1236" customWidth="1"/>
    <col min="12292" max="12292" width="47.85546875" style="1236" customWidth="1"/>
    <col min="12293" max="12293" width="12.85546875" style="1236" customWidth="1"/>
    <col min="12294" max="12294" width="15.5703125" style="1236" customWidth="1"/>
    <col min="12295" max="12295" width="15.85546875" style="1236" customWidth="1"/>
    <col min="12296" max="12296" width="6.42578125" style="1236" customWidth="1"/>
    <col min="12297" max="12298" width="9.140625" style="1236"/>
    <col min="12299" max="12300" width="14.7109375" style="1236" bestFit="1" customWidth="1"/>
    <col min="12301" max="12544" width="9.140625" style="1236"/>
    <col min="12545" max="12545" width="5.5703125" style="1236" customWidth="1"/>
    <col min="12546" max="12546" width="6.7109375" style="1236" customWidth="1"/>
    <col min="12547" max="12547" width="8.85546875" style="1236" customWidth="1"/>
    <col min="12548" max="12548" width="47.85546875" style="1236" customWidth="1"/>
    <col min="12549" max="12549" width="12.85546875" style="1236" customWidth="1"/>
    <col min="12550" max="12550" width="15.5703125" style="1236" customWidth="1"/>
    <col min="12551" max="12551" width="15.85546875" style="1236" customWidth="1"/>
    <col min="12552" max="12552" width="6.42578125" style="1236" customWidth="1"/>
    <col min="12553" max="12554" width="9.140625" style="1236"/>
    <col min="12555" max="12556" width="14.7109375" style="1236" bestFit="1" customWidth="1"/>
    <col min="12557" max="12800" width="9.140625" style="1236"/>
    <col min="12801" max="12801" width="5.5703125" style="1236" customWidth="1"/>
    <col min="12802" max="12802" width="6.7109375" style="1236" customWidth="1"/>
    <col min="12803" max="12803" width="8.85546875" style="1236" customWidth="1"/>
    <col min="12804" max="12804" width="47.85546875" style="1236" customWidth="1"/>
    <col min="12805" max="12805" width="12.85546875" style="1236" customWidth="1"/>
    <col min="12806" max="12806" width="15.5703125" style="1236" customWidth="1"/>
    <col min="12807" max="12807" width="15.85546875" style="1236" customWidth="1"/>
    <col min="12808" max="12808" width="6.42578125" style="1236" customWidth="1"/>
    <col min="12809" max="12810" width="9.140625" style="1236"/>
    <col min="12811" max="12812" width="14.7109375" style="1236" bestFit="1" customWidth="1"/>
    <col min="12813" max="13056" width="9.140625" style="1236"/>
    <col min="13057" max="13057" width="5.5703125" style="1236" customWidth="1"/>
    <col min="13058" max="13058" width="6.7109375" style="1236" customWidth="1"/>
    <col min="13059" max="13059" width="8.85546875" style="1236" customWidth="1"/>
    <col min="13060" max="13060" width="47.85546875" style="1236" customWidth="1"/>
    <col min="13061" max="13061" width="12.85546875" style="1236" customWidth="1"/>
    <col min="13062" max="13062" width="15.5703125" style="1236" customWidth="1"/>
    <col min="13063" max="13063" width="15.85546875" style="1236" customWidth="1"/>
    <col min="13064" max="13064" width="6.42578125" style="1236" customWidth="1"/>
    <col min="13065" max="13066" width="9.140625" style="1236"/>
    <col min="13067" max="13068" width="14.7109375" style="1236" bestFit="1" customWidth="1"/>
    <col min="13069" max="13312" width="9.140625" style="1236"/>
    <col min="13313" max="13313" width="5.5703125" style="1236" customWidth="1"/>
    <col min="13314" max="13314" width="6.7109375" style="1236" customWidth="1"/>
    <col min="13315" max="13315" width="8.85546875" style="1236" customWidth="1"/>
    <col min="13316" max="13316" width="47.85546875" style="1236" customWidth="1"/>
    <col min="13317" max="13317" width="12.85546875" style="1236" customWidth="1"/>
    <col min="13318" max="13318" width="15.5703125" style="1236" customWidth="1"/>
    <col min="13319" max="13319" width="15.85546875" style="1236" customWidth="1"/>
    <col min="13320" max="13320" width="6.42578125" style="1236" customWidth="1"/>
    <col min="13321" max="13322" width="9.140625" style="1236"/>
    <col min="13323" max="13324" width="14.7109375" style="1236" bestFit="1" customWidth="1"/>
    <col min="13325" max="13568" width="9.140625" style="1236"/>
    <col min="13569" max="13569" width="5.5703125" style="1236" customWidth="1"/>
    <col min="13570" max="13570" width="6.7109375" style="1236" customWidth="1"/>
    <col min="13571" max="13571" width="8.85546875" style="1236" customWidth="1"/>
    <col min="13572" max="13572" width="47.85546875" style="1236" customWidth="1"/>
    <col min="13573" max="13573" width="12.85546875" style="1236" customWidth="1"/>
    <col min="13574" max="13574" width="15.5703125" style="1236" customWidth="1"/>
    <col min="13575" max="13575" width="15.85546875" style="1236" customWidth="1"/>
    <col min="13576" max="13576" width="6.42578125" style="1236" customWidth="1"/>
    <col min="13577" max="13578" width="9.140625" style="1236"/>
    <col min="13579" max="13580" width="14.7109375" style="1236" bestFit="1" customWidth="1"/>
    <col min="13581" max="13824" width="9.140625" style="1236"/>
    <col min="13825" max="13825" width="5.5703125" style="1236" customWidth="1"/>
    <col min="13826" max="13826" width="6.7109375" style="1236" customWidth="1"/>
    <col min="13827" max="13827" width="8.85546875" style="1236" customWidth="1"/>
    <col min="13828" max="13828" width="47.85546875" style="1236" customWidth="1"/>
    <col min="13829" max="13829" width="12.85546875" style="1236" customWidth="1"/>
    <col min="13830" max="13830" width="15.5703125" style="1236" customWidth="1"/>
    <col min="13831" max="13831" width="15.85546875" style="1236" customWidth="1"/>
    <col min="13832" max="13832" width="6.42578125" style="1236" customWidth="1"/>
    <col min="13833" max="13834" width="9.140625" style="1236"/>
    <col min="13835" max="13836" width="14.7109375" style="1236" bestFit="1" customWidth="1"/>
    <col min="13837" max="14080" width="9.140625" style="1236"/>
    <col min="14081" max="14081" width="5.5703125" style="1236" customWidth="1"/>
    <col min="14082" max="14082" width="6.7109375" style="1236" customWidth="1"/>
    <col min="14083" max="14083" width="8.85546875" style="1236" customWidth="1"/>
    <col min="14084" max="14084" width="47.85546875" style="1236" customWidth="1"/>
    <col min="14085" max="14085" width="12.85546875" style="1236" customWidth="1"/>
    <col min="14086" max="14086" width="15.5703125" style="1236" customWidth="1"/>
    <col min="14087" max="14087" width="15.85546875" style="1236" customWidth="1"/>
    <col min="14088" max="14088" width="6.42578125" style="1236" customWidth="1"/>
    <col min="14089" max="14090" width="9.140625" style="1236"/>
    <col min="14091" max="14092" width="14.7109375" style="1236" bestFit="1" customWidth="1"/>
    <col min="14093" max="14336" width="9.140625" style="1236"/>
    <col min="14337" max="14337" width="5.5703125" style="1236" customWidth="1"/>
    <col min="14338" max="14338" width="6.7109375" style="1236" customWidth="1"/>
    <col min="14339" max="14339" width="8.85546875" style="1236" customWidth="1"/>
    <col min="14340" max="14340" width="47.85546875" style="1236" customWidth="1"/>
    <col min="14341" max="14341" width="12.85546875" style="1236" customWidth="1"/>
    <col min="14342" max="14342" width="15.5703125" style="1236" customWidth="1"/>
    <col min="14343" max="14343" width="15.85546875" style="1236" customWidth="1"/>
    <col min="14344" max="14344" width="6.42578125" style="1236" customWidth="1"/>
    <col min="14345" max="14346" width="9.140625" style="1236"/>
    <col min="14347" max="14348" width="14.7109375" style="1236" bestFit="1" customWidth="1"/>
    <col min="14349" max="14592" width="9.140625" style="1236"/>
    <col min="14593" max="14593" width="5.5703125" style="1236" customWidth="1"/>
    <col min="14594" max="14594" width="6.7109375" style="1236" customWidth="1"/>
    <col min="14595" max="14595" width="8.85546875" style="1236" customWidth="1"/>
    <col min="14596" max="14596" width="47.85546875" style="1236" customWidth="1"/>
    <col min="14597" max="14597" width="12.85546875" style="1236" customWidth="1"/>
    <col min="14598" max="14598" width="15.5703125" style="1236" customWidth="1"/>
    <col min="14599" max="14599" width="15.85546875" style="1236" customWidth="1"/>
    <col min="14600" max="14600" width="6.42578125" style="1236" customWidth="1"/>
    <col min="14601" max="14602" width="9.140625" style="1236"/>
    <col min="14603" max="14604" width="14.7109375" style="1236" bestFit="1" customWidth="1"/>
    <col min="14605" max="14848" width="9.140625" style="1236"/>
    <col min="14849" max="14849" width="5.5703125" style="1236" customWidth="1"/>
    <col min="14850" max="14850" width="6.7109375" style="1236" customWidth="1"/>
    <col min="14851" max="14851" width="8.85546875" style="1236" customWidth="1"/>
    <col min="14852" max="14852" width="47.85546875" style="1236" customWidth="1"/>
    <col min="14853" max="14853" width="12.85546875" style="1236" customWidth="1"/>
    <col min="14854" max="14854" width="15.5703125" style="1236" customWidth="1"/>
    <col min="14855" max="14855" width="15.85546875" style="1236" customWidth="1"/>
    <col min="14856" max="14856" width="6.42578125" style="1236" customWidth="1"/>
    <col min="14857" max="14858" width="9.140625" style="1236"/>
    <col min="14859" max="14860" width="14.7109375" style="1236" bestFit="1" customWidth="1"/>
    <col min="14861" max="15104" width="9.140625" style="1236"/>
    <col min="15105" max="15105" width="5.5703125" style="1236" customWidth="1"/>
    <col min="15106" max="15106" width="6.7109375" style="1236" customWidth="1"/>
    <col min="15107" max="15107" width="8.85546875" style="1236" customWidth="1"/>
    <col min="15108" max="15108" width="47.85546875" style="1236" customWidth="1"/>
    <col min="15109" max="15109" width="12.85546875" style="1236" customWidth="1"/>
    <col min="15110" max="15110" width="15.5703125" style="1236" customWidth="1"/>
    <col min="15111" max="15111" width="15.85546875" style="1236" customWidth="1"/>
    <col min="15112" max="15112" width="6.42578125" style="1236" customWidth="1"/>
    <col min="15113" max="15114" width="9.140625" style="1236"/>
    <col min="15115" max="15116" width="14.7109375" style="1236" bestFit="1" customWidth="1"/>
    <col min="15117" max="15360" width="9.140625" style="1236"/>
    <col min="15361" max="15361" width="5.5703125" style="1236" customWidth="1"/>
    <col min="15362" max="15362" width="6.7109375" style="1236" customWidth="1"/>
    <col min="15363" max="15363" width="8.85546875" style="1236" customWidth="1"/>
    <col min="15364" max="15364" width="47.85546875" style="1236" customWidth="1"/>
    <col min="15365" max="15365" width="12.85546875" style="1236" customWidth="1"/>
    <col min="15366" max="15366" width="15.5703125" style="1236" customWidth="1"/>
    <col min="15367" max="15367" width="15.85546875" style="1236" customWidth="1"/>
    <col min="15368" max="15368" width="6.42578125" style="1236" customWidth="1"/>
    <col min="15369" max="15370" width="9.140625" style="1236"/>
    <col min="15371" max="15372" width="14.7109375" style="1236" bestFit="1" customWidth="1"/>
    <col min="15373" max="15616" width="9.140625" style="1236"/>
    <col min="15617" max="15617" width="5.5703125" style="1236" customWidth="1"/>
    <col min="15618" max="15618" width="6.7109375" style="1236" customWidth="1"/>
    <col min="15619" max="15619" width="8.85546875" style="1236" customWidth="1"/>
    <col min="15620" max="15620" width="47.85546875" style="1236" customWidth="1"/>
    <col min="15621" max="15621" width="12.85546875" style="1236" customWidth="1"/>
    <col min="15622" max="15622" width="15.5703125" style="1236" customWidth="1"/>
    <col min="15623" max="15623" width="15.85546875" style="1236" customWidth="1"/>
    <col min="15624" max="15624" width="6.42578125" style="1236" customWidth="1"/>
    <col min="15625" max="15626" width="9.140625" style="1236"/>
    <col min="15627" max="15628" width="14.7109375" style="1236" bestFit="1" customWidth="1"/>
    <col min="15629" max="15872" width="9.140625" style="1236"/>
    <col min="15873" max="15873" width="5.5703125" style="1236" customWidth="1"/>
    <col min="15874" max="15874" width="6.7109375" style="1236" customWidth="1"/>
    <col min="15875" max="15875" width="8.85546875" style="1236" customWidth="1"/>
    <col min="15876" max="15876" width="47.85546875" style="1236" customWidth="1"/>
    <col min="15877" max="15877" width="12.85546875" style="1236" customWidth="1"/>
    <col min="15878" max="15878" width="15.5703125" style="1236" customWidth="1"/>
    <col min="15879" max="15879" width="15.85546875" style="1236" customWidth="1"/>
    <col min="15880" max="15880" width="6.42578125" style="1236" customWidth="1"/>
    <col min="15881" max="15882" width="9.140625" style="1236"/>
    <col min="15883" max="15884" width="14.7109375" style="1236" bestFit="1" customWidth="1"/>
    <col min="15885" max="16128" width="9.140625" style="1236"/>
    <col min="16129" max="16129" width="5.5703125" style="1236" customWidth="1"/>
    <col min="16130" max="16130" width="6.7109375" style="1236" customWidth="1"/>
    <col min="16131" max="16131" width="8.85546875" style="1236" customWidth="1"/>
    <col min="16132" max="16132" width="47.85546875" style="1236" customWidth="1"/>
    <col min="16133" max="16133" width="12.85546875" style="1236" customWidth="1"/>
    <col min="16134" max="16134" width="15.5703125" style="1236" customWidth="1"/>
    <col min="16135" max="16135" width="15.85546875" style="1236" customWidth="1"/>
    <col min="16136" max="16136" width="6.42578125" style="1236" customWidth="1"/>
    <col min="16137" max="16138" width="9.140625" style="1236"/>
    <col min="16139" max="16140" width="14.7109375" style="1236" bestFit="1" customWidth="1"/>
    <col min="16141" max="16384" width="9.140625" style="1236"/>
  </cols>
  <sheetData>
    <row r="1" spans="1:9" ht="18.75" thickBot="1" x14ac:dyDescent="0.3">
      <c r="A1" s="1230" t="s">
        <v>2009</v>
      </c>
      <c r="B1" s="1231"/>
      <c r="C1" s="1232"/>
      <c r="D1" s="1233"/>
      <c r="E1" s="1234"/>
      <c r="F1" s="1233"/>
      <c r="G1" s="1235"/>
      <c r="H1" s="1230"/>
    </row>
    <row r="2" spans="1:9" ht="18" x14ac:dyDescent="0.25">
      <c r="A2" s="1237"/>
      <c r="B2" s="1238"/>
      <c r="C2" s="1238"/>
      <c r="D2" s="1238"/>
      <c r="E2" s="1238"/>
      <c r="F2" s="1238"/>
      <c r="G2" s="1238"/>
      <c r="H2" s="1239" t="s">
        <v>1928</v>
      </c>
    </row>
    <row r="3" spans="1:9" ht="18" x14ac:dyDescent="0.25">
      <c r="A3" s="1240" t="s">
        <v>201</v>
      </c>
      <c r="B3" s="1238"/>
      <c r="C3" s="2205" t="s">
        <v>121</v>
      </c>
      <c r="D3" s="1238"/>
      <c r="E3" s="1238"/>
      <c r="F3" s="1238"/>
      <c r="G3" s="1238"/>
      <c r="H3" s="1239"/>
    </row>
    <row r="4" spans="1:9" ht="18" x14ac:dyDescent="0.25">
      <c r="A4" s="1237"/>
      <c r="B4" s="1238"/>
      <c r="C4" s="1374" t="s">
        <v>781</v>
      </c>
      <c r="D4" s="1238"/>
      <c r="E4" s="1238"/>
      <c r="F4" s="1238"/>
      <c r="G4" s="1238"/>
      <c r="H4" s="1239"/>
    </row>
    <row r="5" spans="1:9" ht="18" x14ac:dyDescent="0.25">
      <c r="A5" s="1242" t="s">
        <v>1811</v>
      </c>
      <c r="B5" s="1238"/>
      <c r="C5" s="1238"/>
      <c r="D5" s="1238"/>
      <c r="E5" s="1238"/>
      <c r="F5" s="1238"/>
      <c r="G5" s="1238"/>
      <c r="H5" s="1239"/>
    </row>
    <row r="6" spans="1:9" x14ac:dyDescent="0.2">
      <c r="A6" s="1243"/>
      <c r="B6" s="1243"/>
      <c r="C6" s="1243"/>
      <c r="D6" s="1325"/>
      <c r="E6" s="1244"/>
      <c r="F6" s="1244"/>
      <c r="G6" s="1244"/>
    </row>
    <row r="7" spans="1:9" x14ac:dyDescent="0.2">
      <c r="A7" s="1243"/>
      <c r="B7" s="1243"/>
      <c r="C7" s="1243"/>
      <c r="E7" s="1244"/>
      <c r="F7" s="1244"/>
      <c r="G7" s="1244"/>
    </row>
    <row r="8" spans="1:9" ht="13.5" x14ac:dyDescent="0.25">
      <c r="A8" s="3333" t="s">
        <v>1813</v>
      </c>
      <c r="B8" s="3334"/>
      <c r="C8" s="3334"/>
      <c r="D8" s="3334"/>
      <c r="E8" s="3334"/>
      <c r="F8" s="3334"/>
      <c r="G8" s="3334"/>
      <c r="H8" s="3334"/>
    </row>
    <row r="9" spans="1:9" ht="15.75" thickBot="1" x14ac:dyDescent="0.3">
      <c r="A9" s="1229" t="s">
        <v>1812</v>
      </c>
      <c r="B9" s="1243"/>
      <c r="C9" s="1243"/>
      <c r="D9" s="1243"/>
      <c r="F9" s="1244"/>
      <c r="G9" s="1244"/>
      <c r="H9" s="1245" t="s">
        <v>92</v>
      </c>
      <c r="I9" s="1311"/>
    </row>
    <row r="10" spans="1:9" ht="25.5" thickTop="1" thickBot="1" x14ac:dyDescent="0.25">
      <c r="A10" s="1246" t="s">
        <v>93</v>
      </c>
      <c r="B10" s="1247" t="s">
        <v>392</v>
      </c>
      <c r="C10" s="1247" t="s">
        <v>209</v>
      </c>
      <c r="D10" s="1248" t="s">
        <v>95</v>
      </c>
      <c r="E10" s="1249" t="s">
        <v>328</v>
      </c>
      <c r="F10" s="1249" t="s">
        <v>329</v>
      </c>
      <c r="G10" s="1250" t="s">
        <v>448</v>
      </c>
      <c r="H10" s="1251" t="s">
        <v>449</v>
      </c>
    </row>
    <row r="11" spans="1:9" ht="14.25" thickTop="1" thickBot="1" x14ac:dyDescent="0.25">
      <c r="A11" s="1252">
        <v>1</v>
      </c>
      <c r="B11" s="1253">
        <v>2</v>
      </c>
      <c r="C11" s="1253">
        <v>3</v>
      </c>
      <c r="D11" s="1253">
        <v>5</v>
      </c>
      <c r="E11" s="1254">
        <v>6</v>
      </c>
      <c r="F11" s="1254">
        <v>7</v>
      </c>
      <c r="G11" s="1255">
        <v>8</v>
      </c>
      <c r="H11" s="1271" t="s">
        <v>393</v>
      </c>
    </row>
    <row r="12" spans="1:9" s="1238" customFormat="1" ht="15.75" thickTop="1" x14ac:dyDescent="0.25">
      <c r="A12" s="3074">
        <v>3713</v>
      </c>
      <c r="B12" s="3072">
        <v>5011</v>
      </c>
      <c r="C12" s="3081">
        <v>106515011</v>
      </c>
      <c r="D12" s="1280" t="s">
        <v>117</v>
      </c>
      <c r="E12" s="3068">
        <v>0</v>
      </c>
      <c r="F12" s="3068">
        <v>1866</v>
      </c>
      <c r="G12" s="3068">
        <v>143</v>
      </c>
      <c r="H12" s="3069">
        <f t="shared" ref="H12:H17" si="0">G12/F12*100</f>
        <v>7.6634512325830659</v>
      </c>
    </row>
    <row r="13" spans="1:9" s="1238" customFormat="1" ht="30" x14ac:dyDescent="0.25">
      <c r="A13" s="3074">
        <v>3713</v>
      </c>
      <c r="B13" s="3072">
        <v>5031</v>
      </c>
      <c r="C13" s="3081">
        <v>106515011</v>
      </c>
      <c r="D13" s="1284" t="s">
        <v>621</v>
      </c>
      <c r="E13" s="3068">
        <v>0</v>
      </c>
      <c r="F13" s="3068">
        <v>466</v>
      </c>
      <c r="G13" s="3068">
        <v>36</v>
      </c>
      <c r="H13" s="3069">
        <f t="shared" si="0"/>
        <v>7.7253218884120178</v>
      </c>
    </row>
    <row r="14" spans="1:9" s="1238" customFormat="1" ht="30" x14ac:dyDescent="0.25">
      <c r="A14" s="3074">
        <v>3713</v>
      </c>
      <c r="B14" s="3072">
        <v>5032</v>
      </c>
      <c r="C14" s="3081">
        <v>106515011</v>
      </c>
      <c r="D14" s="1284" t="s">
        <v>553</v>
      </c>
      <c r="E14" s="3068">
        <v>0</v>
      </c>
      <c r="F14" s="3068">
        <v>168</v>
      </c>
      <c r="G14" s="3068">
        <v>15</v>
      </c>
      <c r="H14" s="3069">
        <f t="shared" si="0"/>
        <v>8.9285714285714288</v>
      </c>
    </row>
    <row r="15" spans="1:9" s="1238" customFormat="1" ht="15" x14ac:dyDescent="0.25">
      <c r="A15" s="3074">
        <v>3713</v>
      </c>
      <c r="B15" s="3072">
        <v>5169</v>
      </c>
      <c r="C15" s="3081">
        <v>106515011</v>
      </c>
      <c r="D15" s="1280" t="s">
        <v>430</v>
      </c>
      <c r="E15" s="3068">
        <v>0</v>
      </c>
      <c r="F15" s="3068">
        <v>250</v>
      </c>
      <c r="G15" s="3068">
        <v>107</v>
      </c>
      <c r="H15" s="3069">
        <f t="shared" si="0"/>
        <v>42.8</v>
      </c>
    </row>
    <row r="16" spans="1:9" s="1238" customFormat="1" ht="30.75" thickBot="1" x14ac:dyDescent="0.25">
      <c r="A16" s="3074">
        <v>3713</v>
      </c>
      <c r="B16" s="3072">
        <v>6371</v>
      </c>
      <c r="C16" s="3073" t="s">
        <v>1500</v>
      </c>
      <c r="D16" s="1264" t="s">
        <v>1499</v>
      </c>
      <c r="E16" s="3068">
        <v>0</v>
      </c>
      <c r="F16" s="3068">
        <v>83350</v>
      </c>
      <c r="G16" s="3076">
        <v>0</v>
      </c>
      <c r="H16" s="3082">
        <f t="shared" si="0"/>
        <v>0</v>
      </c>
    </row>
    <row r="17" spans="1:9" ht="16.5" thickTop="1" thickBot="1" x14ac:dyDescent="0.3">
      <c r="A17" s="1274" t="s">
        <v>394</v>
      </c>
      <c r="B17" s="1275"/>
      <c r="C17" s="1275"/>
      <c r="D17" s="1276"/>
      <c r="E17" s="1269">
        <f>SUM(E12:E16)</f>
        <v>0</v>
      </c>
      <c r="F17" s="1269">
        <f>SUM(F12:F16)</f>
        <v>86100</v>
      </c>
      <c r="G17" s="1269">
        <f>SUM(G12:G16)</f>
        <v>301</v>
      </c>
      <c r="H17" s="3065">
        <f t="shared" si="0"/>
        <v>0.34959349593495936</v>
      </c>
    </row>
    <row r="18" spans="1:9" ht="13.5" thickTop="1" x14ac:dyDescent="0.2">
      <c r="H18" s="2600"/>
    </row>
    <row r="20" spans="1:9" ht="13.5" hidden="1" x14ac:dyDescent="0.25">
      <c r="A20" s="3333" t="s">
        <v>1502</v>
      </c>
      <c r="B20" s="3334"/>
      <c r="C20" s="3334"/>
      <c r="D20" s="3334"/>
      <c r="E20" s="3334"/>
      <c r="F20" s="3334"/>
      <c r="G20" s="3334"/>
      <c r="H20" s="3334"/>
    </row>
    <row r="21" spans="1:9" ht="15.75" hidden="1" thickBot="1" x14ac:dyDescent="0.3">
      <c r="A21" s="1229" t="s">
        <v>1501</v>
      </c>
      <c r="B21" s="1243"/>
      <c r="C21" s="1243"/>
      <c r="D21" s="1243"/>
      <c r="F21" s="1244"/>
      <c r="G21" s="1244"/>
      <c r="H21" s="1245" t="s">
        <v>92</v>
      </c>
      <c r="I21" s="1311"/>
    </row>
    <row r="22" spans="1:9" ht="25.5" hidden="1" thickTop="1" thickBot="1" x14ac:dyDescent="0.25">
      <c r="A22" s="1246" t="s">
        <v>93</v>
      </c>
      <c r="B22" s="1247" t="s">
        <v>392</v>
      </c>
      <c r="C22" s="1247" t="s">
        <v>209</v>
      </c>
      <c r="D22" s="1248" t="s">
        <v>95</v>
      </c>
      <c r="E22" s="1249" t="s">
        <v>328</v>
      </c>
      <c r="F22" s="1249" t="s">
        <v>329</v>
      </c>
      <c r="G22" s="1250" t="s">
        <v>448</v>
      </c>
      <c r="H22" s="1251" t="s">
        <v>449</v>
      </c>
    </row>
    <row r="23" spans="1:9" ht="14.25" hidden="1" thickTop="1" thickBot="1" x14ac:dyDescent="0.25">
      <c r="A23" s="1252">
        <v>1</v>
      </c>
      <c r="B23" s="1253">
        <v>2</v>
      </c>
      <c r="C23" s="1253">
        <v>3</v>
      </c>
      <c r="D23" s="1253">
        <v>5</v>
      </c>
      <c r="E23" s="1254">
        <v>6</v>
      </c>
      <c r="F23" s="1254">
        <v>7</v>
      </c>
      <c r="G23" s="1255">
        <v>8</v>
      </c>
      <c r="H23" s="1271" t="s">
        <v>393</v>
      </c>
    </row>
    <row r="24" spans="1:9" ht="13.5" hidden="1" thickTop="1" x14ac:dyDescent="0.2">
      <c r="A24" s="2597"/>
      <c r="B24" s="2595"/>
      <c r="C24" s="2596"/>
      <c r="D24" s="2595"/>
      <c r="E24" s="2599"/>
      <c r="F24" s="2599"/>
      <c r="G24" s="2599"/>
      <c r="H24" s="2598"/>
    </row>
    <row r="25" spans="1:9" ht="13.5" hidden="1" thickTop="1" x14ac:dyDescent="0.2">
      <c r="A25" s="2597"/>
      <c r="B25" s="2595"/>
      <c r="C25" s="2596"/>
      <c r="D25" s="2595"/>
      <c r="E25" s="2594"/>
      <c r="F25" s="2594"/>
      <c r="G25" s="2593"/>
      <c r="H25" s="2592"/>
    </row>
    <row r="26" spans="1:9" ht="13.5" hidden="1" thickTop="1" x14ac:dyDescent="0.2">
      <c r="A26" s="2597"/>
      <c r="B26" s="2595"/>
      <c r="C26" s="2596"/>
      <c r="D26" s="2595"/>
      <c r="E26" s="2594"/>
      <c r="F26" s="2594"/>
      <c r="G26" s="2593"/>
      <c r="H26" s="2592"/>
    </row>
    <row r="27" spans="1:9" s="1238" customFormat="1" ht="15.75" hidden="1" thickTop="1" x14ac:dyDescent="0.25">
      <c r="A27" s="1308">
        <v>6409</v>
      </c>
      <c r="B27" s="1279">
        <v>5909</v>
      </c>
      <c r="C27" s="1357">
        <v>0</v>
      </c>
      <c r="D27" s="1280" t="s">
        <v>760</v>
      </c>
      <c r="E27" s="1265"/>
      <c r="F27" s="1265"/>
      <c r="G27" s="1265"/>
      <c r="H27" s="1266">
        <v>0</v>
      </c>
    </row>
    <row r="28" spans="1:9" s="1238" customFormat="1" ht="31.5" hidden="1" thickTop="1" thickBot="1" x14ac:dyDescent="0.25">
      <c r="A28" s="1262">
        <v>3713</v>
      </c>
      <c r="B28" s="1263">
        <v>6371</v>
      </c>
      <c r="C28" s="2203" t="s">
        <v>1500</v>
      </c>
      <c r="D28" s="1264" t="s">
        <v>1499</v>
      </c>
      <c r="E28" s="1265"/>
      <c r="F28" s="1265"/>
      <c r="G28" s="1273"/>
      <c r="H28" s="1266">
        <v>0</v>
      </c>
    </row>
    <row r="29" spans="1:9" ht="16.5" hidden="1" thickTop="1" thickBot="1" x14ac:dyDescent="0.3">
      <c r="A29" s="1274" t="s">
        <v>394</v>
      </c>
      <c r="B29" s="1275"/>
      <c r="C29" s="1275"/>
      <c r="D29" s="1276"/>
      <c r="E29" s="1269">
        <f>SUM(E27:E28)</f>
        <v>0</v>
      </c>
      <c r="F29" s="1269">
        <f>SUM(F27:F28)</f>
        <v>0</v>
      </c>
      <c r="G29" s="1269">
        <f>SUM(G27:G28)</f>
        <v>0</v>
      </c>
      <c r="H29" s="1270">
        <v>0</v>
      </c>
    </row>
    <row r="30" spans="1:9" ht="13.5" hidden="1" thickTop="1" x14ac:dyDescent="0.2"/>
    <row r="32" spans="1:9" ht="15.75" thickBot="1" x14ac:dyDescent="0.3">
      <c r="A32" s="1229" t="s">
        <v>137</v>
      </c>
      <c r="B32" s="1243"/>
      <c r="C32" s="1243"/>
      <c r="D32" s="1243"/>
      <c r="F32" s="1244"/>
      <c r="G32" s="1244"/>
      <c r="H32" s="1245" t="s">
        <v>92</v>
      </c>
      <c r="I32" s="1311"/>
    </row>
    <row r="33" spans="1:12" ht="25.5" thickTop="1" thickBot="1" x14ac:dyDescent="0.25">
      <c r="A33" s="1246" t="s">
        <v>93</v>
      </c>
      <c r="B33" s="1247" t="s">
        <v>392</v>
      </c>
      <c r="C33" s="1247" t="s">
        <v>209</v>
      </c>
      <c r="D33" s="1248" t="s">
        <v>95</v>
      </c>
      <c r="E33" s="1249" t="s">
        <v>328</v>
      </c>
      <c r="F33" s="1249" t="s">
        <v>329</v>
      </c>
      <c r="G33" s="1250" t="s">
        <v>448</v>
      </c>
      <c r="H33" s="1251" t="s">
        <v>449</v>
      </c>
    </row>
    <row r="34" spans="1:12" ht="14.25" thickTop="1" thickBot="1" x14ac:dyDescent="0.25">
      <c r="A34" s="1252">
        <v>1</v>
      </c>
      <c r="B34" s="1253">
        <v>2</v>
      </c>
      <c r="C34" s="1253">
        <v>3</v>
      </c>
      <c r="D34" s="1253">
        <v>5</v>
      </c>
      <c r="E34" s="1254">
        <v>6</v>
      </c>
      <c r="F34" s="1254">
        <v>7</v>
      </c>
      <c r="G34" s="1255">
        <v>8</v>
      </c>
      <c r="H34" s="1271" t="s">
        <v>393</v>
      </c>
    </row>
    <row r="35" spans="1:12" s="1238" customFormat="1" ht="15.75" hidden="1" thickTop="1" x14ac:dyDescent="0.25">
      <c r="A35" s="1308">
        <v>6409</v>
      </c>
      <c r="B35" s="1279">
        <v>5909</v>
      </c>
      <c r="C35" s="2206" t="s">
        <v>871</v>
      </c>
      <c r="D35" s="1280" t="s">
        <v>406</v>
      </c>
      <c r="E35" s="1260"/>
      <c r="F35" s="1260"/>
      <c r="G35" s="1272"/>
      <c r="H35" s="1261">
        <v>0</v>
      </c>
    </row>
    <row r="36" spans="1:12" s="1238" customFormat="1" ht="16.5" thickTop="1" thickBot="1" x14ac:dyDescent="0.25">
      <c r="A36" s="1262">
        <v>6330</v>
      </c>
      <c r="B36" s="1263">
        <v>5345</v>
      </c>
      <c r="C36" s="2203" t="s">
        <v>871</v>
      </c>
      <c r="D36" s="1264" t="s">
        <v>397</v>
      </c>
      <c r="E36" s="1265">
        <v>0</v>
      </c>
      <c r="F36" s="1265">
        <v>0</v>
      </c>
      <c r="G36" s="1273">
        <v>86100</v>
      </c>
      <c r="H36" s="3065">
        <v>0</v>
      </c>
    </row>
    <row r="37" spans="1:12" ht="16.5" thickTop="1" thickBot="1" x14ac:dyDescent="0.3">
      <c r="A37" s="1274" t="s">
        <v>394</v>
      </c>
      <c r="B37" s="1275"/>
      <c r="C37" s="1275"/>
      <c r="D37" s="1276"/>
      <c r="E37" s="1269">
        <f>SUM(E35:E36)</f>
        <v>0</v>
      </c>
      <c r="F37" s="1269">
        <f>SUM(F35:F36)</f>
        <v>0</v>
      </c>
      <c r="G37" s="1269">
        <f>SUM(G35:G36)</f>
        <v>86100</v>
      </c>
      <c r="H37" s="3070">
        <v>0</v>
      </c>
    </row>
    <row r="38" spans="1:12" ht="13.5" thickTop="1" x14ac:dyDescent="0.2"/>
    <row r="41" spans="1:12" ht="16.5" x14ac:dyDescent="0.25">
      <c r="A41" s="1285" t="s">
        <v>251</v>
      </c>
      <c r="B41" s="1286"/>
      <c r="C41" s="1287"/>
      <c r="D41" s="1288"/>
      <c r="E41" s="1289">
        <f>SUM(E42:E44)</f>
        <v>0</v>
      </c>
      <c r="F41" s="1289">
        <f>F42+F43+F44+F45</f>
        <v>86100</v>
      </c>
      <c r="G41" s="1289">
        <f>G42+G43+G44+G45</f>
        <v>86401</v>
      </c>
      <c r="H41" s="1290">
        <f>G41/F41*100</f>
        <v>100.34959349593495</v>
      </c>
      <c r="J41" s="1291">
        <f>J42+J43+J44</f>
        <v>0</v>
      </c>
      <c r="K41" s="1291">
        <f>K42+K43+K44</f>
        <v>86100000</v>
      </c>
      <c r="L41" s="1291">
        <f>L42+L43+L44</f>
        <v>86400542.299999997</v>
      </c>
    </row>
    <row r="42" spans="1:12" ht="15" x14ac:dyDescent="0.2">
      <c r="A42" s="1292" t="s">
        <v>147</v>
      </c>
      <c r="B42" s="1293"/>
      <c r="C42" s="1294"/>
      <c r="D42" s="1295"/>
      <c r="E42" s="1296">
        <f>E12+E13+E14+E15+E35</f>
        <v>0</v>
      </c>
      <c r="F42" s="1296">
        <f>F12+F13+F14+F15+F35</f>
        <v>2750</v>
      </c>
      <c r="G42" s="1296">
        <f>G12+G13+G14+G15+G35</f>
        <v>301</v>
      </c>
      <c r="H42" s="1297">
        <f>G42/F42*100</f>
        <v>10.945454545454545</v>
      </c>
      <c r="J42" s="1298">
        <v>0</v>
      </c>
      <c r="K42" s="1298">
        <v>2750485.44</v>
      </c>
      <c r="L42" s="1298">
        <f>300532.5+9.8</f>
        <v>300542.3</v>
      </c>
    </row>
    <row r="43" spans="1:12" ht="15" x14ac:dyDescent="0.2">
      <c r="A43" s="1292" t="s">
        <v>148</v>
      </c>
      <c r="B43" s="1299"/>
      <c r="C43" s="1294"/>
      <c r="D43" s="1300"/>
      <c r="E43" s="1296">
        <f>E16+E28</f>
        <v>0</v>
      </c>
      <c r="F43" s="1296">
        <f>F16+F28</f>
        <v>83350</v>
      </c>
      <c r="G43" s="1296">
        <f>G16+G28</f>
        <v>0</v>
      </c>
      <c r="H43" s="1297">
        <f>G43/F43*100</f>
        <v>0</v>
      </c>
      <c r="J43" s="1298">
        <v>0</v>
      </c>
      <c r="K43" s="1298">
        <v>83349514.560000002</v>
      </c>
      <c r="L43" s="1298">
        <v>0</v>
      </c>
    </row>
    <row r="44" spans="1:12" ht="15" x14ac:dyDescent="0.2">
      <c r="A44" s="1292" t="s">
        <v>252</v>
      </c>
      <c r="B44" s="1299"/>
      <c r="C44" s="1294"/>
      <c r="D44" s="1300"/>
      <c r="E44" s="1296">
        <f>E36</f>
        <v>0</v>
      </c>
      <c r="F44" s="1296">
        <f>F36</f>
        <v>0</v>
      </c>
      <c r="G44" s="1296">
        <f>G36</f>
        <v>86100</v>
      </c>
      <c r="H44" s="1297">
        <v>0</v>
      </c>
      <c r="J44" s="1298">
        <v>0</v>
      </c>
      <c r="K44" s="1298">
        <v>0</v>
      </c>
      <c r="L44" s="1298">
        <v>86100000</v>
      </c>
    </row>
    <row r="45" spans="1:12" ht="16.5" customHeight="1" x14ac:dyDescent="0.2">
      <c r="A45" s="1292"/>
      <c r="B45" s="1299"/>
      <c r="C45" s="1294"/>
      <c r="D45" s="1300"/>
      <c r="E45" s="1296"/>
      <c r="F45" s="1296"/>
      <c r="G45" s="1296"/>
      <c r="H45" s="1301"/>
    </row>
    <row r="46" spans="1:12" ht="69.75" customHeight="1" thickBot="1" x14ac:dyDescent="0.4">
      <c r="A46" s="3347" t="s">
        <v>2025</v>
      </c>
      <c r="B46" s="3347"/>
      <c r="C46" s="3347"/>
      <c r="D46" s="3347"/>
      <c r="E46" s="1302">
        <f>SUM(E41)</f>
        <v>0</v>
      </c>
      <c r="F46" s="1302">
        <f>SUM(F41)</f>
        <v>86100</v>
      </c>
      <c r="G46" s="1302">
        <f>SUM(G41)</f>
        <v>86401</v>
      </c>
      <c r="H46" s="1303">
        <f>G46/F46*100</f>
        <v>100.34959349593495</v>
      </c>
    </row>
    <row r="47" spans="1:12" ht="13.5" thickTop="1" x14ac:dyDescent="0.2"/>
  </sheetData>
  <mergeCells count="3">
    <mergeCell ref="A8:H8"/>
    <mergeCell ref="A20:H20"/>
    <mergeCell ref="A46:D46"/>
  </mergeCells>
  <pageMargins left="0.70866141732283472" right="0.70866141732283472" top="0.78740157480314965" bottom="0.78740157480314965" header="0.31496062992125984" footer="0.31496062992125984"/>
  <pageSetup paperSize="9" scale="65" firstPageNumber="159" orientation="portrait" useFirstPageNumber="1" r:id="rId1"/>
  <headerFooter>
    <oddFooter>&amp;L&amp;"Arial,Kurzíva"Zastupitelstvo Olomouckého kraje 25. 6. 2018
5. - Rozpočet Olomouckého kraje 2017 - závěrečný  účet 
Příloha č. 3: Plnění rozpočtu výdajů Olomouckého kraje k 31. 12. 2017&amp;R&amp;"Arial,Kurzíva"Strana &amp;P (celkem 478)</oddFooter>
  </headerFooter>
  <colBreaks count="1" manualBreakCount="1">
    <brk id="8" max="1048575" man="1"/>
  </col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FF"/>
  </sheetPr>
  <dimension ref="A1:U71"/>
  <sheetViews>
    <sheetView showGridLines="0" view="pageBreakPreview" topLeftCell="A25" zoomScaleNormal="100" zoomScaleSheetLayoutView="100" workbookViewId="0">
      <selection activeCell="A55" sqref="A55:D57"/>
    </sheetView>
  </sheetViews>
  <sheetFormatPr defaultColWidth="9.140625" defaultRowHeight="12.75" x14ac:dyDescent="0.2"/>
  <cols>
    <col min="1" max="2" width="5.28515625" style="1097" customWidth="1"/>
    <col min="3" max="3" width="9.7109375" style="1097" customWidth="1"/>
    <col min="4" max="4" width="41.7109375" style="1098" customWidth="1"/>
    <col min="5" max="5" width="15.140625" style="1123" customWidth="1"/>
    <col min="6" max="6" width="14.85546875" style="1123" customWidth="1"/>
    <col min="7" max="7" width="14" style="1123" customWidth="1"/>
    <col min="8" max="8" width="9.140625" style="1120" customWidth="1"/>
    <col min="9" max="9" width="12.7109375" style="1098" bestFit="1" customWidth="1"/>
    <col min="10" max="10" width="12.85546875" style="1098" bestFit="1" customWidth="1"/>
    <col min="11" max="12" width="12.7109375" style="1098" bestFit="1" customWidth="1"/>
    <col min="13" max="16384" width="9.140625" style="1098"/>
  </cols>
  <sheetData>
    <row r="1" spans="1:21" x14ac:dyDescent="0.2">
      <c r="A1" s="3348" t="s">
        <v>22</v>
      </c>
      <c r="B1" s="3349"/>
      <c r="C1" s="3349"/>
      <c r="D1" s="3349"/>
      <c r="E1" s="3349"/>
      <c r="F1" s="3349"/>
      <c r="G1" s="3349"/>
      <c r="H1" s="3350"/>
    </row>
    <row r="2" spans="1:21" ht="21.75" customHeight="1" thickBot="1" x14ac:dyDescent="0.25">
      <c r="A2" s="3351"/>
      <c r="B2" s="3351"/>
      <c r="C2" s="3351"/>
      <c r="D2" s="3351"/>
      <c r="E2" s="3351"/>
      <c r="F2" s="3351"/>
      <c r="G2" s="3351"/>
      <c r="H2" s="3352"/>
    </row>
    <row r="3" spans="1:21" ht="15.75" x14ac:dyDescent="0.25">
      <c r="G3" s="1153" t="s">
        <v>589</v>
      </c>
    </row>
    <row r="4" spans="1:21" s="997" customFormat="1" ht="12.75" customHeight="1" x14ac:dyDescent="0.25">
      <c r="A4" s="1077" t="s">
        <v>201</v>
      </c>
      <c r="B4" s="1056"/>
      <c r="C4" s="1096" t="s">
        <v>1083</v>
      </c>
      <c r="D4" s="1668"/>
      <c r="E4" s="1052"/>
      <c r="F4" s="1668"/>
      <c r="H4" s="1669"/>
    </row>
    <row r="5" spans="1:21" s="997" customFormat="1" ht="12.75" customHeight="1" x14ac:dyDescent="0.25">
      <c r="A5" s="1075"/>
      <c r="B5" s="1056"/>
      <c r="C5" s="1096" t="s">
        <v>295</v>
      </c>
      <c r="D5" s="1668"/>
      <c r="E5" s="1052"/>
      <c r="F5" s="1668"/>
      <c r="H5" s="1669"/>
    </row>
    <row r="6" spans="1:21" s="997" customFormat="1" ht="12.75" customHeight="1" x14ac:dyDescent="0.25">
      <c r="A6" s="1075"/>
      <c r="B6" s="1056"/>
      <c r="C6" s="1096"/>
      <c r="D6" s="1668"/>
      <c r="E6" s="1052"/>
      <c r="F6" s="1668"/>
      <c r="H6" s="1669"/>
    </row>
    <row r="7" spans="1:21" s="997" customFormat="1" ht="12.75" customHeight="1" x14ac:dyDescent="0.25">
      <c r="A7" s="1075"/>
      <c r="B7" s="1056"/>
      <c r="C7" s="1096"/>
      <c r="D7" s="1668"/>
      <c r="E7" s="1052"/>
      <c r="F7" s="1668"/>
      <c r="H7" s="1669"/>
    </row>
    <row r="8" spans="1:21" s="997" customFormat="1" ht="12.75" customHeight="1" x14ac:dyDescent="0.25">
      <c r="A8" s="1075"/>
      <c r="B8" s="1056"/>
      <c r="C8" s="1096"/>
      <c r="D8" s="1668"/>
      <c r="E8" s="1052"/>
      <c r="F8" s="1668"/>
      <c r="H8" s="1669"/>
    </row>
    <row r="9" spans="1:21" s="997" customFormat="1" ht="18" x14ac:dyDescent="0.25">
      <c r="A9" s="1057" t="s">
        <v>450</v>
      </c>
      <c r="B9" s="1056"/>
      <c r="C9" s="1056"/>
      <c r="D9" s="1074"/>
      <c r="E9" s="1053"/>
      <c r="F9" s="1053"/>
      <c r="G9" s="1668"/>
      <c r="H9" s="1051"/>
      <c r="I9" s="1052"/>
    </row>
    <row r="10" spans="1:21" s="997" customFormat="1" ht="13.5" thickBot="1" x14ac:dyDescent="0.25">
      <c r="A10" s="1050"/>
      <c r="B10" s="1050"/>
      <c r="C10" s="1050"/>
      <c r="D10" s="1070"/>
      <c r="E10" s="1002"/>
      <c r="F10" s="1002"/>
      <c r="G10" s="1048"/>
      <c r="H10" s="1001" t="s">
        <v>92</v>
      </c>
    </row>
    <row r="11" spans="1:21" s="1043" customFormat="1" ht="20.25" customHeight="1" thickTop="1" thickBot="1" x14ac:dyDescent="0.25">
      <c r="A11" s="1047" t="s">
        <v>93</v>
      </c>
      <c r="B11" s="1046" t="s">
        <v>94</v>
      </c>
      <c r="C11" s="1069" t="s">
        <v>364</v>
      </c>
      <c r="D11" s="1069" t="s">
        <v>95</v>
      </c>
      <c r="E11" s="1069" t="s">
        <v>328</v>
      </c>
      <c r="F11" s="1069" t="s">
        <v>329</v>
      </c>
      <c r="G11" s="1749" t="s">
        <v>448</v>
      </c>
      <c r="H11" s="1784" t="s">
        <v>449</v>
      </c>
    </row>
    <row r="12" spans="1:21" s="1037" customFormat="1" ht="13.5" thickTop="1" thickBot="1" x14ac:dyDescent="0.25">
      <c r="A12" s="1042">
        <v>1</v>
      </c>
      <c r="B12" s="1041">
        <v>2</v>
      </c>
      <c r="C12" s="1041">
        <v>3</v>
      </c>
      <c r="D12" s="1041">
        <v>4</v>
      </c>
      <c r="E12" s="1041">
        <v>5</v>
      </c>
      <c r="F12" s="1040">
        <v>6</v>
      </c>
      <c r="G12" s="1040">
        <v>7</v>
      </c>
      <c r="H12" s="1039" t="s">
        <v>33</v>
      </c>
      <c r="I12" s="1038"/>
    </row>
    <row r="13" spans="1:21" s="1654" customFormat="1" ht="16.5" thickTop="1" thickBot="1" x14ac:dyDescent="0.3">
      <c r="A13" s="1359">
        <v>2399</v>
      </c>
      <c r="B13" s="1358">
        <v>5909</v>
      </c>
      <c r="C13" s="851"/>
      <c r="D13" s="850" t="s">
        <v>376</v>
      </c>
      <c r="E13" s="849">
        <v>20000</v>
      </c>
      <c r="F13" s="848">
        <f>10541+31000</f>
        <v>41541</v>
      </c>
      <c r="G13" s="848">
        <v>30806</v>
      </c>
      <c r="H13" s="199">
        <f>(G13/F13)*100</f>
        <v>74.158060711104696</v>
      </c>
      <c r="I13" s="847"/>
      <c r="J13" s="847"/>
      <c r="K13" s="847"/>
      <c r="L13" s="847"/>
      <c r="M13" s="847"/>
      <c r="N13" s="847"/>
      <c r="O13" s="847"/>
      <c r="P13" s="847"/>
      <c r="Q13" s="847"/>
      <c r="R13" s="847"/>
      <c r="S13" s="847"/>
      <c r="T13" s="847"/>
      <c r="U13" s="847"/>
    </row>
    <row r="14" spans="1:21" ht="16.5" thickTop="1" thickBot="1" x14ac:dyDescent="0.3">
      <c r="A14" s="3317" t="s">
        <v>394</v>
      </c>
      <c r="B14" s="3318"/>
      <c r="C14" s="3318"/>
      <c r="D14" s="3318"/>
      <c r="E14" s="1382">
        <f>E13</f>
        <v>20000</v>
      </c>
      <c r="F14" s="1382">
        <f>F13</f>
        <v>41541</v>
      </c>
      <c r="G14" s="1382">
        <f>G13</f>
        <v>30806</v>
      </c>
      <c r="H14" s="2047">
        <f>G14/F14*100</f>
        <v>74.158060711104696</v>
      </c>
      <c r="I14" s="1123"/>
    </row>
    <row r="15" spans="1:21" s="997" customFormat="1" ht="12.75" customHeight="1" thickTop="1" x14ac:dyDescent="0.25">
      <c r="A15" s="1075"/>
      <c r="B15" s="1056"/>
      <c r="C15" s="1096"/>
      <c r="D15" s="1668"/>
      <c r="E15" s="1052"/>
      <c r="F15" s="1668"/>
      <c r="H15" s="1669"/>
    </row>
    <row r="16" spans="1:21" s="997" customFormat="1" ht="12.75" customHeight="1" x14ac:dyDescent="0.25">
      <c r="A16" s="1075"/>
      <c r="B16" s="1056"/>
      <c r="C16" s="1096"/>
      <c r="D16" s="1668"/>
      <c r="E16" s="1052"/>
      <c r="F16" s="1668"/>
      <c r="H16" s="1669"/>
    </row>
    <row r="17" spans="1:8" s="997" customFormat="1" ht="15.75" x14ac:dyDescent="0.2">
      <c r="A17" s="3181" t="s">
        <v>1151</v>
      </c>
      <c r="B17" s="3181"/>
      <c r="C17" s="3181"/>
      <c r="D17" s="3181"/>
      <c r="E17" s="3181"/>
      <c r="F17" s="3181"/>
      <c r="G17" s="3181"/>
      <c r="H17" s="3181"/>
    </row>
    <row r="18" spans="1:8" s="997" customFormat="1" x14ac:dyDescent="0.2">
      <c r="A18" s="3182" t="s">
        <v>1631</v>
      </c>
      <c r="B18" s="3182"/>
      <c r="C18" s="3182"/>
      <c r="D18" s="3182"/>
      <c r="E18" s="3182"/>
      <c r="F18" s="3182"/>
      <c r="G18" s="3182"/>
      <c r="H18" s="3182"/>
    </row>
    <row r="19" spans="1:8" s="997" customFormat="1" ht="12.75" customHeight="1" thickBot="1" x14ac:dyDescent="0.3">
      <c r="A19" s="33"/>
      <c r="B19" s="570"/>
      <c r="C19" s="571"/>
      <c r="D19" s="372"/>
      <c r="E19" s="373"/>
      <c r="F19" s="560"/>
      <c r="G19" s="373"/>
      <c r="H19" s="1568" t="s">
        <v>92</v>
      </c>
    </row>
    <row r="20" spans="1:8" s="997" customFormat="1" ht="14.25" thickTop="1" thickBot="1" x14ac:dyDescent="0.25">
      <c r="A20" s="572" t="s">
        <v>93</v>
      </c>
      <c r="B20" s="573" t="s">
        <v>94</v>
      </c>
      <c r="C20" s="575" t="s">
        <v>364</v>
      </c>
      <c r="D20" s="639" t="s">
        <v>95</v>
      </c>
      <c r="E20" s="639" t="s">
        <v>328</v>
      </c>
      <c r="F20" s="639" t="s">
        <v>329</v>
      </c>
      <c r="G20" s="639" t="s">
        <v>448</v>
      </c>
      <c r="H20" s="576" t="s">
        <v>449</v>
      </c>
    </row>
    <row r="21" spans="1:8" s="997" customFormat="1" ht="14.25" thickTop="1" thickBot="1" x14ac:dyDescent="0.25">
      <c r="A21" s="511">
        <v>1</v>
      </c>
      <c r="B21" s="512">
        <v>2</v>
      </c>
      <c r="C21" s="512">
        <v>3</v>
      </c>
      <c r="D21" s="512">
        <v>4</v>
      </c>
      <c r="E21" s="512">
        <v>5</v>
      </c>
      <c r="F21" s="499">
        <v>6</v>
      </c>
      <c r="G21" s="499">
        <v>7</v>
      </c>
      <c r="H21" s="577" t="s">
        <v>33</v>
      </c>
    </row>
    <row r="22" spans="1:8" s="997" customFormat="1" ht="15.75" thickTop="1" x14ac:dyDescent="0.25">
      <c r="A22" s="2605">
        <v>2321</v>
      </c>
      <c r="B22" s="2606">
        <v>6341</v>
      </c>
      <c r="C22" s="2360" t="s">
        <v>1507</v>
      </c>
      <c r="D22" s="800" t="s">
        <v>136</v>
      </c>
      <c r="E22" s="60">
        <v>0</v>
      </c>
      <c r="F22" s="308">
        <f>860+3000+3000+2300+2300+2300+1200+2500+2300+1200+1700+2300+2300</f>
        <v>27260</v>
      </c>
      <c r="G22" s="310">
        <f>860+3000+3000+2300+2300+2300+1200+2500+2300+0+1700+2300+2300</f>
        <v>26060</v>
      </c>
      <c r="H22" s="199">
        <f>(G22/F22)*100</f>
        <v>95.59794570799707</v>
      </c>
    </row>
    <row r="23" spans="1:8" s="997" customFormat="1" ht="15.75" thickBot="1" x14ac:dyDescent="0.3">
      <c r="A23" s="2605">
        <v>2399</v>
      </c>
      <c r="B23" s="2606">
        <v>6341</v>
      </c>
      <c r="C23" s="2360" t="s">
        <v>1507</v>
      </c>
      <c r="D23" s="800" t="s">
        <v>136</v>
      </c>
      <c r="E23" s="48">
        <v>30000</v>
      </c>
      <c r="F23" s="165">
        <v>1140</v>
      </c>
      <c r="G23" s="310">
        <v>0</v>
      </c>
      <c r="H23" s="199">
        <f>(G23/F23)*100</f>
        <v>0</v>
      </c>
    </row>
    <row r="24" spans="1:8" s="997" customFormat="1" ht="19.5" thickTop="1" thickBot="1" x14ac:dyDescent="0.3">
      <c r="A24" s="578" t="s">
        <v>1508</v>
      </c>
      <c r="B24" s="744"/>
      <c r="C24" s="580"/>
      <c r="D24" s="581"/>
      <c r="E24" s="582">
        <f>SUM(E22:E23)</f>
        <v>30000</v>
      </c>
      <c r="F24" s="582">
        <f>SUM(F22:F23)</f>
        <v>28400</v>
      </c>
      <c r="G24" s="582">
        <f>SUM(G22:G23)</f>
        <v>26060</v>
      </c>
      <c r="H24" s="783">
        <f>(G24/F24)*100</f>
        <v>91.760563380281695</v>
      </c>
    </row>
    <row r="25" spans="1:8" s="997" customFormat="1" ht="12.75" customHeight="1" thickTop="1" x14ac:dyDescent="0.25">
      <c r="A25" s="1075"/>
      <c r="B25" s="1056"/>
      <c r="C25" s="1096"/>
      <c r="D25" s="1668"/>
      <c r="E25" s="1052"/>
      <c r="F25" s="1668"/>
      <c r="H25" s="1669"/>
    </row>
    <row r="26" spans="1:8" s="997" customFormat="1" ht="12.75" customHeight="1" x14ac:dyDescent="0.25">
      <c r="A26" s="1075"/>
      <c r="B26" s="1056"/>
      <c r="C26" s="1096"/>
      <c r="D26" s="1668"/>
      <c r="E26" s="1052"/>
      <c r="F26" s="1668"/>
      <c r="H26" s="1669"/>
    </row>
    <row r="27" spans="1:8" s="997" customFormat="1" ht="12.75" customHeight="1" x14ac:dyDescent="0.2">
      <c r="A27" s="3182" t="s">
        <v>1632</v>
      </c>
      <c r="B27" s="3182"/>
      <c r="C27" s="3182"/>
      <c r="D27" s="3182"/>
      <c r="E27" s="3182"/>
      <c r="F27" s="3182"/>
      <c r="G27" s="3182"/>
      <c r="H27" s="3182"/>
    </row>
    <row r="28" spans="1:8" s="997" customFormat="1" ht="12.75" customHeight="1" thickBot="1" x14ac:dyDescent="0.3">
      <c r="A28" s="33"/>
      <c r="B28" s="570"/>
      <c r="C28" s="571"/>
      <c r="D28" s="372"/>
      <c r="E28" s="373"/>
      <c r="F28" s="560"/>
      <c r="G28" s="373"/>
      <c r="H28" s="1568" t="s">
        <v>92</v>
      </c>
    </row>
    <row r="29" spans="1:8" s="997" customFormat="1" ht="14.25" thickTop="1" thickBot="1" x14ac:dyDescent="0.25">
      <c r="A29" s="572" t="s">
        <v>93</v>
      </c>
      <c r="B29" s="573" t="s">
        <v>94</v>
      </c>
      <c r="C29" s="575" t="s">
        <v>364</v>
      </c>
      <c r="D29" s="639" t="s">
        <v>95</v>
      </c>
      <c r="E29" s="639" t="s">
        <v>328</v>
      </c>
      <c r="F29" s="639" t="s">
        <v>329</v>
      </c>
      <c r="G29" s="639" t="s">
        <v>448</v>
      </c>
      <c r="H29" s="576" t="s">
        <v>449</v>
      </c>
    </row>
    <row r="30" spans="1:8" s="997" customFormat="1" ht="14.25" thickTop="1" thickBot="1" x14ac:dyDescent="0.25">
      <c r="A30" s="511">
        <v>1</v>
      </c>
      <c r="B30" s="512">
        <v>2</v>
      </c>
      <c r="C30" s="512">
        <v>3</v>
      </c>
      <c r="D30" s="512">
        <v>4</v>
      </c>
      <c r="E30" s="512">
        <v>5</v>
      </c>
      <c r="F30" s="499">
        <v>6</v>
      </c>
      <c r="G30" s="499">
        <v>7</v>
      </c>
      <c r="H30" s="577" t="s">
        <v>33</v>
      </c>
    </row>
    <row r="31" spans="1:8" s="997" customFormat="1" ht="16.5" thickTop="1" thickBot="1" x14ac:dyDescent="0.3">
      <c r="A31" s="2605">
        <v>2310</v>
      </c>
      <c r="B31" s="2606">
        <v>6341</v>
      </c>
      <c r="C31" s="2360" t="s">
        <v>1506</v>
      </c>
      <c r="D31" s="800" t="s">
        <v>136</v>
      </c>
      <c r="E31" s="60">
        <v>0</v>
      </c>
      <c r="F31" s="308">
        <f>410+640+964+2200</f>
        <v>4214</v>
      </c>
      <c r="G31" s="310">
        <f>410+640+964+2200</f>
        <v>4214</v>
      </c>
      <c r="H31" s="199">
        <f>(G31/F31)*100</f>
        <v>100</v>
      </c>
    </row>
    <row r="32" spans="1:8" s="997" customFormat="1" ht="15.75" hidden="1" thickBot="1" x14ac:dyDescent="0.3">
      <c r="A32" s="2605">
        <v>2399</v>
      </c>
      <c r="B32" s="2606">
        <v>6341</v>
      </c>
      <c r="C32" s="2360" t="s">
        <v>1506</v>
      </c>
      <c r="D32" s="800" t="s">
        <v>136</v>
      </c>
      <c r="E32" s="48"/>
      <c r="F32" s="165"/>
      <c r="G32" s="310"/>
      <c r="H32" s="199" t="e">
        <f>(G32/F32)*100</f>
        <v>#DIV/0!</v>
      </c>
    </row>
    <row r="33" spans="1:12" s="997" customFormat="1" ht="19.5" thickTop="1" thickBot="1" x14ac:dyDescent="0.3">
      <c r="A33" s="578" t="s">
        <v>1509</v>
      </c>
      <c r="B33" s="744"/>
      <c r="C33" s="580"/>
      <c r="D33" s="581"/>
      <c r="E33" s="582">
        <f>SUM(E31:E32)</f>
        <v>0</v>
      </c>
      <c r="F33" s="582">
        <f>SUM(F31:F32)</f>
        <v>4214</v>
      </c>
      <c r="G33" s="582">
        <f>SUM(G31:G32)</f>
        <v>4214</v>
      </c>
      <c r="H33" s="783">
        <f>(G33/F33)*100</f>
        <v>100</v>
      </c>
    </row>
    <row r="34" spans="1:12" s="997" customFormat="1" ht="12.75" customHeight="1" thickTop="1" x14ac:dyDescent="0.25">
      <c r="A34" s="1075"/>
      <c r="B34" s="1056"/>
      <c r="C34" s="1096"/>
      <c r="D34" s="1668"/>
      <c r="E34" s="1052"/>
      <c r="F34" s="1668"/>
      <c r="H34" s="1669"/>
    </row>
    <row r="35" spans="1:12" s="997" customFormat="1" ht="12.75" customHeight="1" x14ac:dyDescent="0.25">
      <c r="A35" s="1075"/>
      <c r="B35" s="1056"/>
      <c r="C35" s="1096"/>
      <c r="D35" s="1668"/>
      <c r="E35" s="1052"/>
      <c r="F35" s="1668"/>
      <c r="H35" s="1669"/>
    </row>
    <row r="36" spans="1:12" s="997" customFormat="1" ht="12.75" hidden="1" customHeight="1" x14ac:dyDescent="0.2">
      <c r="A36" s="3182" t="s">
        <v>1633</v>
      </c>
      <c r="B36" s="3182"/>
      <c r="C36" s="3182"/>
      <c r="D36" s="3182"/>
      <c r="E36" s="3182"/>
      <c r="F36" s="3182"/>
      <c r="G36" s="3182"/>
      <c r="H36" s="3182"/>
    </row>
    <row r="37" spans="1:12" s="997" customFormat="1" ht="12.75" hidden="1" customHeight="1" thickBot="1" x14ac:dyDescent="0.3">
      <c r="A37" s="33"/>
      <c r="B37" s="570"/>
      <c r="C37" s="571"/>
      <c r="D37" s="372"/>
      <c r="E37" s="373"/>
      <c r="F37" s="560"/>
      <c r="G37" s="373"/>
      <c r="H37" s="1568" t="s">
        <v>92</v>
      </c>
    </row>
    <row r="38" spans="1:12" s="997" customFormat="1" ht="14.25" hidden="1" thickTop="1" thickBot="1" x14ac:dyDescent="0.25">
      <c r="A38" s="572" t="s">
        <v>93</v>
      </c>
      <c r="B38" s="573" t="s">
        <v>94</v>
      </c>
      <c r="C38" s="575" t="s">
        <v>364</v>
      </c>
      <c r="D38" s="639" t="s">
        <v>95</v>
      </c>
      <c r="E38" s="639" t="s">
        <v>328</v>
      </c>
      <c r="F38" s="639" t="s">
        <v>329</v>
      </c>
      <c r="G38" s="639" t="s">
        <v>448</v>
      </c>
      <c r="H38" s="576" t="s">
        <v>449</v>
      </c>
    </row>
    <row r="39" spans="1:12" s="997" customFormat="1" ht="14.25" hidden="1" thickTop="1" thickBot="1" x14ac:dyDescent="0.25">
      <c r="A39" s="511">
        <v>1</v>
      </c>
      <c r="B39" s="512">
        <v>2</v>
      </c>
      <c r="C39" s="512">
        <v>3</v>
      </c>
      <c r="D39" s="512">
        <v>4</v>
      </c>
      <c r="E39" s="512">
        <v>5</v>
      </c>
      <c r="F39" s="499">
        <v>6</v>
      </c>
      <c r="G39" s="499">
        <v>7</v>
      </c>
      <c r="H39" s="577" t="s">
        <v>33</v>
      </c>
    </row>
    <row r="40" spans="1:12" s="997" customFormat="1" ht="16.5" hidden="1" thickTop="1" thickBot="1" x14ac:dyDescent="0.3">
      <c r="A40" s="2605">
        <v>2399</v>
      </c>
      <c r="B40" s="2606">
        <v>6341</v>
      </c>
      <c r="C40" s="2360" t="s">
        <v>1510</v>
      </c>
      <c r="D40" s="800" t="s">
        <v>136</v>
      </c>
      <c r="E40" s="48"/>
      <c r="F40" s="165"/>
      <c r="G40" s="310"/>
      <c r="H40" s="199" t="e">
        <f>(G40/F40)*100</f>
        <v>#DIV/0!</v>
      </c>
    </row>
    <row r="41" spans="1:12" s="997" customFormat="1" ht="19.5" hidden="1" thickTop="1" thickBot="1" x14ac:dyDescent="0.3">
      <c r="A41" s="578" t="s">
        <v>1634</v>
      </c>
      <c r="B41" s="744"/>
      <c r="C41" s="580"/>
      <c r="D41" s="581"/>
      <c r="E41" s="582">
        <f>SUM(E40:E40)</f>
        <v>0</v>
      </c>
      <c r="F41" s="582">
        <f>SUM(F40:F40)</f>
        <v>0</v>
      </c>
      <c r="G41" s="582">
        <f>SUM(G40:G40)</f>
        <v>0</v>
      </c>
      <c r="H41" s="783" t="e">
        <f>(G41/F41)*100</f>
        <v>#DIV/0!</v>
      </c>
    </row>
    <row r="42" spans="1:12" s="997" customFormat="1" ht="12.75" customHeight="1" x14ac:dyDescent="0.25">
      <c r="A42" s="1075"/>
      <c r="B42" s="1056"/>
      <c r="C42" s="1096"/>
      <c r="D42" s="1668"/>
      <c r="E42" s="1052"/>
      <c r="F42" s="1668"/>
      <c r="H42" s="1669"/>
    </row>
    <row r="43" spans="1:12" s="997" customFormat="1" ht="12.75" customHeight="1" thickBot="1" x14ac:dyDescent="0.3">
      <c r="A43" s="1075"/>
      <c r="B43" s="1056"/>
      <c r="C43" s="1096"/>
      <c r="D43" s="1668"/>
      <c r="E43" s="1052"/>
      <c r="F43" s="1668"/>
      <c r="H43" s="1669"/>
    </row>
    <row r="44" spans="1:12" s="997" customFormat="1" ht="19.5" thickTop="1" thickBot="1" x14ac:dyDescent="0.3">
      <c r="A44" s="578" t="s">
        <v>1152</v>
      </c>
      <c r="B44" s="744"/>
      <c r="C44" s="580"/>
      <c r="D44" s="581"/>
      <c r="E44" s="582">
        <f>E41+E33+E24</f>
        <v>30000</v>
      </c>
      <c r="F44" s="582">
        <f t="shared" ref="F44:G44" si="0">F41+F33+F24</f>
        <v>32614</v>
      </c>
      <c r="G44" s="582">
        <f t="shared" si="0"/>
        <v>30274</v>
      </c>
      <c r="H44" s="783">
        <f>(G44/F44)*100</f>
        <v>92.82516710615073</v>
      </c>
    </row>
    <row r="45" spans="1:12" s="997" customFormat="1" ht="12.75" customHeight="1" thickTop="1" x14ac:dyDescent="0.25">
      <c r="A45" s="1075"/>
      <c r="B45" s="1056"/>
      <c r="C45" s="1096"/>
      <c r="D45" s="1668"/>
      <c r="E45" s="1052"/>
      <c r="F45" s="1668"/>
      <c r="H45" s="1669"/>
    </row>
    <row r="46" spans="1:12" ht="15" x14ac:dyDescent="0.25">
      <c r="A46" s="2046"/>
    </row>
    <row r="47" spans="1:12" ht="15" x14ac:dyDescent="0.25">
      <c r="A47" s="2046"/>
    </row>
    <row r="48" spans="1:12" s="2042" customFormat="1" ht="15.75" x14ac:dyDescent="0.25">
      <c r="A48" s="3354" t="s">
        <v>778</v>
      </c>
      <c r="B48" s="3355"/>
      <c r="C48" s="3355"/>
      <c r="D48" s="3355"/>
      <c r="E48" s="1979">
        <f>SUM(E50:E51)</f>
        <v>20000</v>
      </c>
      <c r="F48" s="1979">
        <f>SUM(F50:F51)</f>
        <v>41541</v>
      </c>
      <c r="G48" s="1979">
        <f>SUM(G50:G51)</f>
        <v>30806</v>
      </c>
      <c r="H48" s="2044">
        <f>G48/F48*100</f>
        <v>74.158060711104696</v>
      </c>
      <c r="J48" s="2045">
        <f>J50+J51</f>
        <v>20000000</v>
      </c>
      <c r="K48" s="2045">
        <f>K50+K51</f>
        <v>41540697.060000002</v>
      </c>
      <c r="L48" s="2045">
        <f>L50+L51</f>
        <v>30806014.5</v>
      </c>
    </row>
    <row r="49" spans="1:12" s="2042" customFormat="1" ht="15.75" x14ac:dyDescent="0.25">
      <c r="A49" s="3355"/>
      <c r="B49" s="3355"/>
      <c r="C49" s="3355"/>
      <c r="D49" s="3355"/>
      <c r="E49" s="1979"/>
      <c r="F49" s="1979"/>
      <c r="G49" s="1979"/>
      <c r="H49" s="2044"/>
      <c r="J49" s="2043"/>
      <c r="K49" s="2043"/>
      <c r="L49" s="2043"/>
    </row>
    <row r="50" spans="1:12" s="2037" customFormat="1" ht="15" x14ac:dyDescent="0.2">
      <c r="A50" s="1011" t="s">
        <v>147</v>
      </c>
      <c r="B50" s="2041"/>
      <c r="C50" s="2041"/>
      <c r="D50" s="2041"/>
      <c r="E50" s="2040">
        <f>E14</f>
        <v>20000</v>
      </c>
      <c r="F50" s="2040">
        <f>F14</f>
        <v>41541</v>
      </c>
      <c r="G50" s="2040">
        <f>G14</f>
        <v>30806</v>
      </c>
      <c r="H50" s="2039">
        <f>G50/F50*100</f>
        <v>74.158060711104696</v>
      </c>
      <c r="J50" s="2038">
        <v>20000000</v>
      </c>
      <c r="K50" s="2038">
        <v>41540697.060000002</v>
      </c>
      <c r="L50" s="2038">
        <v>30806014.5</v>
      </c>
    </row>
    <row r="51" spans="1:12" s="2037" customFormat="1" ht="15" x14ac:dyDescent="0.2">
      <c r="A51" s="1011" t="s">
        <v>148</v>
      </c>
      <c r="B51" s="2041"/>
      <c r="C51" s="2041"/>
      <c r="D51" s="2041"/>
      <c r="E51" s="2040">
        <v>0</v>
      </c>
      <c r="F51" s="2040">
        <v>0</v>
      </c>
      <c r="G51" s="2040">
        <v>0</v>
      </c>
      <c r="H51" s="2039">
        <v>0</v>
      </c>
      <c r="J51" s="2038">
        <v>0</v>
      </c>
      <c r="K51" s="2038">
        <v>0</v>
      </c>
      <c r="L51" s="2038">
        <v>0</v>
      </c>
    </row>
    <row r="52" spans="1:12" s="2037" customFormat="1" ht="15" x14ac:dyDescent="0.2">
      <c r="A52" s="1011"/>
      <c r="B52" s="2041"/>
      <c r="C52" s="2041"/>
      <c r="D52" s="2041"/>
      <c r="E52" s="2040"/>
      <c r="F52" s="2040"/>
      <c r="G52" s="2040"/>
      <c r="H52" s="2039"/>
      <c r="J52" s="2038"/>
      <c r="K52" s="2038"/>
      <c r="L52" s="2038"/>
    </row>
    <row r="53" spans="1:12" s="2037" customFormat="1" ht="16.5" x14ac:dyDescent="0.25">
      <c r="A53" s="1694" t="s">
        <v>1151</v>
      </c>
      <c r="B53" s="1677"/>
      <c r="C53" s="1676"/>
      <c r="D53" s="997"/>
      <c r="E53" s="1151">
        <f>E44</f>
        <v>30000</v>
      </c>
      <c r="F53" s="1151">
        <f t="shared" ref="F53:G53" si="1">F44</f>
        <v>32614</v>
      </c>
      <c r="G53" s="1151">
        <f t="shared" si="1"/>
        <v>30274</v>
      </c>
      <c r="H53" s="1907">
        <f t="shared" ref="H53" si="2">G53/F53*100</f>
        <v>92.82516710615073</v>
      </c>
      <c r="J53" s="2045">
        <v>30000000</v>
      </c>
      <c r="K53" s="2045">
        <v>32614575.359999999</v>
      </c>
      <c r="L53" s="2045">
        <v>30274000</v>
      </c>
    </row>
    <row r="54" spans="1:12" s="2037" customFormat="1" ht="15" x14ac:dyDescent="0.2">
      <c r="A54" s="1011"/>
      <c r="B54" s="2041"/>
      <c r="C54" s="2041"/>
      <c r="D54" s="2041"/>
      <c r="E54" s="2040"/>
      <c r="F54" s="2040"/>
      <c r="G54" s="2040"/>
      <c r="H54" s="2039"/>
      <c r="J54" s="2038"/>
      <c r="K54" s="2038"/>
      <c r="L54" s="2038"/>
    </row>
    <row r="55" spans="1:12" s="2029" customFormat="1" ht="23.25" x14ac:dyDescent="0.35">
      <c r="A55" s="3356" t="s">
        <v>779</v>
      </c>
      <c r="B55" s="3357"/>
      <c r="C55" s="3357"/>
      <c r="D55" s="3357"/>
      <c r="E55" s="2036">
        <f>SUM(E48,E53)</f>
        <v>50000</v>
      </c>
      <c r="F55" s="2036">
        <f t="shared" ref="F55:G55" si="3">SUM(F48,F53)</f>
        <v>74155</v>
      </c>
      <c r="G55" s="2036">
        <f t="shared" si="3"/>
        <v>61080</v>
      </c>
      <c r="H55" s="2034">
        <f>G55/F55*100</f>
        <v>82.368012945856648</v>
      </c>
      <c r="J55" s="2033">
        <f>J48+J53</f>
        <v>50000000</v>
      </c>
      <c r="K55" s="2033">
        <f t="shared" ref="K55:L55" si="4">K48+K53</f>
        <v>74155272.420000002</v>
      </c>
      <c r="L55" s="2033">
        <f t="shared" si="4"/>
        <v>61080014.5</v>
      </c>
    </row>
    <row r="56" spans="1:12" s="2029" customFormat="1" ht="23.25" x14ac:dyDescent="0.35">
      <c r="A56" s="3358"/>
      <c r="B56" s="3358"/>
      <c r="C56" s="3358"/>
      <c r="D56" s="3358"/>
      <c r="E56" s="2032"/>
      <c r="F56" s="2031"/>
      <c r="G56" s="2031"/>
      <c r="H56" s="2030"/>
    </row>
    <row r="57" spans="1:12" ht="13.5" customHeight="1" thickBot="1" x14ac:dyDescent="0.4">
      <c r="A57" s="3359"/>
      <c r="B57" s="3359"/>
      <c r="C57" s="3359"/>
      <c r="D57" s="3359"/>
      <c r="E57" s="2028"/>
      <c r="F57" s="2027"/>
      <c r="G57" s="2027"/>
      <c r="H57" s="2026"/>
    </row>
    <row r="58" spans="1:12" ht="13.5" thickTop="1" x14ac:dyDescent="0.2">
      <c r="D58" s="2025"/>
      <c r="E58" s="1002"/>
      <c r="F58" s="1002"/>
      <c r="G58" s="1002"/>
      <c r="H58" s="2024"/>
    </row>
    <row r="59" spans="1:12" ht="14.25" x14ac:dyDescent="0.2">
      <c r="A59" s="2005" t="s">
        <v>62</v>
      </c>
      <c r="B59" s="1228"/>
      <c r="C59" s="1228"/>
      <c r="D59" s="2023"/>
      <c r="E59" s="1878"/>
      <c r="F59" s="1878"/>
      <c r="G59" s="1878"/>
      <c r="H59" s="2022"/>
    </row>
    <row r="60" spans="1:12" ht="12.75" customHeight="1" x14ac:dyDescent="0.2">
      <c r="A60" s="3353" t="s">
        <v>765</v>
      </c>
      <c r="B60" s="3353"/>
      <c r="C60" s="3353"/>
      <c r="D60" s="3353"/>
      <c r="E60" s="3353"/>
      <c r="F60" s="3353"/>
      <c r="G60" s="3353"/>
      <c r="H60" s="3353"/>
    </row>
    <row r="61" spans="1:12" s="1184" customFormat="1" ht="12.75" customHeight="1" x14ac:dyDescent="0.2">
      <c r="A61" s="3267"/>
      <c r="B61" s="3267"/>
      <c r="C61" s="3267"/>
      <c r="D61" s="3267"/>
      <c r="E61" s="3267"/>
      <c r="F61" s="3267"/>
      <c r="G61" s="3267"/>
      <c r="H61" s="3267"/>
    </row>
    <row r="62" spans="1:12" s="1184" customFormat="1" ht="19.5" customHeight="1" x14ac:dyDescent="0.2">
      <c r="A62" s="1097"/>
      <c r="B62" s="1097"/>
      <c r="C62" s="1097"/>
      <c r="D62" s="1098"/>
      <c r="E62" s="1123"/>
      <c r="F62" s="1123"/>
      <c r="G62" s="1123"/>
      <c r="H62" s="1120"/>
    </row>
    <row r="63" spans="1:12" s="1184" customFormat="1" x14ac:dyDescent="0.2">
      <c r="A63" s="1097"/>
      <c r="B63" s="1097"/>
      <c r="C63" s="1097"/>
      <c r="D63" s="1098"/>
      <c r="E63" s="1123"/>
      <c r="F63" s="1123"/>
      <c r="G63" s="1123"/>
      <c r="H63" s="1120"/>
    </row>
    <row r="64" spans="1:12" s="1184" customFormat="1" x14ac:dyDescent="0.2">
      <c r="A64" s="1097"/>
      <c r="B64" s="1097"/>
      <c r="C64" s="1097"/>
      <c r="D64" s="1098"/>
      <c r="E64" s="1123"/>
      <c r="F64" s="1123"/>
      <c r="G64" s="1123"/>
      <c r="H64" s="1120"/>
    </row>
    <row r="65" spans="1:8" s="1184" customFormat="1" x14ac:dyDescent="0.2">
      <c r="A65" s="1097"/>
      <c r="B65" s="1097"/>
      <c r="C65" s="1097"/>
      <c r="D65" s="1098"/>
      <c r="E65" s="1123"/>
      <c r="F65" s="1123"/>
      <c r="G65" s="1123"/>
      <c r="H65" s="1120"/>
    </row>
    <row r="66" spans="1:8" s="1184" customFormat="1" ht="12.75" customHeight="1" x14ac:dyDescent="0.2">
      <c r="A66" s="1097"/>
      <c r="B66" s="1097"/>
      <c r="C66" s="1097"/>
      <c r="D66" s="1098"/>
      <c r="E66" s="1123"/>
      <c r="F66" s="1123"/>
      <c r="G66" s="1123"/>
      <c r="H66" s="1120"/>
    </row>
    <row r="67" spans="1:8" s="1184" customFormat="1" ht="12.75" customHeight="1" x14ac:dyDescent="0.2">
      <c r="A67" s="1097"/>
      <c r="B67" s="1097"/>
      <c r="C67" s="1097"/>
      <c r="D67" s="1098"/>
      <c r="E67" s="1123"/>
      <c r="F67" s="1123"/>
      <c r="G67" s="1123"/>
      <c r="H67" s="1120"/>
    </row>
    <row r="68" spans="1:8" ht="12.75" customHeight="1" x14ac:dyDescent="0.2"/>
    <row r="69" spans="1:8" ht="12.75" customHeight="1" x14ac:dyDescent="0.2"/>
    <row r="70" spans="1:8" ht="12.75" customHeight="1" x14ac:dyDescent="0.2"/>
    <row r="71" spans="1:8" ht="21.75" customHeight="1" x14ac:dyDescent="0.2"/>
  </sheetData>
  <mergeCells count="9">
    <mergeCell ref="A1:H2"/>
    <mergeCell ref="A60:H61"/>
    <mergeCell ref="A48:D49"/>
    <mergeCell ref="A55:D57"/>
    <mergeCell ref="A14:D14"/>
    <mergeCell ref="A17:H17"/>
    <mergeCell ref="A18:H18"/>
    <mergeCell ref="A27:H27"/>
    <mergeCell ref="A36:H36"/>
  </mergeCells>
  <pageMargins left="0.98425196850393704" right="0.98425196850393704" top="0.98425196850393704" bottom="0.98425196850393704" header="0.51181102362204722" footer="0.51181102362204722"/>
  <pageSetup paperSize="9" scale="69" firstPageNumber="160" orientation="portrait" useFirstPageNumber="1" r:id="rId1"/>
  <headerFooter alignWithMargins="0">
    <oddFooter xml:space="preserve">&amp;L&amp;"Arial,Kurzíva"Zastupitelstvo Olomouckého kraje 25. 6. 2018
5. - Rozpočet Olomouckého kraje 2017 - závěrečný  účet 
Příloha č. 3: Plnění rozpočtu výdajů Olomouckého kraje k 31. 12. 2017&amp;R&amp;"Arial,Kurzíva"Strana &amp;P (celkem 478)
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rgb="FFCCFFFF"/>
  </sheetPr>
  <dimension ref="A1:L24"/>
  <sheetViews>
    <sheetView showGridLines="0" view="pageBreakPreview" zoomScaleNormal="100" zoomScaleSheetLayoutView="100" workbookViewId="0">
      <selection activeCell="J28" sqref="J28"/>
    </sheetView>
  </sheetViews>
  <sheetFormatPr defaultColWidth="9.140625" defaultRowHeight="12.75" x14ac:dyDescent="0.2"/>
  <cols>
    <col min="1" max="1" width="4.7109375" style="584" customWidth="1"/>
    <col min="2" max="2" width="4.7109375" style="491" customWidth="1"/>
    <col min="3" max="3" width="4.5703125" style="491" customWidth="1"/>
    <col min="4" max="4" width="50.140625" style="491" customWidth="1"/>
    <col min="5" max="6" width="14.85546875" style="491" customWidth="1"/>
    <col min="7" max="7" width="13.5703125" style="491" customWidth="1"/>
    <col min="8" max="8" width="8.42578125" style="491" customWidth="1"/>
    <col min="9" max="9" width="9.140625" style="491"/>
    <col min="10" max="10" width="16.5703125" style="491" customWidth="1"/>
    <col min="11" max="12" width="15.7109375" style="491" customWidth="1"/>
    <col min="13" max="16384" width="9.140625" style="491"/>
  </cols>
  <sheetData>
    <row r="1" spans="1:12" ht="18" customHeight="1" thickBot="1" x14ac:dyDescent="0.3">
      <c r="A1" s="441" t="s">
        <v>1657</v>
      </c>
      <c r="B1" s="442"/>
      <c r="C1" s="442"/>
      <c r="D1" s="453"/>
      <c r="E1" s="458"/>
      <c r="F1" s="445" t="s">
        <v>98</v>
      </c>
      <c r="G1" s="459"/>
      <c r="H1" s="459"/>
      <c r="I1" s="17"/>
    </row>
    <row r="2" spans="1:12" ht="35.25" customHeight="1" x14ac:dyDescent="0.25">
      <c r="A2" s="3198" t="s">
        <v>1663</v>
      </c>
      <c r="B2" s="3198"/>
      <c r="C2" s="3198"/>
      <c r="D2" s="3198"/>
      <c r="E2" s="3198"/>
      <c r="F2" s="3198"/>
      <c r="G2" s="3198"/>
      <c r="H2" s="3198"/>
      <c r="I2" s="17"/>
    </row>
    <row r="3" spans="1:12" ht="12.75" customHeight="1" x14ac:dyDescent="0.25">
      <c r="A3" s="6"/>
      <c r="B3" s="28"/>
      <c r="C3" s="28"/>
      <c r="D3" s="10"/>
      <c r="E3" s="134"/>
      <c r="F3" s="134"/>
      <c r="G3" s="16"/>
      <c r="H3" s="17"/>
      <c r="I3" s="17"/>
    </row>
    <row r="4" spans="1:12" ht="12.75" customHeight="1" x14ac:dyDescent="0.25">
      <c r="A4" s="67" t="s">
        <v>201</v>
      </c>
      <c r="B4" s="28"/>
      <c r="C4" s="483" t="s">
        <v>1349</v>
      </c>
      <c r="D4" s="569"/>
      <c r="E4" s="134"/>
      <c r="F4" s="16"/>
      <c r="G4" s="17"/>
      <c r="H4" s="17"/>
    </row>
    <row r="5" spans="1:12" ht="12.75" customHeight="1" x14ac:dyDescent="0.25">
      <c r="A5" s="6"/>
      <c r="B5" s="28"/>
      <c r="C5" s="483" t="s">
        <v>1350</v>
      </c>
      <c r="D5" s="599"/>
      <c r="E5" s="135"/>
      <c r="F5" s="16"/>
      <c r="G5" s="17"/>
      <c r="H5" s="17"/>
    </row>
    <row r="6" spans="1:12" ht="12.75" customHeight="1" x14ac:dyDescent="0.25">
      <c r="A6" s="6"/>
      <c r="B6" s="28"/>
      <c r="C6" s="28"/>
      <c r="D6" s="10"/>
      <c r="E6" s="134"/>
      <c r="F6" s="134"/>
      <c r="G6" s="16"/>
      <c r="H6" s="17"/>
      <c r="I6" s="17"/>
    </row>
    <row r="7" spans="1:12" ht="18" x14ac:dyDescent="0.25">
      <c r="A7" s="33" t="s">
        <v>450</v>
      </c>
      <c r="B7" s="28"/>
      <c r="C7" s="28"/>
      <c r="D7" s="10"/>
      <c r="E7" s="134"/>
      <c r="F7" s="134"/>
      <c r="G7" s="16"/>
      <c r="H7" s="17"/>
      <c r="I7" s="17"/>
    </row>
    <row r="8" spans="1:12" ht="13.5" thickBot="1" x14ac:dyDescent="0.25">
      <c r="A8" s="570"/>
      <c r="B8" s="570"/>
      <c r="C8" s="570"/>
      <c r="D8" s="571"/>
      <c r="E8" s="459"/>
      <c r="F8" s="459"/>
      <c r="G8" s="740"/>
      <c r="H8" s="459" t="s">
        <v>92</v>
      </c>
    </row>
    <row r="9" spans="1:12" s="106" customFormat="1" ht="20.25" customHeight="1" thickTop="1" thickBot="1" x14ac:dyDescent="0.25">
      <c r="A9" s="572" t="s">
        <v>93</v>
      </c>
      <c r="B9" s="573" t="s">
        <v>94</v>
      </c>
      <c r="C9" s="575" t="s">
        <v>364</v>
      </c>
      <c r="D9" s="575" t="s">
        <v>95</v>
      </c>
      <c r="E9" s="575" t="s">
        <v>328</v>
      </c>
      <c r="F9" s="575" t="s">
        <v>329</v>
      </c>
      <c r="G9" s="575" t="s">
        <v>448</v>
      </c>
      <c r="H9" s="576" t="s">
        <v>449</v>
      </c>
    </row>
    <row r="10" spans="1:12" s="374" customFormat="1" ht="13.5" thickTop="1" thickBot="1" x14ac:dyDescent="0.25">
      <c r="A10" s="511">
        <v>1</v>
      </c>
      <c r="B10" s="512">
        <v>2</v>
      </c>
      <c r="C10" s="512">
        <v>3</v>
      </c>
      <c r="D10" s="512">
        <v>4</v>
      </c>
      <c r="E10" s="512">
        <v>5</v>
      </c>
      <c r="F10" s="499">
        <v>6</v>
      </c>
      <c r="G10" s="499">
        <v>7</v>
      </c>
      <c r="H10" s="577" t="s">
        <v>33</v>
      </c>
      <c r="I10" s="106"/>
    </row>
    <row r="11" spans="1:12" s="106" customFormat="1" ht="20.25" customHeight="1" thickTop="1" x14ac:dyDescent="0.25">
      <c r="A11" s="771">
        <v>6172</v>
      </c>
      <c r="B11" s="1616">
        <v>5166</v>
      </c>
      <c r="C11" s="1617"/>
      <c r="D11" s="1618" t="s">
        <v>317</v>
      </c>
      <c r="E11" s="1619"/>
      <c r="F11" s="1619"/>
      <c r="G11" s="1620"/>
      <c r="H11" s="1621">
        <v>0</v>
      </c>
    </row>
    <row r="12" spans="1:12" ht="15.75" thickBot="1" x14ac:dyDescent="0.3">
      <c r="A12" s="1622">
        <v>6172</v>
      </c>
      <c r="B12" s="1623">
        <v>5192</v>
      </c>
      <c r="C12" s="1624"/>
      <c r="D12" s="1625" t="s">
        <v>826</v>
      </c>
      <c r="E12" s="1626"/>
      <c r="F12" s="1626"/>
      <c r="G12" s="1627"/>
      <c r="H12" s="1628" t="e">
        <f>(G12/F12)*100</f>
        <v>#DIV/0!</v>
      </c>
    </row>
    <row r="13" spans="1:12" s="355" customFormat="1" ht="30" customHeight="1" thickTop="1" thickBot="1" x14ac:dyDescent="0.3">
      <c r="A13" s="1560" t="s">
        <v>134</v>
      </c>
      <c r="B13" s="635"/>
      <c r="C13" s="2318"/>
      <c r="D13" s="635"/>
      <c r="E13" s="582">
        <f>SUM(E12,E11)</f>
        <v>0</v>
      </c>
      <c r="F13" s="582">
        <f t="shared" ref="F13:G13" si="0">SUM(F12,F11)</f>
        <v>0</v>
      </c>
      <c r="G13" s="582">
        <f t="shared" si="0"/>
        <v>0</v>
      </c>
      <c r="H13" s="1633" t="e">
        <f>(G13/F13)*100</f>
        <v>#DIV/0!</v>
      </c>
    </row>
    <row r="14" spans="1:12" ht="15.75" thickTop="1" x14ac:dyDescent="0.25">
      <c r="B14" s="584"/>
      <c r="C14" s="584"/>
      <c r="D14" s="585"/>
      <c r="E14" s="585"/>
      <c r="F14" s="586"/>
      <c r="G14" s="587"/>
      <c r="H14" s="588"/>
    </row>
    <row r="15" spans="1:12" ht="15" x14ac:dyDescent="0.25">
      <c r="B15" s="584"/>
      <c r="C15" s="584"/>
      <c r="D15" s="585"/>
      <c r="E15" s="585"/>
      <c r="F15" s="586"/>
      <c r="G15" s="587"/>
      <c r="H15" s="588"/>
    </row>
    <row r="16" spans="1:12" s="597" customFormat="1" ht="30.75" customHeight="1" x14ac:dyDescent="0.25">
      <c r="A16" s="3197" t="s">
        <v>1659</v>
      </c>
      <c r="B16" s="3197"/>
      <c r="C16" s="3197"/>
      <c r="D16" s="3197"/>
      <c r="E16" s="2861">
        <f>E17+E18+E19+E20</f>
        <v>0</v>
      </c>
      <c r="F16" s="2861">
        <f>F17+F18+F19+F20</f>
        <v>0</v>
      </c>
      <c r="G16" s="2861">
        <f>G17+G18+G19+G20</f>
        <v>0</v>
      </c>
      <c r="H16" s="2862" t="e">
        <f>(G16/F16)*100</f>
        <v>#DIV/0!</v>
      </c>
      <c r="J16" s="1291">
        <f>SUM(J17:J20)</f>
        <v>0</v>
      </c>
      <c r="K16" s="1291">
        <f>SUM(K17:K20)</f>
        <v>0</v>
      </c>
      <c r="L16" s="1291">
        <f>SUM(L17:L20)</f>
        <v>0</v>
      </c>
    </row>
    <row r="17" spans="1:12" s="860" customFormat="1" ht="15" x14ac:dyDescent="0.2">
      <c r="A17" s="507" t="s">
        <v>147</v>
      </c>
      <c r="B17" s="528"/>
      <c r="C17" s="529"/>
      <c r="D17" s="529"/>
      <c r="E17" s="735">
        <f t="shared" ref="E17:G18" si="1">E13</f>
        <v>0</v>
      </c>
      <c r="F17" s="735">
        <f t="shared" si="1"/>
        <v>0</v>
      </c>
      <c r="G17" s="735">
        <f t="shared" si="1"/>
        <v>0</v>
      </c>
      <c r="H17" s="772" t="e">
        <f>(G17/F17)*100</f>
        <v>#DIV/0!</v>
      </c>
      <c r="J17" s="1155"/>
      <c r="K17" s="1155"/>
      <c r="L17" s="1155"/>
    </row>
    <row r="18" spans="1:12" s="860" customFormat="1" ht="15" x14ac:dyDescent="0.2">
      <c r="A18" s="507" t="s">
        <v>148</v>
      </c>
      <c r="B18" s="533"/>
      <c r="C18" s="529"/>
      <c r="D18" s="529"/>
      <c r="E18" s="736">
        <f t="shared" si="1"/>
        <v>0</v>
      </c>
      <c r="F18" s="736">
        <f t="shared" si="1"/>
        <v>0</v>
      </c>
      <c r="G18" s="736">
        <f t="shared" si="1"/>
        <v>0</v>
      </c>
      <c r="H18" s="731">
        <v>0</v>
      </c>
      <c r="J18" s="1155"/>
      <c r="K18" s="1155"/>
      <c r="L18" s="1155"/>
    </row>
    <row r="19" spans="1:12" s="860" customFormat="1" ht="15" x14ac:dyDescent="0.2">
      <c r="A19" s="507" t="s">
        <v>119</v>
      </c>
      <c r="B19" s="533"/>
      <c r="C19" s="529"/>
      <c r="D19" s="529"/>
      <c r="E19" s="735">
        <v>0</v>
      </c>
      <c r="F19" s="531">
        <v>0</v>
      </c>
      <c r="G19" s="531">
        <v>0</v>
      </c>
      <c r="H19" s="731">
        <v>0</v>
      </c>
      <c r="J19" s="1155"/>
      <c r="K19" s="1155"/>
      <c r="L19" s="1155"/>
    </row>
    <row r="20" spans="1:12" s="860" customFormat="1" ht="15" x14ac:dyDescent="0.2">
      <c r="A20" s="507" t="s">
        <v>537</v>
      </c>
      <c r="B20" s="533"/>
      <c r="C20" s="529"/>
      <c r="D20" s="529"/>
      <c r="E20" s="735">
        <v>0</v>
      </c>
      <c r="F20" s="535">
        <v>0</v>
      </c>
      <c r="G20" s="535">
        <v>0</v>
      </c>
      <c r="H20" s="731">
        <v>0</v>
      </c>
      <c r="J20" s="1155"/>
      <c r="K20" s="1155"/>
      <c r="L20" s="1155"/>
    </row>
    <row r="21" spans="1:12" ht="15" x14ac:dyDescent="0.2">
      <c r="A21" s="507"/>
      <c r="B21" s="533"/>
      <c r="C21" s="529"/>
      <c r="D21" s="529"/>
      <c r="E21" s="735"/>
      <c r="F21" s="535"/>
      <c r="G21" s="535"/>
      <c r="H21" s="642"/>
    </row>
    <row r="22" spans="1:12" x14ac:dyDescent="0.2">
      <c r="H22" s="596"/>
    </row>
    <row r="23" spans="1:12" s="58" customFormat="1" ht="47.25" customHeight="1" thickBot="1" x14ac:dyDescent="0.4">
      <c r="A23" s="3196" t="s">
        <v>1660</v>
      </c>
      <c r="B23" s="3196"/>
      <c r="C23" s="3196"/>
      <c r="D23" s="3196"/>
      <c r="E23" s="536">
        <f>SUM(E13)</f>
        <v>0</v>
      </c>
      <c r="F23" s="536">
        <f>SUM(F13)</f>
        <v>0</v>
      </c>
      <c r="G23" s="536">
        <f>SUM(G13)</f>
        <v>0</v>
      </c>
      <c r="H23" s="773" t="e">
        <f>(G23/F23)*100</f>
        <v>#DIV/0!</v>
      </c>
      <c r="J23" s="2576">
        <f>J16</f>
        <v>0</v>
      </c>
      <c r="K23" s="2576">
        <f t="shared" ref="K23:L23" si="2">K16</f>
        <v>0</v>
      </c>
      <c r="L23" s="2576">
        <f t="shared" si="2"/>
        <v>0</v>
      </c>
    </row>
    <row r="24" spans="1:12" ht="13.5" thickTop="1" x14ac:dyDescent="0.2"/>
  </sheetData>
  <mergeCells count="3">
    <mergeCell ref="A23:D23"/>
    <mergeCell ref="A16:D16"/>
    <mergeCell ref="A2:H2"/>
  </mergeCells>
  <phoneticPr fontId="0" type="noConversion"/>
  <pageMargins left="0.98425196850393704" right="0.98425196850393704" top="0.98425196850393704" bottom="0.98425196850393704" header="0.51181102362204722" footer="0.51181102362204722"/>
  <pageSetup paperSize="9" scale="70" firstPageNumber="30" orientation="portrait" useFirstPageNumber="1" r:id="rId1"/>
  <headerFooter alignWithMargins="0">
    <oddFooter xml:space="preserve">&amp;L&amp;"Arial,Kurzíva"Zastupitelstvo Olomouckého kraje 19. 6. 2017
5.1. - Rozpočet Olomouckého kraje 2016 - závěrečný účet
Příloha č. 3: Plnění rozpočtu výdajů Olomouckého kraje k 31. 12. 2016&amp;R&amp;"Arial,Kurzíva"Strana &amp;P (celkem 500)
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FF"/>
  </sheetPr>
  <dimension ref="A1:U41"/>
  <sheetViews>
    <sheetView showGridLines="0" view="pageBreakPreview" zoomScaleNormal="100" zoomScaleSheetLayoutView="100" workbookViewId="0">
      <selection activeCell="E29" sqref="E29"/>
    </sheetView>
  </sheetViews>
  <sheetFormatPr defaultColWidth="9.140625" defaultRowHeight="12.75" x14ac:dyDescent="0.2"/>
  <cols>
    <col min="1" max="2" width="6.5703125" style="1097" customWidth="1"/>
    <col min="3" max="3" width="9.7109375" style="1097" customWidth="1"/>
    <col min="4" max="4" width="42.28515625" style="1098" customWidth="1"/>
    <col min="5" max="5" width="15.28515625" style="1123" customWidth="1"/>
    <col min="6" max="6" width="14.85546875" style="1123" customWidth="1"/>
    <col min="7" max="7" width="13.85546875" style="1123" customWidth="1"/>
    <col min="8" max="8" width="7.42578125" style="1098" customWidth="1"/>
    <col min="9" max="9" width="9.140625" style="1098"/>
    <col min="10" max="10" width="22.5703125" style="1098" bestFit="1" customWidth="1"/>
    <col min="11" max="11" width="16" style="1098" bestFit="1" customWidth="1"/>
    <col min="12" max="12" width="15.85546875" style="1098" customWidth="1"/>
    <col min="13" max="16384" width="9.140625" style="1098"/>
  </cols>
  <sheetData>
    <row r="1" spans="1:21" x14ac:dyDescent="0.2">
      <c r="A1" s="3348" t="s">
        <v>2010</v>
      </c>
      <c r="B1" s="3349"/>
      <c r="C1" s="3349"/>
      <c r="D1" s="3349"/>
      <c r="E1" s="3349"/>
      <c r="F1" s="3349"/>
      <c r="G1" s="3349"/>
      <c r="H1" s="3349"/>
    </row>
    <row r="2" spans="1:21" ht="12.75" customHeight="1" thickBot="1" x14ac:dyDescent="0.25">
      <c r="A2" s="3351"/>
      <c r="B2" s="3351"/>
      <c r="C2" s="3351"/>
      <c r="D2" s="3351"/>
      <c r="E2" s="3351"/>
      <c r="F2" s="3351"/>
      <c r="G2" s="3351"/>
      <c r="H2" s="3351"/>
    </row>
    <row r="3" spans="1:21" ht="18.75" customHeight="1" x14ac:dyDescent="0.25">
      <c r="A3" s="1564"/>
      <c r="B3" s="1564"/>
      <c r="C3" s="1564"/>
      <c r="D3" s="1564"/>
      <c r="E3" s="1564"/>
      <c r="F3" s="1564"/>
      <c r="G3" s="2070" t="s">
        <v>372</v>
      </c>
    </row>
    <row r="4" spans="1:21" s="997" customFormat="1" ht="12.75" customHeight="1" x14ac:dyDescent="0.25">
      <c r="A4" s="1077" t="s">
        <v>201</v>
      </c>
      <c r="B4" s="1056"/>
      <c r="C4" s="1056"/>
      <c r="D4" s="1096" t="s">
        <v>1084</v>
      </c>
      <c r="E4" s="1668"/>
      <c r="F4" s="1052"/>
      <c r="G4" s="1668"/>
    </row>
    <row r="5" spans="1:21" s="997" customFormat="1" ht="12.75" customHeight="1" x14ac:dyDescent="0.25">
      <c r="A5" s="1075"/>
      <c r="B5" s="1056"/>
      <c r="C5" s="1056"/>
      <c r="D5" s="1096" t="s">
        <v>1092</v>
      </c>
      <c r="E5" s="1668"/>
      <c r="F5" s="1052"/>
      <c r="G5" s="1668"/>
    </row>
    <row r="6" spans="1:21" ht="15.75" thickBot="1" x14ac:dyDescent="0.3">
      <c r="A6" s="2046"/>
      <c r="H6" s="1958" t="s">
        <v>92</v>
      </c>
    </row>
    <row r="7" spans="1:21" s="1037" customFormat="1" ht="25.5" thickTop="1" thickBot="1" x14ac:dyDescent="0.25">
      <c r="A7" s="1104" t="s">
        <v>93</v>
      </c>
      <c r="B7" s="1105" t="s">
        <v>392</v>
      </c>
      <c r="C7" s="1105"/>
      <c r="D7" s="1106" t="s">
        <v>95</v>
      </c>
      <c r="E7" s="1127" t="s">
        <v>328</v>
      </c>
      <c r="F7" s="1127" t="s">
        <v>329</v>
      </c>
      <c r="G7" s="1128" t="s">
        <v>448</v>
      </c>
      <c r="H7" s="1129" t="s">
        <v>449</v>
      </c>
    </row>
    <row r="8" spans="1:21" s="1221" customFormat="1" ht="13.5" thickTop="1" thickBot="1" x14ac:dyDescent="0.25">
      <c r="A8" s="1104">
        <v>1</v>
      </c>
      <c r="B8" s="1105">
        <v>2</v>
      </c>
      <c r="C8" s="1105">
        <v>3</v>
      </c>
      <c r="D8" s="1105">
        <v>4</v>
      </c>
      <c r="E8" s="1040">
        <v>5</v>
      </c>
      <c r="F8" s="1040">
        <v>6</v>
      </c>
      <c r="G8" s="1164">
        <v>7</v>
      </c>
      <c r="H8" s="1109" t="s">
        <v>33</v>
      </c>
    </row>
    <row r="9" spans="1:21" s="1875" customFormat="1" ht="16.5" customHeight="1" thickTop="1" x14ac:dyDescent="0.25">
      <c r="A9" s="2069">
        <v>6113</v>
      </c>
      <c r="B9" s="2068">
        <v>5169</v>
      </c>
      <c r="C9" s="2067"/>
      <c r="D9" s="2066" t="s">
        <v>430</v>
      </c>
      <c r="E9" s="1811">
        <f>80+43</f>
        <v>123</v>
      </c>
      <c r="F9" s="1895">
        <f>82+135</f>
        <v>217</v>
      </c>
      <c r="G9" s="1811">
        <f>62+51</f>
        <v>113</v>
      </c>
      <c r="H9" s="2065">
        <f>(G9/F9)*100</f>
        <v>52.073732718894007</v>
      </c>
      <c r="I9" s="1654"/>
      <c r="J9" s="1654"/>
      <c r="K9" s="1654"/>
      <c r="L9" s="1654"/>
      <c r="M9" s="1654"/>
      <c r="N9" s="1654"/>
      <c r="O9" s="1654"/>
      <c r="P9" s="1654"/>
      <c r="Q9" s="1654"/>
      <c r="R9" s="1654"/>
      <c r="S9" s="1654"/>
      <c r="T9" s="1654"/>
      <c r="U9" s="1654"/>
    </row>
    <row r="10" spans="1:21" s="1875" customFormat="1" ht="16.5" customHeight="1" x14ac:dyDescent="0.25">
      <c r="A10" s="2063">
        <v>6113</v>
      </c>
      <c r="B10" s="2062">
        <v>5499</v>
      </c>
      <c r="C10" s="2061"/>
      <c r="D10" s="2060" t="s">
        <v>207</v>
      </c>
      <c r="E10" s="1030">
        <v>56</v>
      </c>
      <c r="F10" s="1031">
        <v>56</v>
      </c>
      <c r="G10" s="1030">
        <v>16</v>
      </c>
      <c r="H10" s="1886">
        <f>(G10/F10)*100</f>
        <v>28.571428571428569</v>
      </c>
      <c r="I10" s="1654"/>
      <c r="J10" s="1654"/>
      <c r="K10" s="1654"/>
      <c r="L10" s="1654"/>
      <c r="M10" s="1654"/>
      <c r="N10" s="1654"/>
      <c r="O10" s="1654"/>
      <c r="P10" s="1654"/>
      <c r="Q10" s="1654"/>
      <c r="R10" s="1654"/>
      <c r="S10" s="1654"/>
      <c r="T10" s="1654"/>
      <c r="U10" s="1654"/>
    </row>
    <row r="11" spans="1:21" s="1875" customFormat="1" ht="16.5" customHeight="1" x14ac:dyDescent="0.25">
      <c r="A11" s="2063">
        <v>6113</v>
      </c>
      <c r="B11" s="2062">
        <v>5901</v>
      </c>
      <c r="C11" s="2061"/>
      <c r="D11" s="1071" t="s">
        <v>311</v>
      </c>
      <c r="E11" s="1030">
        <v>127</v>
      </c>
      <c r="F11" s="1031">
        <v>127</v>
      </c>
      <c r="G11" s="1030">
        <v>0</v>
      </c>
      <c r="H11" s="1886">
        <f t="shared" ref="H11:H12" si="0">(G11/F11)*100</f>
        <v>0</v>
      </c>
      <c r="I11" s="1654"/>
      <c r="J11" s="1654"/>
      <c r="K11" s="1654"/>
      <c r="L11" s="1654"/>
      <c r="M11" s="1654"/>
      <c r="N11" s="1654"/>
      <c r="O11" s="1654"/>
      <c r="P11" s="1654"/>
      <c r="Q11" s="1654"/>
      <c r="R11" s="1654"/>
      <c r="S11" s="1654"/>
      <c r="T11" s="1654"/>
      <c r="U11" s="1654"/>
    </row>
    <row r="12" spans="1:21" s="1875" customFormat="1" ht="16.5" customHeight="1" x14ac:dyDescent="0.25">
      <c r="A12" s="2063">
        <v>6172</v>
      </c>
      <c r="B12" s="2062">
        <v>5041</v>
      </c>
      <c r="C12" s="2061"/>
      <c r="D12" s="1814" t="s">
        <v>995</v>
      </c>
      <c r="E12" s="1030">
        <v>20</v>
      </c>
      <c r="F12" s="1031">
        <v>20</v>
      </c>
      <c r="G12" s="1030">
        <v>6</v>
      </c>
      <c r="H12" s="1886">
        <f t="shared" si="0"/>
        <v>30</v>
      </c>
      <c r="I12" s="1654"/>
      <c r="J12" s="1654"/>
      <c r="K12" s="1654"/>
      <c r="L12" s="1654"/>
      <c r="M12" s="1654"/>
      <c r="N12" s="1654"/>
      <c r="O12" s="1654"/>
      <c r="P12" s="1654"/>
      <c r="Q12" s="1654"/>
      <c r="R12" s="1654"/>
      <c r="S12" s="1654"/>
      <c r="T12" s="1654"/>
      <c r="U12" s="1654"/>
    </row>
    <row r="13" spans="1:21" s="1875" customFormat="1" ht="16.5" customHeight="1" x14ac:dyDescent="0.25">
      <c r="A13" s="2063">
        <v>6172</v>
      </c>
      <c r="B13" s="2062">
        <v>5139</v>
      </c>
      <c r="C13" s="2061"/>
      <c r="D13" s="2060" t="s">
        <v>396</v>
      </c>
      <c r="E13" s="1030">
        <v>12</v>
      </c>
      <c r="F13" s="1031">
        <v>12</v>
      </c>
      <c r="G13" s="1030">
        <v>2</v>
      </c>
      <c r="H13" s="1886">
        <f t="shared" ref="H13:H21" si="1">(G13/F13)*100</f>
        <v>16.666666666666664</v>
      </c>
      <c r="I13" s="1654"/>
      <c r="J13" s="1654"/>
      <c r="K13" s="1654"/>
      <c r="L13" s="1654"/>
      <c r="M13" s="1654"/>
      <c r="N13" s="1654"/>
      <c r="O13" s="1654"/>
      <c r="P13" s="1654"/>
      <c r="Q13" s="1654"/>
      <c r="R13" s="1654"/>
      <c r="S13" s="1654"/>
      <c r="T13" s="1654"/>
      <c r="U13" s="1654"/>
    </row>
    <row r="14" spans="1:21" s="1875" customFormat="1" ht="16.5" customHeight="1" x14ac:dyDescent="0.25">
      <c r="A14" s="2063">
        <v>6172</v>
      </c>
      <c r="B14" s="2062">
        <v>5163</v>
      </c>
      <c r="C14" s="2061"/>
      <c r="D14" s="2060" t="s">
        <v>452</v>
      </c>
      <c r="E14" s="1030">
        <v>9</v>
      </c>
      <c r="F14" s="1031">
        <v>9</v>
      </c>
      <c r="G14" s="1030">
        <v>5</v>
      </c>
      <c r="H14" s="1886">
        <f t="shared" si="1"/>
        <v>55.555555555555557</v>
      </c>
      <c r="I14" s="1654"/>
      <c r="J14" s="1654"/>
      <c r="K14" s="1654"/>
      <c r="L14" s="1654"/>
      <c r="M14" s="1654"/>
      <c r="N14" s="1654"/>
      <c r="O14" s="1654"/>
      <c r="P14" s="1654"/>
      <c r="Q14" s="1654"/>
      <c r="R14" s="1654"/>
      <c r="S14" s="1654"/>
      <c r="T14" s="1654"/>
      <c r="U14" s="1654"/>
    </row>
    <row r="15" spans="1:21" s="1875" customFormat="1" ht="16.5" customHeight="1" x14ac:dyDescent="0.25">
      <c r="A15" s="2063">
        <v>6172</v>
      </c>
      <c r="B15" s="2062">
        <v>5164</v>
      </c>
      <c r="C15" s="2061"/>
      <c r="D15" s="2060" t="s">
        <v>101</v>
      </c>
      <c r="E15" s="1030">
        <v>90</v>
      </c>
      <c r="F15" s="1031">
        <v>30</v>
      </c>
      <c r="G15" s="1030">
        <v>23</v>
      </c>
      <c r="H15" s="1886">
        <f t="shared" si="1"/>
        <v>76.666666666666671</v>
      </c>
      <c r="I15" s="1654"/>
      <c r="J15" s="1654"/>
      <c r="K15" s="1654"/>
      <c r="L15" s="1654"/>
      <c r="M15" s="1654"/>
      <c r="N15" s="1654"/>
      <c r="O15" s="1654"/>
      <c r="P15" s="1654"/>
      <c r="Q15" s="1654"/>
      <c r="R15" s="1654"/>
      <c r="S15" s="1654"/>
      <c r="T15" s="1654"/>
      <c r="U15" s="1654"/>
    </row>
    <row r="16" spans="1:21" s="1875" customFormat="1" ht="16.5" customHeight="1" x14ac:dyDescent="0.25">
      <c r="A16" s="2063">
        <v>6172</v>
      </c>
      <c r="B16" s="2062">
        <v>5169</v>
      </c>
      <c r="C16" s="2061"/>
      <c r="D16" s="2060" t="s">
        <v>430</v>
      </c>
      <c r="E16" s="1030">
        <f>E17+E18</f>
        <v>4105</v>
      </c>
      <c r="F16" s="1030">
        <f t="shared" ref="F16:G16" si="2">F17+F18</f>
        <v>5269</v>
      </c>
      <c r="G16" s="1030">
        <f t="shared" si="2"/>
        <v>4917</v>
      </c>
      <c r="H16" s="1886">
        <f t="shared" si="1"/>
        <v>93.319415448851771</v>
      </c>
      <c r="I16" s="1654"/>
      <c r="J16" s="1654"/>
      <c r="K16" s="1654"/>
      <c r="L16" s="1654"/>
      <c r="M16" s="1654"/>
      <c r="N16" s="1654"/>
      <c r="O16" s="1654"/>
      <c r="P16" s="1654"/>
      <c r="Q16" s="1654"/>
      <c r="R16" s="1654"/>
      <c r="S16" s="1654"/>
      <c r="T16" s="1654"/>
      <c r="U16" s="1654"/>
    </row>
    <row r="17" spans="1:21" s="1875" customFormat="1" ht="16.5" customHeight="1" x14ac:dyDescent="0.2">
      <c r="A17" s="2063"/>
      <c r="B17" s="2062"/>
      <c r="C17" s="1028" t="s">
        <v>871</v>
      </c>
      <c r="D17" s="1034" t="s">
        <v>600</v>
      </c>
      <c r="E17" s="1022">
        <f>200+1421+2484</f>
        <v>4105</v>
      </c>
      <c r="F17" s="1023">
        <f>302+2227+2740</f>
        <v>5269</v>
      </c>
      <c r="G17" s="1022">
        <f>65+2227+2625</f>
        <v>4917</v>
      </c>
      <c r="H17" s="2064">
        <f t="shared" si="1"/>
        <v>93.319415448851771</v>
      </c>
      <c r="I17" s="1654"/>
      <c r="J17" s="1654"/>
      <c r="K17" s="1654"/>
      <c r="L17" s="1654"/>
      <c r="M17" s="1654"/>
      <c r="N17" s="1654"/>
      <c r="O17" s="1654"/>
      <c r="P17" s="1654"/>
      <c r="Q17" s="1654"/>
      <c r="R17" s="1654"/>
      <c r="S17" s="1654"/>
      <c r="T17" s="1654"/>
      <c r="U17" s="1654"/>
    </row>
    <row r="18" spans="1:21" s="1011" customFormat="1" ht="16.5" hidden="1" customHeight="1" x14ac:dyDescent="0.2">
      <c r="A18" s="2063"/>
      <c r="B18" s="2062"/>
      <c r="C18" s="1738" t="s">
        <v>1505</v>
      </c>
      <c r="D18" s="2603" t="s">
        <v>1635</v>
      </c>
      <c r="E18" s="1022"/>
      <c r="F18" s="1023"/>
      <c r="G18" s="1022"/>
      <c r="H18" s="2064">
        <v>0</v>
      </c>
      <c r="I18" s="1654"/>
      <c r="J18" s="1654"/>
      <c r="K18" s="1654"/>
      <c r="L18" s="1654"/>
      <c r="M18" s="1654"/>
      <c r="N18" s="1654"/>
      <c r="O18" s="1654"/>
      <c r="P18" s="1654"/>
      <c r="Q18" s="1654"/>
      <c r="R18" s="1654"/>
      <c r="S18" s="1654"/>
      <c r="T18" s="1654"/>
      <c r="U18" s="1654"/>
    </row>
    <row r="19" spans="1:21" s="1875" customFormat="1" ht="16.5" customHeight="1" x14ac:dyDescent="0.25">
      <c r="A19" s="2063">
        <v>6172</v>
      </c>
      <c r="B19" s="2062">
        <v>5175</v>
      </c>
      <c r="C19" s="2061"/>
      <c r="D19" s="2060" t="s">
        <v>352</v>
      </c>
      <c r="E19" s="1030">
        <v>250</v>
      </c>
      <c r="F19" s="1031">
        <v>340</v>
      </c>
      <c r="G19" s="1030">
        <v>289</v>
      </c>
      <c r="H19" s="1886">
        <f t="shared" si="1"/>
        <v>85</v>
      </c>
      <c r="I19" s="1654"/>
      <c r="J19" s="1654"/>
      <c r="K19" s="1654"/>
      <c r="L19" s="1654"/>
      <c r="M19" s="1654"/>
      <c r="N19" s="1654"/>
      <c r="O19" s="1654"/>
      <c r="P19" s="1654"/>
      <c r="Q19" s="1654"/>
      <c r="R19" s="1654"/>
      <c r="S19" s="1654"/>
      <c r="T19" s="1654"/>
      <c r="U19" s="1654"/>
    </row>
    <row r="20" spans="1:21" s="1654" customFormat="1" ht="16.5" customHeight="1" x14ac:dyDescent="0.25">
      <c r="A20" s="2063">
        <v>6172</v>
      </c>
      <c r="B20" s="2062">
        <v>5194</v>
      </c>
      <c r="C20" s="2061"/>
      <c r="D20" s="2060" t="s">
        <v>309</v>
      </c>
      <c r="E20" s="1030">
        <v>180</v>
      </c>
      <c r="F20" s="1031">
        <v>120</v>
      </c>
      <c r="G20" s="1030">
        <v>118</v>
      </c>
      <c r="H20" s="1886">
        <f t="shared" si="1"/>
        <v>98.333333333333329</v>
      </c>
    </row>
    <row r="21" spans="1:21" s="1875" customFormat="1" ht="16.5" customHeight="1" thickBot="1" x14ac:dyDescent="0.3">
      <c r="A21" s="2059">
        <v>6172</v>
      </c>
      <c r="B21" s="2058">
        <v>5499</v>
      </c>
      <c r="C21" s="2057"/>
      <c r="D21" s="2056" t="s">
        <v>207</v>
      </c>
      <c r="E21" s="1806">
        <f>2600+350+20+300</f>
        <v>3270</v>
      </c>
      <c r="F21" s="1806">
        <f>2650+350+20+300</f>
        <v>3320</v>
      </c>
      <c r="G21" s="1806">
        <f>2395+248+10+201-190-7</f>
        <v>2657</v>
      </c>
      <c r="H21" s="2055">
        <f t="shared" si="1"/>
        <v>80.03012048192771</v>
      </c>
      <c r="I21" s="1654"/>
      <c r="J21" s="1654"/>
      <c r="K21" s="1654"/>
      <c r="L21" s="1654"/>
      <c r="M21" s="1654"/>
      <c r="N21" s="1654"/>
      <c r="O21" s="1654"/>
      <c r="P21" s="1654"/>
      <c r="Q21" s="1654"/>
      <c r="R21" s="1654"/>
      <c r="S21" s="1654"/>
      <c r="T21" s="1654"/>
      <c r="U21" s="1654"/>
    </row>
    <row r="22" spans="1:21" s="1122" customFormat="1" ht="16.5" thickTop="1" thickBot="1" x14ac:dyDescent="0.3">
      <c r="A22" s="3360" t="s">
        <v>394</v>
      </c>
      <c r="B22" s="3361"/>
      <c r="C22" s="3361"/>
      <c r="D22" s="3362"/>
      <c r="E22" s="2054">
        <f>SUM(E9,E10,E13,E14,E15,E16,E19,E20,E21,E12,E11)</f>
        <v>8242</v>
      </c>
      <c r="F22" s="2054">
        <f t="shared" ref="F22:G22" si="3">SUM(F9,F10,F13,F14,F15,F16,F19,F20,F21,F12,F11)</f>
        <v>9520</v>
      </c>
      <c r="G22" s="2054">
        <f t="shared" si="3"/>
        <v>8146</v>
      </c>
      <c r="H22" s="1384">
        <f>G22/F22*100</f>
        <v>85.567226890756302</v>
      </c>
    </row>
    <row r="23" spans="1:21" ht="13.5" thickTop="1" x14ac:dyDescent="0.2">
      <c r="H23" s="1120"/>
    </row>
    <row r="24" spans="1:21" x14ac:dyDescent="0.2">
      <c r="H24" s="1120"/>
      <c r="J24" s="1123"/>
      <c r="K24" s="1123"/>
      <c r="L24" s="1123"/>
    </row>
    <row r="25" spans="1:21" s="2042" customFormat="1" ht="15.75" x14ac:dyDescent="0.25">
      <c r="A25" s="2053" t="s">
        <v>777</v>
      </c>
      <c r="B25" s="2053"/>
      <c r="C25" s="2053"/>
      <c r="D25" s="2053"/>
      <c r="E25" s="1979">
        <f>SUM(E26:E27)</f>
        <v>8242</v>
      </c>
      <c r="F25" s="1979">
        <f>SUM(F26:F27)</f>
        <v>9520</v>
      </c>
      <c r="G25" s="1979">
        <f>SUM(G26:G27)</f>
        <v>8146</v>
      </c>
      <c r="H25" s="2044">
        <f>G25/F25*100</f>
        <v>85.567226890756302</v>
      </c>
      <c r="J25" s="2043">
        <f>J26+J27</f>
        <v>8242000</v>
      </c>
      <c r="K25" s="2043">
        <f>K26+K27</f>
        <v>9520381.5700000003</v>
      </c>
      <c r="L25" s="2043">
        <f>L26+L27</f>
        <v>8145953.2699999996</v>
      </c>
    </row>
    <row r="26" spans="1:21" s="2037" customFormat="1" ht="15" x14ac:dyDescent="0.2">
      <c r="A26" s="1011" t="s">
        <v>147</v>
      </c>
      <c r="B26" s="2041"/>
      <c r="C26" s="2041"/>
      <c r="D26" s="2041"/>
      <c r="E26" s="2040">
        <f>SUM(E22)</f>
        <v>8242</v>
      </c>
      <c r="F26" s="2040">
        <f>SUM(F22)</f>
        <v>9520</v>
      </c>
      <c r="G26" s="2040">
        <f>SUM(G22)</f>
        <v>8146</v>
      </c>
      <c r="H26" s="2039">
        <f>G26/F26*100</f>
        <v>85.567226890756302</v>
      </c>
      <c r="J26" s="2052">
        <v>8242000</v>
      </c>
      <c r="K26" s="2052">
        <v>9520381.5700000003</v>
      </c>
      <c r="L26" s="2052">
        <v>8145953.2699999996</v>
      </c>
    </row>
    <row r="27" spans="1:21" s="2037" customFormat="1" ht="15" x14ac:dyDescent="0.2">
      <c r="A27" s="1011" t="s">
        <v>148</v>
      </c>
      <c r="B27" s="2041"/>
      <c r="C27" s="2041"/>
      <c r="D27" s="2041"/>
      <c r="E27" s="2040">
        <v>0</v>
      </c>
      <c r="F27" s="2040">
        <v>0</v>
      </c>
      <c r="G27" s="2040">
        <v>0</v>
      </c>
      <c r="H27" s="2039">
        <v>0</v>
      </c>
      <c r="J27" s="2052">
        <v>0</v>
      </c>
      <c r="K27" s="2052">
        <v>0</v>
      </c>
      <c r="L27" s="2052">
        <v>0</v>
      </c>
    </row>
    <row r="28" spans="1:21" s="2037" customFormat="1" ht="15" x14ac:dyDescent="0.2">
      <c r="A28" s="1011"/>
      <c r="B28" s="2041"/>
      <c r="C28" s="2041"/>
      <c r="D28" s="2041"/>
      <c r="E28" s="2040"/>
      <c r="F28" s="2040"/>
      <c r="G28" s="2040"/>
      <c r="H28" s="2039"/>
      <c r="J28" s="2052"/>
      <c r="K28" s="2052"/>
      <c r="L28" s="2052"/>
    </row>
    <row r="29" spans="1:21" s="1154" customFormat="1" ht="15" x14ac:dyDescent="0.2">
      <c r="A29" s="2041"/>
      <c r="B29" s="2041"/>
      <c r="C29" s="2041"/>
      <c r="D29" s="2041"/>
      <c r="E29" s="2040"/>
      <c r="F29" s="2040"/>
      <c r="G29" s="2040"/>
      <c r="H29" s="2039"/>
      <c r="J29" s="1155"/>
      <c r="K29" s="1155"/>
      <c r="L29" s="1155"/>
    </row>
    <row r="30" spans="1:21" s="2029" customFormat="1" ht="23.25" x14ac:dyDescent="0.35">
      <c r="A30" s="3365" t="s">
        <v>2011</v>
      </c>
      <c r="B30" s="3366"/>
      <c r="C30" s="3366"/>
      <c r="D30" s="3366"/>
      <c r="E30" s="2035">
        <f>SUM(E25)</f>
        <v>8242</v>
      </c>
      <c r="F30" s="2035">
        <f>SUM(F25)</f>
        <v>9520</v>
      </c>
      <c r="G30" s="2035">
        <f>SUM(G25)</f>
        <v>8146</v>
      </c>
      <c r="H30" s="2034">
        <f>G30/F30*100</f>
        <v>85.567226890756302</v>
      </c>
      <c r="J30" s="2051">
        <f>J25</f>
        <v>8242000</v>
      </c>
      <c r="K30" s="2051">
        <f>K25</f>
        <v>9520381.5700000003</v>
      </c>
      <c r="L30" s="2051">
        <f>L25</f>
        <v>8145953.2699999996</v>
      </c>
    </row>
    <row r="31" spans="1:21" s="2029" customFormat="1" ht="24" thickBot="1" x14ac:dyDescent="0.4">
      <c r="A31" s="3367"/>
      <c r="B31" s="3367"/>
      <c r="C31" s="3367"/>
      <c r="D31" s="3367"/>
      <c r="E31" s="2050"/>
      <c r="F31" s="2050"/>
      <c r="G31" s="2050"/>
      <c r="H31" s="2049"/>
    </row>
    <row r="32" spans="1:21" ht="13.5" thickTop="1" x14ac:dyDescent="0.2">
      <c r="D32" s="1097"/>
      <c r="E32" s="1097"/>
      <c r="F32" s="1098"/>
      <c r="G32" s="1099"/>
      <c r="H32" s="1946"/>
      <c r="I32" s="1099"/>
    </row>
    <row r="33" spans="1:10" x14ac:dyDescent="0.2">
      <c r="D33" s="1097"/>
      <c r="E33" s="1097"/>
      <c r="F33" s="2025"/>
      <c r="G33" s="1002"/>
      <c r="H33" s="1002"/>
      <c r="I33" s="1002"/>
      <c r="J33" s="2025"/>
    </row>
    <row r="34" spans="1:10" ht="14.25" x14ac:dyDescent="0.2">
      <c r="A34" s="2005" t="s">
        <v>62</v>
      </c>
      <c r="B34" s="1228"/>
      <c r="C34" s="1228"/>
      <c r="D34" s="1228"/>
      <c r="E34" s="1228"/>
      <c r="F34" s="2023"/>
      <c r="G34" s="1878"/>
      <c r="H34" s="1878"/>
      <c r="I34" s="1878"/>
      <c r="J34" s="2023"/>
    </row>
    <row r="35" spans="1:10" ht="15.75" customHeight="1" x14ac:dyDescent="0.2">
      <c r="A35" s="3363" t="s">
        <v>766</v>
      </c>
      <c r="B35" s="3364"/>
      <c r="C35" s="3364"/>
      <c r="D35" s="3364"/>
      <c r="E35" s="3364"/>
      <c r="F35" s="3364"/>
      <c r="G35" s="3364"/>
      <c r="H35" s="3364"/>
      <c r="I35" s="2048"/>
      <c r="J35" s="2048"/>
    </row>
    <row r="36" spans="1:10" ht="12.75" customHeight="1" x14ac:dyDescent="0.2">
      <c r="A36" s="3364"/>
      <c r="B36" s="3364"/>
      <c r="C36" s="3364"/>
      <c r="D36" s="3364"/>
      <c r="E36" s="3364"/>
      <c r="F36" s="3364"/>
      <c r="G36" s="3364"/>
      <c r="H36" s="3364"/>
      <c r="I36" s="2048"/>
      <c r="J36" s="2048"/>
    </row>
    <row r="40" spans="1:10" x14ac:dyDescent="0.2">
      <c r="C40" s="1003"/>
    </row>
    <row r="41" spans="1:10" x14ac:dyDescent="0.2">
      <c r="C41" s="1003"/>
    </row>
  </sheetData>
  <mergeCells count="4">
    <mergeCell ref="A1:H2"/>
    <mergeCell ref="A22:D22"/>
    <mergeCell ref="A35:H36"/>
    <mergeCell ref="A30:D31"/>
  </mergeCells>
  <pageMargins left="0.98425196850393704" right="0.98425196850393704" top="0.98425196850393704" bottom="0.98425196850393704" header="0.51181102362204722" footer="0.51181102362204722"/>
  <pageSetup paperSize="9" scale="70" firstPageNumber="161" orientation="portrait" useFirstPageNumber="1" r:id="rId1"/>
  <headerFooter alignWithMargins="0">
    <oddFooter>&amp;L&amp;"Arial,Kurzíva"Zastupitelstvo Olomouckého kraje 25. 6. 2018
5. - Rozpočet Olomouckého kraje 2017 - závěrečný  účet 
Příloha č. 3: Plnění rozpočtu výdajů Olomouckého kraje k 31. 12. 2017&amp;R&amp;"Arial,Kurzíva"Strana &amp;P (celkem 478)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CCFFFF"/>
  </sheetPr>
  <dimension ref="A1:L43"/>
  <sheetViews>
    <sheetView showGridLines="0" view="pageBreakPreview" zoomScaleNormal="100" zoomScaleSheetLayoutView="100" workbookViewId="0">
      <selection activeCell="A36" sqref="A36"/>
    </sheetView>
  </sheetViews>
  <sheetFormatPr defaultColWidth="9.140625" defaultRowHeight="12.75" x14ac:dyDescent="0.2"/>
  <cols>
    <col min="1" max="1" width="4.7109375" style="584" customWidth="1"/>
    <col min="2" max="2" width="4.7109375" style="491" customWidth="1"/>
    <col min="3" max="3" width="9.5703125" style="770" customWidth="1"/>
    <col min="4" max="4" width="47.42578125" style="491" customWidth="1"/>
    <col min="5" max="5" width="15.140625" style="459" customWidth="1"/>
    <col min="6" max="6" width="14.42578125" style="459" customWidth="1"/>
    <col min="7" max="7" width="13" style="459" customWidth="1"/>
    <col min="8" max="8" width="8.85546875" style="596" customWidth="1"/>
    <col min="9" max="9" width="9.140625" style="491"/>
    <col min="10" max="10" width="17" style="491" customWidth="1"/>
    <col min="11" max="11" width="16.7109375" style="491" customWidth="1"/>
    <col min="12" max="12" width="17" style="491" customWidth="1"/>
    <col min="13" max="16384" width="9.140625" style="491"/>
  </cols>
  <sheetData>
    <row r="1" spans="1:9" ht="18.75" thickBot="1" x14ac:dyDescent="0.3">
      <c r="A1" s="441" t="s">
        <v>1816</v>
      </c>
      <c r="B1" s="442"/>
      <c r="C1" s="460"/>
      <c r="D1" s="453"/>
      <c r="E1" s="458"/>
      <c r="F1" s="445" t="s">
        <v>99</v>
      </c>
      <c r="I1" s="17"/>
    </row>
    <row r="2" spans="1:9" ht="12.75" customHeight="1" x14ac:dyDescent="0.25">
      <c r="A2" s="6"/>
      <c r="B2" s="28"/>
      <c r="C2" s="52"/>
      <c r="D2" s="10"/>
      <c r="E2" s="134"/>
      <c r="F2" s="134"/>
      <c r="G2" s="16"/>
      <c r="H2" s="190"/>
      <c r="I2" s="17"/>
    </row>
    <row r="3" spans="1:9" ht="12.75" customHeight="1" x14ac:dyDescent="0.25">
      <c r="A3" s="2938" t="s">
        <v>1814</v>
      </c>
      <c r="B3" s="2939"/>
      <c r="C3" s="2940"/>
      <c r="D3" s="2941"/>
      <c r="E3" s="134"/>
      <c r="F3" s="134"/>
      <c r="G3" s="16"/>
      <c r="H3" s="190"/>
      <c r="I3" s="17"/>
    </row>
    <row r="4" spans="1:9" ht="12.75" customHeight="1" x14ac:dyDescent="0.25">
      <c r="A4" s="2938"/>
      <c r="B4" s="2939"/>
      <c r="C4" s="2940"/>
      <c r="D4" s="2941"/>
      <c r="E4" s="134"/>
      <c r="F4" s="134"/>
      <c r="G4" s="16"/>
      <c r="H4" s="190"/>
      <c r="I4" s="17"/>
    </row>
    <row r="5" spans="1:9" ht="12.75" customHeight="1" x14ac:dyDescent="0.25">
      <c r="A5" s="67" t="s">
        <v>201</v>
      </c>
      <c r="B5" s="28"/>
      <c r="C5" s="483" t="s">
        <v>944</v>
      </c>
      <c r="D5" s="569"/>
      <c r="E5" s="134"/>
      <c r="F5" s="16"/>
      <c r="G5" s="17"/>
      <c r="H5" s="190"/>
    </row>
    <row r="6" spans="1:9" ht="12.75" customHeight="1" x14ac:dyDescent="0.25">
      <c r="A6" s="6"/>
      <c r="B6" s="28"/>
      <c r="C6" s="483" t="s">
        <v>1815</v>
      </c>
      <c r="D6" s="599"/>
      <c r="E6" s="135"/>
      <c r="F6" s="16"/>
      <c r="G6" s="17"/>
      <c r="H6" s="190"/>
    </row>
    <row r="7" spans="1:9" ht="12.75" customHeight="1" x14ac:dyDescent="0.25">
      <c r="A7" s="6"/>
      <c r="B7" s="28"/>
      <c r="C7" s="52"/>
      <c r="D7" s="10"/>
      <c r="E7" s="134"/>
      <c r="F7" s="134"/>
      <c r="G7" s="16"/>
      <c r="H7" s="190"/>
      <c r="I7" s="17"/>
    </row>
    <row r="8" spans="1:9" ht="18" hidden="1" x14ac:dyDescent="0.25">
      <c r="A8" s="33" t="s">
        <v>450</v>
      </c>
      <c r="B8" s="28"/>
      <c r="C8" s="52"/>
      <c r="D8" s="10"/>
      <c r="E8" s="134"/>
      <c r="F8" s="134"/>
      <c r="G8" s="16"/>
      <c r="H8" s="190"/>
      <c r="I8" s="17"/>
    </row>
    <row r="9" spans="1:9" ht="13.5" hidden="1" thickBot="1" x14ac:dyDescent="0.25">
      <c r="A9" s="570"/>
      <c r="B9" s="570"/>
      <c r="C9" s="768"/>
      <c r="D9" s="571"/>
      <c r="G9" s="740"/>
      <c r="H9" s="596" t="s">
        <v>92</v>
      </c>
    </row>
    <row r="10" spans="1:9" s="106" customFormat="1" ht="20.25" hidden="1" customHeight="1" thickTop="1" thickBot="1" x14ac:dyDescent="0.25">
      <c r="A10" s="572" t="s">
        <v>93</v>
      </c>
      <c r="B10" s="573" t="s">
        <v>94</v>
      </c>
      <c r="C10" s="575" t="s">
        <v>364</v>
      </c>
      <c r="D10" s="575" t="s">
        <v>95</v>
      </c>
      <c r="E10" s="575" t="s">
        <v>328</v>
      </c>
      <c r="F10" s="575" t="s">
        <v>329</v>
      </c>
      <c r="G10" s="575" t="s">
        <v>448</v>
      </c>
      <c r="H10" s="576" t="s">
        <v>449</v>
      </c>
    </row>
    <row r="11" spans="1:9" s="374" customFormat="1" ht="13.5" hidden="1" thickTop="1" thickBot="1" x14ac:dyDescent="0.25">
      <c r="A11" s="511">
        <v>1</v>
      </c>
      <c r="B11" s="512">
        <v>2</v>
      </c>
      <c r="C11" s="512">
        <v>3</v>
      </c>
      <c r="D11" s="512">
        <v>4</v>
      </c>
      <c r="E11" s="512">
        <v>5</v>
      </c>
      <c r="F11" s="499">
        <v>6</v>
      </c>
      <c r="G11" s="499">
        <v>7</v>
      </c>
      <c r="H11" s="577" t="s">
        <v>33</v>
      </c>
      <c r="I11" s="106"/>
    </row>
    <row r="12" spans="1:9" s="799" customFormat="1" ht="15.75" hidden="1" thickTop="1" x14ac:dyDescent="0.25">
      <c r="A12" s="828">
        <v>6172</v>
      </c>
      <c r="B12" s="855">
        <v>5137</v>
      </c>
      <c r="C12" s="808"/>
      <c r="D12" s="842" t="s">
        <v>88</v>
      </c>
      <c r="E12" s="814">
        <f>E13+E14</f>
        <v>0</v>
      </c>
      <c r="F12" s="814">
        <f t="shared" ref="F12:G12" si="0">F13+F14</f>
        <v>0</v>
      </c>
      <c r="G12" s="814">
        <f t="shared" si="0"/>
        <v>0</v>
      </c>
      <c r="H12" s="837" t="e">
        <f>(G12/F12)*100</f>
        <v>#DIV/0!</v>
      </c>
    </row>
    <row r="13" spans="1:9" s="799" customFormat="1" ht="14.25" hidden="1" x14ac:dyDescent="0.2">
      <c r="A13" s="34"/>
      <c r="B13" s="825"/>
      <c r="C13" s="811" t="s">
        <v>871</v>
      </c>
      <c r="D13" s="805" t="s">
        <v>600</v>
      </c>
      <c r="E13" s="311"/>
      <c r="F13" s="309"/>
      <c r="G13" s="311"/>
      <c r="H13" s="807" t="e">
        <f t="shared" ref="H13:H14" si="1">(G13/F13)*100</f>
        <v>#DIV/0!</v>
      </c>
    </row>
    <row r="14" spans="1:9" s="799" customFormat="1" ht="15" hidden="1" x14ac:dyDescent="0.2">
      <c r="A14" s="34"/>
      <c r="B14" s="825"/>
      <c r="C14" s="811" t="s">
        <v>875</v>
      </c>
      <c r="D14" s="806" t="s">
        <v>887</v>
      </c>
      <c r="E14" s="2314"/>
      <c r="F14" s="894"/>
      <c r="G14" s="893"/>
      <c r="H14" s="904" t="e">
        <f t="shared" si="1"/>
        <v>#DIV/0!</v>
      </c>
    </row>
    <row r="15" spans="1:9" s="799" customFormat="1" ht="15" hidden="1" x14ac:dyDescent="0.25">
      <c r="A15" s="34">
        <v>6172</v>
      </c>
      <c r="B15" s="825">
        <v>5139</v>
      </c>
      <c r="C15" s="809"/>
      <c r="D15" s="800" t="s">
        <v>396</v>
      </c>
      <c r="E15" s="48"/>
      <c r="F15" s="165"/>
      <c r="G15" s="310"/>
      <c r="H15" s="815" t="e">
        <f>(G15/F15)*100</f>
        <v>#DIV/0!</v>
      </c>
    </row>
    <row r="16" spans="1:9" s="799" customFormat="1" ht="15" hidden="1" x14ac:dyDescent="0.25">
      <c r="A16" s="34">
        <v>6172</v>
      </c>
      <c r="B16" s="825">
        <v>5164</v>
      </c>
      <c r="C16" s="809"/>
      <c r="D16" s="800" t="s">
        <v>101</v>
      </c>
      <c r="E16" s="48"/>
      <c r="F16" s="48"/>
      <c r="G16" s="48"/>
      <c r="H16" s="815" t="e">
        <f>(G16/F16)*100</f>
        <v>#DIV/0!</v>
      </c>
    </row>
    <row r="17" spans="1:10" s="799" customFormat="1" ht="15" hidden="1" x14ac:dyDescent="0.25">
      <c r="A17" s="34">
        <v>6172</v>
      </c>
      <c r="B17" s="825">
        <v>5166</v>
      </c>
      <c r="C17" s="809"/>
      <c r="D17" s="800" t="s">
        <v>317</v>
      </c>
      <c r="E17" s="48"/>
      <c r="F17" s="165"/>
      <c r="G17" s="310"/>
      <c r="H17" s="815">
        <v>0</v>
      </c>
    </row>
    <row r="18" spans="1:10" s="799" customFormat="1" ht="15" hidden="1" x14ac:dyDescent="0.25">
      <c r="A18" s="34">
        <v>6172</v>
      </c>
      <c r="B18" s="825">
        <v>5167</v>
      </c>
      <c r="C18" s="809"/>
      <c r="D18" s="800" t="s">
        <v>455</v>
      </c>
      <c r="E18" s="48"/>
      <c r="F18" s="165"/>
      <c r="G18" s="310"/>
      <c r="H18" s="815">
        <v>0</v>
      </c>
    </row>
    <row r="19" spans="1:10" s="799" customFormat="1" ht="15" hidden="1" x14ac:dyDescent="0.25">
      <c r="A19" s="34">
        <v>6172</v>
      </c>
      <c r="B19" s="825">
        <v>5168</v>
      </c>
      <c r="C19" s="809"/>
      <c r="D19" s="3185" t="s">
        <v>1153</v>
      </c>
      <c r="E19" s="48"/>
      <c r="F19" s="165"/>
      <c r="G19" s="310"/>
      <c r="H19" s="815" t="e">
        <f>(G19/F19)*100</f>
        <v>#DIV/0!</v>
      </c>
    </row>
    <row r="20" spans="1:10" s="799" customFormat="1" ht="15" hidden="1" x14ac:dyDescent="0.25">
      <c r="A20" s="34"/>
      <c r="B20" s="825"/>
      <c r="C20" s="809"/>
      <c r="D20" s="3184"/>
      <c r="E20" s="48"/>
      <c r="F20" s="165"/>
      <c r="G20" s="310"/>
      <c r="H20" s="815"/>
    </row>
    <row r="21" spans="1:10" s="799" customFormat="1" ht="15.75" hidden="1" x14ac:dyDescent="0.25">
      <c r="A21" s="34">
        <v>6172</v>
      </c>
      <c r="B21" s="825">
        <v>5169</v>
      </c>
      <c r="C21" s="809"/>
      <c r="D21" s="800" t="s">
        <v>430</v>
      </c>
      <c r="E21" s="48"/>
      <c r="F21" s="165"/>
      <c r="G21" s="310"/>
      <c r="H21" s="815">
        <v>0</v>
      </c>
      <c r="J21" s="830"/>
    </row>
    <row r="22" spans="1:10" s="799" customFormat="1" ht="15.75" hidden="1" x14ac:dyDescent="0.25">
      <c r="A22" s="34">
        <v>6172</v>
      </c>
      <c r="B22" s="825">
        <v>5171</v>
      </c>
      <c r="C22" s="809"/>
      <c r="D22" s="800" t="s">
        <v>585</v>
      </c>
      <c r="E22" s="48"/>
      <c r="F22" s="165"/>
      <c r="G22" s="310"/>
      <c r="H22" s="815" t="e">
        <f>(G22/F22)*100</f>
        <v>#DIV/0!</v>
      </c>
      <c r="J22" s="813"/>
    </row>
    <row r="23" spans="1:10" s="799" customFormat="1" ht="16.5" hidden="1" thickBot="1" x14ac:dyDescent="0.3">
      <c r="A23" s="829">
        <v>6172</v>
      </c>
      <c r="B23" s="827">
        <v>5172</v>
      </c>
      <c r="C23" s="836"/>
      <c r="D23" s="818" t="s">
        <v>102</v>
      </c>
      <c r="E23" s="823"/>
      <c r="F23" s="427"/>
      <c r="G23" s="426"/>
      <c r="H23" s="819" t="e">
        <f>(G23/F23)*100</f>
        <v>#DIV/0!</v>
      </c>
      <c r="J23" s="813"/>
    </row>
    <row r="24" spans="1:10" s="355" customFormat="1" ht="35.25" hidden="1" customHeight="1" thickTop="1" thickBot="1" x14ac:dyDescent="0.3">
      <c r="A24" s="578" t="s">
        <v>134</v>
      </c>
      <c r="B24" s="579"/>
      <c r="C24" s="580"/>
      <c r="D24" s="581"/>
      <c r="E24" s="582">
        <f>E12+E15+E16+E17+E19+E21+E22+E23</f>
        <v>0</v>
      </c>
      <c r="F24" s="582">
        <f>F12+F15+F16+F19+F21+F22+F23+F17</f>
        <v>0</v>
      </c>
      <c r="G24" s="582">
        <f>G12+G15+G16+G19+G21+G22+G23+G17</f>
        <v>0</v>
      </c>
      <c r="H24" s="583" t="e">
        <f>(G24/F24)*100</f>
        <v>#DIV/0!</v>
      </c>
    </row>
    <row r="25" spans="1:10" ht="15.75" hidden="1" thickTop="1" x14ac:dyDescent="0.25">
      <c r="C25" s="571"/>
      <c r="D25" s="584"/>
      <c r="E25" s="608"/>
      <c r="F25" s="638"/>
      <c r="G25" s="608"/>
      <c r="H25" s="588"/>
    </row>
    <row r="26" spans="1:10" ht="15" hidden="1" x14ac:dyDescent="0.25">
      <c r="C26" s="571"/>
      <c r="D26" s="584"/>
      <c r="E26" s="608"/>
      <c r="F26" s="638"/>
      <c r="G26" s="608"/>
      <c r="H26" s="588"/>
    </row>
    <row r="27" spans="1:10" ht="18" hidden="1" x14ac:dyDescent="0.25">
      <c r="A27" s="33" t="s">
        <v>594</v>
      </c>
      <c r="B27" s="28"/>
      <c r="C27" s="10"/>
      <c r="D27" s="136"/>
      <c r="E27" s="134"/>
      <c r="F27" s="16"/>
      <c r="G27" s="17"/>
      <c r="H27" s="190"/>
    </row>
    <row r="28" spans="1:10" ht="13.5" hidden="1" thickBot="1" x14ac:dyDescent="0.25">
      <c r="A28" s="570"/>
      <c r="B28" s="570"/>
      <c r="C28" s="571"/>
      <c r="F28" s="740"/>
      <c r="H28" s="596" t="s">
        <v>92</v>
      </c>
    </row>
    <row r="29" spans="1:10" s="106" customFormat="1" ht="20.25" hidden="1" customHeight="1" thickTop="1" thickBot="1" x14ac:dyDescent="0.25">
      <c r="A29" s="572" t="s">
        <v>93</v>
      </c>
      <c r="B29" s="573" t="s">
        <v>94</v>
      </c>
      <c r="C29" s="575" t="s">
        <v>364</v>
      </c>
      <c r="D29" s="639" t="s">
        <v>95</v>
      </c>
      <c r="E29" s="639" t="s">
        <v>328</v>
      </c>
      <c r="F29" s="639" t="s">
        <v>329</v>
      </c>
      <c r="G29" s="639" t="s">
        <v>448</v>
      </c>
      <c r="H29" s="576" t="s">
        <v>449</v>
      </c>
    </row>
    <row r="30" spans="1:10" s="374" customFormat="1" ht="13.5" hidden="1" thickTop="1" thickBot="1" x14ac:dyDescent="0.25">
      <c r="A30" s="511">
        <v>1</v>
      </c>
      <c r="B30" s="512">
        <v>2</v>
      </c>
      <c r="C30" s="512">
        <v>3</v>
      </c>
      <c r="D30" s="512">
        <v>4</v>
      </c>
      <c r="E30" s="512">
        <v>5</v>
      </c>
      <c r="F30" s="499">
        <v>6</v>
      </c>
      <c r="G30" s="499">
        <v>7</v>
      </c>
      <c r="H30" s="577" t="s">
        <v>33</v>
      </c>
      <c r="I30" s="106"/>
    </row>
    <row r="31" spans="1:10" s="835" customFormat="1" ht="16.5" hidden="1" thickTop="1" thickBot="1" x14ac:dyDescent="0.3">
      <c r="A31" s="50">
        <v>6172</v>
      </c>
      <c r="B31" s="19">
        <v>6125</v>
      </c>
      <c r="C31" s="809"/>
      <c r="D31" s="907" t="s">
        <v>103</v>
      </c>
      <c r="E31" s="60"/>
      <c r="F31" s="310"/>
      <c r="G31" s="310"/>
      <c r="H31" s="815" t="e">
        <f>(G31/F31)*100</f>
        <v>#DIV/0!</v>
      </c>
    </row>
    <row r="32" spans="1:10" s="355" customFormat="1" ht="35.25" hidden="1" customHeight="1" thickTop="1" thickBot="1" x14ac:dyDescent="0.3">
      <c r="A32" s="578" t="s">
        <v>133</v>
      </c>
      <c r="B32" s="581"/>
      <c r="C32" s="580"/>
      <c r="D32" s="581"/>
      <c r="E32" s="769">
        <f>E31</f>
        <v>0</v>
      </c>
      <c r="F32" s="769">
        <f t="shared" ref="F32:G32" si="2">F31</f>
        <v>0</v>
      </c>
      <c r="G32" s="769">
        <f t="shared" si="2"/>
        <v>0</v>
      </c>
      <c r="H32" s="594" t="e">
        <f>(G32/F32)*100</f>
        <v>#DIV/0!</v>
      </c>
    </row>
    <row r="33" spans="1:12" s="355" customFormat="1" ht="15.75" customHeight="1" x14ac:dyDescent="0.25">
      <c r="A33" s="353"/>
      <c r="B33" s="354"/>
      <c r="C33" s="57"/>
      <c r="D33" s="354"/>
      <c r="E33" s="17"/>
      <c r="F33" s="17"/>
      <c r="G33" s="17"/>
      <c r="H33" s="727"/>
    </row>
    <row r="34" spans="1:12" s="355" customFormat="1" ht="15.75" customHeight="1" x14ac:dyDescent="0.25">
      <c r="A34" s="353"/>
      <c r="B34" s="354"/>
      <c r="C34" s="57"/>
      <c r="D34" s="354"/>
      <c r="E34" s="17"/>
      <c r="F34" s="17"/>
      <c r="G34" s="17"/>
      <c r="H34" s="727"/>
    </row>
    <row r="35" spans="1:12" s="597" customFormat="1" ht="16.5" x14ac:dyDescent="0.25">
      <c r="A35" s="356" t="s">
        <v>1911</v>
      </c>
      <c r="B35" s="357"/>
      <c r="C35" s="358"/>
      <c r="D35" s="358"/>
      <c r="E35" s="734">
        <f>E36+E37+E38+E39</f>
        <v>0</v>
      </c>
      <c r="F35" s="734">
        <f>F36+F37+F38+F39</f>
        <v>0</v>
      </c>
      <c r="G35" s="734">
        <f>G36+G37+G38+G39</f>
        <v>0</v>
      </c>
      <c r="H35" s="641">
        <v>0</v>
      </c>
      <c r="J35" s="1291">
        <f>SUM(J36:J39)</f>
        <v>0</v>
      </c>
      <c r="K35" s="1291">
        <f>SUM(K36:K39)</f>
        <v>0</v>
      </c>
      <c r="L35" s="1291">
        <f>SUM(L36:L39)</f>
        <v>0</v>
      </c>
    </row>
    <row r="36" spans="1:12" s="860" customFormat="1" ht="15" x14ac:dyDescent="0.2">
      <c r="A36" s="507" t="s">
        <v>147</v>
      </c>
      <c r="B36" s="528"/>
      <c r="C36" s="529"/>
      <c r="D36" s="529"/>
      <c r="E36" s="735">
        <f>E24-E38</f>
        <v>0</v>
      </c>
      <c r="F36" s="735">
        <f>F24-F38</f>
        <v>0</v>
      </c>
      <c r="G36" s="735">
        <f>G24-G38</f>
        <v>0</v>
      </c>
      <c r="H36" s="731">
        <v>0</v>
      </c>
      <c r="J36" s="1155">
        <v>0</v>
      </c>
      <c r="K36" s="1155">
        <v>0</v>
      </c>
      <c r="L36" s="1155">
        <v>0</v>
      </c>
    </row>
    <row r="37" spans="1:12" s="860" customFormat="1" ht="15" x14ac:dyDescent="0.2">
      <c r="A37" s="507" t="s">
        <v>148</v>
      </c>
      <c r="B37" s="533"/>
      <c r="C37" s="529"/>
      <c r="D37" s="529"/>
      <c r="E37" s="736">
        <f>E32</f>
        <v>0</v>
      </c>
      <c r="F37" s="736">
        <f>F32</f>
        <v>0</v>
      </c>
      <c r="G37" s="736">
        <f>G32</f>
        <v>0</v>
      </c>
      <c r="H37" s="731">
        <v>0</v>
      </c>
      <c r="J37" s="1155">
        <v>0</v>
      </c>
      <c r="K37" s="1155">
        <v>0</v>
      </c>
      <c r="L37" s="1155">
        <v>0</v>
      </c>
    </row>
    <row r="38" spans="1:12" s="860" customFormat="1" ht="15" x14ac:dyDescent="0.2">
      <c r="A38" s="507" t="s">
        <v>119</v>
      </c>
      <c r="B38" s="533"/>
      <c r="C38" s="529"/>
      <c r="D38" s="529"/>
      <c r="E38" s="735">
        <v>0</v>
      </c>
      <c r="F38" s="531">
        <f>F14</f>
        <v>0</v>
      </c>
      <c r="G38" s="531">
        <v>0</v>
      </c>
      <c r="H38" s="731">
        <v>0</v>
      </c>
      <c r="J38" s="1155">
        <v>0</v>
      </c>
      <c r="K38" s="1155">
        <v>0</v>
      </c>
      <c r="L38" s="1155">
        <v>0</v>
      </c>
    </row>
    <row r="39" spans="1:12" s="860" customFormat="1" ht="15" x14ac:dyDescent="0.2">
      <c r="A39" s="507" t="s">
        <v>537</v>
      </c>
      <c r="B39" s="533"/>
      <c r="C39" s="529"/>
      <c r="D39" s="529"/>
      <c r="E39" s="735">
        <v>0</v>
      </c>
      <c r="F39" s="535">
        <v>0</v>
      </c>
      <c r="G39" s="535">
        <v>0</v>
      </c>
      <c r="H39" s="731">
        <v>0</v>
      </c>
      <c r="J39" s="1155">
        <v>0</v>
      </c>
      <c r="K39" s="1155">
        <v>0</v>
      </c>
      <c r="L39" s="1155">
        <v>0</v>
      </c>
    </row>
    <row r="40" spans="1:12" s="355" customFormat="1" ht="12.75" customHeight="1" x14ac:dyDescent="0.25">
      <c r="A40" s="353"/>
      <c r="B40" s="354"/>
      <c r="C40" s="57"/>
      <c r="D40" s="354"/>
      <c r="E40" s="17"/>
      <c r="F40" s="17"/>
      <c r="G40" s="17"/>
      <c r="H40" s="727"/>
      <c r="J40" s="491"/>
      <c r="K40" s="491"/>
      <c r="L40" s="491"/>
    </row>
    <row r="41" spans="1:12" ht="15.75" customHeight="1" x14ac:dyDescent="0.2">
      <c r="A41" s="570"/>
      <c r="B41" s="747"/>
      <c r="H41" s="866"/>
    </row>
    <row r="42" spans="1:12" s="58" customFormat="1" ht="47.25" customHeight="1" thickBot="1" x14ac:dyDescent="0.4">
      <c r="A42" s="3196" t="s">
        <v>1910</v>
      </c>
      <c r="B42" s="3199"/>
      <c r="C42" s="3199"/>
      <c r="D42" s="3199"/>
      <c r="E42" s="536">
        <f>SUM(E32,E24)</f>
        <v>0</v>
      </c>
      <c r="F42" s="536">
        <f>SUM(F32,F24)</f>
        <v>0</v>
      </c>
      <c r="G42" s="536">
        <f>SUM(G32,G24)</f>
        <v>0</v>
      </c>
      <c r="H42" s="630">
        <v>0</v>
      </c>
      <c r="J42" s="2576">
        <f>J35</f>
        <v>0</v>
      </c>
      <c r="K42" s="2576">
        <f t="shared" ref="K42:L42" si="3">K35</f>
        <v>0</v>
      </c>
      <c r="L42" s="2576">
        <f t="shared" si="3"/>
        <v>0</v>
      </c>
    </row>
    <row r="43" spans="1:12" ht="13.5" thickTop="1" x14ac:dyDescent="0.2"/>
  </sheetData>
  <mergeCells count="2">
    <mergeCell ref="A42:D42"/>
    <mergeCell ref="D19:D20"/>
  </mergeCells>
  <phoneticPr fontId="0" type="noConversion"/>
  <pageMargins left="0.98425196850393704" right="0.98425196850393704" top="0.98425196850393704" bottom="0.98425196850393704" header="0.51181102362204722" footer="0.51181102362204722"/>
  <pageSetup paperSize="9" scale="69" firstPageNumber="31" orientation="portrait" useFirstPageNumber="1" r:id="rId1"/>
  <headerFooter alignWithMargins="0">
    <oddFooter xml:space="preserve">&amp;L&amp;"Arial,Kurzíva"Zastupitelstvo Olomouckého kraje 19. 6. 2017
5.1. - Rozpočet Olomouckého kraje 2016 - závěrečný účet
Příloha č. 3: Plnění rozpočtu výdajů Olomouckého kraje k 31. 12. 2016&amp;R&amp;"Arial,Kurzíva"Strana &amp;P (celkem 500)
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rgb="FFCCFFFF"/>
  </sheetPr>
  <dimension ref="A1:N92"/>
  <sheetViews>
    <sheetView showGridLines="0" view="pageBreakPreview" zoomScaleNormal="100" zoomScaleSheetLayoutView="100" workbookViewId="0">
      <selection activeCell="D12" sqref="D12:D13"/>
    </sheetView>
  </sheetViews>
  <sheetFormatPr defaultColWidth="9.140625" defaultRowHeight="12.75" x14ac:dyDescent="0.2"/>
  <cols>
    <col min="1" max="1" width="5.5703125" style="584" customWidth="1"/>
    <col min="2" max="2" width="5.5703125" style="491" customWidth="1"/>
    <col min="3" max="3" width="9.85546875" style="648" customWidth="1"/>
    <col min="4" max="4" width="45.140625" style="491" customWidth="1"/>
    <col min="5" max="5" width="15" style="459" customWidth="1"/>
    <col min="6" max="6" width="14.42578125" style="459" customWidth="1"/>
    <col min="7" max="7" width="19.5703125" style="459" customWidth="1"/>
    <col min="8" max="8" width="10.85546875" style="596" customWidth="1"/>
    <col min="9" max="9" width="9.140625" style="459"/>
    <col min="10" max="10" width="18.5703125" style="459" bestFit="1" customWidth="1"/>
    <col min="11" max="11" width="17.7109375" style="491" customWidth="1"/>
    <col min="12" max="12" width="21.7109375" style="491" customWidth="1"/>
    <col min="13" max="13" width="9.5703125" style="491" bestFit="1" customWidth="1"/>
    <col min="14" max="16384" width="9.140625" style="491"/>
  </cols>
  <sheetData>
    <row r="1" spans="1:12" ht="18.75" thickBot="1" x14ac:dyDescent="0.3">
      <c r="A1" s="441" t="s">
        <v>436</v>
      </c>
      <c r="B1" s="442"/>
      <c r="C1" s="454"/>
      <c r="D1" s="453"/>
      <c r="E1" s="458"/>
      <c r="F1" s="445" t="s">
        <v>112</v>
      </c>
      <c r="I1" s="17"/>
    </row>
    <row r="2" spans="1:12" ht="12.75" customHeight="1" x14ac:dyDescent="0.25">
      <c r="A2" s="6"/>
      <c r="B2" s="28"/>
      <c r="C2" s="57"/>
      <c r="D2" s="10"/>
      <c r="E2" s="134"/>
      <c r="F2" s="134"/>
      <c r="G2" s="16"/>
      <c r="H2" s="190"/>
      <c r="I2" s="17"/>
    </row>
    <row r="3" spans="1:12" ht="12.75" customHeight="1" x14ac:dyDescent="0.25">
      <c r="A3" s="67" t="s">
        <v>201</v>
      </c>
      <c r="B3" s="28"/>
      <c r="C3" s="483" t="s">
        <v>944</v>
      </c>
      <c r="D3" s="569"/>
      <c r="E3" s="134"/>
      <c r="F3" s="16"/>
      <c r="G3" s="17"/>
      <c r="H3" s="190"/>
      <c r="I3" s="491"/>
      <c r="J3" s="491"/>
    </row>
    <row r="4" spans="1:12" ht="12.75" customHeight="1" x14ac:dyDescent="0.25">
      <c r="A4" s="6"/>
      <c r="B4" s="28"/>
      <c r="C4" s="483" t="s">
        <v>1102</v>
      </c>
      <c r="D4" s="599"/>
      <c r="E4" s="135"/>
      <c r="F4" s="16"/>
      <c r="G4" s="17"/>
      <c r="H4" s="190"/>
      <c r="I4" s="491"/>
      <c r="J4" s="491"/>
    </row>
    <row r="5" spans="1:12" ht="12.75" customHeight="1" x14ac:dyDescent="0.25">
      <c r="A5" s="6"/>
      <c r="B5" s="28"/>
      <c r="C5" s="462"/>
      <c r="D5" s="599"/>
      <c r="E5" s="135"/>
      <c r="F5" s="16"/>
      <c r="G5" s="17"/>
      <c r="H5" s="190"/>
      <c r="I5" s="491"/>
      <c r="J5" s="491"/>
    </row>
    <row r="6" spans="1:12" ht="12.75" customHeight="1" x14ac:dyDescent="0.25">
      <c r="A6" s="6"/>
      <c r="B6" s="28"/>
      <c r="C6" s="462"/>
      <c r="D6" s="599"/>
      <c r="E6" s="135"/>
      <c r="F6" s="16"/>
      <c r="G6" s="17"/>
      <c r="H6" s="190"/>
      <c r="I6" s="491"/>
      <c r="J6" s="491"/>
    </row>
    <row r="7" spans="1:12" ht="12.75" customHeight="1" x14ac:dyDescent="0.25">
      <c r="A7" s="33" t="s">
        <v>450</v>
      </c>
      <c r="B7" s="28"/>
      <c r="C7" s="462"/>
      <c r="D7" s="599"/>
      <c r="E7" s="135"/>
      <c r="F7" s="16"/>
      <c r="G7" s="17"/>
      <c r="H7" s="190"/>
      <c r="I7" s="491"/>
      <c r="J7" s="491"/>
    </row>
    <row r="8" spans="1:12" ht="12.75" customHeight="1" thickBot="1" x14ac:dyDescent="0.3">
      <c r="A8" s="6"/>
      <c r="B8" s="28"/>
      <c r="C8" s="57"/>
      <c r="D8" s="10"/>
      <c r="E8" s="134"/>
      <c r="F8" s="134"/>
      <c r="G8" s="16"/>
      <c r="H8" s="196" t="s">
        <v>92</v>
      </c>
      <c r="I8" s="17"/>
    </row>
    <row r="9" spans="1:12" s="761" customFormat="1" ht="20.25" customHeight="1" thickTop="1" thickBot="1" x14ac:dyDescent="0.25">
      <c r="A9" s="755" t="s">
        <v>93</v>
      </c>
      <c r="B9" s="756" t="s">
        <v>94</v>
      </c>
      <c r="C9" s="757" t="s">
        <v>364</v>
      </c>
      <c r="D9" s="757" t="s">
        <v>95</v>
      </c>
      <c r="E9" s="757" t="s">
        <v>328</v>
      </c>
      <c r="F9" s="757" t="s">
        <v>329</v>
      </c>
      <c r="G9" s="758" t="s">
        <v>448</v>
      </c>
      <c r="H9" s="759" t="s">
        <v>449</v>
      </c>
      <c r="I9" s="760"/>
      <c r="J9" s="760"/>
    </row>
    <row r="10" spans="1:12" s="374" customFormat="1" ht="13.5" thickTop="1" thickBot="1" x14ac:dyDescent="0.25">
      <c r="A10" s="511">
        <v>1</v>
      </c>
      <c r="B10" s="512">
        <v>2</v>
      </c>
      <c r="C10" s="512">
        <v>3</v>
      </c>
      <c r="D10" s="512">
        <v>4</v>
      </c>
      <c r="E10" s="512">
        <v>5</v>
      </c>
      <c r="F10" s="499">
        <v>6</v>
      </c>
      <c r="G10" s="499">
        <v>7</v>
      </c>
      <c r="H10" s="577" t="s">
        <v>33</v>
      </c>
      <c r="I10" s="106"/>
    </row>
    <row r="11" spans="1:12" s="835" customFormat="1" ht="15.75" thickTop="1" x14ac:dyDescent="0.25">
      <c r="A11" s="854">
        <v>4324</v>
      </c>
      <c r="B11" s="263">
        <v>5901</v>
      </c>
      <c r="C11" s="824"/>
      <c r="D11" s="838" t="s">
        <v>311</v>
      </c>
      <c r="E11" s="145">
        <f>E12</f>
        <v>0</v>
      </c>
      <c r="F11" s="146">
        <f>F12</f>
        <v>197</v>
      </c>
      <c r="G11" s="60">
        <v>0</v>
      </c>
      <c r="H11" s="199">
        <v>0</v>
      </c>
      <c r="L11" s="2207"/>
    </row>
    <row r="12" spans="1:12" s="835" customFormat="1" ht="14.25" customHeight="1" x14ac:dyDescent="0.2">
      <c r="A12" s="854"/>
      <c r="B12" s="263"/>
      <c r="C12" s="3190" t="s">
        <v>888</v>
      </c>
      <c r="D12" s="3200" t="s">
        <v>1628</v>
      </c>
      <c r="E12" s="123">
        <v>0</v>
      </c>
      <c r="F12" s="122">
        <v>197</v>
      </c>
      <c r="G12" s="123">
        <v>0</v>
      </c>
      <c r="H12" s="807">
        <v>0</v>
      </c>
      <c r="L12" s="2207"/>
    </row>
    <row r="13" spans="1:12" s="835" customFormat="1" ht="14.25" x14ac:dyDescent="0.2">
      <c r="A13" s="854"/>
      <c r="B13" s="263"/>
      <c r="C13" s="3201"/>
      <c r="D13" s="3200"/>
      <c r="E13" s="123"/>
      <c r="F13" s="122"/>
      <c r="G13" s="123"/>
      <c r="H13" s="807"/>
      <c r="L13" s="2207"/>
    </row>
    <row r="14" spans="1:12" s="835" customFormat="1" ht="15" x14ac:dyDescent="0.25">
      <c r="A14" s="854">
        <v>6172</v>
      </c>
      <c r="B14" s="263">
        <v>5141</v>
      </c>
      <c r="C14" s="840"/>
      <c r="D14" s="127" t="s">
        <v>478</v>
      </c>
      <c r="E14" s="60">
        <f>E15+E16+E19+E17+E18</f>
        <v>40688</v>
      </c>
      <c r="F14" s="60">
        <f t="shared" ref="F14:G14" si="0">F15+F16+F19+F17+F18</f>
        <v>36583</v>
      </c>
      <c r="G14" s="60">
        <f t="shared" si="0"/>
        <v>20693</v>
      </c>
      <c r="H14" s="804">
        <f t="shared" ref="H14:H29" si="1">(G14/F14)*100</f>
        <v>56.564524505918044</v>
      </c>
      <c r="L14" s="2207"/>
    </row>
    <row r="15" spans="1:12" s="835" customFormat="1" ht="14.25" x14ac:dyDescent="0.2">
      <c r="A15" s="854"/>
      <c r="B15" s="263"/>
      <c r="C15" s="840" t="s">
        <v>894</v>
      </c>
      <c r="D15" s="163" t="s">
        <v>495</v>
      </c>
      <c r="E15" s="123">
        <v>6122</v>
      </c>
      <c r="F15" s="309">
        <v>6122</v>
      </c>
      <c r="G15" s="311">
        <v>3055</v>
      </c>
      <c r="H15" s="807">
        <f t="shared" si="1"/>
        <v>49.90199281280627</v>
      </c>
      <c r="L15" s="2207">
        <v>3054756.92</v>
      </c>
    </row>
    <row r="16" spans="1:12" s="835" customFormat="1" ht="14.25" x14ac:dyDescent="0.2">
      <c r="A16" s="854"/>
      <c r="B16" s="263"/>
      <c r="C16" s="840" t="s">
        <v>893</v>
      </c>
      <c r="D16" s="163" t="s">
        <v>496</v>
      </c>
      <c r="E16" s="123">
        <v>26892</v>
      </c>
      <c r="F16" s="309">
        <v>21287</v>
      </c>
      <c r="G16" s="311">
        <v>12238</v>
      </c>
      <c r="H16" s="807">
        <f t="shared" si="1"/>
        <v>57.490487151782773</v>
      </c>
      <c r="L16" s="2207">
        <v>12238327.380000001</v>
      </c>
    </row>
    <row r="17" spans="1:12" s="835" customFormat="1" ht="14.25" x14ac:dyDescent="0.2">
      <c r="A17" s="854"/>
      <c r="B17" s="263"/>
      <c r="C17" s="840" t="s">
        <v>895</v>
      </c>
      <c r="D17" s="163" t="s">
        <v>889</v>
      </c>
      <c r="E17" s="123">
        <v>1000</v>
      </c>
      <c r="F17" s="309">
        <v>1000</v>
      </c>
      <c r="G17" s="311">
        <v>112</v>
      </c>
      <c r="H17" s="807">
        <f t="shared" si="1"/>
        <v>11.200000000000001</v>
      </c>
      <c r="L17" s="2207">
        <v>112208.33</v>
      </c>
    </row>
    <row r="18" spans="1:12" s="835" customFormat="1" ht="14.25" x14ac:dyDescent="0.2">
      <c r="A18" s="854"/>
      <c r="B18" s="263"/>
      <c r="C18" s="840" t="s">
        <v>1843</v>
      </c>
      <c r="D18" s="163" t="s">
        <v>1844</v>
      </c>
      <c r="E18" s="123">
        <v>0</v>
      </c>
      <c r="F18" s="309">
        <v>1500</v>
      </c>
      <c r="G18" s="311">
        <v>197</v>
      </c>
      <c r="H18" s="807">
        <f t="shared" si="1"/>
        <v>13.133333333333333</v>
      </c>
      <c r="L18" s="2207">
        <v>197125.23</v>
      </c>
    </row>
    <row r="19" spans="1:12" s="835" customFormat="1" ht="14.25" x14ac:dyDescent="0.2">
      <c r="A19" s="854"/>
      <c r="B19" s="263"/>
      <c r="C19" s="840" t="s">
        <v>896</v>
      </c>
      <c r="D19" s="163" t="s">
        <v>654</v>
      </c>
      <c r="E19" s="123">
        <v>6674</v>
      </c>
      <c r="F19" s="309">
        <v>6674</v>
      </c>
      <c r="G19" s="311">
        <v>5091</v>
      </c>
      <c r="H19" s="807">
        <f t="shared" si="1"/>
        <v>76.28109080011987</v>
      </c>
      <c r="L19" s="2207">
        <v>5091178.76</v>
      </c>
    </row>
    <row r="20" spans="1:12" s="835" customFormat="1" ht="13.5" customHeight="1" x14ac:dyDescent="0.25">
      <c r="A20" s="854">
        <v>6172</v>
      </c>
      <c r="B20" s="263">
        <v>5142</v>
      </c>
      <c r="C20" s="832"/>
      <c r="D20" s="127" t="s">
        <v>1622</v>
      </c>
      <c r="E20" s="60">
        <v>1000</v>
      </c>
      <c r="F20" s="308">
        <v>1000</v>
      </c>
      <c r="G20" s="310">
        <v>24</v>
      </c>
      <c r="H20" s="804">
        <f t="shared" si="1"/>
        <v>2.4</v>
      </c>
      <c r="L20" s="2207">
        <v>24375.78</v>
      </c>
    </row>
    <row r="21" spans="1:12" s="835" customFormat="1" ht="13.5" customHeight="1" x14ac:dyDescent="0.25">
      <c r="A21" s="854">
        <v>6172</v>
      </c>
      <c r="B21" s="263">
        <v>5144</v>
      </c>
      <c r="C21" s="832"/>
      <c r="D21" s="127" t="s">
        <v>718</v>
      </c>
      <c r="E21" s="60">
        <v>350</v>
      </c>
      <c r="F21" s="308">
        <v>350</v>
      </c>
      <c r="G21" s="310">
        <v>267</v>
      </c>
      <c r="H21" s="804">
        <f t="shared" si="1"/>
        <v>76.285714285714292</v>
      </c>
      <c r="L21" s="2207">
        <v>266527.73</v>
      </c>
    </row>
    <row r="22" spans="1:12" s="835" customFormat="1" ht="13.5" customHeight="1" x14ac:dyDescent="0.25">
      <c r="A22" s="854">
        <v>6172</v>
      </c>
      <c r="B22" s="263">
        <v>5163</v>
      </c>
      <c r="C22" s="832"/>
      <c r="D22" s="127" t="s">
        <v>452</v>
      </c>
      <c r="E22" s="60">
        <v>500</v>
      </c>
      <c r="F22" s="308">
        <v>550</v>
      </c>
      <c r="G22" s="310">
        <v>512</v>
      </c>
      <c r="H22" s="804">
        <f t="shared" si="1"/>
        <v>93.090909090909093</v>
      </c>
      <c r="L22" s="2207">
        <v>511905.13</v>
      </c>
    </row>
    <row r="23" spans="1:12" s="835" customFormat="1" ht="13.5" customHeight="1" x14ac:dyDescent="0.25">
      <c r="A23" s="854">
        <v>6172</v>
      </c>
      <c r="B23" s="263">
        <v>5164</v>
      </c>
      <c r="C23" s="832"/>
      <c r="D23" s="127" t="s">
        <v>101</v>
      </c>
      <c r="E23" s="60">
        <v>5</v>
      </c>
      <c r="F23" s="308">
        <v>5</v>
      </c>
      <c r="G23" s="310">
        <v>4</v>
      </c>
      <c r="H23" s="804">
        <f t="shared" si="1"/>
        <v>80</v>
      </c>
      <c r="L23" s="2207">
        <v>3702.6</v>
      </c>
    </row>
    <row r="24" spans="1:12" s="799" customFormat="1" ht="15" x14ac:dyDescent="0.25">
      <c r="A24" s="34">
        <v>6172</v>
      </c>
      <c r="B24" s="825">
        <v>5166</v>
      </c>
      <c r="C24" s="841"/>
      <c r="D24" s="800" t="s">
        <v>317</v>
      </c>
      <c r="E24" s="48">
        <v>2000</v>
      </c>
      <c r="F24" s="165">
        <v>2000</v>
      </c>
      <c r="G24" s="310">
        <v>1550</v>
      </c>
      <c r="H24" s="804">
        <f t="shared" si="1"/>
        <v>77.5</v>
      </c>
      <c r="L24" s="2207">
        <v>1550010</v>
      </c>
    </row>
    <row r="25" spans="1:12" s="799" customFormat="1" ht="15" x14ac:dyDescent="0.25">
      <c r="A25" s="34">
        <v>6172</v>
      </c>
      <c r="B25" s="825">
        <v>5169</v>
      </c>
      <c r="C25" s="841"/>
      <c r="D25" s="800" t="s">
        <v>430</v>
      </c>
      <c r="E25" s="48">
        <v>200</v>
      </c>
      <c r="F25" s="165">
        <v>200</v>
      </c>
      <c r="G25" s="310">
        <v>0</v>
      </c>
      <c r="H25" s="804">
        <f t="shared" si="1"/>
        <v>0</v>
      </c>
      <c r="L25" s="2207">
        <v>0</v>
      </c>
    </row>
    <row r="26" spans="1:12" s="799" customFormat="1" ht="15" hidden="1" x14ac:dyDescent="0.25">
      <c r="A26" s="34">
        <v>6172</v>
      </c>
      <c r="B26" s="825">
        <v>5192</v>
      </c>
      <c r="C26" s="841"/>
      <c r="D26" s="800" t="s">
        <v>826</v>
      </c>
      <c r="E26" s="48"/>
      <c r="F26" s="165"/>
      <c r="G26" s="310"/>
      <c r="H26" s="804" t="e">
        <f t="shared" si="1"/>
        <v>#DIV/0!</v>
      </c>
      <c r="L26" s="2207">
        <v>0</v>
      </c>
    </row>
    <row r="27" spans="1:12" s="425" customFormat="1" ht="15" x14ac:dyDescent="0.25">
      <c r="A27" s="632">
        <v>6172</v>
      </c>
      <c r="B27" s="631">
        <v>5362</v>
      </c>
      <c r="C27" s="503"/>
      <c r="D27" s="370" t="s">
        <v>712</v>
      </c>
      <c r="E27" s="428">
        <v>8000</v>
      </c>
      <c r="F27" s="165">
        <v>10156</v>
      </c>
      <c r="G27" s="310">
        <v>7933</v>
      </c>
      <c r="H27" s="913">
        <f t="shared" si="1"/>
        <v>78.111461205198893</v>
      </c>
      <c r="L27" s="2207">
        <v>7932713</v>
      </c>
    </row>
    <row r="28" spans="1:12" s="425" customFormat="1" ht="30" x14ac:dyDescent="0.2">
      <c r="A28" s="2326">
        <v>6172</v>
      </c>
      <c r="B28" s="2327">
        <v>5365</v>
      </c>
      <c r="C28" s="503"/>
      <c r="D28" s="985" t="s">
        <v>1131</v>
      </c>
      <c r="E28" s="2319">
        <v>0</v>
      </c>
      <c r="F28" s="897">
        <v>48582</v>
      </c>
      <c r="G28" s="429">
        <v>48582</v>
      </c>
      <c r="H28" s="2328">
        <f t="shared" si="1"/>
        <v>100</v>
      </c>
      <c r="L28" s="2207">
        <v>48581870</v>
      </c>
    </row>
    <row r="29" spans="1:12" s="425" customFormat="1" ht="15" x14ac:dyDescent="0.25">
      <c r="A29" s="2326">
        <v>6172</v>
      </c>
      <c r="B29" s="2327">
        <v>5901</v>
      </c>
      <c r="C29" s="503"/>
      <c r="D29" s="2917" t="s">
        <v>311</v>
      </c>
      <c r="E29" s="428">
        <v>0</v>
      </c>
      <c r="F29" s="897">
        <v>11000</v>
      </c>
      <c r="G29" s="429">
        <v>0</v>
      </c>
      <c r="H29" s="2328">
        <f t="shared" si="1"/>
        <v>0</v>
      </c>
      <c r="L29" s="2207"/>
    </row>
    <row r="30" spans="1:12" s="425" customFormat="1" ht="15" x14ac:dyDescent="0.25">
      <c r="A30" s="632">
        <v>6172</v>
      </c>
      <c r="B30" s="631">
        <v>5909</v>
      </c>
      <c r="C30" s="503"/>
      <c r="D30" s="1673" t="s">
        <v>244</v>
      </c>
      <c r="E30" s="428">
        <v>0</v>
      </c>
      <c r="F30" s="165">
        <v>0</v>
      </c>
      <c r="G30" s="310">
        <v>4120</v>
      </c>
      <c r="H30" s="913">
        <v>0</v>
      </c>
      <c r="L30" s="2207">
        <v>4120360.7</v>
      </c>
    </row>
    <row r="31" spans="1:12" s="799" customFormat="1" ht="30" x14ac:dyDescent="0.25">
      <c r="A31" s="899">
        <v>6402</v>
      </c>
      <c r="B31" s="896">
        <v>5364</v>
      </c>
      <c r="C31" s="841"/>
      <c r="D31" s="838" t="s">
        <v>497</v>
      </c>
      <c r="E31" s="2319">
        <f>E32</f>
        <v>0</v>
      </c>
      <c r="F31" s="897">
        <f>F32</f>
        <v>1755</v>
      </c>
      <c r="G31" s="2319">
        <f>G32</f>
        <v>1755</v>
      </c>
      <c r="H31" s="898">
        <f>(G31/F31)*100</f>
        <v>100</v>
      </c>
      <c r="L31" s="2207">
        <v>1755176.42</v>
      </c>
    </row>
    <row r="32" spans="1:12" s="799" customFormat="1" ht="14.25" x14ac:dyDescent="0.2">
      <c r="A32" s="899"/>
      <c r="B32" s="896"/>
      <c r="C32" s="840" t="s">
        <v>882</v>
      </c>
      <c r="D32" s="820" t="s">
        <v>1098</v>
      </c>
      <c r="E32" s="311">
        <v>0</v>
      </c>
      <c r="F32" s="309">
        <v>1755</v>
      </c>
      <c r="G32" s="311">
        <v>1755</v>
      </c>
      <c r="H32" s="807">
        <f>(G32/F32)*100</f>
        <v>100</v>
      </c>
      <c r="L32" s="2207"/>
    </row>
    <row r="33" spans="1:14" s="799" customFormat="1" ht="15" x14ac:dyDescent="0.25">
      <c r="A33" s="899">
        <v>6330</v>
      </c>
      <c r="B33" s="896">
        <v>5345</v>
      </c>
      <c r="C33" s="840"/>
      <c r="D33" s="838" t="s">
        <v>397</v>
      </c>
      <c r="E33" s="48">
        <v>0</v>
      </c>
      <c r="F33" s="48">
        <v>0</v>
      </c>
      <c r="G33" s="48">
        <v>13101281</v>
      </c>
      <c r="H33" s="804">
        <v>0</v>
      </c>
      <c r="L33" s="2207">
        <v>13101280835.73</v>
      </c>
    </row>
    <row r="34" spans="1:14" s="799" customFormat="1" ht="15" customHeight="1" x14ac:dyDescent="0.25">
      <c r="A34" s="34">
        <v>6409</v>
      </c>
      <c r="B34" s="825">
        <v>5901</v>
      </c>
      <c r="C34" s="841"/>
      <c r="D34" s="838" t="s">
        <v>311</v>
      </c>
      <c r="E34" s="48">
        <f>E36+E37+E38+E35+E39</f>
        <v>471000</v>
      </c>
      <c r="F34" s="48">
        <f t="shared" ref="F34:G34" si="2">F36+F37+F38+F35+F39</f>
        <v>379387</v>
      </c>
      <c r="G34" s="48">
        <f t="shared" si="2"/>
        <v>0</v>
      </c>
      <c r="H34" s="804">
        <f>(G34/F34)*100</f>
        <v>0</v>
      </c>
      <c r="L34" s="2207"/>
    </row>
    <row r="35" spans="1:14" s="799" customFormat="1" ht="15" customHeight="1" x14ac:dyDescent="0.2">
      <c r="A35" s="34"/>
      <c r="B35" s="825"/>
      <c r="C35" s="811" t="s">
        <v>871</v>
      </c>
      <c r="D35" s="805" t="s">
        <v>1839</v>
      </c>
      <c r="E35" s="55">
        <v>400000</v>
      </c>
      <c r="F35" s="309">
        <v>0</v>
      </c>
      <c r="G35" s="311">
        <v>0</v>
      </c>
      <c r="H35" s="807">
        <v>0</v>
      </c>
      <c r="L35" s="2207"/>
    </row>
    <row r="36" spans="1:14" s="799" customFormat="1" ht="15" customHeight="1" x14ac:dyDescent="0.2">
      <c r="A36" s="34"/>
      <c r="B36" s="825"/>
      <c r="C36" s="811" t="s">
        <v>891</v>
      </c>
      <c r="D36" s="805" t="s">
        <v>1099</v>
      </c>
      <c r="E36" s="55">
        <v>0</v>
      </c>
      <c r="F36" s="309">
        <v>323194</v>
      </c>
      <c r="G36" s="311">
        <v>0</v>
      </c>
      <c r="H36" s="807">
        <f t="shared" ref="H36:H38" si="3">(G36/F36)*100</f>
        <v>0</v>
      </c>
      <c r="L36" s="2207"/>
    </row>
    <row r="37" spans="1:14" s="799" customFormat="1" ht="15" customHeight="1" x14ac:dyDescent="0.25">
      <c r="A37" s="34"/>
      <c r="B37" s="825"/>
      <c r="C37" s="811" t="s">
        <v>892</v>
      </c>
      <c r="D37" s="2299" t="s">
        <v>1100</v>
      </c>
      <c r="E37" s="55">
        <v>35000</v>
      </c>
      <c r="F37" s="309">
        <v>5000</v>
      </c>
      <c r="G37" s="311">
        <v>0</v>
      </c>
      <c r="H37" s="807">
        <f t="shared" si="3"/>
        <v>0</v>
      </c>
      <c r="J37" s="830"/>
      <c r="L37" s="2207"/>
    </row>
    <row r="38" spans="1:14" s="799" customFormat="1" ht="26.25" x14ac:dyDescent="0.25">
      <c r="A38" s="34"/>
      <c r="B38" s="825"/>
      <c r="C38" s="810" t="s">
        <v>1003</v>
      </c>
      <c r="D38" s="3100" t="s">
        <v>1101</v>
      </c>
      <c r="E38" s="893">
        <v>0</v>
      </c>
      <c r="F38" s="894">
        <v>45206</v>
      </c>
      <c r="G38" s="893">
        <v>0</v>
      </c>
      <c r="H38" s="904">
        <f t="shared" si="3"/>
        <v>0</v>
      </c>
      <c r="J38" s="830"/>
      <c r="L38" s="2207"/>
    </row>
    <row r="39" spans="1:14" s="799" customFormat="1" ht="15" customHeight="1" x14ac:dyDescent="0.25">
      <c r="A39" s="34"/>
      <c r="B39" s="825"/>
      <c r="C39" s="811" t="s">
        <v>1840</v>
      </c>
      <c r="D39" s="163" t="s">
        <v>1841</v>
      </c>
      <c r="E39" s="55">
        <v>36000</v>
      </c>
      <c r="F39" s="309">
        <v>5987</v>
      </c>
      <c r="G39" s="311"/>
      <c r="H39" s="807"/>
      <c r="J39" s="830"/>
      <c r="L39" s="2207"/>
    </row>
    <row r="40" spans="1:14" s="799" customFormat="1" ht="15" customHeight="1" thickBot="1" x14ac:dyDescent="0.3">
      <c r="A40" s="34">
        <v>6409</v>
      </c>
      <c r="B40" s="825">
        <v>5909</v>
      </c>
      <c r="C40" s="841"/>
      <c r="D40" s="801" t="s">
        <v>244</v>
      </c>
      <c r="E40" s="48">
        <v>0</v>
      </c>
      <c r="F40" s="165">
        <v>0</v>
      </c>
      <c r="G40" s="310">
        <v>17</v>
      </c>
      <c r="H40" s="804">
        <v>0</v>
      </c>
      <c r="L40" s="2207">
        <v>17195.39</v>
      </c>
    </row>
    <row r="41" spans="1:14" s="355" customFormat="1" ht="35.85" customHeight="1" thickTop="1" thickBot="1" x14ac:dyDescent="0.35">
      <c r="A41" s="762" t="s">
        <v>134</v>
      </c>
      <c r="B41" s="763"/>
      <c r="C41" s="764"/>
      <c r="D41" s="765"/>
      <c r="E41" s="582">
        <f>E14+E20+E21+E22+E23+E24+E25+E34+E27+E28+E29+E30+E31+E40+E11+E33</f>
        <v>523743</v>
      </c>
      <c r="F41" s="582">
        <f t="shared" ref="F41:G41" si="4">F14+F20+F21+F22+F23+F24+F25+F34+F27+F28+F29+F30+F31+F40+F11+F33</f>
        <v>491765</v>
      </c>
      <c r="G41" s="582">
        <f t="shared" si="4"/>
        <v>13186738</v>
      </c>
      <c r="H41" s="583">
        <f>G41/F41*100</f>
        <v>2681.5121043587892</v>
      </c>
      <c r="L41" s="1664">
        <f>SUM(L11:L40)</f>
        <v>13186738269.099998</v>
      </c>
    </row>
    <row r="42" spans="1:14" s="355" customFormat="1" ht="22.5" customHeight="1" thickTop="1" x14ac:dyDescent="0.3">
      <c r="A42" s="1629"/>
      <c r="B42" s="1630"/>
      <c r="C42" s="1631"/>
      <c r="D42" s="1632"/>
      <c r="E42" s="17"/>
      <c r="F42" s="17"/>
      <c r="G42" s="17"/>
      <c r="H42" s="190"/>
      <c r="J42" s="839" t="s">
        <v>289</v>
      </c>
      <c r="K42" s="799"/>
      <c r="L42" s="826">
        <f>E15+E16</f>
        <v>33014</v>
      </c>
      <c r="M42" s="826">
        <f>F15+F16</f>
        <v>27409</v>
      </c>
      <c r="N42" s="826">
        <f>G15+G16</f>
        <v>15293</v>
      </c>
    </row>
    <row r="43" spans="1:14" s="355" customFormat="1" ht="22.5" customHeight="1" x14ac:dyDescent="0.3">
      <c r="A43" s="1629"/>
      <c r="B43" s="1630"/>
      <c r="C43" s="1631"/>
      <c r="D43" s="1632"/>
      <c r="E43" s="17"/>
      <c r="F43" s="17"/>
      <c r="G43" s="17"/>
      <c r="H43" s="190"/>
      <c r="J43" s="839"/>
      <c r="K43" s="799"/>
      <c r="L43" s="826"/>
      <c r="M43" s="826"/>
      <c r="N43" s="826"/>
    </row>
    <row r="44" spans="1:14" s="355" customFormat="1" ht="15.75" x14ac:dyDescent="0.2">
      <c r="A44" s="3181" t="s">
        <v>1151</v>
      </c>
      <c r="B44" s="3181"/>
      <c r="C44" s="3181"/>
      <c r="D44" s="3181"/>
      <c r="E44" s="3181"/>
      <c r="F44" s="3181"/>
      <c r="G44" s="3181"/>
      <c r="H44" s="3181"/>
      <c r="J44" s="839"/>
      <c r="K44" s="799"/>
      <c r="L44" s="826"/>
      <c r="M44" s="826"/>
      <c r="N44" s="826"/>
    </row>
    <row r="45" spans="1:14" s="355" customFormat="1" ht="15" x14ac:dyDescent="0.2">
      <c r="A45" s="3182" t="s">
        <v>1163</v>
      </c>
      <c r="B45" s="3182"/>
      <c r="C45" s="3182"/>
      <c r="D45" s="3182"/>
      <c r="E45" s="3182"/>
      <c r="F45" s="3182"/>
      <c r="G45" s="3182"/>
      <c r="H45" s="3182"/>
      <c r="J45" s="839"/>
      <c r="K45" s="799"/>
      <c r="L45" s="826"/>
      <c r="M45" s="826"/>
      <c r="N45" s="826"/>
    </row>
    <row r="46" spans="1:14" s="355" customFormat="1" ht="16.5" thickBot="1" x14ac:dyDescent="0.3">
      <c r="A46" s="33"/>
      <c r="B46" s="570"/>
      <c r="C46" s="571"/>
      <c r="D46" s="372"/>
      <c r="E46" s="373"/>
      <c r="F46" s="560"/>
      <c r="G46" s="373"/>
      <c r="H46" s="1568" t="s">
        <v>92</v>
      </c>
      <c r="J46" s="839"/>
      <c r="K46" s="799"/>
      <c r="L46" s="826"/>
      <c r="M46" s="826"/>
      <c r="N46" s="826"/>
    </row>
    <row r="47" spans="1:14" s="355" customFormat="1" ht="16.5" thickTop="1" thickBot="1" x14ac:dyDescent="0.25">
      <c r="A47" s="572" t="s">
        <v>93</v>
      </c>
      <c r="B47" s="573" t="s">
        <v>94</v>
      </c>
      <c r="C47" s="575" t="s">
        <v>364</v>
      </c>
      <c r="D47" s="639" t="s">
        <v>95</v>
      </c>
      <c r="E47" s="639" t="s">
        <v>328</v>
      </c>
      <c r="F47" s="639" t="s">
        <v>329</v>
      </c>
      <c r="G47" s="639" t="s">
        <v>448</v>
      </c>
      <c r="H47" s="576" t="s">
        <v>449</v>
      </c>
      <c r="J47" s="839"/>
      <c r="K47" s="799"/>
      <c r="L47" s="826"/>
      <c r="M47" s="826"/>
      <c r="N47" s="826"/>
    </row>
    <row r="48" spans="1:14" s="355" customFormat="1" ht="16.5" thickTop="1" thickBot="1" x14ac:dyDescent="0.25">
      <c r="A48" s="511">
        <v>1</v>
      </c>
      <c r="B48" s="512">
        <v>2</v>
      </c>
      <c r="C48" s="512">
        <v>3</v>
      </c>
      <c r="D48" s="512">
        <v>4</v>
      </c>
      <c r="E48" s="512">
        <v>5</v>
      </c>
      <c r="F48" s="499">
        <v>6</v>
      </c>
      <c r="G48" s="499">
        <v>7</v>
      </c>
      <c r="H48" s="577" t="s">
        <v>33</v>
      </c>
      <c r="J48" s="372" t="s">
        <v>1512</v>
      </c>
      <c r="K48" s="373">
        <f>E51</f>
        <v>59630</v>
      </c>
      <c r="L48" s="373">
        <f t="shared" ref="L48:M48" si="5">F51</f>
        <v>0</v>
      </c>
      <c r="M48" s="373">
        <f t="shared" si="5"/>
        <v>0</v>
      </c>
    </row>
    <row r="49" spans="1:14" s="355" customFormat="1" ht="16.5" hidden="1" thickTop="1" x14ac:dyDescent="0.25">
      <c r="A49" s="854">
        <v>3636</v>
      </c>
      <c r="B49" s="263">
        <v>5325</v>
      </c>
      <c r="C49" s="811" t="s">
        <v>1097</v>
      </c>
      <c r="D49" s="127" t="s">
        <v>288</v>
      </c>
      <c r="E49" s="60"/>
      <c r="F49" s="146"/>
      <c r="G49" s="60"/>
      <c r="H49" s="804" t="e">
        <f>(G49/F49)*100</f>
        <v>#DIV/0!</v>
      </c>
      <c r="J49" s="372"/>
      <c r="K49" s="373"/>
      <c r="L49" s="373"/>
      <c r="M49" s="373"/>
    </row>
    <row r="50" spans="1:14" s="355" customFormat="1" ht="28.5" customHeight="1" thickTop="1" thickBot="1" x14ac:dyDescent="0.3">
      <c r="A50" s="899">
        <v>6409</v>
      </c>
      <c r="B50" s="896">
        <v>5229</v>
      </c>
      <c r="C50" s="810" t="s">
        <v>1097</v>
      </c>
      <c r="D50" s="2918" t="s">
        <v>1842</v>
      </c>
      <c r="E50" s="2998">
        <v>59630</v>
      </c>
      <c r="F50" s="2998">
        <v>0</v>
      </c>
      <c r="G50" s="2998">
        <v>0</v>
      </c>
      <c r="H50" s="3083">
        <v>0</v>
      </c>
      <c r="J50" s="372"/>
      <c r="K50" s="526">
        <f>SUM(K48:K49)</f>
        <v>59630</v>
      </c>
      <c r="L50" s="526">
        <f t="shared" ref="L50:M50" si="6">SUM(L48:L49)</f>
        <v>0</v>
      </c>
      <c r="M50" s="526">
        <f t="shared" si="6"/>
        <v>0</v>
      </c>
    </row>
    <row r="51" spans="1:14" s="355" customFormat="1" ht="22.5" customHeight="1" thickTop="1" thickBot="1" x14ac:dyDescent="0.3">
      <c r="A51" s="578" t="s">
        <v>1152</v>
      </c>
      <c r="B51" s="744"/>
      <c r="C51" s="580"/>
      <c r="D51" s="581"/>
      <c r="E51" s="582">
        <f>SUM(E49:E50)</f>
        <v>59630</v>
      </c>
      <c r="F51" s="582">
        <f>SUM(F49:F50)</f>
        <v>0</v>
      </c>
      <c r="G51" s="582">
        <f>SUM(G49:G50)</f>
        <v>0</v>
      </c>
      <c r="H51" s="783">
        <v>0</v>
      </c>
      <c r="J51" s="839"/>
      <c r="K51" s="799"/>
      <c r="L51" s="826"/>
      <c r="M51" s="826"/>
      <c r="N51" s="826"/>
    </row>
    <row r="52" spans="1:14" s="355" customFormat="1" ht="21" thickTop="1" x14ac:dyDescent="0.3">
      <c r="A52" s="1629"/>
      <c r="B52" s="1630"/>
      <c r="C52" s="1631"/>
      <c r="D52" s="1632"/>
      <c r="E52" s="17"/>
      <c r="F52" s="17"/>
      <c r="G52" s="17"/>
      <c r="H52" s="190"/>
      <c r="J52" s="839"/>
      <c r="K52" s="799"/>
      <c r="L52" s="826"/>
      <c r="M52" s="826"/>
      <c r="N52" s="826"/>
    </row>
    <row r="53" spans="1:14" ht="18" x14ac:dyDescent="0.25">
      <c r="A53" s="353"/>
      <c r="B53" s="354"/>
      <c r="C53" s="57"/>
      <c r="D53" s="354"/>
      <c r="E53" s="17"/>
      <c r="F53" s="17"/>
      <c r="G53" s="17"/>
      <c r="H53" s="727"/>
      <c r="I53" s="491"/>
      <c r="J53" s="491"/>
    </row>
    <row r="54" spans="1:14" s="597" customFormat="1" ht="16.5" x14ac:dyDescent="0.25">
      <c r="A54" s="356" t="s">
        <v>307</v>
      </c>
      <c r="B54" s="357"/>
      <c r="C54" s="358"/>
      <c r="D54" s="358"/>
      <c r="E54" s="734">
        <f>E55+E56+E57+E58</f>
        <v>523743</v>
      </c>
      <c r="F54" s="734">
        <f>F55+F56+F57+F58</f>
        <v>491765</v>
      </c>
      <c r="G54" s="734">
        <f>G55+G56+G57+G58+G59</f>
        <v>13186738</v>
      </c>
      <c r="H54" s="300">
        <f>G54/F54*100</f>
        <v>2681.5121043587892</v>
      </c>
      <c r="J54" s="1291">
        <f>SUM(J55:J58)</f>
        <v>523743000</v>
      </c>
      <c r="K54" s="1291">
        <f>SUM(K55:K58)</f>
        <v>491765253.30000001</v>
      </c>
      <c r="L54" s="1291">
        <f>SUM(L55:L59)</f>
        <v>13186738269.1</v>
      </c>
    </row>
    <row r="55" spans="1:14" s="860" customFormat="1" ht="15" x14ac:dyDescent="0.2">
      <c r="A55" s="507" t="s">
        <v>147</v>
      </c>
      <c r="B55" s="528"/>
      <c r="C55" s="529"/>
      <c r="D55" s="529"/>
      <c r="E55" s="735">
        <f>E41</f>
        <v>523743</v>
      </c>
      <c r="F55" s="735">
        <f>F41-F57</f>
        <v>491568</v>
      </c>
      <c r="G55" s="735">
        <f>G41-G57-G59</f>
        <v>85457</v>
      </c>
      <c r="H55" s="301">
        <f>G55/F55*100</f>
        <v>17.384573446603522</v>
      </c>
      <c r="J55" s="1155">
        <f>583373000-J61</f>
        <v>523743000</v>
      </c>
      <c r="K55" s="1155">
        <f>491765253.3-K57-K61</f>
        <v>491567773.30000001</v>
      </c>
      <c r="L55" s="1155">
        <v>85457433.370000005</v>
      </c>
    </row>
    <row r="56" spans="1:14" s="860" customFormat="1" ht="15" x14ac:dyDescent="0.2">
      <c r="A56" s="507" t="s">
        <v>148</v>
      </c>
      <c r="B56" s="533"/>
      <c r="C56" s="529"/>
      <c r="D56" s="529"/>
      <c r="E56" s="736">
        <v>0</v>
      </c>
      <c r="F56" s="736">
        <v>0</v>
      </c>
      <c r="G56" s="736">
        <v>0</v>
      </c>
      <c r="H56" s="301">
        <v>0</v>
      </c>
      <c r="J56" s="1155">
        <v>0</v>
      </c>
      <c r="K56" s="1155">
        <v>0</v>
      </c>
      <c r="L56" s="1155">
        <v>0</v>
      </c>
    </row>
    <row r="57" spans="1:14" s="860" customFormat="1" ht="15" x14ac:dyDescent="0.2">
      <c r="A57" s="507" t="s">
        <v>119</v>
      </c>
      <c r="B57" s="533"/>
      <c r="C57" s="529"/>
      <c r="D57" s="529"/>
      <c r="E57" s="735">
        <v>0</v>
      </c>
      <c r="F57" s="531">
        <f>F12</f>
        <v>197</v>
      </c>
      <c r="G57" s="531">
        <f>G12</f>
        <v>0</v>
      </c>
      <c r="H57" s="301">
        <f t="shared" ref="H57" si="7">G57/F57*100</f>
        <v>0</v>
      </c>
      <c r="J57" s="1155">
        <v>0</v>
      </c>
      <c r="K57" s="1155">
        <v>197480</v>
      </c>
      <c r="L57" s="1155">
        <v>0</v>
      </c>
    </row>
    <row r="58" spans="1:14" s="860" customFormat="1" ht="15" x14ac:dyDescent="0.2">
      <c r="A58" s="507" t="s">
        <v>537</v>
      </c>
      <c r="B58" s="533"/>
      <c r="C58" s="529"/>
      <c r="D58" s="529"/>
      <c r="E58" s="735">
        <v>0</v>
      </c>
      <c r="F58" s="535">
        <v>0</v>
      </c>
      <c r="G58" s="535">
        <v>0</v>
      </c>
      <c r="H58" s="301">
        <v>0</v>
      </c>
      <c r="J58" s="1155">
        <v>0</v>
      </c>
      <c r="K58" s="1155">
        <v>0</v>
      </c>
      <c r="L58" s="1155">
        <v>0</v>
      </c>
    </row>
    <row r="59" spans="1:14" s="860" customFormat="1" ht="15" x14ac:dyDescent="0.2">
      <c r="A59" s="507" t="s">
        <v>252</v>
      </c>
      <c r="B59" s="533"/>
      <c r="C59" s="529"/>
      <c r="D59" s="529"/>
      <c r="E59" s="735">
        <f>E33</f>
        <v>0</v>
      </c>
      <c r="F59" s="735">
        <f t="shared" ref="F59:G59" si="8">F33</f>
        <v>0</v>
      </c>
      <c r="G59" s="735">
        <f t="shared" si="8"/>
        <v>13101281</v>
      </c>
      <c r="H59" s="301">
        <v>0</v>
      </c>
      <c r="J59" s="1155">
        <v>0</v>
      </c>
      <c r="K59" s="1155">
        <v>0</v>
      </c>
      <c r="L59" s="1155">
        <f>L33</f>
        <v>13101280835.73</v>
      </c>
    </row>
    <row r="60" spans="1:14" s="860" customFormat="1" ht="15" x14ac:dyDescent="0.2">
      <c r="A60" s="507"/>
      <c r="B60" s="533"/>
      <c r="C60" s="529"/>
      <c r="D60" s="529"/>
      <c r="E60" s="735"/>
      <c r="F60" s="535"/>
      <c r="G60" s="535"/>
      <c r="H60" s="301"/>
      <c r="J60" s="1155"/>
      <c r="K60" s="1155"/>
      <c r="L60" s="1155"/>
    </row>
    <row r="61" spans="1:14" s="2868" customFormat="1" ht="16.5" x14ac:dyDescent="0.25">
      <c r="A61" s="356" t="s">
        <v>1151</v>
      </c>
      <c r="B61" s="2869"/>
      <c r="C61" s="2865"/>
      <c r="D61" s="2865"/>
      <c r="E61" s="2866">
        <f>E51</f>
        <v>59630</v>
      </c>
      <c r="F61" s="2866">
        <f>F51</f>
        <v>0</v>
      </c>
      <c r="G61" s="2866">
        <f>G51</f>
        <v>0</v>
      </c>
      <c r="H61" s="2870">
        <v>0</v>
      </c>
      <c r="J61" s="2871">
        <v>59630000</v>
      </c>
      <c r="K61" s="2871">
        <v>0</v>
      </c>
      <c r="L61" s="2871">
        <v>0</v>
      </c>
    </row>
    <row r="62" spans="1:14" s="860" customFormat="1" ht="15" x14ac:dyDescent="0.2">
      <c r="A62" s="507"/>
      <c r="B62" s="533"/>
      <c r="C62" s="529"/>
      <c r="D62" s="529"/>
      <c r="E62" s="735"/>
      <c r="F62" s="535"/>
      <c r="G62" s="535"/>
      <c r="H62" s="301"/>
    </row>
    <row r="63" spans="1:14" s="58" customFormat="1" ht="47.25" customHeight="1" thickBot="1" x14ac:dyDescent="0.4">
      <c r="A63" s="589" t="s">
        <v>542</v>
      </c>
      <c r="B63" s="590"/>
      <c r="C63" s="591"/>
      <c r="D63" s="592"/>
      <c r="E63" s="536">
        <f>SUM(E41,E51)</f>
        <v>583373</v>
      </c>
      <c r="F63" s="536">
        <f>SUM(F41,F51)</f>
        <v>491765</v>
      </c>
      <c r="G63" s="536">
        <f>SUM(G41,G51)</f>
        <v>13186738</v>
      </c>
      <c r="H63" s="767">
        <f>(G63/F63)*100</f>
        <v>2681.5121043587892</v>
      </c>
      <c r="J63" s="2576">
        <f>J54+J61</f>
        <v>583373000</v>
      </c>
      <c r="K63" s="2576">
        <f>K54+K61</f>
        <v>491765253.30000001</v>
      </c>
      <c r="L63" s="2576">
        <f>L54+L61</f>
        <v>13186738269.1</v>
      </c>
    </row>
    <row r="64" spans="1:14" ht="13.5" thickTop="1" x14ac:dyDescent="0.2"/>
    <row r="76" spans="1:10" x14ac:dyDescent="0.2">
      <c r="A76" s="491"/>
      <c r="C76" s="491"/>
      <c r="E76" s="491"/>
      <c r="G76" s="491"/>
      <c r="I76" s="491"/>
      <c r="J76" s="491"/>
    </row>
    <row r="77" spans="1:10" x14ac:dyDescent="0.2">
      <c r="A77" s="491"/>
      <c r="C77" s="491"/>
      <c r="E77" s="491"/>
      <c r="G77" s="491"/>
      <c r="I77" s="491"/>
      <c r="J77" s="491"/>
    </row>
    <row r="78" spans="1:10" x14ac:dyDescent="0.2">
      <c r="A78" s="491"/>
      <c r="C78" s="491"/>
      <c r="E78" s="491"/>
      <c r="G78" s="491"/>
      <c r="I78" s="491"/>
      <c r="J78" s="491"/>
    </row>
    <row r="79" spans="1:10" x14ac:dyDescent="0.2">
      <c r="A79" s="491"/>
      <c r="C79" s="491"/>
      <c r="E79" s="491"/>
      <c r="G79" s="491"/>
      <c r="I79" s="491"/>
      <c r="J79" s="491"/>
    </row>
    <row r="80" spans="1:10" x14ac:dyDescent="0.2">
      <c r="A80" s="491"/>
      <c r="C80" s="491"/>
      <c r="E80" s="491"/>
      <c r="G80" s="491"/>
      <c r="I80" s="491"/>
      <c r="J80" s="491"/>
    </row>
    <row r="81" spans="1:10" s="58" customFormat="1" ht="47.25" customHeight="1" x14ac:dyDescent="0.35">
      <c r="A81" s="491"/>
      <c r="B81" s="491"/>
      <c r="C81" s="491"/>
      <c r="D81" s="491"/>
      <c r="E81" s="491"/>
      <c r="F81" s="459"/>
      <c r="G81" s="491"/>
      <c r="H81" s="596"/>
    </row>
    <row r="82" spans="1:10" s="585" customFormat="1" x14ac:dyDescent="0.2">
      <c r="A82" s="597"/>
      <c r="B82" s="597"/>
      <c r="C82" s="597"/>
      <c r="D82" s="597"/>
      <c r="E82" s="597"/>
      <c r="F82" s="599"/>
      <c r="G82" s="597"/>
      <c r="H82" s="600"/>
      <c r="I82" s="721"/>
      <c r="J82" s="721"/>
    </row>
    <row r="83" spans="1:10" x14ac:dyDescent="0.2">
      <c r="A83" s="491"/>
      <c r="C83" s="491"/>
      <c r="E83" s="491"/>
      <c r="G83" s="491"/>
    </row>
    <row r="84" spans="1:10" x14ac:dyDescent="0.2">
      <c r="A84" s="491"/>
      <c r="C84" s="491"/>
      <c r="E84" s="491"/>
      <c r="G84" s="491"/>
    </row>
    <row r="85" spans="1:10" x14ac:dyDescent="0.2">
      <c r="A85" s="491"/>
      <c r="C85" s="491"/>
      <c r="E85" s="491"/>
      <c r="G85" s="491"/>
    </row>
    <row r="86" spans="1:10" x14ac:dyDescent="0.2">
      <c r="A86" s="491"/>
      <c r="C86" s="491"/>
      <c r="E86" s="491"/>
      <c r="G86" s="491"/>
    </row>
    <row r="87" spans="1:10" x14ac:dyDescent="0.2">
      <c r="A87" s="491"/>
      <c r="C87" s="491"/>
      <c r="E87" s="491"/>
      <c r="G87" s="491"/>
    </row>
    <row r="88" spans="1:10" x14ac:dyDescent="0.2">
      <c r="A88" s="491"/>
      <c r="C88" s="491"/>
      <c r="E88" s="491"/>
      <c r="G88" s="491"/>
    </row>
    <row r="89" spans="1:10" x14ac:dyDescent="0.2">
      <c r="A89" s="491"/>
      <c r="C89" s="491"/>
      <c r="E89" s="491"/>
      <c r="G89" s="491"/>
    </row>
    <row r="90" spans="1:10" x14ac:dyDescent="0.2">
      <c r="A90" s="491"/>
      <c r="C90" s="491"/>
      <c r="E90" s="491"/>
      <c r="G90" s="491"/>
    </row>
    <row r="91" spans="1:10" x14ac:dyDescent="0.2">
      <c r="A91" s="491"/>
      <c r="C91" s="491"/>
      <c r="E91" s="491"/>
      <c r="G91" s="491"/>
    </row>
    <row r="92" spans="1:10" x14ac:dyDescent="0.2">
      <c r="A92" s="491"/>
      <c r="C92" s="491"/>
      <c r="E92" s="491"/>
      <c r="G92" s="491"/>
    </row>
  </sheetData>
  <mergeCells count="4">
    <mergeCell ref="D12:D13"/>
    <mergeCell ref="C12:C13"/>
    <mergeCell ref="A44:H44"/>
    <mergeCell ref="A45:H45"/>
  </mergeCells>
  <phoneticPr fontId="0" type="noConversion"/>
  <pageMargins left="0.98425196850393704" right="0.98425196850393704" top="0.98425196850393704" bottom="0.98425196850393704" header="0.51181102362204722" footer="0.51181102362204722"/>
  <pageSetup paperSize="9" scale="65" firstPageNumber="33" orientation="portrait" useFirstPageNumber="1" r:id="rId1"/>
  <headerFooter alignWithMargins="0">
    <oddFooter>&amp;L&amp;"Arial,Kurzíva"Zastupitelstvo Olomouckého kraje 25. 6. 2018
5. - Rozpočet Olomouckého kraje 2017 - závěrečný  účet 
Příloha č. 3: Plnění rozpočtu výdajů Olomouckého kraje k 31. 12. 2017&amp;R&amp;"Arial,Kurzíva"Strana &amp;P (celkem 478)</oddFooter>
  </headerFooter>
  <ignoredErrors>
    <ignoredError sqref="E51:G51" formulaRange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indexed="42"/>
  </sheetPr>
  <dimension ref="A1:O46"/>
  <sheetViews>
    <sheetView showGridLines="0" topLeftCell="A21" zoomScaleNormal="100" workbookViewId="0">
      <selection activeCell="G42" sqref="G42"/>
    </sheetView>
  </sheetViews>
  <sheetFormatPr defaultColWidth="9.140625" defaultRowHeight="12.75" x14ac:dyDescent="0.2"/>
  <cols>
    <col min="1" max="1" width="5" style="75" customWidth="1"/>
    <col min="2" max="2" width="4.7109375" style="160" customWidth="1"/>
    <col min="3" max="3" width="6.28515625" style="133" hidden="1" customWidth="1"/>
    <col min="4" max="4" width="6.7109375" style="143" customWidth="1"/>
    <col min="5" max="5" width="47.140625" style="119" customWidth="1"/>
    <col min="6" max="6" width="12.5703125" style="120" customWidth="1"/>
    <col min="7" max="7" width="14" style="120" customWidth="1"/>
    <col min="8" max="8" width="13.7109375" style="120" customWidth="1"/>
    <col min="9" max="9" width="9.42578125" style="198" customWidth="1"/>
    <col min="10" max="16384" width="9.140625" style="119"/>
  </cols>
  <sheetData>
    <row r="1" spans="1:9" s="133" customFormat="1" ht="18.75" thickBot="1" x14ac:dyDescent="0.3">
      <c r="A1" s="76" t="s">
        <v>281</v>
      </c>
      <c r="B1" s="130"/>
      <c r="C1" s="131"/>
      <c r="D1" s="156"/>
      <c r="E1" s="159"/>
      <c r="F1" s="149"/>
      <c r="G1" s="79" t="s">
        <v>282</v>
      </c>
      <c r="H1" s="132"/>
      <c r="I1" s="197"/>
    </row>
    <row r="3" spans="1:9" ht="12.75" customHeight="1" x14ac:dyDescent="0.25">
      <c r="A3" s="67" t="s">
        <v>201</v>
      </c>
      <c r="B3" s="28"/>
      <c r="C3" s="140" t="s">
        <v>121</v>
      </c>
      <c r="D3" s="140" t="s">
        <v>121</v>
      </c>
      <c r="E3" s="14"/>
      <c r="F3" s="16"/>
      <c r="G3" s="17"/>
      <c r="H3" s="18"/>
    </row>
    <row r="4" spans="1:9" ht="12.75" customHeight="1" x14ac:dyDescent="0.25">
      <c r="A4" s="6"/>
      <c r="B4" s="28"/>
      <c r="C4" s="140" t="s">
        <v>283</v>
      </c>
      <c r="D4" s="140" t="s">
        <v>283</v>
      </c>
      <c r="E4" s="132"/>
      <c r="F4" s="16"/>
      <c r="G4" s="17"/>
      <c r="H4" s="18"/>
    </row>
    <row r="8" spans="1:9" ht="13.5" thickBot="1" x14ac:dyDescent="0.25">
      <c r="A8" s="70" t="s">
        <v>490</v>
      </c>
      <c r="B8" s="1"/>
      <c r="C8" s="119"/>
      <c r="I8" s="198" t="s">
        <v>92</v>
      </c>
    </row>
    <row r="9" spans="1:9" s="24" customFormat="1" ht="20.25" customHeight="1" thickTop="1" thickBot="1" x14ac:dyDescent="0.25">
      <c r="A9" s="21" t="s">
        <v>93</v>
      </c>
      <c r="B9" s="23" t="s">
        <v>94</v>
      </c>
      <c r="C9" s="169" t="s">
        <v>364</v>
      </c>
      <c r="D9" s="169" t="s">
        <v>364</v>
      </c>
      <c r="E9" s="46" t="s">
        <v>95</v>
      </c>
      <c r="F9" s="47" t="s">
        <v>96</v>
      </c>
      <c r="G9" s="46" t="s">
        <v>447</v>
      </c>
      <c r="H9" s="46" t="s">
        <v>448</v>
      </c>
      <c r="I9" s="192" t="s">
        <v>449</v>
      </c>
    </row>
    <row r="10" spans="1:9" s="318" customFormat="1" ht="13.5" thickTop="1" thickBot="1" x14ac:dyDescent="0.25">
      <c r="A10" s="314">
        <v>1</v>
      </c>
      <c r="B10" s="315">
        <v>2</v>
      </c>
      <c r="C10" s="315">
        <v>3</v>
      </c>
      <c r="D10" s="315">
        <v>4</v>
      </c>
      <c r="E10" s="315">
        <v>5</v>
      </c>
      <c r="F10" s="316">
        <v>6</v>
      </c>
      <c r="G10" s="316">
        <v>7</v>
      </c>
      <c r="H10" s="317">
        <v>8</v>
      </c>
      <c r="I10" s="352" t="s">
        <v>393</v>
      </c>
    </row>
    <row r="11" spans="1:9" ht="15.75" customHeight="1" thickTop="1" x14ac:dyDescent="0.25">
      <c r="A11" s="218">
        <v>3636</v>
      </c>
      <c r="B11" s="236">
        <v>5212</v>
      </c>
      <c r="C11" s="152">
        <v>5213</v>
      </c>
      <c r="D11" s="237"/>
      <c r="E11" s="312" t="s">
        <v>444</v>
      </c>
      <c r="F11" s="38">
        <v>186</v>
      </c>
      <c r="G11" s="88">
        <v>2</v>
      </c>
      <c r="H11" s="228">
        <v>2</v>
      </c>
      <c r="I11" s="202">
        <f>(H11/G11)*100</f>
        <v>100</v>
      </c>
    </row>
    <row r="12" spans="1:9" ht="15.75" thickBot="1" x14ac:dyDescent="0.3">
      <c r="A12" s="50">
        <v>3636</v>
      </c>
      <c r="B12" s="31">
        <v>5213</v>
      </c>
      <c r="C12" s="151"/>
      <c r="D12" s="153"/>
      <c r="E12" s="87" t="s">
        <v>378</v>
      </c>
      <c r="F12" s="39">
        <v>153</v>
      </c>
      <c r="G12" s="71">
        <v>13</v>
      </c>
      <c r="H12" s="93">
        <v>13</v>
      </c>
      <c r="I12" s="194">
        <v>0</v>
      </c>
    </row>
    <row r="13" spans="1:9" ht="18" customHeight="1" thickTop="1" thickBot="1" x14ac:dyDescent="0.3">
      <c r="A13" s="3207" t="s">
        <v>134</v>
      </c>
      <c r="B13" s="3208"/>
      <c r="C13" s="3208"/>
      <c r="D13" s="3208"/>
      <c r="E13" s="3208"/>
      <c r="F13" s="64">
        <f>F11+F12</f>
        <v>339</v>
      </c>
      <c r="G13" s="64">
        <f>G11+G12</f>
        <v>15</v>
      </c>
      <c r="H13" s="64">
        <f>H11+H12</f>
        <v>15</v>
      </c>
      <c r="I13" s="203">
        <f>(H13/G13)*100</f>
        <v>100</v>
      </c>
    </row>
    <row r="14" spans="1:9" ht="15.75" thickTop="1" x14ac:dyDescent="0.25">
      <c r="A14" s="34">
        <v>3636</v>
      </c>
      <c r="B14" s="5">
        <v>6312</v>
      </c>
      <c r="C14" s="19"/>
      <c r="D14" s="128"/>
      <c r="E14" s="62" t="s">
        <v>379</v>
      </c>
      <c r="F14" s="305">
        <v>423</v>
      </c>
      <c r="G14" s="88">
        <v>96</v>
      </c>
      <c r="H14" s="86">
        <v>96</v>
      </c>
      <c r="I14" s="186">
        <f>(H14/G14)*100</f>
        <v>100</v>
      </c>
    </row>
    <row r="15" spans="1:9" ht="15.75" thickBot="1" x14ac:dyDescent="0.3">
      <c r="A15" s="176">
        <v>3636</v>
      </c>
      <c r="B15" s="19">
        <v>6313</v>
      </c>
      <c r="C15" s="19"/>
      <c r="D15" s="121"/>
      <c r="E15" s="72" t="s">
        <v>549</v>
      </c>
      <c r="F15" s="162">
        <v>271</v>
      </c>
      <c r="G15" s="71">
        <v>387</v>
      </c>
      <c r="H15" s="86">
        <v>387</v>
      </c>
      <c r="I15" s="186">
        <f>(H15/G15)*100</f>
        <v>100</v>
      </c>
    </row>
    <row r="16" spans="1:9" ht="18" customHeight="1" thickTop="1" thickBot="1" x14ac:dyDescent="0.3">
      <c r="A16" s="3207" t="s">
        <v>133</v>
      </c>
      <c r="B16" s="3208"/>
      <c r="C16" s="3208"/>
      <c r="D16" s="3208"/>
      <c r="E16" s="3208"/>
      <c r="F16" s="64">
        <f>F14+F15</f>
        <v>694</v>
      </c>
      <c r="G16" s="64">
        <f>G14+G15</f>
        <v>483</v>
      </c>
      <c r="H16" s="64">
        <f>H14+H15</f>
        <v>483</v>
      </c>
      <c r="I16" s="203">
        <v>0</v>
      </c>
    </row>
    <row r="17" spans="1:9" ht="18" customHeight="1" thickTop="1" thickBot="1" x14ac:dyDescent="0.3">
      <c r="A17" s="3207" t="s">
        <v>371</v>
      </c>
      <c r="B17" s="3208"/>
      <c r="C17" s="3208"/>
      <c r="D17" s="3208"/>
      <c r="E17" s="3208"/>
      <c r="F17" s="110">
        <f>F13+F16</f>
        <v>1033</v>
      </c>
      <c r="G17" s="110">
        <f>G13+G16</f>
        <v>498</v>
      </c>
      <c r="H17" s="110">
        <f>H13+H16</f>
        <v>498</v>
      </c>
      <c r="I17" s="204">
        <f>(H17/G17)*100</f>
        <v>100</v>
      </c>
    </row>
    <row r="18" spans="1:9" ht="13.5" thickTop="1" x14ac:dyDescent="0.2"/>
    <row r="20" spans="1:9" ht="13.5" thickBot="1" x14ac:dyDescent="0.25">
      <c r="A20" s="70" t="s">
        <v>369</v>
      </c>
      <c r="B20" s="1"/>
      <c r="C20" s="119"/>
      <c r="I20" s="198" t="s">
        <v>92</v>
      </c>
    </row>
    <row r="21" spans="1:9" s="24" customFormat="1" ht="20.25" customHeight="1" thickTop="1" thickBot="1" x14ac:dyDescent="0.25">
      <c r="A21" s="21" t="s">
        <v>93</v>
      </c>
      <c r="B21" s="23" t="s">
        <v>94</v>
      </c>
      <c r="C21" s="166" t="s">
        <v>364</v>
      </c>
      <c r="D21" s="169" t="s">
        <v>364</v>
      </c>
      <c r="E21" s="46" t="s">
        <v>95</v>
      </c>
      <c r="F21" s="46" t="s">
        <v>96</v>
      </c>
      <c r="G21" s="46" t="s">
        <v>447</v>
      </c>
      <c r="H21" s="46" t="s">
        <v>448</v>
      </c>
      <c r="I21" s="193" t="s">
        <v>449</v>
      </c>
    </row>
    <row r="22" spans="1:9" s="318" customFormat="1" ht="13.5" thickTop="1" thickBot="1" x14ac:dyDescent="0.25">
      <c r="A22" s="314">
        <v>1</v>
      </c>
      <c r="B22" s="315">
        <v>2</v>
      </c>
      <c r="C22" s="315">
        <v>3</v>
      </c>
      <c r="D22" s="315">
        <v>4</v>
      </c>
      <c r="E22" s="315">
        <v>5</v>
      </c>
      <c r="F22" s="316">
        <v>6</v>
      </c>
      <c r="G22" s="316">
        <v>7</v>
      </c>
      <c r="H22" s="317">
        <v>8</v>
      </c>
      <c r="I22" s="352" t="s">
        <v>393</v>
      </c>
    </row>
    <row r="23" spans="1:9" s="161" customFormat="1" ht="15" customHeight="1" thickTop="1" thickBot="1" x14ac:dyDescent="0.3">
      <c r="A23" s="34">
        <v>3419</v>
      </c>
      <c r="B23" s="115">
        <v>6322</v>
      </c>
      <c r="C23" s="154"/>
      <c r="D23" s="155"/>
      <c r="E23" s="72" t="s">
        <v>550</v>
      </c>
      <c r="F23" s="48">
        <v>690</v>
      </c>
      <c r="G23" s="71">
        <v>0</v>
      </c>
      <c r="H23" s="71">
        <v>0</v>
      </c>
      <c r="I23" s="195">
        <v>0</v>
      </c>
    </row>
    <row r="24" spans="1:9" ht="18" customHeight="1" thickTop="1" thickBot="1" x14ac:dyDescent="0.3">
      <c r="A24" s="3207" t="s">
        <v>133</v>
      </c>
      <c r="B24" s="3208"/>
      <c r="C24" s="3208"/>
      <c r="D24" s="3208"/>
      <c r="E24" s="3208"/>
      <c r="F24" s="64">
        <f t="shared" ref="F24:I25" si="0">F23</f>
        <v>690</v>
      </c>
      <c r="G24" s="64">
        <f t="shared" si="0"/>
        <v>0</v>
      </c>
      <c r="H24" s="64">
        <f t="shared" si="0"/>
        <v>0</v>
      </c>
      <c r="I24" s="368">
        <f t="shared" si="0"/>
        <v>0</v>
      </c>
    </row>
    <row r="25" spans="1:9" ht="18" customHeight="1" thickTop="1" thickBot="1" x14ac:dyDescent="0.3">
      <c r="A25" s="3211" t="s">
        <v>370</v>
      </c>
      <c r="B25" s="3212"/>
      <c r="C25" s="3212"/>
      <c r="D25" s="3212"/>
      <c r="E25" s="3212"/>
      <c r="F25" s="111">
        <f t="shared" si="0"/>
        <v>690</v>
      </c>
      <c r="G25" s="111">
        <f t="shared" si="0"/>
        <v>0</v>
      </c>
      <c r="H25" s="111">
        <f t="shared" si="0"/>
        <v>0</v>
      </c>
      <c r="I25" s="369">
        <f t="shared" si="0"/>
        <v>0</v>
      </c>
    </row>
    <row r="26" spans="1:9" ht="13.5" thickTop="1" x14ac:dyDescent="0.2"/>
    <row r="28" spans="1:9" ht="13.5" thickBot="1" x14ac:dyDescent="0.25">
      <c r="A28" s="238" t="s">
        <v>491</v>
      </c>
      <c r="B28" s="1"/>
      <c r="C28" s="119"/>
      <c r="I28" s="198" t="s">
        <v>92</v>
      </c>
    </row>
    <row r="29" spans="1:9" s="24" customFormat="1" ht="20.25" customHeight="1" thickTop="1" thickBot="1" x14ac:dyDescent="0.25">
      <c r="A29" s="21" t="s">
        <v>93</v>
      </c>
      <c r="B29" s="23" t="s">
        <v>94</v>
      </c>
      <c r="C29" s="166" t="s">
        <v>364</v>
      </c>
      <c r="D29" s="169" t="s">
        <v>364</v>
      </c>
      <c r="E29" s="46" t="s">
        <v>95</v>
      </c>
      <c r="F29" s="46" t="s">
        <v>96</v>
      </c>
      <c r="G29" s="46" t="s">
        <v>447</v>
      </c>
      <c r="H29" s="46" t="s">
        <v>448</v>
      </c>
      <c r="I29" s="193" t="s">
        <v>449</v>
      </c>
    </row>
    <row r="30" spans="1:9" s="318" customFormat="1" ht="13.5" thickTop="1" thickBot="1" x14ac:dyDescent="0.25">
      <c r="A30" s="314">
        <v>1</v>
      </c>
      <c r="B30" s="315">
        <v>2</v>
      </c>
      <c r="C30" s="315">
        <v>3</v>
      </c>
      <c r="D30" s="315">
        <v>4</v>
      </c>
      <c r="E30" s="315">
        <v>5</v>
      </c>
      <c r="F30" s="316">
        <v>6</v>
      </c>
      <c r="G30" s="316">
        <v>7</v>
      </c>
      <c r="H30" s="317">
        <v>8</v>
      </c>
      <c r="I30" s="352" t="s">
        <v>393</v>
      </c>
    </row>
    <row r="31" spans="1:9" ht="16.5" thickTop="1" thickBot="1" x14ac:dyDescent="0.3">
      <c r="A31" s="34">
        <v>3636</v>
      </c>
      <c r="B31" s="115">
        <v>5222</v>
      </c>
      <c r="C31" s="239"/>
      <c r="D31" s="240"/>
      <c r="E31" s="72" t="s">
        <v>124</v>
      </c>
      <c r="F31" s="162">
        <v>277</v>
      </c>
      <c r="G31" s="84">
        <v>277</v>
      </c>
      <c r="H31" s="84">
        <v>277</v>
      </c>
      <c r="I31" s="195">
        <f>(H31/G31)*100</f>
        <v>100</v>
      </c>
    </row>
    <row r="32" spans="1:9" ht="18" customHeight="1" thickTop="1" thickBot="1" x14ac:dyDescent="0.3">
      <c r="A32" s="3207" t="s">
        <v>134</v>
      </c>
      <c r="B32" s="3208"/>
      <c r="C32" s="3208"/>
      <c r="D32" s="3208"/>
      <c r="E32" s="3208"/>
      <c r="F32" s="110">
        <f t="shared" ref="F32:H33" si="1">F31</f>
        <v>277</v>
      </c>
      <c r="G32" s="110">
        <f t="shared" si="1"/>
        <v>277</v>
      </c>
      <c r="H32" s="110">
        <f t="shared" si="1"/>
        <v>277</v>
      </c>
      <c r="I32" s="204">
        <f>(H32/G32)*100</f>
        <v>100</v>
      </c>
    </row>
    <row r="33" spans="1:15" ht="18" customHeight="1" thickTop="1" thickBot="1" x14ac:dyDescent="0.3">
      <c r="A33" s="3207" t="s">
        <v>321</v>
      </c>
      <c r="B33" s="3208"/>
      <c r="C33" s="3208"/>
      <c r="D33" s="3208"/>
      <c r="E33" s="3208"/>
      <c r="F33" s="110">
        <f t="shared" si="1"/>
        <v>277</v>
      </c>
      <c r="G33" s="110">
        <f t="shared" si="1"/>
        <v>277</v>
      </c>
      <c r="H33" s="110">
        <f t="shared" si="1"/>
        <v>277</v>
      </c>
      <c r="I33" s="204">
        <f>(H33/G33)*100</f>
        <v>100</v>
      </c>
    </row>
    <row r="34" spans="1:15" ht="13.5" thickTop="1" x14ac:dyDescent="0.2"/>
    <row r="36" spans="1:15" customFormat="1" ht="15.75" x14ac:dyDescent="0.25">
      <c r="A36" s="3209" t="s">
        <v>488</v>
      </c>
      <c r="B36" s="3210"/>
      <c r="C36" s="3210"/>
      <c r="D36" s="3210"/>
      <c r="E36" s="3210"/>
      <c r="F36" s="299"/>
      <c r="G36" s="299"/>
      <c r="H36" s="300"/>
    </row>
    <row r="37" spans="1:15" customFormat="1" ht="15.75" x14ac:dyDescent="0.25">
      <c r="A37" s="3210"/>
      <c r="B37" s="3210"/>
      <c r="C37" s="3210"/>
      <c r="D37" s="3210"/>
      <c r="E37" s="3210"/>
      <c r="F37" s="299">
        <f>SUM(F38:F41)</f>
        <v>2000</v>
      </c>
      <c r="G37" s="299">
        <f>SUM(G38:G41)</f>
        <v>775</v>
      </c>
      <c r="H37" s="299">
        <f>SUM(H38:H41)</f>
        <v>775</v>
      </c>
      <c r="I37" s="205">
        <f>H37/G37*100</f>
        <v>100</v>
      </c>
    </row>
    <row r="38" spans="1:15" s="103" customFormat="1" ht="15" x14ac:dyDescent="0.2">
      <c r="A38" s="255" t="s">
        <v>147</v>
      </c>
      <c r="B38" s="109"/>
      <c r="D38" s="157"/>
      <c r="F38" s="256">
        <f>F32+F13</f>
        <v>616</v>
      </c>
      <c r="G38" s="256">
        <f>G32+G13</f>
        <v>292</v>
      </c>
      <c r="H38" s="256">
        <f>H32+H13</f>
        <v>292</v>
      </c>
      <c r="I38" s="211">
        <f>H38/G38*100</f>
        <v>100</v>
      </c>
      <c r="L38" s="241"/>
      <c r="M38" s="241"/>
      <c r="N38" s="241"/>
      <c r="O38" s="242"/>
    </row>
    <row r="39" spans="1:15" s="103" customFormat="1" ht="15" x14ac:dyDescent="0.2">
      <c r="A39" s="255" t="s">
        <v>148</v>
      </c>
      <c r="B39" s="109"/>
      <c r="D39" s="157"/>
      <c r="F39" s="256">
        <f>F24+F16</f>
        <v>1384</v>
      </c>
      <c r="G39" s="256">
        <f>G24+G16</f>
        <v>483</v>
      </c>
      <c r="H39" s="256">
        <f>H24+H16</f>
        <v>483</v>
      </c>
      <c r="I39" s="211">
        <f>H39/G39*100</f>
        <v>100</v>
      </c>
      <c r="L39" s="241"/>
      <c r="M39" s="241"/>
      <c r="N39" s="241"/>
      <c r="O39" s="242"/>
    </row>
    <row r="40" spans="1:15" s="103" customFormat="1" ht="15" x14ac:dyDescent="0.2">
      <c r="A40" s="255" t="s">
        <v>119</v>
      </c>
      <c r="B40" s="109"/>
      <c r="D40" s="157"/>
      <c r="F40" s="256">
        <v>0</v>
      </c>
      <c r="G40" s="256">
        <v>0</v>
      </c>
      <c r="H40" s="256">
        <v>0</v>
      </c>
      <c r="I40" s="211">
        <v>0</v>
      </c>
      <c r="L40" s="241"/>
      <c r="M40" s="241"/>
      <c r="N40" s="241"/>
      <c r="O40" s="242"/>
    </row>
    <row r="41" spans="1:15" s="103" customFormat="1" ht="15" x14ac:dyDescent="0.2">
      <c r="A41" s="255" t="s">
        <v>537</v>
      </c>
      <c r="B41" s="109"/>
      <c r="D41" s="157"/>
      <c r="F41" s="256">
        <v>0</v>
      </c>
      <c r="G41" s="256">
        <v>0</v>
      </c>
      <c r="H41" s="256">
        <v>0</v>
      </c>
      <c r="I41" s="211">
        <v>0</v>
      </c>
      <c r="L41" s="241"/>
      <c r="M41" s="241"/>
      <c r="N41" s="241"/>
      <c r="O41" s="242"/>
    </row>
    <row r="42" spans="1:15" s="103" customFormat="1" ht="15.75" x14ac:dyDescent="0.25">
      <c r="A42" s="109"/>
      <c r="B42" s="109"/>
      <c r="D42" s="157"/>
      <c r="F42" s="99"/>
      <c r="G42" s="99"/>
      <c r="H42" s="99"/>
      <c r="I42" s="205"/>
      <c r="L42" s="241"/>
      <c r="M42" s="241"/>
      <c r="N42" s="241"/>
      <c r="O42" s="242"/>
    </row>
    <row r="44" spans="1:15" s="58" customFormat="1" ht="31.5" customHeight="1" x14ac:dyDescent="0.35">
      <c r="A44" s="3204" t="s">
        <v>89</v>
      </c>
      <c r="B44" s="3205"/>
      <c r="C44" s="3205"/>
      <c r="D44" s="3205"/>
      <c r="E44" s="3205"/>
      <c r="F44" s="3206">
        <f>F38+F39</f>
        <v>2000</v>
      </c>
      <c r="G44" s="3206">
        <f>G38+G39</f>
        <v>775</v>
      </c>
      <c r="H44" s="3206">
        <f>H38+H39</f>
        <v>775</v>
      </c>
      <c r="I44" s="3202">
        <f>(H44/G44)*100</f>
        <v>100</v>
      </c>
    </row>
    <row r="45" spans="1:15" ht="13.5" thickBot="1" x14ac:dyDescent="0.25">
      <c r="A45" s="3203"/>
      <c r="B45" s="3203"/>
      <c r="C45" s="3203"/>
      <c r="D45" s="3203"/>
      <c r="E45" s="3203"/>
      <c r="F45" s="3203"/>
      <c r="G45" s="3203"/>
      <c r="H45" s="3203"/>
      <c r="I45" s="3203"/>
    </row>
    <row r="46" spans="1:15" ht="13.5" thickTop="1" x14ac:dyDescent="0.2"/>
  </sheetData>
  <mergeCells count="13">
    <mergeCell ref="A24:E24"/>
    <mergeCell ref="A13:E13"/>
    <mergeCell ref="A16:E16"/>
    <mergeCell ref="A17:E17"/>
    <mergeCell ref="A36:E37"/>
    <mergeCell ref="A25:E25"/>
    <mergeCell ref="A32:E32"/>
    <mergeCell ref="A33:E33"/>
    <mergeCell ref="I44:I45"/>
    <mergeCell ref="A44:E45"/>
    <mergeCell ref="G44:G45"/>
    <mergeCell ref="F44:F45"/>
    <mergeCell ref="H44:H45"/>
  </mergeCells>
  <phoneticPr fontId="35" type="noConversion"/>
  <pageMargins left="0.98425196850393704" right="0.98425196850393704" top="0.98425196850393704" bottom="0.98425196850393704" header="0.51181102362204722" footer="0.51181102362204722"/>
  <pageSetup paperSize="9" scale="70" firstPageNumber="41" orientation="portrait" useFirstPageNumber="1" r:id="rId1"/>
  <headerFooter alignWithMargins="0">
    <oddFooter xml:space="preserve">&amp;L&amp;"Arial,Kurzíva"Zastupitelstvo Olomouckého kraje 21.4.2008
5. - Rozpočet Olomouckého kraje 2007- závěrečný účet
Příloha č. 3:Plnění rozpočtu výdajů Olomouckého kraje k 31.12.2007
&amp;R&amp;"Arial,Kurzíva"Strana &amp;P (celkem 414)
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60</vt:i4>
      </vt:variant>
      <vt:variant>
        <vt:lpstr>Pojmenované oblasti</vt:lpstr>
      </vt:variant>
      <vt:variant>
        <vt:i4>59</vt:i4>
      </vt:variant>
    </vt:vector>
  </HeadingPairs>
  <TitlesOfParts>
    <vt:vector size="119" baseType="lpstr">
      <vt:lpstr>Rekapitulace</vt:lpstr>
      <vt:lpstr>Odbor celkem</vt:lpstr>
      <vt:lpstr>01 </vt:lpstr>
      <vt:lpstr>03</vt:lpstr>
      <vt:lpstr>04</vt:lpstr>
      <vt:lpstr>05</vt:lpstr>
      <vt:lpstr>06</vt:lpstr>
      <vt:lpstr>07</vt:lpstr>
      <vt:lpstr>OPOK</vt:lpstr>
      <vt:lpstr>SROP</vt:lpstr>
      <vt:lpstr>List1</vt:lpstr>
      <vt:lpstr>08</vt:lpstr>
      <vt:lpstr>09</vt:lpstr>
      <vt:lpstr>10</vt:lpstr>
      <vt:lpstr>10 - PO</vt:lpstr>
      <vt:lpstr>11</vt:lpstr>
      <vt:lpstr>12</vt:lpstr>
      <vt:lpstr>13</vt:lpstr>
      <vt:lpstr>14</vt:lpstr>
      <vt:lpstr>16</vt:lpstr>
      <vt:lpstr>17</vt:lpstr>
      <vt:lpstr>18</vt:lpstr>
      <vt:lpstr>19</vt:lpstr>
      <vt:lpstr>19 - PO</vt:lpstr>
      <vt:lpstr>37 </vt:lpstr>
      <vt:lpstr>38</vt:lpstr>
      <vt:lpstr>39 </vt:lpstr>
      <vt:lpstr>41 </vt:lpstr>
      <vt:lpstr>42 </vt:lpstr>
      <vt:lpstr>47 </vt:lpstr>
      <vt:lpstr>48 </vt:lpstr>
      <vt:lpstr>49 </vt:lpstr>
      <vt:lpstr>36</vt:lpstr>
      <vt:lpstr>37</vt:lpstr>
      <vt:lpstr>46</vt:lpstr>
      <vt:lpstr>199</vt:lpstr>
      <vt:lpstr>99</vt:lpstr>
      <vt:lpstr>20</vt:lpstr>
      <vt:lpstr>30</vt:lpstr>
      <vt:lpstr>32</vt:lpstr>
      <vt:lpstr>50</vt:lpstr>
      <vt:lpstr>52</vt:lpstr>
      <vt:lpstr>59</vt:lpstr>
      <vt:lpstr>60</vt:lpstr>
      <vt:lpstr>63</vt:lpstr>
      <vt:lpstr>64</vt:lpstr>
      <vt:lpstr>66</vt:lpstr>
      <vt:lpstr>67</vt:lpstr>
      <vt:lpstr>68</vt:lpstr>
      <vt:lpstr>69</vt:lpstr>
      <vt:lpstr>71</vt:lpstr>
      <vt:lpstr>72</vt:lpstr>
      <vt:lpstr>73</vt:lpstr>
      <vt:lpstr>74</vt:lpstr>
      <vt:lpstr>75</vt:lpstr>
      <vt:lpstr>76</vt:lpstr>
      <vt:lpstr>77</vt:lpstr>
      <vt:lpstr>78</vt:lpstr>
      <vt:lpstr>F - 99</vt:lpstr>
      <vt:lpstr>F -199</vt:lpstr>
      <vt:lpstr>'60'!Názvy_tisku</vt:lpstr>
      <vt:lpstr>'01 '!Oblast_tisku</vt:lpstr>
      <vt:lpstr>'03'!Oblast_tisku</vt:lpstr>
      <vt:lpstr>'04'!Oblast_tisku</vt:lpstr>
      <vt:lpstr>'05'!Oblast_tisku</vt:lpstr>
      <vt:lpstr>'06'!Oblast_tisku</vt:lpstr>
      <vt:lpstr>'07'!Oblast_tisku</vt:lpstr>
      <vt:lpstr>'08'!Oblast_tisku</vt:lpstr>
      <vt:lpstr>'09'!Oblast_tisku</vt:lpstr>
      <vt:lpstr>'10'!Oblast_tisku</vt:lpstr>
      <vt:lpstr>'10 - PO'!Oblast_tisku</vt:lpstr>
      <vt:lpstr>'11'!Oblast_tisku</vt:lpstr>
      <vt:lpstr>'12'!Oblast_tisku</vt:lpstr>
      <vt:lpstr>'13'!Oblast_tisku</vt:lpstr>
      <vt:lpstr>'14'!Oblast_tisku</vt:lpstr>
      <vt:lpstr>'16'!Oblast_tisku</vt:lpstr>
      <vt:lpstr>'17'!Oblast_tisku</vt:lpstr>
      <vt:lpstr>'18'!Oblast_tisku</vt:lpstr>
      <vt:lpstr>'19'!Oblast_tisku</vt:lpstr>
      <vt:lpstr>'19 - PO'!Oblast_tisku</vt:lpstr>
      <vt:lpstr>'199'!Oblast_tisku</vt:lpstr>
      <vt:lpstr>'20'!Oblast_tisku</vt:lpstr>
      <vt:lpstr>'30'!Oblast_tisku</vt:lpstr>
      <vt:lpstr>'32'!Oblast_tisku</vt:lpstr>
      <vt:lpstr>'36'!Oblast_tisku</vt:lpstr>
      <vt:lpstr>'37'!Oblast_tisku</vt:lpstr>
      <vt:lpstr>'37 '!Oblast_tisku</vt:lpstr>
      <vt:lpstr>'38'!Oblast_tisku</vt:lpstr>
      <vt:lpstr>'39 '!Oblast_tisku</vt:lpstr>
      <vt:lpstr>'41 '!Oblast_tisku</vt:lpstr>
      <vt:lpstr>'42 '!Oblast_tisku</vt:lpstr>
      <vt:lpstr>'47 '!Oblast_tisku</vt:lpstr>
      <vt:lpstr>'48 '!Oblast_tisku</vt:lpstr>
      <vt:lpstr>'49 '!Oblast_tisku</vt:lpstr>
      <vt:lpstr>'50'!Oblast_tisku</vt:lpstr>
      <vt:lpstr>'52'!Oblast_tisku</vt:lpstr>
      <vt:lpstr>'59'!Oblast_tisku</vt:lpstr>
      <vt:lpstr>'60'!Oblast_tisku</vt:lpstr>
      <vt:lpstr>'63'!Oblast_tisku</vt:lpstr>
      <vt:lpstr>'64'!Oblast_tisku</vt:lpstr>
      <vt:lpstr>'66'!Oblast_tisku</vt:lpstr>
      <vt:lpstr>'67'!Oblast_tisku</vt:lpstr>
      <vt:lpstr>'68'!Oblast_tisku</vt:lpstr>
      <vt:lpstr>'69'!Oblast_tisku</vt:lpstr>
      <vt:lpstr>'71'!Oblast_tisku</vt:lpstr>
      <vt:lpstr>'72'!Oblast_tisku</vt:lpstr>
      <vt:lpstr>'73'!Oblast_tisku</vt:lpstr>
      <vt:lpstr>'74'!Oblast_tisku</vt:lpstr>
      <vt:lpstr>'75'!Oblast_tisku</vt:lpstr>
      <vt:lpstr>'76'!Oblast_tisku</vt:lpstr>
      <vt:lpstr>'77'!Oblast_tisku</vt:lpstr>
      <vt:lpstr>'78'!Oblast_tisku</vt:lpstr>
      <vt:lpstr>'99'!Oblast_tisku</vt:lpstr>
      <vt:lpstr>'F - 99'!Oblast_tisku</vt:lpstr>
      <vt:lpstr>'F -199'!Oblast_tisku</vt:lpstr>
      <vt:lpstr>'Odbor celkem'!Oblast_tisku</vt:lpstr>
      <vt:lpstr>OPOK!Oblast_tisku</vt:lpstr>
      <vt:lpstr>Rekapitulace!Oblast_tisku</vt:lpstr>
      <vt:lpstr>SROP!Oblast_tisku</vt:lpstr>
    </vt:vector>
  </TitlesOfParts>
  <Company>Krajský úřad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Ing. Alice Hradilová</dc:creator>
  <cp:lastModifiedBy>Balabuch Petr</cp:lastModifiedBy>
  <cp:lastPrinted>2018-05-29T08:07:47Z</cp:lastPrinted>
  <dcterms:created xsi:type="dcterms:W3CDTF">2003-03-17T17:09:55Z</dcterms:created>
  <dcterms:modified xsi:type="dcterms:W3CDTF">2018-05-30T11:52:11Z</dcterms:modified>
</cp:coreProperties>
</file>